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考核调整\考核调整2017.10\"/>
    </mc:Choice>
  </mc:AlternateContent>
  <bookViews>
    <workbookView xWindow="0" yWindow="0" windowWidth="16095" windowHeight="7950" activeTab="2"/>
  </bookViews>
  <sheets>
    <sheet name="累计利润调整表" sheetId="1" r:id="rId1"/>
    <sheet name="累计考核费用" sheetId="2" r:id="rId2"/>
    <sheet name="考核调整事项表" sheetId="3" r:id="rId3"/>
    <sheet name="Sheet1" sheetId="7" state="hidden" r:id="rId4"/>
    <sheet name="分部报表（费用）" sheetId="5" state="hidden" r:id="rId5"/>
    <sheet name="调整后万元版" sheetId="4" r:id="rId6"/>
    <sheet name="原格式费用考核表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2" hidden="1">考核调整事项表!$A$51:$Y$102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S29" i="1" l="1"/>
  <c r="E272" i="3" l="1"/>
  <c r="E271" i="3"/>
  <c r="E270" i="3"/>
  <c r="E269" i="3"/>
  <c r="C156" i="3" l="1"/>
  <c r="C157" i="3"/>
  <c r="E297" i="3" l="1"/>
  <c r="B29" i="1" l="1"/>
  <c r="B58" i="1" l="1"/>
  <c r="M61" i="1" l="1"/>
  <c r="L61" i="1"/>
  <c r="L60" i="1" s="1"/>
  <c r="C74" i="3" l="1"/>
  <c r="C122" i="3"/>
  <c r="E98" i="3"/>
  <c r="E255" i="3"/>
  <c r="C254" i="3"/>
  <c r="E254" i="3" s="1"/>
  <c r="E253" i="3"/>
  <c r="E268" i="3"/>
  <c r="C235" i="3"/>
  <c r="C234" i="3"/>
  <c r="C236" i="3"/>
  <c r="C239" i="3" l="1"/>
  <c r="I264" i="3" l="1"/>
  <c r="C258" i="3"/>
  <c r="C78" i="3" l="1"/>
  <c r="C61" i="3" l="1"/>
  <c r="E102" i="3"/>
  <c r="C94" i="3" l="1"/>
  <c r="C79" i="3"/>
  <c r="C52" i="3" l="1"/>
  <c r="C85" i="3"/>
  <c r="E85" i="3" s="1"/>
  <c r="C202" i="3"/>
  <c r="E202" i="3" s="1"/>
  <c r="D202" i="3"/>
  <c r="F202" i="3"/>
  <c r="C140" i="3"/>
  <c r="E140" i="3" s="1"/>
  <c r="D140" i="3"/>
  <c r="F140" i="3"/>
  <c r="C62" i="3" l="1"/>
  <c r="C175" i="3" l="1"/>
  <c r="E175" i="3" s="1"/>
  <c r="C185" i="3"/>
  <c r="E262" i="3" l="1"/>
  <c r="E263" i="3"/>
  <c r="D187" i="3" l="1"/>
  <c r="M32" i="4"/>
  <c r="N32" i="4"/>
  <c r="P32" i="4"/>
  <c r="W32" i="4"/>
  <c r="X32" i="4"/>
  <c r="Y32" i="4"/>
  <c r="Z32" i="4"/>
  <c r="AA32" i="4"/>
  <c r="AB32" i="4"/>
  <c r="AC32" i="4"/>
  <c r="AD32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39" i="4"/>
  <c r="AD39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25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W28" i="4"/>
  <c r="X28" i="4"/>
  <c r="Y28" i="4"/>
  <c r="Z28" i="4"/>
  <c r="C218" i="3" l="1"/>
  <c r="E218" i="3" s="1"/>
  <c r="C217" i="3"/>
  <c r="E217" i="3" s="1"/>
  <c r="C170" i="3"/>
  <c r="E170" i="3" s="1"/>
  <c r="C171" i="3"/>
  <c r="E171" i="3" s="1"/>
  <c r="C172" i="3"/>
  <c r="E172" i="3" s="1"/>
  <c r="C173" i="3"/>
  <c r="E173" i="3" s="1"/>
  <c r="C174" i="3"/>
  <c r="E174" i="3" s="1"/>
  <c r="C180" i="3"/>
  <c r="C181" i="3"/>
  <c r="E181" i="3" s="1"/>
  <c r="C182" i="3"/>
  <c r="E182" i="3" s="1"/>
  <c r="C183" i="3"/>
  <c r="E183" i="3" s="1"/>
  <c r="C184" i="3"/>
  <c r="E184" i="3" s="1"/>
  <c r="C186" i="3"/>
  <c r="E186" i="3" s="1"/>
  <c r="C188" i="3"/>
  <c r="E188" i="3" s="1"/>
  <c r="C189" i="3"/>
  <c r="E189" i="3" s="1"/>
  <c r="C191" i="3"/>
  <c r="E191" i="3" s="1"/>
  <c r="C192" i="3"/>
  <c r="E192" i="3" s="1"/>
  <c r="C193" i="3"/>
  <c r="E193" i="3" s="1"/>
  <c r="C194" i="3"/>
  <c r="E194" i="3" s="1"/>
  <c r="C195" i="3"/>
  <c r="E195" i="3" s="1"/>
  <c r="C196" i="3"/>
  <c r="C197" i="3"/>
  <c r="E197" i="3" s="1"/>
  <c r="C198" i="3"/>
  <c r="E198" i="3" s="1"/>
  <c r="C199" i="3"/>
  <c r="E199" i="3" s="1"/>
  <c r="C200" i="3"/>
  <c r="E200" i="3" s="1"/>
  <c r="C206" i="3"/>
  <c r="E206" i="3" s="1"/>
  <c r="C207" i="3"/>
  <c r="C208" i="3"/>
  <c r="E208" i="3" s="1"/>
  <c r="C209" i="3"/>
  <c r="E209" i="3" s="1"/>
  <c r="C210" i="3"/>
  <c r="E210" i="3" s="1"/>
  <c r="C211" i="3"/>
  <c r="E211" i="3" s="1"/>
  <c r="C212" i="3"/>
  <c r="E212" i="3" s="1"/>
  <c r="C213" i="3"/>
  <c r="E213" i="3" s="1"/>
  <c r="C214" i="3"/>
  <c r="E214" i="3" s="1"/>
  <c r="C216" i="3"/>
  <c r="E216" i="3" s="1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E179" i="3"/>
  <c r="E185" i="3"/>
  <c r="E187" i="3"/>
  <c r="AB73" i="2"/>
  <c r="AB125" i="2" s="1"/>
  <c r="AA50" i="4" s="1"/>
  <c r="C123" i="3"/>
  <c r="C118" i="3"/>
  <c r="C120" i="3"/>
  <c r="C106" i="3"/>
  <c r="E106" i="3" s="1"/>
  <c r="C152" i="3"/>
  <c r="E207" i="3" l="1"/>
  <c r="E196" i="3"/>
  <c r="E180" i="3"/>
  <c r="D218" i="3"/>
  <c r="F218" i="3"/>
  <c r="E156" i="3"/>
  <c r="D156" i="3"/>
  <c r="F156" i="3"/>
  <c r="E157" i="3"/>
  <c r="D157" i="3"/>
  <c r="F157" i="3"/>
  <c r="F155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C108" i="3"/>
  <c r="E108" i="3" s="1"/>
  <c r="C109" i="3"/>
  <c r="E109" i="3" s="1"/>
  <c r="C110" i="3"/>
  <c r="E110" i="3" s="1"/>
  <c r="C111" i="3"/>
  <c r="E111" i="3" s="1"/>
  <c r="C112" i="3"/>
  <c r="E112" i="3" s="1"/>
  <c r="C113" i="3"/>
  <c r="E113" i="3" s="1"/>
  <c r="C116" i="3"/>
  <c r="E116" i="3" s="1"/>
  <c r="E118" i="3"/>
  <c r="C119" i="3"/>
  <c r="E119" i="3" s="1"/>
  <c r="E120" i="3"/>
  <c r="C121" i="3"/>
  <c r="E121" i="3" s="1"/>
  <c r="E122" i="3"/>
  <c r="E123" i="3"/>
  <c r="C124" i="3"/>
  <c r="E124" i="3" s="1"/>
  <c r="C126" i="3"/>
  <c r="E126" i="3" s="1"/>
  <c r="C127" i="3"/>
  <c r="E127" i="3" s="1"/>
  <c r="C129" i="3"/>
  <c r="E129" i="3" s="1"/>
  <c r="C130" i="3"/>
  <c r="E130" i="3" s="1"/>
  <c r="C131" i="3"/>
  <c r="E131" i="3" s="1"/>
  <c r="C132" i="3"/>
  <c r="E132" i="3" s="1"/>
  <c r="C133" i="3"/>
  <c r="E133" i="3" s="1"/>
  <c r="C134" i="3"/>
  <c r="E134" i="3" s="1"/>
  <c r="C135" i="3"/>
  <c r="E135" i="3" s="1"/>
  <c r="C136" i="3"/>
  <c r="E136" i="3" s="1"/>
  <c r="C137" i="3"/>
  <c r="E137" i="3" s="1"/>
  <c r="C138" i="3"/>
  <c r="E138" i="3" s="1"/>
  <c r="C144" i="3"/>
  <c r="E144" i="3" s="1"/>
  <c r="C145" i="3"/>
  <c r="E145" i="3" s="1"/>
  <c r="C146" i="3"/>
  <c r="E146" i="3" s="1"/>
  <c r="C147" i="3"/>
  <c r="E147" i="3" s="1"/>
  <c r="C148" i="3"/>
  <c r="E148" i="3" s="1"/>
  <c r="C149" i="3"/>
  <c r="E149" i="3" s="1"/>
  <c r="C150" i="3"/>
  <c r="E150" i="3" s="1"/>
  <c r="C151" i="3"/>
  <c r="E151" i="3" s="1"/>
  <c r="C154" i="3"/>
  <c r="E154" i="3" s="1"/>
  <c r="C155" i="3"/>
  <c r="E155" i="3" s="1"/>
  <c r="E161" i="3"/>
  <c r="E117" i="3"/>
  <c r="E125" i="3"/>
  <c r="E152" i="3"/>
  <c r="E158" i="3"/>
  <c r="E160" i="3"/>
  <c r="E162" i="3"/>
  <c r="E163" i="3"/>
  <c r="D163" i="3"/>
  <c r="F163" i="3"/>
  <c r="D168" i="3"/>
  <c r="O38" i="1" l="1"/>
  <c r="D106" i="3"/>
  <c r="E101" i="3" l="1"/>
  <c r="E100" i="3"/>
  <c r="C99" i="3"/>
  <c r="E97" i="3"/>
  <c r="E96" i="3"/>
  <c r="E95" i="3"/>
  <c r="E94" i="3"/>
  <c r="E93" i="3"/>
  <c r="E92" i="3"/>
  <c r="E91" i="3"/>
  <c r="E90" i="3"/>
  <c r="C89" i="3"/>
  <c r="C88" i="3"/>
  <c r="C87" i="3"/>
  <c r="E84" i="3"/>
  <c r="E83" i="3"/>
  <c r="N38" i="1" s="1"/>
  <c r="E82" i="3"/>
  <c r="E81" i="3"/>
  <c r="E80" i="3"/>
  <c r="E79" i="3"/>
  <c r="E78" i="3"/>
  <c r="E77" i="3"/>
  <c r="E76" i="3"/>
  <c r="E75" i="3"/>
  <c r="C190" i="3"/>
  <c r="E73" i="3"/>
  <c r="E72" i="3"/>
  <c r="E71" i="3"/>
  <c r="E70" i="3"/>
  <c r="E69" i="3"/>
  <c r="E68" i="3"/>
  <c r="E67" i="3"/>
  <c r="E66" i="3"/>
  <c r="E65" i="3"/>
  <c r="E64" i="3"/>
  <c r="E63" i="3"/>
  <c r="C60" i="3"/>
  <c r="E59" i="3"/>
  <c r="E36" i="1" s="1"/>
  <c r="E58" i="3"/>
  <c r="E57" i="3"/>
  <c r="E56" i="3"/>
  <c r="E55" i="3"/>
  <c r="E54" i="3"/>
  <c r="C201" i="3" l="1"/>
  <c r="E201" i="3" s="1"/>
  <c r="C139" i="3"/>
  <c r="E139" i="3" s="1"/>
  <c r="C204" i="3"/>
  <c r="E204" i="3" s="1"/>
  <c r="C142" i="3"/>
  <c r="E142" i="3" s="1"/>
  <c r="C215" i="3"/>
  <c r="E215" i="3" s="1"/>
  <c r="C153" i="3"/>
  <c r="E153" i="3" s="1"/>
  <c r="C177" i="3"/>
  <c r="E177" i="3" s="1"/>
  <c r="C115" i="3"/>
  <c r="E115" i="3" s="1"/>
  <c r="C176" i="3"/>
  <c r="E176" i="3" s="1"/>
  <c r="C114" i="3"/>
  <c r="E114" i="3" s="1"/>
  <c r="E62" i="3"/>
  <c r="C178" i="3"/>
  <c r="E178" i="3" s="1"/>
  <c r="C128" i="3"/>
  <c r="E128" i="3" s="1"/>
  <c r="C203" i="3"/>
  <c r="C141" i="3"/>
  <c r="E141" i="3" s="1"/>
  <c r="C205" i="3"/>
  <c r="E205" i="3" s="1"/>
  <c r="C143" i="3"/>
  <c r="E143" i="3" s="1"/>
  <c r="E74" i="3"/>
  <c r="E60" i="3"/>
  <c r="E61" i="3"/>
  <c r="E87" i="3"/>
  <c r="E89" i="3"/>
  <c r="E88" i="3"/>
  <c r="E99" i="3"/>
  <c r="E203" i="3" l="1"/>
  <c r="E190" i="3"/>
  <c r="C288" i="3"/>
  <c r="C245" i="3" l="1"/>
  <c r="E248" i="3"/>
  <c r="C292" i="3" l="1"/>
  <c r="E238" i="3"/>
  <c r="E239" i="3"/>
  <c r="E240" i="3"/>
  <c r="E241" i="3"/>
  <c r="E243" i="3"/>
  <c r="E244" i="3"/>
  <c r="E245" i="3"/>
  <c r="C226" i="3" l="1"/>
  <c r="C168" i="3"/>
  <c r="Z90" i="1"/>
  <c r="D226" i="3"/>
  <c r="F164" i="3" l="1"/>
  <c r="F165" i="3"/>
  <c r="F226" i="3"/>
  <c r="D227" i="3"/>
  <c r="F227" i="3"/>
  <c r="E227" i="3"/>
  <c r="D164" i="3"/>
  <c r="D165" i="3"/>
  <c r="U60" i="1" l="1"/>
  <c r="U90" i="1" s="1"/>
  <c r="U28" i="4" s="1"/>
  <c r="AA56" i="2" l="1"/>
  <c r="AA108" i="2" s="1"/>
  <c r="Z33" i="4" s="1"/>
  <c r="AA57" i="2"/>
  <c r="AA109" i="2" s="1"/>
  <c r="Z34" i="4" s="1"/>
  <c r="AA58" i="2"/>
  <c r="AA110" i="2" s="1"/>
  <c r="Z35" i="4" s="1"/>
  <c r="AA60" i="2"/>
  <c r="AA112" i="2" s="1"/>
  <c r="Z37" i="4" s="1"/>
  <c r="AA61" i="2"/>
  <c r="AA113" i="2" s="1"/>
  <c r="Z38" i="4" s="1"/>
  <c r="AA62" i="2"/>
  <c r="AA114" i="2" s="1"/>
  <c r="Z39" i="4" s="1"/>
  <c r="AA63" i="2"/>
  <c r="AA115" i="2" s="1"/>
  <c r="Z40" i="4" s="1"/>
  <c r="AA64" i="2"/>
  <c r="AA116" i="2" s="1"/>
  <c r="Z41" i="4" s="1"/>
  <c r="AA65" i="2"/>
  <c r="AA117" i="2" s="1"/>
  <c r="Z42" i="4" s="1"/>
  <c r="AA67" i="2"/>
  <c r="AA119" i="2" s="1"/>
  <c r="Z44" i="4" s="1"/>
  <c r="AA68" i="2"/>
  <c r="AA120" i="2" s="1"/>
  <c r="Z45" i="4" s="1"/>
  <c r="AA70" i="2"/>
  <c r="AA122" i="2" s="1"/>
  <c r="Z47" i="4" s="1"/>
  <c r="AA71" i="2"/>
  <c r="AA123" i="2" s="1"/>
  <c r="Z48" i="4" s="1"/>
  <c r="AA75" i="2"/>
  <c r="AA127" i="2" s="1"/>
  <c r="Z52" i="4" s="1"/>
  <c r="AA76" i="2"/>
  <c r="AA128" i="2" s="1"/>
  <c r="Z53" i="4" s="1"/>
  <c r="AA77" i="2"/>
  <c r="AA129" i="2" s="1"/>
  <c r="Z54" i="4" s="1"/>
  <c r="AA78" i="2"/>
  <c r="AA130" i="2" s="1"/>
  <c r="Z55" i="4" s="1"/>
  <c r="AA79" i="2"/>
  <c r="AA131" i="2" s="1"/>
  <c r="Z56" i="4" s="1"/>
  <c r="AA80" i="2"/>
  <c r="AA132" i="2" s="1"/>
  <c r="Z57" i="4" s="1"/>
  <c r="AA81" i="2"/>
  <c r="AA133" i="2" s="1"/>
  <c r="Z58" i="4" s="1"/>
  <c r="AA82" i="2"/>
  <c r="AA134" i="2" s="1"/>
  <c r="Z59" i="4" s="1"/>
  <c r="AA83" i="2"/>
  <c r="AA135" i="2" s="1"/>
  <c r="Z60" i="4" s="1"/>
  <c r="AA84" i="2"/>
  <c r="AA136" i="2" s="1"/>
  <c r="Z61" i="4" s="1"/>
  <c r="AA85" i="2"/>
  <c r="AA137" i="2" s="1"/>
  <c r="Z62" i="4" s="1"/>
  <c r="AA87" i="2"/>
  <c r="AA139" i="2" s="1"/>
  <c r="Z64" i="4" s="1"/>
  <c r="AA88" i="2"/>
  <c r="AA140" i="2" s="1"/>
  <c r="Z65" i="4" s="1"/>
  <c r="AA89" i="2"/>
  <c r="AA141" i="2" s="1"/>
  <c r="Z66" i="4" s="1"/>
  <c r="AA90" i="2"/>
  <c r="AA142" i="2" s="1"/>
  <c r="Z67" i="4" s="1"/>
  <c r="AA91" i="2"/>
  <c r="AA143" i="2" s="1"/>
  <c r="Z68" i="4" s="1"/>
  <c r="AA92" i="2"/>
  <c r="AA144" i="2" s="1"/>
  <c r="Z69" i="4" s="1"/>
  <c r="AA93" i="2"/>
  <c r="AA145" i="2" s="1"/>
  <c r="Z70" i="4" s="1"/>
  <c r="AA94" i="2"/>
  <c r="AA146" i="2" s="1"/>
  <c r="Z71" i="4" s="1"/>
  <c r="AA95" i="2"/>
  <c r="AA147" i="2" s="1"/>
  <c r="Z72" i="4" s="1"/>
  <c r="AA96" i="2"/>
  <c r="AA148" i="2" s="1"/>
  <c r="Z73" i="4" s="1"/>
  <c r="AA97" i="2"/>
  <c r="AA149" i="2" s="1"/>
  <c r="Z74" i="4" s="1"/>
  <c r="AA98" i="2"/>
  <c r="AA150" i="2" s="1"/>
  <c r="Z75" i="4" s="1"/>
  <c r="AA99" i="2"/>
  <c r="AA151" i="2" s="1"/>
  <c r="Z76" i="4" s="1"/>
  <c r="AA100" i="2"/>
  <c r="AA152" i="2" s="1"/>
  <c r="Z77" i="4" s="1"/>
  <c r="AA101" i="2"/>
  <c r="AA153" i="2" s="1"/>
  <c r="Z78" i="4" s="1"/>
  <c r="AA102" i="2"/>
  <c r="AA154" i="2" s="1"/>
  <c r="Z79" i="4" s="1"/>
  <c r="Z35" i="1"/>
  <c r="Z67" i="1" s="1"/>
  <c r="Z5" i="4" s="1"/>
  <c r="Z36" i="1"/>
  <c r="Z68" i="1" s="1"/>
  <c r="Z6" i="4" s="1"/>
  <c r="Z37" i="1"/>
  <c r="Z69" i="1" s="1"/>
  <c r="Z7" i="4" s="1"/>
  <c r="Z38" i="1"/>
  <c r="Z70" i="1" s="1"/>
  <c r="Z8" i="4" s="1"/>
  <c r="Z39" i="1"/>
  <c r="Z71" i="1" s="1"/>
  <c r="Z9" i="4" s="1"/>
  <c r="Z40" i="1"/>
  <c r="Z41" i="1"/>
  <c r="Z73" i="1" s="1"/>
  <c r="Z11" i="4" s="1"/>
  <c r="Z42" i="1"/>
  <c r="Z74" i="1" s="1"/>
  <c r="Z12" i="4" s="1"/>
  <c r="Z43" i="1"/>
  <c r="Z75" i="1" s="1"/>
  <c r="Z13" i="4" s="1"/>
  <c r="Z47" i="1"/>
  <c r="Z79" i="1" s="1"/>
  <c r="Z17" i="4" s="1"/>
  <c r="Z48" i="1"/>
  <c r="Z80" i="1" s="1"/>
  <c r="Z18" i="4" s="1"/>
  <c r="Z50" i="1"/>
  <c r="Z82" i="1" s="1"/>
  <c r="Z20" i="4" s="1"/>
  <c r="Z51" i="1"/>
  <c r="Z83" i="1" s="1"/>
  <c r="Z21" i="4" s="1"/>
  <c r="Z53" i="1"/>
  <c r="Z85" i="1" s="1"/>
  <c r="Z23" i="4" s="1"/>
  <c r="Z55" i="1"/>
  <c r="Z87" i="1" s="1"/>
  <c r="Z25" i="4" s="1"/>
  <c r="AA155" i="2" l="1"/>
  <c r="Z80" i="4" s="1"/>
  <c r="Z34" i="1"/>
  <c r="AA103" i="2"/>
  <c r="Z33" i="1" l="1"/>
  <c r="Z65" i="1" s="1"/>
  <c r="Z66" i="1"/>
  <c r="Z4" i="4" s="1"/>
  <c r="Z93" i="1" l="1"/>
  <c r="Z3" i="4"/>
  <c r="C53" i="3"/>
  <c r="C169" i="3" l="1"/>
  <c r="C107" i="3"/>
  <c r="AB58" i="1"/>
  <c r="AB60" i="1"/>
  <c r="AB59" i="1" s="1"/>
  <c r="AB90" i="1" s="1"/>
  <c r="AB28" i="4" s="1"/>
  <c r="E107" i="3" l="1"/>
  <c r="E169" i="3"/>
  <c r="E289" i="3"/>
  <c r="E288" i="3"/>
  <c r="AC56" i="2" l="1"/>
  <c r="AC108" i="2" s="1"/>
  <c r="AB33" i="4" s="1"/>
  <c r="AC57" i="2"/>
  <c r="AC109" i="2" s="1"/>
  <c r="AB34" i="4" s="1"/>
  <c r="AC58" i="2"/>
  <c r="AC110" i="2" s="1"/>
  <c r="AB35" i="4" s="1"/>
  <c r="AC59" i="2"/>
  <c r="AC111" i="2" s="1"/>
  <c r="AB36" i="4" s="1"/>
  <c r="AC60" i="2"/>
  <c r="AC112" i="2" s="1"/>
  <c r="AB37" i="4" s="1"/>
  <c r="AC61" i="2"/>
  <c r="AC113" i="2" s="1"/>
  <c r="AB38" i="4" s="1"/>
  <c r="AC62" i="2"/>
  <c r="AC114" i="2" s="1"/>
  <c r="AB39" i="4" s="1"/>
  <c r="AC63" i="2"/>
  <c r="AC115" i="2" s="1"/>
  <c r="AB40" i="4" s="1"/>
  <c r="AC64" i="2"/>
  <c r="AC116" i="2" s="1"/>
  <c r="AB41" i="4" s="1"/>
  <c r="AC65" i="2"/>
  <c r="AC117" i="2" s="1"/>
  <c r="AB42" i="4" s="1"/>
  <c r="AC67" i="2"/>
  <c r="AC119" i="2" s="1"/>
  <c r="AB44" i="4" s="1"/>
  <c r="AC68" i="2"/>
  <c r="AC120" i="2" s="1"/>
  <c r="AB45" i="4" s="1"/>
  <c r="AC70" i="2"/>
  <c r="AC122" i="2" s="1"/>
  <c r="AB47" i="4" s="1"/>
  <c r="AC71" i="2"/>
  <c r="AC123" i="2" s="1"/>
  <c r="AB48" i="4" s="1"/>
  <c r="AC73" i="2"/>
  <c r="AC125" i="2" s="1"/>
  <c r="AB50" i="4" s="1"/>
  <c r="AC74" i="2"/>
  <c r="AC126" i="2" s="1"/>
  <c r="AB51" i="4" s="1"/>
  <c r="AC75" i="2"/>
  <c r="AC127" i="2" s="1"/>
  <c r="AB52" i="4" s="1"/>
  <c r="AC76" i="2"/>
  <c r="AC128" i="2" s="1"/>
  <c r="AB53" i="4" s="1"/>
  <c r="AC77" i="2"/>
  <c r="AC129" i="2" s="1"/>
  <c r="AB54" i="4" s="1"/>
  <c r="AC78" i="2"/>
  <c r="AC130" i="2" s="1"/>
  <c r="AB55" i="4" s="1"/>
  <c r="AC79" i="2"/>
  <c r="AC131" i="2" s="1"/>
  <c r="AB56" i="4" s="1"/>
  <c r="AC80" i="2"/>
  <c r="AC132" i="2" s="1"/>
  <c r="AB57" i="4" s="1"/>
  <c r="AC81" i="2"/>
  <c r="AC133" i="2" s="1"/>
  <c r="AB58" i="4" s="1"/>
  <c r="AC82" i="2"/>
  <c r="AC134" i="2" s="1"/>
  <c r="AB59" i="4" s="1"/>
  <c r="AC83" i="2"/>
  <c r="AC135" i="2" s="1"/>
  <c r="AB60" i="4" s="1"/>
  <c r="AC84" i="2"/>
  <c r="AC136" i="2" s="1"/>
  <c r="AB61" i="4" s="1"/>
  <c r="AC85" i="2"/>
  <c r="AC137" i="2" s="1"/>
  <c r="AB62" i="4" s="1"/>
  <c r="AC87" i="2"/>
  <c r="AC139" i="2" s="1"/>
  <c r="AB64" i="4" s="1"/>
  <c r="AC88" i="2"/>
  <c r="AC140" i="2" s="1"/>
  <c r="AB65" i="4" s="1"/>
  <c r="AC89" i="2"/>
  <c r="AC141" i="2" s="1"/>
  <c r="AB66" i="4" s="1"/>
  <c r="AC90" i="2"/>
  <c r="AC142" i="2" s="1"/>
  <c r="AB67" i="4" s="1"/>
  <c r="AC91" i="2"/>
  <c r="AC143" i="2" s="1"/>
  <c r="AB68" i="4" s="1"/>
  <c r="AC92" i="2"/>
  <c r="AC144" i="2" s="1"/>
  <c r="AB69" i="4" s="1"/>
  <c r="AC93" i="2"/>
  <c r="AC145" i="2" s="1"/>
  <c r="AB70" i="4" s="1"/>
  <c r="AC94" i="2"/>
  <c r="AC146" i="2" s="1"/>
  <c r="AB71" i="4" s="1"/>
  <c r="AC95" i="2"/>
  <c r="AC147" i="2" s="1"/>
  <c r="AB72" i="4" s="1"/>
  <c r="AC96" i="2"/>
  <c r="AC148" i="2" s="1"/>
  <c r="AB73" i="4" s="1"/>
  <c r="AC97" i="2"/>
  <c r="AC149" i="2" s="1"/>
  <c r="AB74" i="4" s="1"/>
  <c r="AC98" i="2"/>
  <c r="AC150" i="2" s="1"/>
  <c r="AB75" i="4" s="1"/>
  <c r="AC99" i="2"/>
  <c r="AC151" i="2" s="1"/>
  <c r="AB76" i="4" s="1"/>
  <c r="AC100" i="2"/>
  <c r="AC152" i="2" s="1"/>
  <c r="AB77" i="4" s="1"/>
  <c r="AC101" i="2"/>
  <c r="AC153" i="2" s="1"/>
  <c r="AB78" i="4" s="1"/>
  <c r="AC102" i="2"/>
  <c r="AC154" i="2" s="1"/>
  <c r="AB79" i="4" s="1"/>
  <c r="AC155" i="2" l="1"/>
  <c r="AB80" i="4" s="1"/>
  <c r="AC138" i="2"/>
  <c r="AB63" i="4" s="1"/>
  <c r="AC118" i="2"/>
  <c r="AB43" i="4" s="1"/>
  <c r="AC86" i="2"/>
  <c r="AC66" i="2"/>
  <c r="AC103" i="2"/>
  <c r="AB35" i="1" l="1"/>
  <c r="AB67" i="1" s="1"/>
  <c r="AB5" i="4" s="1"/>
  <c r="AB36" i="1"/>
  <c r="AB68" i="1" s="1"/>
  <c r="AB6" i="4" s="1"/>
  <c r="AB37" i="1"/>
  <c r="AB69" i="1" s="1"/>
  <c r="AB7" i="4" s="1"/>
  <c r="AB38" i="1"/>
  <c r="AB70" i="1" s="1"/>
  <c r="AB8" i="4" s="1"/>
  <c r="AB39" i="1"/>
  <c r="AB71" i="1" s="1"/>
  <c r="AB9" i="4" s="1"/>
  <c r="AB40" i="1"/>
  <c r="AB41" i="1"/>
  <c r="AB73" i="1" s="1"/>
  <c r="AB11" i="4" s="1"/>
  <c r="AB42" i="1"/>
  <c r="AB74" i="1" s="1"/>
  <c r="AB12" i="4" s="1"/>
  <c r="AB43" i="1"/>
  <c r="AB75" i="1" s="1"/>
  <c r="AB13" i="4" s="1"/>
  <c r="AB47" i="1"/>
  <c r="AB79" i="1" s="1"/>
  <c r="AB17" i="4" s="1"/>
  <c r="AB48" i="1"/>
  <c r="AB80" i="1" s="1"/>
  <c r="AB18" i="4" s="1"/>
  <c r="AB50" i="1"/>
  <c r="AB82" i="1" s="1"/>
  <c r="AB20" i="4" s="1"/>
  <c r="AB51" i="1"/>
  <c r="AB83" i="1" s="1"/>
  <c r="AB21" i="4" s="1"/>
  <c r="AB53" i="1"/>
  <c r="AB85" i="1" s="1"/>
  <c r="AB23" i="4" s="1"/>
  <c r="AB55" i="1"/>
  <c r="AB87" i="1" s="1"/>
  <c r="AB25" i="4" s="1"/>
  <c r="U35" i="1"/>
  <c r="V35" i="1"/>
  <c r="W35" i="1"/>
  <c r="X35" i="1"/>
  <c r="Y35" i="1"/>
  <c r="AA35" i="1"/>
  <c r="U36" i="1"/>
  <c r="V36" i="1"/>
  <c r="W36" i="1"/>
  <c r="X36" i="1"/>
  <c r="Y36" i="1"/>
  <c r="U37" i="1"/>
  <c r="V37" i="1"/>
  <c r="W37" i="1"/>
  <c r="X37" i="1"/>
  <c r="Y37" i="1"/>
  <c r="AA37" i="1"/>
  <c r="U38" i="1"/>
  <c r="V38" i="1"/>
  <c r="W38" i="1"/>
  <c r="X38" i="1"/>
  <c r="Y38" i="1"/>
  <c r="AA38" i="1"/>
  <c r="U39" i="1"/>
  <c r="V39" i="1"/>
  <c r="W39" i="1"/>
  <c r="X39" i="1"/>
  <c r="Y39" i="1"/>
  <c r="AA39" i="1"/>
  <c r="U40" i="1"/>
  <c r="V40" i="1"/>
  <c r="W40" i="1"/>
  <c r="X40" i="1"/>
  <c r="Y40" i="1"/>
  <c r="AA40" i="1"/>
  <c r="U41" i="1"/>
  <c r="V41" i="1"/>
  <c r="W41" i="1"/>
  <c r="X41" i="1"/>
  <c r="Y41" i="1"/>
  <c r="AA41" i="1"/>
  <c r="U42" i="1"/>
  <c r="V42" i="1"/>
  <c r="W42" i="1"/>
  <c r="X42" i="1"/>
  <c r="Y42" i="1"/>
  <c r="AA42" i="1"/>
  <c r="U43" i="1"/>
  <c r="V43" i="1"/>
  <c r="W43" i="1"/>
  <c r="X43" i="1"/>
  <c r="Y43" i="1"/>
  <c r="AA43" i="1"/>
  <c r="U47" i="1"/>
  <c r="V47" i="1"/>
  <c r="W47" i="1"/>
  <c r="X47" i="1"/>
  <c r="Y47" i="1"/>
  <c r="AA47" i="1"/>
  <c r="U48" i="1"/>
  <c r="V48" i="1"/>
  <c r="W48" i="1"/>
  <c r="X48" i="1"/>
  <c r="Y48" i="1"/>
  <c r="AA48" i="1"/>
  <c r="U50" i="1"/>
  <c r="V50" i="1"/>
  <c r="W50" i="1"/>
  <c r="X50" i="1"/>
  <c r="Y50" i="1"/>
  <c r="AA50" i="1"/>
  <c r="U51" i="1"/>
  <c r="V51" i="1"/>
  <c r="W51" i="1"/>
  <c r="X51" i="1"/>
  <c r="Y51" i="1"/>
  <c r="AA51" i="1"/>
  <c r="U53" i="1"/>
  <c r="V53" i="1"/>
  <c r="W53" i="1"/>
  <c r="X53" i="1"/>
  <c r="Y53" i="1"/>
  <c r="AA53" i="1"/>
  <c r="U55" i="1"/>
  <c r="V55" i="1"/>
  <c r="W55" i="1"/>
  <c r="X55" i="1"/>
  <c r="Y55" i="1"/>
  <c r="AA55" i="1"/>
  <c r="W34" i="1" l="1"/>
  <c r="W33" i="1" s="1"/>
  <c r="U34" i="1"/>
  <c r="U33" i="1" s="1"/>
  <c r="X34" i="1"/>
  <c r="X33" i="1" s="1"/>
  <c r="V34" i="1"/>
  <c r="V33" i="1" s="1"/>
  <c r="AB34" i="1"/>
  <c r="Y34" i="1"/>
  <c r="Y33" i="1" s="1"/>
  <c r="O154" i="6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 s="1"/>
  <c r="T47" i="6"/>
  <c r="R105" i="6" s="1"/>
  <c r="Q47" i="6"/>
  <c r="O105" i="6" s="1"/>
  <c r="O47" i="6"/>
  <c r="M105" i="6" s="1"/>
  <c r="T46" i="6"/>
  <c r="R104" i="6" s="1"/>
  <c r="Q46" i="6"/>
  <c r="O104" i="6" s="1"/>
  <c r="O46" i="6"/>
  <c r="M104" i="6" s="1"/>
  <c r="T45" i="6"/>
  <c r="R103" i="6" s="1"/>
  <c r="Q45" i="6"/>
  <c r="O103" i="6" s="1"/>
  <c r="O45" i="6"/>
  <c r="M103" i="6" s="1"/>
  <c r="T44" i="6"/>
  <c r="R102" i="6" s="1"/>
  <c r="Q44" i="6"/>
  <c r="O102" i="6" s="1"/>
  <c r="O44" i="6"/>
  <c r="M102" i="6" s="1"/>
  <c r="T43" i="6"/>
  <c r="R101" i="6" s="1"/>
  <c r="Q43" i="6"/>
  <c r="O101" i="6" s="1"/>
  <c r="O43" i="6"/>
  <c r="M101" i="6" s="1"/>
  <c r="T42" i="6"/>
  <c r="R100" i="6" s="1"/>
  <c r="Q42" i="6"/>
  <c r="O42" i="6"/>
  <c r="T40" i="6"/>
  <c r="R98" i="6" s="1"/>
  <c r="Q40" i="6"/>
  <c r="O98" i="6" s="1"/>
  <c r="O40" i="6"/>
  <c r="M98" i="6" s="1"/>
  <c r="T39" i="6"/>
  <c r="R97" i="6" s="1"/>
  <c r="Q39" i="6"/>
  <c r="O97" i="6" s="1"/>
  <c r="O39" i="6"/>
  <c r="M97" i="6" s="1"/>
  <c r="T38" i="6"/>
  <c r="R96" i="6" s="1"/>
  <c r="Q38" i="6"/>
  <c r="O96" i="6" s="1"/>
  <c r="O38" i="6"/>
  <c r="M96" i="6" s="1"/>
  <c r="T37" i="6"/>
  <c r="R95" i="6" s="1"/>
  <c r="Q37" i="6"/>
  <c r="O95" i="6" s="1"/>
  <c r="O37" i="6"/>
  <c r="M95" i="6" s="1"/>
  <c r="T36" i="6"/>
  <c r="R94" i="6" s="1"/>
  <c r="Q36" i="6"/>
  <c r="O94" i="6" s="1"/>
  <c r="O36" i="6"/>
  <c r="M94" i="6" s="1"/>
  <c r="T35" i="6"/>
  <c r="R93" i="6" s="1"/>
  <c r="Q35" i="6"/>
  <c r="O93" i="6" s="1"/>
  <c r="O35" i="6"/>
  <c r="M93" i="6" s="1"/>
  <c r="T34" i="6"/>
  <c r="R92" i="6" s="1"/>
  <c r="Q34" i="6"/>
  <c r="O92" i="6" s="1"/>
  <c r="O34" i="6"/>
  <c r="M92" i="6" s="1"/>
  <c r="T33" i="6"/>
  <c r="R91" i="6" s="1"/>
  <c r="Q33" i="6"/>
  <c r="O91" i="6" s="1"/>
  <c r="O33" i="6"/>
  <c r="M91" i="6" s="1"/>
  <c r="T32" i="6"/>
  <c r="R90" i="6" s="1"/>
  <c r="Q32" i="6"/>
  <c r="O90" i="6" s="1"/>
  <c r="O32" i="6"/>
  <c r="M90" i="6" s="1"/>
  <c r="T30" i="6"/>
  <c r="R88" i="6" s="1"/>
  <c r="Q30" i="6"/>
  <c r="O88" i="6" s="1"/>
  <c r="O30" i="6"/>
  <c r="M88" i="6" s="1"/>
  <c r="T29" i="6"/>
  <c r="R87" i="6" s="1"/>
  <c r="Q29" i="6"/>
  <c r="O87" i="6" s="1"/>
  <c r="O29" i="6"/>
  <c r="M87" i="6" s="1"/>
  <c r="T28" i="6"/>
  <c r="R86" i="6" s="1"/>
  <c r="Q28" i="6"/>
  <c r="O86" i="6" s="1"/>
  <c r="O28" i="6"/>
  <c r="M86" i="6" s="1"/>
  <c r="T27" i="6"/>
  <c r="R85" i="6" s="1"/>
  <c r="Q27" i="6"/>
  <c r="O85" i="6" s="1"/>
  <c r="O27" i="6"/>
  <c r="M85" i="6" s="1"/>
  <c r="T26" i="6"/>
  <c r="R84" i="6" s="1"/>
  <c r="Q26" i="6"/>
  <c r="O84" i="6" s="1"/>
  <c r="O26" i="6"/>
  <c r="M84" i="6" s="1"/>
  <c r="T25" i="6"/>
  <c r="R83" i="6" s="1"/>
  <c r="Q25" i="6"/>
  <c r="O83" i="6" s="1"/>
  <c r="O25" i="6"/>
  <c r="M83" i="6" s="1"/>
  <c r="T24" i="6"/>
  <c r="R82" i="6" s="1"/>
  <c r="Q24" i="6"/>
  <c r="O82" i="6" s="1"/>
  <c r="O24" i="6"/>
  <c r="M82" i="6" s="1"/>
  <c r="T23" i="6"/>
  <c r="R81" i="6" s="1"/>
  <c r="Q23" i="6"/>
  <c r="O81" i="6" s="1"/>
  <c r="O23" i="6"/>
  <c r="M81" i="6" s="1"/>
  <c r="T22" i="6"/>
  <c r="R80" i="6" s="1"/>
  <c r="Q22" i="6"/>
  <c r="O80" i="6" s="1"/>
  <c r="O22" i="6"/>
  <c r="M80" i="6" s="1"/>
  <c r="T21" i="6"/>
  <c r="R79" i="6" s="1"/>
  <c r="Q21" i="6"/>
  <c r="O79" i="6" s="1"/>
  <c r="O21" i="6"/>
  <c r="M79" i="6" s="1"/>
  <c r="T20" i="6"/>
  <c r="R78" i="6" s="1"/>
  <c r="Q20" i="6"/>
  <c r="O78" i="6" s="1"/>
  <c r="O20" i="6"/>
  <c r="M78" i="6" s="1"/>
  <c r="T19" i="6"/>
  <c r="R77" i="6" s="1"/>
  <c r="Q19" i="6"/>
  <c r="O77" i="6" s="1"/>
  <c r="O19" i="6"/>
  <c r="M77" i="6" s="1"/>
  <c r="T18" i="6"/>
  <c r="R76" i="6" s="1"/>
  <c r="Q18" i="6"/>
  <c r="O76" i="6" s="1"/>
  <c r="O18" i="6"/>
  <c r="M76" i="6" s="1"/>
  <c r="T17" i="6"/>
  <c r="Q17" i="6"/>
  <c r="O17" i="6"/>
  <c r="T15" i="6"/>
  <c r="R73" i="6" s="1"/>
  <c r="Q15" i="6"/>
  <c r="O73" i="6" s="1"/>
  <c r="O15" i="6"/>
  <c r="M73" i="6" s="1"/>
  <c r="T14" i="6"/>
  <c r="R72" i="6" s="1"/>
  <c r="Q14" i="6"/>
  <c r="O72" i="6" s="1"/>
  <c r="O14" i="6"/>
  <c r="M72" i="6" s="1"/>
  <c r="T13" i="6"/>
  <c r="R71" i="6" s="1"/>
  <c r="Q13" i="6"/>
  <c r="O71" i="6" s="1"/>
  <c r="O13" i="6"/>
  <c r="M71" i="6" s="1"/>
  <c r="T12" i="6"/>
  <c r="R70" i="6" s="1"/>
  <c r="Q12" i="6"/>
  <c r="O70" i="6" s="1"/>
  <c r="O12" i="6"/>
  <c r="M70" i="6" s="1"/>
  <c r="T10" i="6"/>
  <c r="R68" i="6" s="1"/>
  <c r="Q10" i="6"/>
  <c r="O68" i="6" s="1"/>
  <c r="O10" i="6"/>
  <c r="M68" i="6" s="1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L9" i="6"/>
  <c r="J9" i="6"/>
  <c r="I9" i="6"/>
  <c r="H9" i="6"/>
  <c r="G9" i="6"/>
  <c r="F9" i="6"/>
  <c r="E9" i="6"/>
  <c r="D9" i="6"/>
  <c r="T8" i="6"/>
  <c r="R66" i="6" s="1"/>
  <c r="Q8" i="6"/>
  <c r="O66" i="6" s="1"/>
  <c r="O8" i="6"/>
  <c r="M66" i="6" s="1"/>
  <c r="T7" i="6"/>
  <c r="R65" i="6" s="1"/>
  <c r="Q7" i="6"/>
  <c r="O65" i="6" s="1"/>
  <c r="O7" i="6"/>
  <c r="M65" i="6" s="1"/>
  <c r="T6" i="6"/>
  <c r="R64" i="6" s="1"/>
  <c r="Q6" i="6"/>
  <c r="O64" i="6" s="1"/>
  <c r="O6" i="6"/>
  <c r="M64" i="6" s="1"/>
  <c r="T5" i="6"/>
  <c r="R63" i="6" s="1"/>
  <c r="Q5" i="6"/>
  <c r="O63" i="6" s="1"/>
  <c r="O5" i="6"/>
  <c r="M63" i="6" s="1"/>
  <c r="T4" i="6"/>
  <c r="R62" i="6" s="1"/>
  <c r="Q4" i="6"/>
  <c r="O62" i="6" s="1"/>
  <c r="O4" i="6"/>
  <c r="M62" i="6" s="1"/>
  <c r="T3" i="6"/>
  <c r="R61" i="6" s="1"/>
  <c r="Q3" i="6"/>
  <c r="O61" i="6" s="1"/>
  <c r="O3" i="6"/>
  <c r="M61" i="6" s="1"/>
  <c r="T2" i="6"/>
  <c r="Q2" i="6"/>
  <c r="O60" i="6" s="1"/>
  <c r="O2" i="6"/>
  <c r="M60" i="6" s="1"/>
  <c r="B27" i="4"/>
  <c r="B10" i="4"/>
  <c r="B2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294" i="3"/>
  <c r="E293" i="3"/>
  <c r="E290" i="3"/>
  <c r="F283" i="3"/>
  <c r="D283" i="3"/>
  <c r="E267" i="3"/>
  <c r="E266" i="3"/>
  <c r="E265" i="3"/>
  <c r="E264" i="3"/>
  <c r="E259" i="3"/>
  <c r="AA59" i="2" s="1"/>
  <c r="E258" i="3"/>
  <c r="AA73" i="2" s="1"/>
  <c r="AA125" i="2" s="1"/>
  <c r="Z50" i="4" s="1"/>
  <c r="E257" i="3"/>
  <c r="AA74" i="2" s="1"/>
  <c r="AA126" i="2" s="1"/>
  <c r="Z51" i="4" s="1"/>
  <c r="E256" i="3"/>
  <c r="E252" i="3"/>
  <c r="F98" i="2" s="1"/>
  <c r="F150" i="2" s="1"/>
  <c r="E75" i="4" s="1"/>
  <c r="E251" i="3"/>
  <c r="D98" i="2" s="1"/>
  <c r="E250" i="3"/>
  <c r="F87" i="2" s="1"/>
  <c r="E249" i="3"/>
  <c r="D87" i="2" s="1"/>
  <c r="E247" i="3"/>
  <c r="D88" i="2" s="1"/>
  <c r="E246" i="3"/>
  <c r="E237" i="3"/>
  <c r="E236" i="3"/>
  <c r="E235" i="3"/>
  <c r="E234" i="3"/>
  <c r="E233" i="3"/>
  <c r="E232" i="3"/>
  <c r="E261" i="3"/>
  <c r="E260" i="3"/>
  <c r="D77" i="2" s="1"/>
  <c r="E242" i="3"/>
  <c r="D78" i="2" s="1"/>
  <c r="E231" i="3"/>
  <c r="E230" i="3"/>
  <c r="E229" i="3"/>
  <c r="D67" i="2" s="1"/>
  <c r="E226" i="3"/>
  <c r="F168" i="3"/>
  <c r="E168" i="3"/>
  <c r="E165" i="3"/>
  <c r="F106" i="3"/>
  <c r="E45" i="1" s="1"/>
  <c r="D31" i="1" s="1"/>
  <c r="C51" i="3"/>
  <c r="E53" i="3"/>
  <c r="E52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W107" i="2"/>
  <c r="V32" i="4" s="1"/>
  <c r="V107" i="2"/>
  <c r="U32" i="4" s="1"/>
  <c r="U107" i="2"/>
  <c r="T32" i="4" s="1"/>
  <c r="T107" i="2"/>
  <c r="S32" i="4" s="1"/>
  <c r="S107" i="2"/>
  <c r="R32" i="4" s="1"/>
  <c r="R107" i="2"/>
  <c r="Q32" i="4" s="1"/>
  <c r="Q107" i="2"/>
  <c r="P107" i="2"/>
  <c r="O32" i="4" s="1"/>
  <c r="O107" i="2"/>
  <c r="N107" i="2"/>
  <c r="M107" i="2"/>
  <c r="L32" i="4" s="1"/>
  <c r="L107" i="2"/>
  <c r="K32" i="4" s="1"/>
  <c r="K107" i="2"/>
  <c r="J32" i="4" s="1"/>
  <c r="J107" i="2"/>
  <c r="I32" i="4" s="1"/>
  <c r="I107" i="2"/>
  <c r="H32" i="4" s="1"/>
  <c r="H107" i="2"/>
  <c r="G32" i="4" s="1"/>
  <c r="G107" i="2"/>
  <c r="F32" i="4" s="1"/>
  <c r="F107" i="2"/>
  <c r="E32" i="4" s="1"/>
  <c r="E107" i="2"/>
  <c r="D32" i="4" s="1"/>
  <c r="D107" i="2"/>
  <c r="C32" i="4" s="1"/>
  <c r="C107" i="2"/>
  <c r="B32" i="4" s="1"/>
  <c r="AB102" i="2"/>
  <c r="AB154" i="2" s="1"/>
  <c r="AA79" i="4" s="1"/>
  <c r="Z102" i="2"/>
  <c r="Z154" i="2" s="1"/>
  <c r="Y79" i="4" s="1"/>
  <c r="Y102" i="2"/>
  <c r="Y154" i="2" s="1"/>
  <c r="X79" i="4" s="1"/>
  <c r="X102" i="2"/>
  <c r="X154" i="2" s="1"/>
  <c r="W79" i="4" s="1"/>
  <c r="W102" i="2"/>
  <c r="W154" i="2" s="1"/>
  <c r="V79" i="4" s="1"/>
  <c r="V102" i="2"/>
  <c r="V154" i="2" s="1"/>
  <c r="U79" i="4" s="1"/>
  <c r="U102" i="2"/>
  <c r="S102" i="2"/>
  <c r="S154" i="2" s="1"/>
  <c r="R79" i="4" s="1"/>
  <c r="R102" i="2"/>
  <c r="R154" i="2" s="1"/>
  <c r="Q79" i="4" s="1"/>
  <c r="Q102" i="2"/>
  <c r="Q154" i="2" s="1"/>
  <c r="P79" i="4" s="1"/>
  <c r="P102" i="2"/>
  <c r="P154" i="2" s="1"/>
  <c r="O79" i="4" s="1"/>
  <c r="O102" i="2"/>
  <c r="O154" i="2" s="1"/>
  <c r="N79" i="4" s="1"/>
  <c r="N102" i="2"/>
  <c r="N154" i="2" s="1"/>
  <c r="M79" i="4" s="1"/>
  <c r="M102" i="2"/>
  <c r="M154" i="2" s="1"/>
  <c r="L79" i="4" s="1"/>
  <c r="K102" i="2"/>
  <c r="K154" i="2" s="1"/>
  <c r="J79" i="4" s="1"/>
  <c r="J102" i="2"/>
  <c r="J154" i="2" s="1"/>
  <c r="I79" i="4" s="1"/>
  <c r="I102" i="2"/>
  <c r="I154" i="2" s="1"/>
  <c r="H79" i="4" s="1"/>
  <c r="H102" i="2"/>
  <c r="H154" i="2" s="1"/>
  <c r="G79" i="4" s="1"/>
  <c r="F102" i="2"/>
  <c r="F154" i="2" s="1"/>
  <c r="E79" i="4" s="1"/>
  <c r="E102" i="2"/>
  <c r="E154" i="2" s="1"/>
  <c r="D79" i="4" s="1"/>
  <c r="D102" i="2"/>
  <c r="AB101" i="2"/>
  <c r="AB153" i="2" s="1"/>
  <c r="AA78" i="4" s="1"/>
  <c r="Z101" i="2"/>
  <c r="Z153" i="2" s="1"/>
  <c r="Y78" i="4" s="1"/>
  <c r="Y101" i="2"/>
  <c r="Y153" i="2" s="1"/>
  <c r="X78" i="4" s="1"/>
  <c r="X101" i="2"/>
  <c r="X153" i="2" s="1"/>
  <c r="W78" i="4" s="1"/>
  <c r="W101" i="2"/>
  <c r="W153" i="2" s="1"/>
  <c r="V78" i="4" s="1"/>
  <c r="V101" i="2"/>
  <c r="V153" i="2" s="1"/>
  <c r="U78" i="4" s="1"/>
  <c r="U101" i="2"/>
  <c r="S101" i="2"/>
  <c r="S153" i="2" s="1"/>
  <c r="R78" i="4" s="1"/>
  <c r="R101" i="2"/>
  <c r="R153" i="2" s="1"/>
  <c r="Q78" i="4" s="1"/>
  <c r="Q101" i="2"/>
  <c r="Q153" i="2" s="1"/>
  <c r="P78" i="4" s="1"/>
  <c r="P101" i="2"/>
  <c r="P153" i="2" s="1"/>
  <c r="O78" i="4" s="1"/>
  <c r="O101" i="2"/>
  <c r="O153" i="2" s="1"/>
  <c r="N78" i="4" s="1"/>
  <c r="N101" i="2"/>
  <c r="N153" i="2" s="1"/>
  <c r="M78" i="4" s="1"/>
  <c r="M101" i="2"/>
  <c r="M153" i="2" s="1"/>
  <c r="L78" i="4" s="1"/>
  <c r="K101" i="2"/>
  <c r="K153" i="2" s="1"/>
  <c r="J78" i="4" s="1"/>
  <c r="J101" i="2"/>
  <c r="J153" i="2" s="1"/>
  <c r="I78" i="4" s="1"/>
  <c r="I101" i="2"/>
  <c r="I153" i="2" s="1"/>
  <c r="H78" i="4" s="1"/>
  <c r="H101" i="2"/>
  <c r="H153" i="2" s="1"/>
  <c r="G78" i="4" s="1"/>
  <c r="F101" i="2"/>
  <c r="F153" i="2" s="1"/>
  <c r="E78" i="4" s="1"/>
  <c r="D101" i="2"/>
  <c r="AB100" i="2"/>
  <c r="AB152" i="2" s="1"/>
  <c r="AA77" i="4" s="1"/>
  <c r="Z100" i="2"/>
  <c r="Z152" i="2" s="1"/>
  <c r="Y77" i="4" s="1"/>
  <c r="Y100" i="2"/>
  <c r="Y152" i="2" s="1"/>
  <c r="X77" i="4" s="1"/>
  <c r="X100" i="2"/>
  <c r="X152" i="2" s="1"/>
  <c r="W77" i="4" s="1"/>
  <c r="W100" i="2"/>
  <c r="W152" i="2" s="1"/>
  <c r="V77" i="4" s="1"/>
  <c r="V100" i="2"/>
  <c r="V152" i="2" s="1"/>
  <c r="U77" i="4" s="1"/>
  <c r="U100" i="2"/>
  <c r="S100" i="2"/>
  <c r="S152" i="2" s="1"/>
  <c r="R77" i="4" s="1"/>
  <c r="R100" i="2"/>
  <c r="R152" i="2" s="1"/>
  <c r="Q77" i="4" s="1"/>
  <c r="Q100" i="2"/>
  <c r="Q152" i="2" s="1"/>
  <c r="P77" i="4" s="1"/>
  <c r="P100" i="2"/>
  <c r="P152" i="2" s="1"/>
  <c r="O77" i="4" s="1"/>
  <c r="O100" i="2"/>
  <c r="O152" i="2" s="1"/>
  <c r="N77" i="4" s="1"/>
  <c r="N100" i="2"/>
  <c r="N152" i="2" s="1"/>
  <c r="M77" i="4" s="1"/>
  <c r="M100" i="2"/>
  <c r="M152" i="2" s="1"/>
  <c r="L77" i="4" s="1"/>
  <c r="K100" i="2"/>
  <c r="K152" i="2" s="1"/>
  <c r="J77" i="4" s="1"/>
  <c r="J100" i="2"/>
  <c r="J152" i="2" s="1"/>
  <c r="I77" i="4" s="1"/>
  <c r="I100" i="2"/>
  <c r="I152" i="2" s="1"/>
  <c r="H77" i="4" s="1"/>
  <c r="H100" i="2"/>
  <c r="H152" i="2" s="1"/>
  <c r="G77" i="4" s="1"/>
  <c r="F100" i="2"/>
  <c r="F152" i="2" s="1"/>
  <c r="E77" i="4" s="1"/>
  <c r="E100" i="2"/>
  <c r="E152" i="2" s="1"/>
  <c r="D77" i="4" s="1"/>
  <c r="D100" i="2"/>
  <c r="AB99" i="2"/>
  <c r="AB151" i="2" s="1"/>
  <c r="AA76" i="4" s="1"/>
  <c r="Z99" i="2"/>
  <c r="Z151" i="2" s="1"/>
  <c r="Y76" i="4" s="1"/>
  <c r="Y99" i="2"/>
  <c r="Y151" i="2" s="1"/>
  <c r="X76" i="4" s="1"/>
  <c r="X99" i="2"/>
  <c r="X151" i="2" s="1"/>
  <c r="W76" i="4" s="1"/>
  <c r="W99" i="2"/>
  <c r="W151" i="2" s="1"/>
  <c r="V76" i="4" s="1"/>
  <c r="V99" i="2"/>
  <c r="V151" i="2" s="1"/>
  <c r="U76" i="4" s="1"/>
  <c r="U99" i="2"/>
  <c r="S99" i="2"/>
  <c r="S151" i="2" s="1"/>
  <c r="R76" i="4" s="1"/>
  <c r="R99" i="2"/>
  <c r="R151" i="2" s="1"/>
  <c r="Q76" i="4" s="1"/>
  <c r="Q99" i="2"/>
  <c r="Q151" i="2" s="1"/>
  <c r="P76" i="4" s="1"/>
  <c r="P99" i="2"/>
  <c r="P151" i="2" s="1"/>
  <c r="O76" i="4" s="1"/>
  <c r="O99" i="2"/>
  <c r="O151" i="2" s="1"/>
  <c r="N76" i="4" s="1"/>
  <c r="N99" i="2"/>
  <c r="N151" i="2" s="1"/>
  <c r="M76" i="4" s="1"/>
  <c r="M99" i="2"/>
  <c r="M151" i="2" s="1"/>
  <c r="L76" i="4" s="1"/>
  <c r="K99" i="2"/>
  <c r="K151" i="2" s="1"/>
  <c r="J76" i="4" s="1"/>
  <c r="J99" i="2"/>
  <c r="J151" i="2" s="1"/>
  <c r="I76" i="4" s="1"/>
  <c r="I99" i="2"/>
  <c r="I151" i="2" s="1"/>
  <c r="H76" i="4" s="1"/>
  <c r="H99" i="2"/>
  <c r="H151" i="2" s="1"/>
  <c r="G76" i="4" s="1"/>
  <c r="F99" i="2"/>
  <c r="F151" i="2" s="1"/>
  <c r="E76" i="4" s="1"/>
  <c r="D99" i="2"/>
  <c r="AB98" i="2"/>
  <c r="Z98" i="2"/>
  <c r="Z150" i="2" s="1"/>
  <c r="Y75" i="4" s="1"/>
  <c r="Y98" i="2"/>
  <c r="Y150" i="2" s="1"/>
  <c r="X75" i="4" s="1"/>
  <c r="X98" i="2"/>
  <c r="X150" i="2" s="1"/>
  <c r="W75" i="4" s="1"/>
  <c r="W98" i="2"/>
  <c r="W150" i="2" s="1"/>
  <c r="V75" i="4" s="1"/>
  <c r="V98" i="2"/>
  <c r="V150" i="2" s="1"/>
  <c r="U75" i="4" s="1"/>
  <c r="U98" i="2"/>
  <c r="S98" i="2"/>
  <c r="S150" i="2" s="1"/>
  <c r="R75" i="4" s="1"/>
  <c r="R98" i="2"/>
  <c r="R150" i="2" s="1"/>
  <c r="Q75" i="4" s="1"/>
  <c r="Q98" i="2"/>
  <c r="Q150" i="2" s="1"/>
  <c r="P75" i="4" s="1"/>
  <c r="P98" i="2"/>
  <c r="P150" i="2" s="1"/>
  <c r="O75" i="4" s="1"/>
  <c r="O98" i="2"/>
  <c r="O150" i="2" s="1"/>
  <c r="N75" i="4" s="1"/>
  <c r="N98" i="2"/>
  <c r="N150" i="2" s="1"/>
  <c r="M75" i="4" s="1"/>
  <c r="M98" i="2"/>
  <c r="M150" i="2" s="1"/>
  <c r="L75" i="4" s="1"/>
  <c r="K98" i="2"/>
  <c r="K150" i="2" s="1"/>
  <c r="J75" i="4" s="1"/>
  <c r="J98" i="2"/>
  <c r="J150" i="2" s="1"/>
  <c r="I75" i="4" s="1"/>
  <c r="I98" i="2"/>
  <c r="I150" i="2" s="1"/>
  <c r="H75" i="4" s="1"/>
  <c r="H98" i="2"/>
  <c r="H150" i="2" s="1"/>
  <c r="G75" i="4" s="1"/>
  <c r="E98" i="2"/>
  <c r="E150" i="2" s="1"/>
  <c r="D75" i="4" s="1"/>
  <c r="AB97" i="2"/>
  <c r="AB149" i="2" s="1"/>
  <c r="AA74" i="4" s="1"/>
  <c r="Z97" i="2"/>
  <c r="Z149" i="2" s="1"/>
  <c r="Y74" i="4" s="1"/>
  <c r="Y97" i="2"/>
  <c r="Y149" i="2" s="1"/>
  <c r="X74" i="4" s="1"/>
  <c r="X97" i="2"/>
  <c r="X149" i="2" s="1"/>
  <c r="W74" i="4" s="1"/>
  <c r="W97" i="2"/>
  <c r="W149" i="2" s="1"/>
  <c r="V74" i="4" s="1"/>
  <c r="V97" i="2"/>
  <c r="V149" i="2" s="1"/>
  <c r="U74" i="4" s="1"/>
  <c r="U97" i="2"/>
  <c r="S97" i="2"/>
  <c r="S149" i="2" s="1"/>
  <c r="R74" i="4" s="1"/>
  <c r="R97" i="2"/>
  <c r="R149" i="2" s="1"/>
  <c r="Q74" i="4" s="1"/>
  <c r="Q97" i="2"/>
  <c r="Q149" i="2" s="1"/>
  <c r="P74" i="4" s="1"/>
  <c r="P97" i="2"/>
  <c r="P149" i="2" s="1"/>
  <c r="O74" i="4" s="1"/>
  <c r="O97" i="2"/>
  <c r="O149" i="2" s="1"/>
  <c r="N74" i="4" s="1"/>
  <c r="N97" i="2"/>
  <c r="N149" i="2" s="1"/>
  <c r="M74" i="4" s="1"/>
  <c r="M97" i="2"/>
  <c r="M149" i="2" s="1"/>
  <c r="L74" i="4" s="1"/>
  <c r="K97" i="2"/>
  <c r="K149" i="2" s="1"/>
  <c r="J74" i="4" s="1"/>
  <c r="J97" i="2"/>
  <c r="J149" i="2" s="1"/>
  <c r="I74" i="4" s="1"/>
  <c r="I97" i="2"/>
  <c r="I149" i="2" s="1"/>
  <c r="H74" i="4" s="1"/>
  <c r="H97" i="2"/>
  <c r="H149" i="2" s="1"/>
  <c r="G74" i="4" s="1"/>
  <c r="F97" i="2"/>
  <c r="F149" i="2" s="1"/>
  <c r="E74" i="4" s="1"/>
  <c r="E97" i="2"/>
  <c r="E149" i="2" s="1"/>
  <c r="D74" i="4" s="1"/>
  <c r="D97" i="2"/>
  <c r="AB96" i="2"/>
  <c r="AB148" i="2" s="1"/>
  <c r="AA73" i="4" s="1"/>
  <c r="Z96" i="2"/>
  <c r="Z148" i="2" s="1"/>
  <c r="Y73" i="4" s="1"/>
  <c r="Y96" i="2"/>
  <c r="Y148" i="2" s="1"/>
  <c r="X73" i="4" s="1"/>
  <c r="X96" i="2"/>
  <c r="X148" i="2" s="1"/>
  <c r="W73" i="4" s="1"/>
  <c r="W96" i="2"/>
  <c r="W148" i="2" s="1"/>
  <c r="V73" i="4" s="1"/>
  <c r="V96" i="2"/>
  <c r="V148" i="2" s="1"/>
  <c r="U73" i="4" s="1"/>
  <c r="U96" i="2"/>
  <c r="S96" i="2"/>
  <c r="S148" i="2" s="1"/>
  <c r="R73" i="4" s="1"/>
  <c r="R96" i="2"/>
  <c r="R148" i="2" s="1"/>
  <c r="Q73" i="4" s="1"/>
  <c r="Q96" i="2"/>
  <c r="Q148" i="2" s="1"/>
  <c r="P73" i="4" s="1"/>
  <c r="P96" i="2"/>
  <c r="P148" i="2" s="1"/>
  <c r="O73" i="4" s="1"/>
  <c r="O96" i="2"/>
  <c r="O148" i="2" s="1"/>
  <c r="N73" i="4" s="1"/>
  <c r="N96" i="2"/>
  <c r="N148" i="2" s="1"/>
  <c r="M73" i="4" s="1"/>
  <c r="M96" i="2"/>
  <c r="M148" i="2" s="1"/>
  <c r="L73" i="4" s="1"/>
  <c r="K96" i="2"/>
  <c r="K148" i="2" s="1"/>
  <c r="J73" i="4" s="1"/>
  <c r="J96" i="2"/>
  <c r="J148" i="2" s="1"/>
  <c r="I73" i="4" s="1"/>
  <c r="I96" i="2"/>
  <c r="I148" i="2" s="1"/>
  <c r="H73" i="4" s="1"/>
  <c r="H96" i="2"/>
  <c r="H148" i="2" s="1"/>
  <c r="G73" i="4" s="1"/>
  <c r="F96" i="2"/>
  <c r="F148" i="2" s="1"/>
  <c r="E73" i="4" s="1"/>
  <c r="E96" i="2"/>
  <c r="E148" i="2" s="1"/>
  <c r="D73" i="4" s="1"/>
  <c r="D96" i="2"/>
  <c r="AB95" i="2"/>
  <c r="AB147" i="2" s="1"/>
  <c r="AA72" i="4" s="1"/>
  <c r="Z95" i="2"/>
  <c r="Z147" i="2" s="1"/>
  <c r="Y72" i="4" s="1"/>
  <c r="Y95" i="2"/>
  <c r="Y147" i="2" s="1"/>
  <c r="X72" i="4" s="1"/>
  <c r="X95" i="2"/>
  <c r="X147" i="2" s="1"/>
  <c r="W72" i="4" s="1"/>
  <c r="W95" i="2"/>
  <c r="W147" i="2" s="1"/>
  <c r="V72" i="4" s="1"/>
  <c r="V95" i="2"/>
  <c r="V147" i="2" s="1"/>
  <c r="U72" i="4" s="1"/>
  <c r="U95" i="2"/>
  <c r="S95" i="2"/>
  <c r="S147" i="2" s="1"/>
  <c r="R72" i="4" s="1"/>
  <c r="R95" i="2"/>
  <c r="R147" i="2" s="1"/>
  <c r="Q72" i="4" s="1"/>
  <c r="Q95" i="2"/>
  <c r="Q147" i="2" s="1"/>
  <c r="P72" i="4" s="1"/>
  <c r="P95" i="2"/>
  <c r="P147" i="2" s="1"/>
  <c r="O72" i="4" s="1"/>
  <c r="O95" i="2"/>
  <c r="O147" i="2" s="1"/>
  <c r="N72" i="4" s="1"/>
  <c r="N95" i="2"/>
  <c r="N147" i="2" s="1"/>
  <c r="M72" i="4" s="1"/>
  <c r="M95" i="2"/>
  <c r="M147" i="2" s="1"/>
  <c r="L72" i="4" s="1"/>
  <c r="K95" i="2"/>
  <c r="K147" i="2" s="1"/>
  <c r="J72" i="4" s="1"/>
  <c r="J95" i="2"/>
  <c r="J147" i="2" s="1"/>
  <c r="I72" i="4" s="1"/>
  <c r="I95" i="2"/>
  <c r="I147" i="2" s="1"/>
  <c r="H72" i="4" s="1"/>
  <c r="H95" i="2"/>
  <c r="H147" i="2" s="1"/>
  <c r="G72" i="4" s="1"/>
  <c r="F95" i="2"/>
  <c r="F147" i="2" s="1"/>
  <c r="E72" i="4" s="1"/>
  <c r="E95" i="2"/>
  <c r="E147" i="2" s="1"/>
  <c r="D72" i="4" s="1"/>
  <c r="D95" i="2"/>
  <c r="AB94" i="2"/>
  <c r="AB146" i="2" s="1"/>
  <c r="AA71" i="4" s="1"/>
  <c r="Z94" i="2"/>
  <c r="Z146" i="2" s="1"/>
  <c r="Y71" i="4" s="1"/>
  <c r="Y94" i="2"/>
  <c r="Y146" i="2" s="1"/>
  <c r="X71" i="4" s="1"/>
  <c r="X94" i="2"/>
  <c r="X146" i="2" s="1"/>
  <c r="W71" i="4" s="1"/>
  <c r="W94" i="2"/>
  <c r="W146" i="2" s="1"/>
  <c r="V71" i="4" s="1"/>
  <c r="V94" i="2"/>
  <c r="V146" i="2" s="1"/>
  <c r="U71" i="4" s="1"/>
  <c r="U94" i="2"/>
  <c r="S94" i="2"/>
  <c r="S146" i="2" s="1"/>
  <c r="R71" i="4" s="1"/>
  <c r="R94" i="2"/>
  <c r="R146" i="2" s="1"/>
  <c r="Q71" i="4" s="1"/>
  <c r="Q94" i="2"/>
  <c r="Q146" i="2" s="1"/>
  <c r="P71" i="4" s="1"/>
  <c r="P94" i="2"/>
  <c r="P146" i="2" s="1"/>
  <c r="O71" i="4" s="1"/>
  <c r="O94" i="2"/>
  <c r="O146" i="2" s="1"/>
  <c r="N71" i="4" s="1"/>
  <c r="N94" i="2"/>
  <c r="N146" i="2" s="1"/>
  <c r="M71" i="4" s="1"/>
  <c r="M94" i="2"/>
  <c r="M146" i="2" s="1"/>
  <c r="L71" i="4" s="1"/>
  <c r="K94" i="2"/>
  <c r="K146" i="2" s="1"/>
  <c r="J71" i="4" s="1"/>
  <c r="J94" i="2"/>
  <c r="J146" i="2" s="1"/>
  <c r="I71" i="4" s="1"/>
  <c r="I94" i="2"/>
  <c r="I146" i="2" s="1"/>
  <c r="H71" i="4" s="1"/>
  <c r="H94" i="2"/>
  <c r="H146" i="2" s="1"/>
  <c r="G71" i="4" s="1"/>
  <c r="F94" i="2"/>
  <c r="F146" i="2" s="1"/>
  <c r="E71" i="4" s="1"/>
  <c r="E94" i="2"/>
  <c r="E146" i="2" s="1"/>
  <c r="D71" i="4" s="1"/>
  <c r="D94" i="2"/>
  <c r="AB93" i="2"/>
  <c r="AB145" i="2" s="1"/>
  <c r="AA70" i="4" s="1"/>
  <c r="Z93" i="2"/>
  <c r="Z145" i="2" s="1"/>
  <c r="Y70" i="4" s="1"/>
  <c r="Y93" i="2"/>
  <c r="Y145" i="2" s="1"/>
  <c r="X70" i="4" s="1"/>
  <c r="X93" i="2"/>
  <c r="X145" i="2" s="1"/>
  <c r="W70" i="4" s="1"/>
  <c r="W93" i="2"/>
  <c r="W145" i="2" s="1"/>
  <c r="V70" i="4" s="1"/>
  <c r="V93" i="2"/>
  <c r="V145" i="2" s="1"/>
  <c r="U70" i="4" s="1"/>
  <c r="U93" i="2"/>
  <c r="S93" i="2"/>
  <c r="S145" i="2" s="1"/>
  <c r="R70" i="4" s="1"/>
  <c r="R93" i="2"/>
  <c r="R145" i="2" s="1"/>
  <c r="Q70" i="4" s="1"/>
  <c r="Q93" i="2"/>
  <c r="Q145" i="2" s="1"/>
  <c r="P70" i="4" s="1"/>
  <c r="P93" i="2"/>
  <c r="P145" i="2" s="1"/>
  <c r="O70" i="4" s="1"/>
  <c r="O93" i="2"/>
  <c r="O145" i="2" s="1"/>
  <c r="N70" i="4" s="1"/>
  <c r="N93" i="2"/>
  <c r="N145" i="2" s="1"/>
  <c r="M70" i="4" s="1"/>
  <c r="M93" i="2"/>
  <c r="M145" i="2" s="1"/>
  <c r="L70" i="4" s="1"/>
  <c r="K93" i="2"/>
  <c r="K145" i="2" s="1"/>
  <c r="J70" i="4" s="1"/>
  <c r="J93" i="2"/>
  <c r="J145" i="2" s="1"/>
  <c r="I70" i="4" s="1"/>
  <c r="I93" i="2"/>
  <c r="I145" i="2" s="1"/>
  <c r="H70" i="4" s="1"/>
  <c r="H93" i="2"/>
  <c r="H145" i="2" s="1"/>
  <c r="G70" i="4" s="1"/>
  <c r="F93" i="2"/>
  <c r="F145" i="2" s="1"/>
  <c r="E70" i="4" s="1"/>
  <c r="E93" i="2"/>
  <c r="E145" i="2" s="1"/>
  <c r="D70" i="4" s="1"/>
  <c r="D93" i="2"/>
  <c r="AB92" i="2"/>
  <c r="AB144" i="2" s="1"/>
  <c r="AA69" i="4" s="1"/>
  <c r="Z92" i="2"/>
  <c r="Z144" i="2" s="1"/>
  <c r="Y69" i="4" s="1"/>
  <c r="Y92" i="2"/>
  <c r="Y144" i="2" s="1"/>
  <c r="X69" i="4" s="1"/>
  <c r="X92" i="2"/>
  <c r="X144" i="2" s="1"/>
  <c r="W69" i="4" s="1"/>
  <c r="W92" i="2"/>
  <c r="W144" i="2" s="1"/>
  <c r="V69" i="4" s="1"/>
  <c r="V92" i="2"/>
  <c r="V144" i="2" s="1"/>
  <c r="U69" i="4" s="1"/>
  <c r="U92" i="2"/>
  <c r="S92" i="2"/>
  <c r="S144" i="2" s="1"/>
  <c r="R69" i="4" s="1"/>
  <c r="R92" i="2"/>
  <c r="R144" i="2" s="1"/>
  <c r="Q69" i="4" s="1"/>
  <c r="Q92" i="2"/>
  <c r="Q144" i="2" s="1"/>
  <c r="P69" i="4" s="1"/>
  <c r="P92" i="2"/>
  <c r="P144" i="2" s="1"/>
  <c r="O69" i="4" s="1"/>
  <c r="O92" i="2"/>
  <c r="O144" i="2" s="1"/>
  <c r="N69" i="4" s="1"/>
  <c r="N92" i="2"/>
  <c r="N144" i="2" s="1"/>
  <c r="M69" i="4" s="1"/>
  <c r="M92" i="2"/>
  <c r="M144" i="2" s="1"/>
  <c r="L69" i="4" s="1"/>
  <c r="K92" i="2"/>
  <c r="K144" i="2" s="1"/>
  <c r="J69" i="4" s="1"/>
  <c r="J92" i="2"/>
  <c r="J144" i="2" s="1"/>
  <c r="I69" i="4" s="1"/>
  <c r="I92" i="2"/>
  <c r="I144" i="2" s="1"/>
  <c r="H69" i="4" s="1"/>
  <c r="H92" i="2"/>
  <c r="H144" i="2" s="1"/>
  <c r="G69" i="4" s="1"/>
  <c r="F92" i="2"/>
  <c r="F144" i="2" s="1"/>
  <c r="E69" i="4" s="1"/>
  <c r="E92" i="2"/>
  <c r="E144" i="2" s="1"/>
  <c r="D69" i="4" s="1"/>
  <c r="D92" i="2"/>
  <c r="AB91" i="2"/>
  <c r="AB143" i="2" s="1"/>
  <c r="AA68" i="4" s="1"/>
  <c r="Z91" i="2"/>
  <c r="Z143" i="2" s="1"/>
  <c r="Y68" i="4" s="1"/>
  <c r="Y91" i="2"/>
  <c r="Y143" i="2" s="1"/>
  <c r="X68" i="4" s="1"/>
  <c r="X91" i="2"/>
  <c r="X143" i="2" s="1"/>
  <c r="W68" i="4" s="1"/>
  <c r="W91" i="2"/>
  <c r="W143" i="2" s="1"/>
  <c r="V68" i="4" s="1"/>
  <c r="V91" i="2"/>
  <c r="V143" i="2" s="1"/>
  <c r="U68" i="4" s="1"/>
  <c r="U91" i="2"/>
  <c r="S91" i="2"/>
  <c r="S143" i="2" s="1"/>
  <c r="R68" i="4" s="1"/>
  <c r="R91" i="2"/>
  <c r="R143" i="2" s="1"/>
  <c r="Q68" i="4" s="1"/>
  <c r="Q91" i="2"/>
  <c r="Q143" i="2" s="1"/>
  <c r="P68" i="4" s="1"/>
  <c r="P91" i="2"/>
  <c r="P143" i="2" s="1"/>
  <c r="O68" i="4" s="1"/>
  <c r="O91" i="2"/>
  <c r="O143" i="2" s="1"/>
  <c r="N68" i="4" s="1"/>
  <c r="N91" i="2"/>
  <c r="N143" i="2" s="1"/>
  <c r="M68" i="4" s="1"/>
  <c r="M91" i="2"/>
  <c r="M143" i="2" s="1"/>
  <c r="L68" i="4" s="1"/>
  <c r="K91" i="2"/>
  <c r="K143" i="2" s="1"/>
  <c r="J68" i="4" s="1"/>
  <c r="J91" i="2"/>
  <c r="J143" i="2" s="1"/>
  <c r="I68" i="4" s="1"/>
  <c r="I91" i="2"/>
  <c r="I143" i="2" s="1"/>
  <c r="H68" i="4" s="1"/>
  <c r="H91" i="2"/>
  <c r="H143" i="2" s="1"/>
  <c r="G68" i="4" s="1"/>
  <c r="F91" i="2"/>
  <c r="F143" i="2" s="1"/>
  <c r="E68" i="4" s="1"/>
  <c r="E91" i="2"/>
  <c r="E143" i="2" s="1"/>
  <c r="D68" i="4" s="1"/>
  <c r="D91" i="2"/>
  <c r="AB90" i="2"/>
  <c r="AB142" i="2" s="1"/>
  <c r="AA67" i="4" s="1"/>
  <c r="Z90" i="2"/>
  <c r="Z142" i="2" s="1"/>
  <c r="Y67" i="4" s="1"/>
  <c r="Y90" i="2"/>
  <c r="Y142" i="2" s="1"/>
  <c r="X67" i="4" s="1"/>
  <c r="X90" i="2"/>
  <c r="X142" i="2" s="1"/>
  <c r="W67" i="4" s="1"/>
  <c r="W90" i="2"/>
  <c r="W142" i="2" s="1"/>
  <c r="V67" i="4" s="1"/>
  <c r="V90" i="2"/>
  <c r="V142" i="2" s="1"/>
  <c r="U67" i="4" s="1"/>
  <c r="U90" i="2"/>
  <c r="S90" i="2"/>
  <c r="S142" i="2" s="1"/>
  <c r="R67" i="4" s="1"/>
  <c r="R90" i="2"/>
  <c r="R142" i="2" s="1"/>
  <c r="Q67" i="4" s="1"/>
  <c r="Q90" i="2"/>
  <c r="Q142" i="2" s="1"/>
  <c r="P67" i="4" s="1"/>
  <c r="P90" i="2"/>
  <c r="P142" i="2" s="1"/>
  <c r="O67" i="4" s="1"/>
  <c r="O90" i="2"/>
  <c r="O142" i="2" s="1"/>
  <c r="N67" i="4" s="1"/>
  <c r="N90" i="2"/>
  <c r="N142" i="2" s="1"/>
  <c r="M67" i="4" s="1"/>
  <c r="M90" i="2"/>
  <c r="M142" i="2" s="1"/>
  <c r="L67" i="4" s="1"/>
  <c r="K90" i="2"/>
  <c r="K142" i="2" s="1"/>
  <c r="J67" i="4" s="1"/>
  <c r="J90" i="2"/>
  <c r="J142" i="2" s="1"/>
  <c r="I67" i="4" s="1"/>
  <c r="I90" i="2"/>
  <c r="I142" i="2" s="1"/>
  <c r="H67" i="4" s="1"/>
  <c r="H90" i="2"/>
  <c r="H142" i="2" s="1"/>
  <c r="G67" i="4" s="1"/>
  <c r="F90" i="2"/>
  <c r="F142" i="2" s="1"/>
  <c r="E67" i="4" s="1"/>
  <c r="E90" i="2"/>
  <c r="E142" i="2" s="1"/>
  <c r="D67" i="4" s="1"/>
  <c r="D90" i="2"/>
  <c r="AB89" i="2"/>
  <c r="AB141" i="2" s="1"/>
  <c r="AA66" i="4" s="1"/>
  <c r="Z89" i="2"/>
  <c r="Z141" i="2" s="1"/>
  <c r="Y66" i="4" s="1"/>
  <c r="Y89" i="2"/>
  <c r="Y141" i="2" s="1"/>
  <c r="X66" i="4" s="1"/>
  <c r="X89" i="2"/>
  <c r="X141" i="2" s="1"/>
  <c r="W66" i="4" s="1"/>
  <c r="W89" i="2"/>
  <c r="W141" i="2" s="1"/>
  <c r="V66" i="4" s="1"/>
  <c r="V89" i="2"/>
  <c r="V141" i="2" s="1"/>
  <c r="U66" i="4" s="1"/>
  <c r="U89" i="2"/>
  <c r="S89" i="2"/>
  <c r="S141" i="2" s="1"/>
  <c r="R66" i="4" s="1"/>
  <c r="R89" i="2"/>
  <c r="R141" i="2" s="1"/>
  <c r="Q66" i="4" s="1"/>
  <c r="Q89" i="2"/>
  <c r="Q141" i="2" s="1"/>
  <c r="P66" i="4" s="1"/>
  <c r="P89" i="2"/>
  <c r="P141" i="2" s="1"/>
  <c r="O66" i="4" s="1"/>
  <c r="O89" i="2"/>
  <c r="O141" i="2" s="1"/>
  <c r="N66" i="4" s="1"/>
  <c r="N89" i="2"/>
  <c r="N141" i="2" s="1"/>
  <c r="M66" i="4" s="1"/>
  <c r="M89" i="2"/>
  <c r="M141" i="2" s="1"/>
  <c r="L66" i="4" s="1"/>
  <c r="K89" i="2"/>
  <c r="K141" i="2" s="1"/>
  <c r="J66" i="4" s="1"/>
  <c r="J89" i="2"/>
  <c r="J141" i="2" s="1"/>
  <c r="I66" i="4" s="1"/>
  <c r="I89" i="2"/>
  <c r="I141" i="2" s="1"/>
  <c r="H66" i="4" s="1"/>
  <c r="H89" i="2"/>
  <c r="H141" i="2" s="1"/>
  <c r="G66" i="4" s="1"/>
  <c r="F89" i="2"/>
  <c r="F141" i="2" s="1"/>
  <c r="E66" i="4" s="1"/>
  <c r="E89" i="2"/>
  <c r="E141" i="2" s="1"/>
  <c r="D66" i="4" s="1"/>
  <c r="D89" i="2"/>
  <c r="AB88" i="2"/>
  <c r="AB140" i="2" s="1"/>
  <c r="AA65" i="4" s="1"/>
  <c r="Z88" i="2"/>
  <c r="Z140" i="2" s="1"/>
  <c r="Y65" i="4" s="1"/>
  <c r="Y88" i="2"/>
  <c r="Y140" i="2" s="1"/>
  <c r="X65" i="4" s="1"/>
  <c r="X88" i="2"/>
  <c r="X140" i="2" s="1"/>
  <c r="W65" i="4" s="1"/>
  <c r="W88" i="2"/>
  <c r="W140" i="2" s="1"/>
  <c r="V65" i="4" s="1"/>
  <c r="V88" i="2"/>
  <c r="V140" i="2" s="1"/>
  <c r="U65" i="4" s="1"/>
  <c r="U88" i="2"/>
  <c r="S88" i="2"/>
  <c r="S140" i="2" s="1"/>
  <c r="R65" i="4" s="1"/>
  <c r="R88" i="2"/>
  <c r="R140" i="2" s="1"/>
  <c r="Q65" i="4" s="1"/>
  <c r="Q88" i="2"/>
  <c r="Q140" i="2" s="1"/>
  <c r="P65" i="4" s="1"/>
  <c r="P88" i="2"/>
  <c r="P140" i="2" s="1"/>
  <c r="O65" i="4" s="1"/>
  <c r="O88" i="2"/>
  <c r="O140" i="2" s="1"/>
  <c r="N65" i="4" s="1"/>
  <c r="N88" i="2"/>
  <c r="N140" i="2" s="1"/>
  <c r="M65" i="4" s="1"/>
  <c r="M88" i="2"/>
  <c r="M140" i="2" s="1"/>
  <c r="L65" i="4" s="1"/>
  <c r="K88" i="2"/>
  <c r="K140" i="2" s="1"/>
  <c r="J65" i="4" s="1"/>
  <c r="J88" i="2"/>
  <c r="J140" i="2" s="1"/>
  <c r="I65" i="4" s="1"/>
  <c r="I88" i="2"/>
  <c r="I140" i="2" s="1"/>
  <c r="H65" i="4" s="1"/>
  <c r="H88" i="2"/>
  <c r="H140" i="2" s="1"/>
  <c r="G65" i="4" s="1"/>
  <c r="F88" i="2"/>
  <c r="F140" i="2" s="1"/>
  <c r="E65" i="4" s="1"/>
  <c r="E88" i="2"/>
  <c r="E140" i="2" s="1"/>
  <c r="D65" i="4" s="1"/>
  <c r="AB87" i="2"/>
  <c r="AB139" i="2" s="1"/>
  <c r="AA64" i="4" s="1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K87" i="2"/>
  <c r="J87" i="2"/>
  <c r="I87" i="2"/>
  <c r="H87" i="2"/>
  <c r="E87" i="2"/>
  <c r="AB85" i="2"/>
  <c r="AB137" i="2" s="1"/>
  <c r="AA62" i="4" s="1"/>
  <c r="Z85" i="2"/>
  <c r="Z137" i="2" s="1"/>
  <c r="Y62" i="4" s="1"/>
  <c r="Y85" i="2"/>
  <c r="Y137" i="2" s="1"/>
  <c r="X62" i="4" s="1"/>
  <c r="X85" i="2"/>
  <c r="X137" i="2" s="1"/>
  <c r="W62" i="4" s="1"/>
  <c r="W85" i="2"/>
  <c r="W137" i="2" s="1"/>
  <c r="V62" i="4" s="1"/>
  <c r="V85" i="2"/>
  <c r="V137" i="2" s="1"/>
  <c r="U62" i="4" s="1"/>
  <c r="U85" i="2"/>
  <c r="S85" i="2"/>
  <c r="S137" i="2" s="1"/>
  <c r="R62" i="4" s="1"/>
  <c r="R85" i="2"/>
  <c r="R137" i="2" s="1"/>
  <c r="Q62" i="4" s="1"/>
  <c r="Q85" i="2"/>
  <c r="Q137" i="2" s="1"/>
  <c r="P62" i="4" s="1"/>
  <c r="P85" i="2"/>
  <c r="P137" i="2" s="1"/>
  <c r="O62" i="4" s="1"/>
  <c r="O85" i="2"/>
  <c r="O137" i="2" s="1"/>
  <c r="N62" i="4" s="1"/>
  <c r="N85" i="2"/>
  <c r="N137" i="2" s="1"/>
  <c r="M62" i="4" s="1"/>
  <c r="M85" i="2"/>
  <c r="M137" i="2" s="1"/>
  <c r="L62" i="4" s="1"/>
  <c r="K85" i="2"/>
  <c r="K137" i="2" s="1"/>
  <c r="J62" i="4" s="1"/>
  <c r="J85" i="2"/>
  <c r="J137" i="2" s="1"/>
  <c r="I62" i="4" s="1"/>
  <c r="I85" i="2"/>
  <c r="I137" i="2" s="1"/>
  <c r="H62" i="4" s="1"/>
  <c r="H85" i="2"/>
  <c r="H137" i="2" s="1"/>
  <c r="G62" i="4" s="1"/>
  <c r="F85" i="2"/>
  <c r="F137" i="2" s="1"/>
  <c r="E62" i="4" s="1"/>
  <c r="E85" i="2"/>
  <c r="E137" i="2" s="1"/>
  <c r="D62" i="4" s="1"/>
  <c r="D85" i="2"/>
  <c r="AB84" i="2"/>
  <c r="AB136" i="2" s="1"/>
  <c r="AA61" i="4" s="1"/>
  <c r="Z84" i="2"/>
  <c r="Z136" i="2" s="1"/>
  <c r="Y61" i="4" s="1"/>
  <c r="Y84" i="2"/>
  <c r="Y136" i="2" s="1"/>
  <c r="X61" i="4" s="1"/>
  <c r="X84" i="2"/>
  <c r="X136" i="2" s="1"/>
  <c r="W61" i="4" s="1"/>
  <c r="W84" i="2"/>
  <c r="W136" i="2" s="1"/>
  <c r="V61" i="4" s="1"/>
  <c r="V84" i="2"/>
  <c r="V136" i="2" s="1"/>
  <c r="U61" i="4" s="1"/>
  <c r="U84" i="2"/>
  <c r="S84" i="2"/>
  <c r="S136" i="2" s="1"/>
  <c r="R61" i="4" s="1"/>
  <c r="R84" i="2"/>
  <c r="R136" i="2" s="1"/>
  <c r="Q61" i="4" s="1"/>
  <c r="Q84" i="2"/>
  <c r="Q136" i="2" s="1"/>
  <c r="P61" i="4" s="1"/>
  <c r="P84" i="2"/>
  <c r="P136" i="2" s="1"/>
  <c r="O61" i="4" s="1"/>
  <c r="O84" i="2"/>
  <c r="O136" i="2" s="1"/>
  <c r="N61" i="4" s="1"/>
  <c r="N84" i="2"/>
  <c r="N136" i="2" s="1"/>
  <c r="M61" i="4" s="1"/>
  <c r="M84" i="2"/>
  <c r="M136" i="2" s="1"/>
  <c r="L61" i="4" s="1"/>
  <c r="K84" i="2"/>
  <c r="K136" i="2" s="1"/>
  <c r="J61" i="4" s="1"/>
  <c r="J84" i="2"/>
  <c r="J136" i="2" s="1"/>
  <c r="I61" i="4" s="1"/>
  <c r="I84" i="2"/>
  <c r="I136" i="2" s="1"/>
  <c r="H61" i="4" s="1"/>
  <c r="H84" i="2"/>
  <c r="H136" i="2" s="1"/>
  <c r="G61" i="4" s="1"/>
  <c r="F84" i="2"/>
  <c r="F136" i="2" s="1"/>
  <c r="E61" i="4" s="1"/>
  <c r="E84" i="2"/>
  <c r="E136" i="2" s="1"/>
  <c r="D61" i="4" s="1"/>
  <c r="D84" i="2"/>
  <c r="AB83" i="2"/>
  <c r="Z83" i="2"/>
  <c r="Z135" i="2" s="1"/>
  <c r="Y60" i="4" s="1"/>
  <c r="Y83" i="2"/>
  <c r="Y135" i="2" s="1"/>
  <c r="X60" i="4" s="1"/>
  <c r="X83" i="2"/>
  <c r="X135" i="2" s="1"/>
  <c r="W60" i="4" s="1"/>
  <c r="W83" i="2"/>
  <c r="W135" i="2" s="1"/>
  <c r="V60" i="4" s="1"/>
  <c r="V83" i="2"/>
  <c r="V135" i="2" s="1"/>
  <c r="U60" i="4" s="1"/>
  <c r="U83" i="2"/>
  <c r="S83" i="2"/>
  <c r="S135" i="2" s="1"/>
  <c r="R60" i="4" s="1"/>
  <c r="R83" i="2"/>
  <c r="R135" i="2" s="1"/>
  <c r="Q60" i="4" s="1"/>
  <c r="Q83" i="2"/>
  <c r="Q135" i="2" s="1"/>
  <c r="P60" i="4" s="1"/>
  <c r="P83" i="2"/>
  <c r="P135" i="2" s="1"/>
  <c r="O60" i="4" s="1"/>
  <c r="O83" i="2"/>
  <c r="O135" i="2" s="1"/>
  <c r="N60" i="4" s="1"/>
  <c r="N83" i="2"/>
  <c r="N135" i="2" s="1"/>
  <c r="M60" i="4" s="1"/>
  <c r="M83" i="2"/>
  <c r="K83" i="2"/>
  <c r="K135" i="2" s="1"/>
  <c r="J60" i="4" s="1"/>
  <c r="J83" i="2"/>
  <c r="J135" i="2" s="1"/>
  <c r="I60" i="4" s="1"/>
  <c r="I83" i="2"/>
  <c r="I135" i="2" s="1"/>
  <c r="H60" i="4" s="1"/>
  <c r="H83" i="2"/>
  <c r="H135" i="2" s="1"/>
  <c r="G60" i="4" s="1"/>
  <c r="F83" i="2"/>
  <c r="F135" i="2" s="1"/>
  <c r="E60" i="4" s="1"/>
  <c r="E83" i="2"/>
  <c r="E135" i="2" s="1"/>
  <c r="D60" i="4" s="1"/>
  <c r="D83" i="2"/>
  <c r="AB82" i="2"/>
  <c r="AB134" i="2" s="1"/>
  <c r="AA59" i="4" s="1"/>
  <c r="Z82" i="2"/>
  <c r="Z134" i="2" s="1"/>
  <c r="Y59" i="4" s="1"/>
  <c r="Y82" i="2"/>
  <c r="Y134" i="2" s="1"/>
  <c r="X59" i="4" s="1"/>
  <c r="X82" i="2"/>
  <c r="X134" i="2" s="1"/>
  <c r="W59" i="4" s="1"/>
  <c r="W82" i="2"/>
  <c r="W134" i="2" s="1"/>
  <c r="V59" i="4" s="1"/>
  <c r="V82" i="2"/>
  <c r="V134" i="2" s="1"/>
  <c r="U59" i="4" s="1"/>
  <c r="U82" i="2"/>
  <c r="S82" i="2"/>
  <c r="S134" i="2" s="1"/>
  <c r="R59" i="4" s="1"/>
  <c r="R82" i="2"/>
  <c r="R134" i="2" s="1"/>
  <c r="Q59" i="4" s="1"/>
  <c r="Q82" i="2"/>
  <c r="Q134" i="2" s="1"/>
  <c r="P59" i="4" s="1"/>
  <c r="P82" i="2"/>
  <c r="P134" i="2" s="1"/>
  <c r="O59" i="4" s="1"/>
  <c r="O82" i="2"/>
  <c r="O134" i="2" s="1"/>
  <c r="N59" i="4" s="1"/>
  <c r="N82" i="2"/>
  <c r="N134" i="2" s="1"/>
  <c r="M59" i="4" s="1"/>
  <c r="M82" i="2"/>
  <c r="K82" i="2"/>
  <c r="K134" i="2" s="1"/>
  <c r="J59" i="4" s="1"/>
  <c r="J82" i="2"/>
  <c r="J134" i="2" s="1"/>
  <c r="I59" i="4" s="1"/>
  <c r="I82" i="2"/>
  <c r="I134" i="2" s="1"/>
  <c r="H59" i="4" s="1"/>
  <c r="H82" i="2"/>
  <c r="H134" i="2" s="1"/>
  <c r="G59" i="4" s="1"/>
  <c r="F82" i="2"/>
  <c r="F134" i="2" s="1"/>
  <c r="E59" i="4" s="1"/>
  <c r="E82" i="2"/>
  <c r="E134" i="2" s="1"/>
  <c r="D59" i="4" s="1"/>
  <c r="D82" i="2"/>
  <c r="AB81" i="2"/>
  <c r="AB133" i="2" s="1"/>
  <c r="AA58" i="4" s="1"/>
  <c r="Z81" i="2"/>
  <c r="Z133" i="2" s="1"/>
  <c r="Y58" i="4" s="1"/>
  <c r="Y81" i="2"/>
  <c r="Y133" i="2" s="1"/>
  <c r="X58" i="4" s="1"/>
  <c r="X81" i="2"/>
  <c r="X133" i="2" s="1"/>
  <c r="W58" i="4" s="1"/>
  <c r="W81" i="2"/>
  <c r="W133" i="2" s="1"/>
  <c r="V58" i="4" s="1"/>
  <c r="V81" i="2"/>
  <c r="V133" i="2" s="1"/>
  <c r="U58" i="4" s="1"/>
  <c r="U81" i="2"/>
  <c r="S81" i="2"/>
  <c r="S133" i="2" s="1"/>
  <c r="R58" i="4" s="1"/>
  <c r="R81" i="2"/>
  <c r="R133" i="2" s="1"/>
  <c r="Q58" i="4" s="1"/>
  <c r="Q81" i="2"/>
  <c r="Q133" i="2" s="1"/>
  <c r="P58" i="4" s="1"/>
  <c r="P81" i="2"/>
  <c r="P133" i="2" s="1"/>
  <c r="O58" i="4" s="1"/>
  <c r="O81" i="2"/>
  <c r="O133" i="2" s="1"/>
  <c r="N58" i="4" s="1"/>
  <c r="N81" i="2"/>
  <c r="N133" i="2" s="1"/>
  <c r="M58" i="4" s="1"/>
  <c r="M81" i="2"/>
  <c r="K81" i="2"/>
  <c r="K133" i="2" s="1"/>
  <c r="J58" i="4" s="1"/>
  <c r="J81" i="2"/>
  <c r="J133" i="2" s="1"/>
  <c r="I58" i="4" s="1"/>
  <c r="I81" i="2"/>
  <c r="I133" i="2" s="1"/>
  <c r="H58" i="4" s="1"/>
  <c r="H81" i="2"/>
  <c r="H133" i="2" s="1"/>
  <c r="G58" i="4" s="1"/>
  <c r="F81" i="2"/>
  <c r="F133" i="2" s="1"/>
  <c r="E58" i="4" s="1"/>
  <c r="E81" i="2"/>
  <c r="E133" i="2" s="1"/>
  <c r="D58" i="4" s="1"/>
  <c r="D81" i="2"/>
  <c r="AB80" i="2"/>
  <c r="AB132" i="2" s="1"/>
  <c r="AA57" i="4" s="1"/>
  <c r="Z80" i="2"/>
  <c r="Z132" i="2" s="1"/>
  <c r="Y57" i="4" s="1"/>
  <c r="Y80" i="2"/>
  <c r="Y132" i="2" s="1"/>
  <c r="X57" i="4" s="1"/>
  <c r="X80" i="2"/>
  <c r="X132" i="2" s="1"/>
  <c r="W57" i="4" s="1"/>
  <c r="W80" i="2"/>
  <c r="W132" i="2" s="1"/>
  <c r="V57" i="4" s="1"/>
  <c r="V80" i="2"/>
  <c r="V132" i="2" s="1"/>
  <c r="U57" i="4" s="1"/>
  <c r="U80" i="2"/>
  <c r="S80" i="2"/>
  <c r="S132" i="2" s="1"/>
  <c r="R57" i="4" s="1"/>
  <c r="R80" i="2"/>
  <c r="R132" i="2" s="1"/>
  <c r="Q57" i="4" s="1"/>
  <c r="Q80" i="2"/>
  <c r="Q132" i="2" s="1"/>
  <c r="P57" i="4" s="1"/>
  <c r="P80" i="2"/>
  <c r="P132" i="2" s="1"/>
  <c r="O57" i="4" s="1"/>
  <c r="O80" i="2"/>
  <c r="O132" i="2" s="1"/>
  <c r="N57" i="4" s="1"/>
  <c r="N80" i="2"/>
  <c r="N132" i="2" s="1"/>
  <c r="M57" i="4" s="1"/>
  <c r="M80" i="2"/>
  <c r="K80" i="2"/>
  <c r="K132" i="2" s="1"/>
  <c r="J57" i="4" s="1"/>
  <c r="J80" i="2"/>
  <c r="J132" i="2" s="1"/>
  <c r="I57" i="4" s="1"/>
  <c r="I80" i="2"/>
  <c r="I132" i="2" s="1"/>
  <c r="H57" i="4" s="1"/>
  <c r="H80" i="2"/>
  <c r="H132" i="2" s="1"/>
  <c r="G57" i="4" s="1"/>
  <c r="F80" i="2"/>
  <c r="F132" i="2" s="1"/>
  <c r="E57" i="4" s="1"/>
  <c r="E80" i="2"/>
  <c r="E132" i="2" s="1"/>
  <c r="D57" i="4" s="1"/>
  <c r="D80" i="2"/>
  <c r="AB79" i="2"/>
  <c r="AB131" i="2" s="1"/>
  <c r="AA56" i="4" s="1"/>
  <c r="Z79" i="2"/>
  <c r="Z131" i="2" s="1"/>
  <c r="Y56" i="4" s="1"/>
  <c r="Y79" i="2"/>
  <c r="Y131" i="2" s="1"/>
  <c r="X56" i="4" s="1"/>
  <c r="X79" i="2"/>
  <c r="X131" i="2" s="1"/>
  <c r="W56" i="4" s="1"/>
  <c r="W79" i="2"/>
  <c r="W131" i="2" s="1"/>
  <c r="V56" i="4" s="1"/>
  <c r="V79" i="2"/>
  <c r="V131" i="2" s="1"/>
  <c r="U56" i="4" s="1"/>
  <c r="U79" i="2"/>
  <c r="S79" i="2"/>
  <c r="S131" i="2" s="1"/>
  <c r="R56" i="4" s="1"/>
  <c r="R79" i="2"/>
  <c r="R131" i="2" s="1"/>
  <c r="Q56" i="4" s="1"/>
  <c r="Q79" i="2"/>
  <c r="Q131" i="2" s="1"/>
  <c r="P56" i="4" s="1"/>
  <c r="P79" i="2"/>
  <c r="P131" i="2" s="1"/>
  <c r="O56" i="4" s="1"/>
  <c r="O79" i="2"/>
  <c r="O131" i="2" s="1"/>
  <c r="N56" i="4" s="1"/>
  <c r="N79" i="2"/>
  <c r="N131" i="2" s="1"/>
  <c r="M56" i="4" s="1"/>
  <c r="M79" i="2"/>
  <c r="K79" i="2"/>
  <c r="K131" i="2" s="1"/>
  <c r="J56" i="4" s="1"/>
  <c r="J79" i="2"/>
  <c r="J131" i="2" s="1"/>
  <c r="I56" i="4" s="1"/>
  <c r="I79" i="2"/>
  <c r="I131" i="2" s="1"/>
  <c r="H56" i="4" s="1"/>
  <c r="H79" i="2"/>
  <c r="H131" i="2" s="1"/>
  <c r="G56" i="4" s="1"/>
  <c r="F79" i="2"/>
  <c r="F131" i="2" s="1"/>
  <c r="E56" i="4" s="1"/>
  <c r="E79" i="2"/>
  <c r="E131" i="2" s="1"/>
  <c r="D56" i="4" s="1"/>
  <c r="D79" i="2"/>
  <c r="AB78" i="2"/>
  <c r="AB130" i="2" s="1"/>
  <c r="AA55" i="4" s="1"/>
  <c r="Z78" i="2"/>
  <c r="Z130" i="2" s="1"/>
  <c r="Y55" i="4" s="1"/>
  <c r="Y78" i="2"/>
  <c r="Y130" i="2" s="1"/>
  <c r="X55" i="4" s="1"/>
  <c r="X78" i="2"/>
  <c r="X130" i="2" s="1"/>
  <c r="W55" i="4" s="1"/>
  <c r="W78" i="2"/>
  <c r="W130" i="2" s="1"/>
  <c r="V55" i="4" s="1"/>
  <c r="V78" i="2"/>
  <c r="V130" i="2" s="1"/>
  <c r="U55" i="4" s="1"/>
  <c r="U78" i="2"/>
  <c r="S78" i="2"/>
  <c r="S130" i="2" s="1"/>
  <c r="R55" i="4" s="1"/>
  <c r="R78" i="2"/>
  <c r="R130" i="2" s="1"/>
  <c r="Q55" i="4" s="1"/>
  <c r="Q78" i="2"/>
  <c r="Q130" i="2" s="1"/>
  <c r="P55" i="4" s="1"/>
  <c r="P78" i="2"/>
  <c r="P130" i="2" s="1"/>
  <c r="O55" i="4" s="1"/>
  <c r="O78" i="2"/>
  <c r="O130" i="2" s="1"/>
  <c r="N55" i="4" s="1"/>
  <c r="N78" i="2"/>
  <c r="N130" i="2" s="1"/>
  <c r="M55" i="4" s="1"/>
  <c r="M78" i="2"/>
  <c r="K78" i="2"/>
  <c r="K130" i="2" s="1"/>
  <c r="J55" i="4" s="1"/>
  <c r="J78" i="2"/>
  <c r="J130" i="2" s="1"/>
  <c r="I55" i="4" s="1"/>
  <c r="I78" i="2"/>
  <c r="I130" i="2" s="1"/>
  <c r="H55" i="4" s="1"/>
  <c r="H78" i="2"/>
  <c r="H130" i="2" s="1"/>
  <c r="G55" i="4" s="1"/>
  <c r="F78" i="2"/>
  <c r="F130" i="2" s="1"/>
  <c r="E55" i="4" s="1"/>
  <c r="E78" i="2"/>
  <c r="E130" i="2" s="1"/>
  <c r="D55" i="4" s="1"/>
  <c r="AB77" i="2"/>
  <c r="AB129" i="2" s="1"/>
  <c r="AA54" i="4" s="1"/>
  <c r="Z77" i="2"/>
  <c r="Z129" i="2" s="1"/>
  <c r="Y54" i="4" s="1"/>
  <c r="Y77" i="2"/>
  <c r="Y129" i="2" s="1"/>
  <c r="X54" i="4" s="1"/>
  <c r="X77" i="2"/>
  <c r="X129" i="2" s="1"/>
  <c r="W54" i="4" s="1"/>
  <c r="W77" i="2"/>
  <c r="W129" i="2" s="1"/>
  <c r="V54" i="4" s="1"/>
  <c r="V77" i="2"/>
  <c r="V129" i="2" s="1"/>
  <c r="U54" i="4" s="1"/>
  <c r="U77" i="2"/>
  <c r="S77" i="2"/>
  <c r="S129" i="2" s="1"/>
  <c r="R54" i="4" s="1"/>
  <c r="R77" i="2"/>
  <c r="R129" i="2" s="1"/>
  <c r="Q54" i="4" s="1"/>
  <c r="Q77" i="2"/>
  <c r="Q129" i="2" s="1"/>
  <c r="P54" i="4" s="1"/>
  <c r="P77" i="2"/>
  <c r="P129" i="2" s="1"/>
  <c r="O54" i="4" s="1"/>
  <c r="O77" i="2"/>
  <c r="O129" i="2" s="1"/>
  <c r="N54" i="4" s="1"/>
  <c r="N77" i="2"/>
  <c r="N129" i="2" s="1"/>
  <c r="M54" i="4" s="1"/>
  <c r="M77" i="2"/>
  <c r="K77" i="2"/>
  <c r="K129" i="2" s="1"/>
  <c r="J54" i="4" s="1"/>
  <c r="J77" i="2"/>
  <c r="J129" i="2" s="1"/>
  <c r="I54" i="4" s="1"/>
  <c r="I77" i="2"/>
  <c r="I129" i="2" s="1"/>
  <c r="H54" i="4" s="1"/>
  <c r="H77" i="2"/>
  <c r="H129" i="2" s="1"/>
  <c r="G54" i="4" s="1"/>
  <c r="F77" i="2"/>
  <c r="F129" i="2" s="1"/>
  <c r="E54" i="4" s="1"/>
  <c r="E77" i="2"/>
  <c r="E129" i="2" s="1"/>
  <c r="D54" i="4" s="1"/>
  <c r="AB76" i="2"/>
  <c r="AB128" i="2" s="1"/>
  <c r="AA53" i="4" s="1"/>
  <c r="Z76" i="2"/>
  <c r="Z128" i="2" s="1"/>
  <c r="Y53" i="4" s="1"/>
  <c r="Y76" i="2"/>
  <c r="Y128" i="2" s="1"/>
  <c r="X53" i="4" s="1"/>
  <c r="X76" i="2"/>
  <c r="X128" i="2" s="1"/>
  <c r="W53" i="4" s="1"/>
  <c r="W76" i="2"/>
  <c r="W128" i="2" s="1"/>
  <c r="V53" i="4" s="1"/>
  <c r="V76" i="2"/>
  <c r="V128" i="2" s="1"/>
  <c r="U53" i="4" s="1"/>
  <c r="U76" i="2"/>
  <c r="S76" i="2"/>
  <c r="S128" i="2" s="1"/>
  <c r="R53" i="4" s="1"/>
  <c r="R76" i="2"/>
  <c r="R128" i="2" s="1"/>
  <c r="Q53" i="4" s="1"/>
  <c r="Q76" i="2"/>
  <c r="Q128" i="2" s="1"/>
  <c r="P53" i="4" s="1"/>
  <c r="P76" i="2"/>
  <c r="P128" i="2" s="1"/>
  <c r="O53" i="4" s="1"/>
  <c r="O76" i="2"/>
  <c r="O128" i="2" s="1"/>
  <c r="N53" i="4" s="1"/>
  <c r="N76" i="2"/>
  <c r="N128" i="2" s="1"/>
  <c r="M53" i="4" s="1"/>
  <c r="M76" i="2"/>
  <c r="K76" i="2"/>
  <c r="K128" i="2" s="1"/>
  <c r="J53" i="4" s="1"/>
  <c r="J76" i="2"/>
  <c r="J128" i="2" s="1"/>
  <c r="I53" i="4" s="1"/>
  <c r="I76" i="2"/>
  <c r="I128" i="2" s="1"/>
  <c r="H53" i="4" s="1"/>
  <c r="H76" i="2"/>
  <c r="H128" i="2" s="1"/>
  <c r="G53" i="4" s="1"/>
  <c r="F76" i="2"/>
  <c r="F128" i="2" s="1"/>
  <c r="E53" i="4" s="1"/>
  <c r="E76" i="2"/>
  <c r="E128" i="2" s="1"/>
  <c r="D53" i="4" s="1"/>
  <c r="D76" i="2"/>
  <c r="AB75" i="2"/>
  <c r="AB127" i="2" s="1"/>
  <c r="AA52" i="4" s="1"/>
  <c r="Z75" i="2"/>
  <c r="Z127" i="2" s="1"/>
  <c r="Y52" i="4" s="1"/>
  <c r="Y75" i="2"/>
  <c r="Y127" i="2" s="1"/>
  <c r="X52" i="4" s="1"/>
  <c r="X75" i="2"/>
  <c r="X127" i="2" s="1"/>
  <c r="W52" i="4" s="1"/>
  <c r="W75" i="2"/>
  <c r="W127" i="2" s="1"/>
  <c r="V52" i="4" s="1"/>
  <c r="V75" i="2"/>
  <c r="V127" i="2" s="1"/>
  <c r="U52" i="4" s="1"/>
  <c r="U75" i="2"/>
  <c r="S75" i="2"/>
  <c r="S127" i="2" s="1"/>
  <c r="R52" i="4" s="1"/>
  <c r="R75" i="2"/>
  <c r="R127" i="2" s="1"/>
  <c r="Q52" i="4" s="1"/>
  <c r="Q75" i="2"/>
  <c r="Q127" i="2" s="1"/>
  <c r="P52" i="4" s="1"/>
  <c r="P75" i="2"/>
  <c r="P127" i="2" s="1"/>
  <c r="O52" i="4" s="1"/>
  <c r="O75" i="2"/>
  <c r="O127" i="2" s="1"/>
  <c r="N52" i="4" s="1"/>
  <c r="N75" i="2"/>
  <c r="N127" i="2" s="1"/>
  <c r="M52" i="4" s="1"/>
  <c r="M75" i="2"/>
  <c r="M127" i="2" s="1"/>
  <c r="L52" i="4" s="1"/>
  <c r="K75" i="2"/>
  <c r="K127" i="2" s="1"/>
  <c r="J52" i="4" s="1"/>
  <c r="J75" i="2"/>
  <c r="J127" i="2" s="1"/>
  <c r="I52" i="4" s="1"/>
  <c r="I75" i="2"/>
  <c r="I127" i="2" s="1"/>
  <c r="H52" i="4" s="1"/>
  <c r="H75" i="2"/>
  <c r="H127" i="2" s="1"/>
  <c r="G52" i="4" s="1"/>
  <c r="F75" i="2"/>
  <c r="F127" i="2" s="1"/>
  <c r="E52" i="4" s="1"/>
  <c r="E75" i="2"/>
  <c r="E127" i="2" s="1"/>
  <c r="D52" i="4" s="1"/>
  <c r="D75" i="2"/>
  <c r="AB74" i="2"/>
  <c r="AB126" i="2" s="1"/>
  <c r="AA51" i="4" s="1"/>
  <c r="Z74" i="2"/>
  <c r="Z126" i="2" s="1"/>
  <c r="Y51" i="4" s="1"/>
  <c r="Y74" i="2"/>
  <c r="Y126" i="2" s="1"/>
  <c r="X51" i="4" s="1"/>
  <c r="X74" i="2"/>
  <c r="X126" i="2" s="1"/>
  <c r="W51" i="4" s="1"/>
  <c r="W74" i="2"/>
  <c r="W126" i="2" s="1"/>
  <c r="V51" i="4" s="1"/>
  <c r="V74" i="2"/>
  <c r="V126" i="2" s="1"/>
  <c r="U51" i="4" s="1"/>
  <c r="U74" i="2"/>
  <c r="S74" i="2"/>
  <c r="S126" i="2" s="1"/>
  <c r="R51" i="4" s="1"/>
  <c r="R74" i="2"/>
  <c r="R126" i="2" s="1"/>
  <c r="Q51" i="4" s="1"/>
  <c r="Q74" i="2"/>
  <c r="Q126" i="2" s="1"/>
  <c r="P51" i="4" s="1"/>
  <c r="P74" i="2"/>
  <c r="P126" i="2" s="1"/>
  <c r="O51" i="4" s="1"/>
  <c r="O74" i="2"/>
  <c r="O126" i="2" s="1"/>
  <c r="N51" i="4" s="1"/>
  <c r="N74" i="2"/>
  <c r="N126" i="2" s="1"/>
  <c r="M51" i="4" s="1"/>
  <c r="M74" i="2"/>
  <c r="M126" i="2" s="1"/>
  <c r="L51" i="4" s="1"/>
  <c r="K74" i="2"/>
  <c r="K126" i="2" s="1"/>
  <c r="J51" i="4" s="1"/>
  <c r="J74" i="2"/>
  <c r="J126" i="2" s="1"/>
  <c r="I51" i="4" s="1"/>
  <c r="I74" i="2"/>
  <c r="I126" i="2" s="1"/>
  <c r="H51" i="4" s="1"/>
  <c r="H74" i="2"/>
  <c r="H126" i="2" s="1"/>
  <c r="G51" i="4" s="1"/>
  <c r="F74" i="2"/>
  <c r="F126" i="2" s="1"/>
  <c r="E51" i="4" s="1"/>
  <c r="E74" i="2"/>
  <c r="E126" i="2" s="1"/>
  <c r="D51" i="4" s="1"/>
  <c r="D74" i="2"/>
  <c r="Z73" i="2"/>
  <c r="Y73" i="2"/>
  <c r="X73" i="2"/>
  <c r="W73" i="2"/>
  <c r="V73" i="2"/>
  <c r="U73" i="2"/>
  <c r="S73" i="2"/>
  <c r="R73" i="2"/>
  <c r="Q73" i="2"/>
  <c r="P73" i="2"/>
  <c r="O73" i="2"/>
  <c r="N73" i="2"/>
  <c r="M73" i="2"/>
  <c r="K73" i="2"/>
  <c r="J73" i="2"/>
  <c r="I73" i="2"/>
  <c r="H73" i="2"/>
  <c r="F73" i="2"/>
  <c r="D73" i="2"/>
  <c r="AB71" i="2"/>
  <c r="AB123" i="2" s="1"/>
  <c r="AA48" i="4" s="1"/>
  <c r="Z71" i="2"/>
  <c r="Z123" i="2" s="1"/>
  <c r="Y48" i="4" s="1"/>
  <c r="Y71" i="2"/>
  <c r="Y123" i="2" s="1"/>
  <c r="X48" i="4" s="1"/>
  <c r="X71" i="2"/>
  <c r="X123" i="2" s="1"/>
  <c r="W48" i="4" s="1"/>
  <c r="W71" i="2"/>
  <c r="W123" i="2" s="1"/>
  <c r="V48" i="4" s="1"/>
  <c r="V71" i="2"/>
  <c r="V123" i="2" s="1"/>
  <c r="U48" i="4" s="1"/>
  <c r="U71" i="2"/>
  <c r="S71" i="2"/>
  <c r="S123" i="2" s="1"/>
  <c r="R48" i="4" s="1"/>
  <c r="R71" i="2"/>
  <c r="R123" i="2" s="1"/>
  <c r="Q48" i="4" s="1"/>
  <c r="Q71" i="2"/>
  <c r="Q123" i="2" s="1"/>
  <c r="P48" i="4" s="1"/>
  <c r="P71" i="2"/>
  <c r="P123" i="2" s="1"/>
  <c r="O48" i="4" s="1"/>
  <c r="O71" i="2"/>
  <c r="O123" i="2" s="1"/>
  <c r="N48" i="4" s="1"/>
  <c r="N71" i="2"/>
  <c r="N123" i="2" s="1"/>
  <c r="M48" i="4" s="1"/>
  <c r="M71" i="2"/>
  <c r="M123" i="2" s="1"/>
  <c r="L48" i="4" s="1"/>
  <c r="K71" i="2"/>
  <c r="K123" i="2" s="1"/>
  <c r="J48" i="4" s="1"/>
  <c r="J71" i="2"/>
  <c r="J123" i="2" s="1"/>
  <c r="I48" i="4" s="1"/>
  <c r="I71" i="2"/>
  <c r="I123" i="2" s="1"/>
  <c r="H48" i="4" s="1"/>
  <c r="H71" i="2"/>
  <c r="H123" i="2" s="1"/>
  <c r="G48" i="4" s="1"/>
  <c r="F71" i="2"/>
  <c r="F123" i="2" s="1"/>
  <c r="E48" i="4" s="1"/>
  <c r="E71" i="2"/>
  <c r="E123" i="2" s="1"/>
  <c r="D48" i="4" s="1"/>
  <c r="D71" i="2"/>
  <c r="AB70" i="2"/>
  <c r="AB122" i="2" s="1"/>
  <c r="AA47" i="4" s="1"/>
  <c r="Z70" i="2"/>
  <c r="Z122" i="2" s="1"/>
  <c r="Y47" i="4" s="1"/>
  <c r="Y70" i="2"/>
  <c r="Y122" i="2" s="1"/>
  <c r="X47" i="4" s="1"/>
  <c r="X70" i="2"/>
  <c r="X122" i="2" s="1"/>
  <c r="W47" i="4" s="1"/>
  <c r="W70" i="2"/>
  <c r="W122" i="2" s="1"/>
  <c r="V47" i="4" s="1"/>
  <c r="V70" i="2"/>
  <c r="V122" i="2" s="1"/>
  <c r="U47" i="4" s="1"/>
  <c r="U70" i="2"/>
  <c r="S70" i="2"/>
  <c r="S122" i="2" s="1"/>
  <c r="R47" i="4" s="1"/>
  <c r="R70" i="2"/>
  <c r="R122" i="2" s="1"/>
  <c r="Q47" i="4" s="1"/>
  <c r="Q70" i="2"/>
  <c r="Q122" i="2" s="1"/>
  <c r="P47" i="4" s="1"/>
  <c r="P70" i="2"/>
  <c r="P122" i="2" s="1"/>
  <c r="O47" i="4" s="1"/>
  <c r="O70" i="2"/>
  <c r="O122" i="2" s="1"/>
  <c r="N47" i="4" s="1"/>
  <c r="N70" i="2"/>
  <c r="N122" i="2" s="1"/>
  <c r="M47" i="4" s="1"/>
  <c r="M70" i="2"/>
  <c r="M122" i="2" s="1"/>
  <c r="L47" i="4" s="1"/>
  <c r="K70" i="2"/>
  <c r="K122" i="2" s="1"/>
  <c r="J47" i="4" s="1"/>
  <c r="J70" i="2"/>
  <c r="J122" i="2" s="1"/>
  <c r="I47" i="4" s="1"/>
  <c r="I70" i="2"/>
  <c r="I122" i="2" s="1"/>
  <c r="H47" i="4" s="1"/>
  <c r="H70" i="2"/>
  <c r="H122" i="2" s="1"/>
  <c r="G47" i="4" s="1"/>
  <c r="F70" i="2"/>
  <c r="F122" i="2" s="1"/>
  <c r="E47" i="4" s="1"/>
  <c r="E70" i="2"/>
  <c r="E122" i="2" s="1"/>
  <c r="D47" i="4" s="1"/>
  <c r="D70" i="2"/>
  <c r="W69" i="2"/>
  <c r="W121" i="2" s="1"/>
  <c r="V46" i="4" s="1"/>
  <c r="AB68" i="2"/>
  <c r="AB120" i="2" s="1"/>
  <c r="AA45" i="4" s="1"/>
  <c r="Z68" i="2"/>
  <c r="Z120" i="2" s="1"/>
  <c r="Y45" i="4" s="1"/>
  <c r="Y68" i="2"/>
  <c r="Y120" i="2" s="1"/>
  <c r="X45" i="4" s="1"/>
  <c r="X68" i="2"/>
  <c r="X120" i="2" s="1"/>
  <c r="W45" i="4" s="1"/>
  <c r="W68" i="2"/>
  <c r="W120" i="2" s="1"/>
  <c r="V45" i="4" s="1"/>
  <c r="V68" i="2"/>
  <c r="V120" i="2" s="1"/>
  <c r="U45" i="4" s="1"/>
  <c r="U68" i="2"/>
  <c r="S68" i="2"/>
  <c r="S120" i="2" s="1"/>
  <c r="R45" i="4" s="1"/>
  <c r="R68" i="2"/>
  <c r="R120" i="2" s="1"/>
  <c r="Q45" i="4" s="1"/>
  <c r="Q68" i="2"/>
  <c r="Q120" i="2" s="1"/>
  <c r="P45" i="4" s="1"/>
  <c r="P68" i="2"/>
  <c r="P120" i="2" s="1"/>
  <c r="O45" i="4" s="1"/>
  <c r="O68" i="2"/>
  <c r="O120" i="2" s="1"/>
  <c r="N45" i="4" s="1"/>
  <c r="N68" i="2"/>
  <c r="N120" i="2" s="1"/>
  <c r="M45" i="4" s="1"/>
  <c r="M68" i="2"/>
  <c r="M120" i="2" s="1"/>
  <c r="L45" i="4" s="1"/>
  <c r="K68" i="2"/>
  <c r="K120" i="2" s="1"/>
  <c r="J45" i="4" s="1"/>
  <c r="J68" i="2"/>
  <c r="J120" i="2" s="1"/>
  <c r="I45" i="4" s="1"/>
  <c r="I68" i="2"/>
  <c r="I120" i="2" s="1"/>
  <c r="H45" i="4" s="1"/>
  <c r="H68" i="2"/>
  <c r="H120" i="2" s="1"/>
  <c r="G45" i="4" s="1"/>
  <c r="F68" i="2"/>
  <c r="F120" i="2" s="1"/>
  <c r="E45" i="4" s="1"/>
  <c r="E68" i="2"/>
  <c r="E120" i="2" s="1"/>
  <c r="D45" i="4" s="1"/>
  <c r="D68" i="2"/>
  <c r="AB67" i="2"/>
  <c r="AB119" i="2" s="1"/>
  <c r="AA44" i="4" s="1"/>
  <c r="Z67" i="2"/>
  <c r="Y67" i="2"/>
  <c r="X67" i="2"/>
  <c r="W67" i="2"/>
  <c r="V67" i="2"/>
  <c r="U67" i="2"/>
  <c r="S67" i="2"/>
  <c r="R67" i="2"/>
  <c r="Q67" i="2"/>
  <c r="P67" i="2"/>
  <c r="O67" i="2"/>
  <c r="N67" i="2"/>
  <c r="M67" i="2"/>
  <c r="K67" i="2"/>
  <c r="J67" i="2"/>
  <c r="I67" i="2"/>
  <c r="H67" i="2"/>
  <c r="F67" i="2"/>
  <c r="E67" i="2"/>
  <c r="AB65" i="2"/>
  <c r="AB117" i="2" s="1"/>
  <c r="AA42" i="4" s="1"/>
  <c r="Z65" i="2"/>
  <c r="Z117" i="2" s="1"/>
  <c r="Y42" i="4" s="1"/>
  <c r="Y65" i="2"/>
  <c r="Y117" i="2" s="1"/>
  <c r="X42" i="4" s="1"/>
  <c r="X65" i="2"/>
  <c r="X117" i="2" s="1"/>
  <c r="W42" i="4" s="1"/>
  <c r="W65" i="2"/>
  <c r="W117" i="2" s="1"/>
  <c r="V42" i="4" s="1"/>
  <c r="V65" i="2"/>
  <c r="V117" i="2" s="1"/>
  <c r="U42" i="4" s="1"/>
  <c r="U65" i="2"/>
  <c r="S65" i="2"/>
  <c r="S117" i="2" s="1"/>
  <c r="R42" i="4" s="1"/>
  <c r="R65" i="2"/>
  <c r="R117" i="2" s="1"/>
  <c r="Q42" i="4" s="1"/>
  <c r="Q65" i="2"/>
  <c r="Q117" i="2" s="1"/>
  <c r="P42" i="4" s="1"/>
  <c r="P65" i="2"/>
  <c r="P117" i="2" s="1"/>
  <c r="O42" i="4" s="1"/>
  <c r="O65" i="2"/>
  <c r="O117" i="2" s="1"/>
  <c r="N42" i="4" s="1"/>
  <c r="N65" i="2"/>
  <c r="N117" i="2" s="1"/>
  <c r="M42" i="4" s="1"/>
  <c r="M65" i="2"/>
  <c r="M117" i="2" s="1"/>
  <c r="L42" i="4" s="1"/>
  <c r="K65" i="2"/>
  <c r="K117" i="2" s="1"/>
  <c r="J42" i="4" s="1"/>
  <c r="J65" i="2"/>
  <c r="J117" i="2" s="1"/>
  <c r="I42" i="4" s="1"/>
  <c r="I65" i="2"/>
  <c r="I117" i="2" s="1"/>
  <c r="H42" i="4" s="1"/>
  <c r="H65" i="2"/>
  <c r="H117" i="2" s="1"/>
  <c r="G42" i="4" s="1"/>
  <c r="F65" i="2"/>
  <c r="F117" i="2" s="1"/>
  <c r="E42" i="4" s="1"/>
  <c r="E65" i="2"/>
  <c r="E117" i="2" s="1"/>
  <c r="D42" i="4" s="1"/>
  <c r="D65" i="2"/>
  <c r="AB64" i="2"/>
  <c r="AB116" i="2" s="1"/>
  <c r="AA41" i="4" s="1"/>
  <c r="Z64" i="2"/>
  <c r="Z116" i="2" s="1"/>
  <c r="Y41" i="4" s="1"/>
  <c r="Y64" i="2"/>
  <c r="Y116" i="2" s="1"/>
  <c r="X41" i="4" s="1"/>
  <c r="X64" i="2"/>
  <c r="X116" i="2" s="1"/>
  <c r="W41" i="4" s="1"/>
  <c r="W64" i="2"/>
  <c r="W116" i="2" s="1"/>
  <c r="V41" i="4" s="1"/>
  <c r="V64" i="2"/>
  <c r="V116" i="2" s="1"/>
  <c r="U41" i="4" s="1"/>
  <c r="U64" i="2"/>
  <c r="S64" i="2"/>
  <c r="S116" i="2" s="1"/>
  <c r="R41" i="4" s="1"/>
  <c r="R64" i="2"/>
  <c r="R116" i="2" s="1"/>
  <c r="Q41" i="4" s="1"/>
  <c r="Q64" i="2"/>
  <c r="Q116" i="2" s="1"/>
  <c r="P41" i="4" s="1"/>
  <c r="P64" i="2"/>
  <c r="P116" i="2" s="1"/>
  <c r="O41" i="4" s="1"/>
  <c r="O64" i="2"/>
  <c r="O116" i="2" s="1"/>
  <c r="N41" i="4" s="1"/>
  <c r="N64" i="2"/>
  <c r="N116" i="2" s="1"/>
  <c r="M41" i="4" s="1"/>
  <c r="M64" i="2"/>
  <c r="M116" i="2" s="1"/>
  <c r="L41" i="4" s="1"/>
  <c r="K64" i="2"/>
  <c r="K116" i="2" s="1"/>
  <c r="J41" i="4" s="1"/>
  <c r="J64" i="2"/>
  <c r="J116" i="2" s="1"/>
  <c r="I41" i="4" s="1"/>
  <c r="I64" i="2"/>
  <c r="I116" i="2" s="1"/>
  <c r="H41" i="4" s="1"/>
  <c r="H64" i="2"/>
  <c r="H116" i="2" s="1"/>
  <c r="G41" i="4" s="1"/>
  <c r="F64" i="2"/>
  <c r="F116" i="2" s="1"/>
  <c r="E41" i="4" s="1"/>
  <c r="E64" i="2"/>
  <c r="E116" i="2" s="1"/>
  <c r="D41" i="4" s="1"/>
  <c r="D64" i="2"/>
  <c r="AB63" i="2"/>
  <c r="AB115" i="2" s="1"/>
  <c r="AA40" i="4" s="1"/>
  <c r="Z63" i="2"/>
  <c r="Z115" i="2" s="1"/>
  <c r="Y40" i="4" s="1"/>
  <c r="Y63" i="2"/>
  <c r="Y115" i="2" s="1"/>
  <c r="X40" i="4" s="1"/>
  <c r="X63" i="2"/>
  <c r="X115" i="2" s="1"/>
  <c r="W40" i="4" s="1"/>
  <c r="W63" i="2"/>
  <c r="W115" i="2" s="1"/>
  <c r="V40" i="4" s="1"/>
  <c r="V63" i="2"/>
  <c r="V115" i="2" s="1"/>
  <c r="U40" i="4" s="1"/>
  <c r="U63" i="2"/>
  <c r="S63" i="2"/>
  <c r="S115" i="2" s="1"/>
  <c r="R40" i="4" s="1"/>
  <c r="R63" i="2"/>
  <c r="R115" i="2" s="1"/>
  <c r="Q40" i="4" s="1"/>
  <c r="Q63" i="2"/>
  <c r="Q115" i="2" s="1"/>
  <c r="P40" i="4" s="1"/>
  <c r="P63" i="2"/>
  <c r="P115" i="2" s="1"/>
  <c r="O40" i="4" s="1"/>
  <c r="O63" i="2"/>
  <c r="O115" i="2" s="1"/>
  <c r="N40" i="4" s="1"/>
  <c r="N63" i="2"/>
  <c r="N115" i="2" s="1"/>
  <c r="M40" i="4" s="1"/>
  <c r="M63" i="2"/>
  <c r="M115" i="2" s="1"/>
  <c r="L40" i="4" s="1"/>
  <c r="K63" i="2"/>
  <c r="K115" i="2" s="1"/>
  <c r="J40" i="4" s="1"/>
  <c r="J63" i="2"/>
  <c r="J115" i="2" s="1"/>
  <c r="I40" i="4" s="1"/>
  <c r="I63" i="2"/>
  <c r="I115" i="2" s="1"/>
  <c r="H40" i="4" s="1"/>
  <c r="H63" i="2"/>
  <c r="H115" i="2" s="1"/>
  <c r="G40" i="4" s="1"/>
  <c r="F63" i="2"/>
  <c r="F115" i="2" s="1"/>
  <c r="E40" i="4" s="1"/>
  <c r="E63" i="2"/>
  <c r="E115" i="2" s="1"/>
  <c r="D40" i="4" s="1"/>
  <c r="D63" i="2"/>
  <c r="AB62" i="2"/>
  <c r="AB114" i="2" s="1"/>
  <c r="AA39" i="4" s="1"/>
  <c r="Z62" i="2"/>
  <c r="Z114" i="2" s="1"/>
  <c r="Y39" i="4" s="1"/>
  <c r="Y62" i="2"/>
  <c r="Y114" i="2" s="1"/>
  <c r="X39" i="4" s="1"/>
  <c r="X62" i="2"/>
  <c r="X114" i="2" s="1"/>
  <c r="W39" i="4" s="1"/>
  <c r="W62" i="2"/>
  <c r="W114" i="2" s="1"/>
  <c r="V39" i="4" s="1"/>
  <c r="V62" i="2"/>
  <c r="V114" i="2" s="1"/>
  <c r="U39" i="4" s="1"/>
  <c r="U62" i="2"/>
  <c r="S62" i="2"/>
  <c r="S114" i="2" s="1"/>
  <c r="R39" i="4" s="1"/>
  <c r="R62" i="2"/>
  <c r="R114" i="2" s="1"/>
  <c r="Q39" i="4" s="1"/>
  <c r="Q62" i="2"/>
  <c r="Q114" i="2" s="1"/>
  <c r="P39" i="4" s="1"/>
  <c r="P62" i="2"/>
  <c r="P114" i="2" s="1"/>
  <c r="O39" i="4" s="1"/>
  <c r="O62" i="2"/>
  <c r="O114" i="2" s="1"/>
  <c r="N39" i="4" s="1"/>
  <c r="N62" i="2"/>
  <c r="N114" i="2" s="1"/>
  <c r="M39" i="4" s="1"/>
  <c r="M62" i="2"/>
  <c r="M114" i="2" s="1"/>
  <c r="L39" i="4" s="1"/>
  <c r="K62" i="2"/>
  <c r="K114" i="2" s="1"/>
  <c r="J39" i="4" s="1"/>
  <c r="J62" i="2"/>
  <c r="J114" i="2" s="1"/>
  <c r="I39" i="4" s="1"/>
  <c r="I62" i="2"/>
  <c r="I114" i="2" s="1"/>
  <c r="H39" i="4" s="1"/>
  <c r="H62" i="2"/>
  <c r="H114" i="2" s="1"/>
  <c r="G39" i="4" s="1"/>
  <c r="F62" i="2"/>
  <c r="F114" i="2" s="1"/>
  <c r="E39" i="4" s="1"/>
  <c r="E62" i="2"/>
  <c r="E114" i="2" s="1"/>
  <c r="D39" i="4" s="1"/>
  <c r="D62" i="2"/>
  <c r="AB61" i="2"/>
  <c r="AB113" i="2" s="1"/>
  <c r="AA38" i="4" s="1"/>
  <c r="Z61" i="2"/>
  <c r="Z113" i="2" s="1"/>
  <c r="Y38" i="4" s="1"/>
  <c r="Y61" i="2"/>
  <c r="Y113" i="2" s="1"/>
  <c r="X38" i="4" s="1"/>
  <c r="X61" i="2"/>
  <c r="X113" i="2" s="1"/>
  <c r="W38" i="4" s="1"/>
  <c r="W61" i="2"/>
  <c r="W113" i="2" s="1"/>
  <c r="V38" i="4" s="1"/>
  <c r="V61" i="2"/>
  <c r="V113" i="2" s="1"/>
  <c r="U38" i="4" s="1"/>
  <c r="U61" i="2"/>
  <c r="S61" i="2"/>
  <c r="S113" i="2" s="1"/>
  <c r="R38" i="4" s="1"/>
  <c r="R61" i="2"/>
  <c r="R113" i="2" s="1"/>
  <c r="Q38" i="4" s="1"/>
  <c r="Q61" i="2"/>
  <c r="Q113" i="2" s="1"/>
  <c r="P38" i="4" s="1"/>
  <c r="P61" i="2"/>
  <c r="P113" i="2" s="1"/>
  <c r="O38" i="4" s="1"/>
  <c r="O61" i="2"/>
  <c r="O113" i="2" s="1"/>
  <c r="N38" i="4" s="1"/>
  <c r="N61" i="2"/>
  <c r="N113" i="2" s="1"/>
  <c r="M38" i="4" s="1"/>
  <c r="M61" i="2"/>
  <c r="M113" i="2" s="1"/>
  <c r="L38" i="4" s="1"/>
  <c r="K61" i="2"/>
  <c r="K113" i="2" s="1"/>
  <c r="J38" i="4" s="1"/>
  <c r="J61" i="2"/>
  <c r="J113" i="2" s="1"/>
  <c r="I38" i="4" s="1"/>
  <c r="I61" i="2"/>
  <c r="I113" i="2" s="1"/>
  <c r="H38" i="4" s="1"/>
  <c r="H61" i="2"/>
  <c r="H113" i="2" s="1"/>
  <c r="G38" i="4" s="1"/>
  <c r="F61" i="2"/>
  <c r="F113" i="2" s="1"/>
  <c r="E38" i="4" s="1"/>
  <c r="E61" i="2"/>
  <c r="E113" i="2" s="1"/>
  <c r="D38" i="4" s="1"/>
  <c r="D61" i="2"/>
  <c r="AB60" i="2"/>
  <c r="AB112" i="2" s="1"/>
  <c r="AA37" i="4" s="1"/>
  <c r="Z60" i="2"/>
  <c r="Z112" i="2" s="1"/>
  <c r="Y37" i="4" s="1"/>
  <c r="Y60" i="2"/>
  <c r="Y112" i="2" s="1"/>
  <c r="X37" i="4" s="1"/>
  <c r="X60" i="2"/>
  <c r="X112" i="2" s="1"/>
  <c r="W37" i="4" s="1"/>
  <c r="W60" i="2"/>
  <c r="W112" i="2" s="1"/>
  <c r="V37" i="4" s="1"/>
  <c r="V60" i="2"/>
  <c r="V112" i="2" s="1"/>
  <c r="U37" i="4" s="1"/>
  <c r="U60" i="2"/>
  <c r="S60" i="2"/>
  <c r="S112" i="2" s="1"/>
  <c r="R37" i="4" s="1"/>
  <c r="R60" i="2"/>
  <c r="R112" i="2" s="1"/>
  <c r="Q37" i="4" s="1"/>
  <c r="Q60" i="2"/>
  <c r="Q112" i="2" s="1"/>
  <c r="P37" i="4" s="1"/>
  <c r="P60" i="2"/>
  <c r="P112" i="2" s="1"/>
  <c r="O37" i="4" s="1"/>
  <c r="O60" i="2"/>
  <c r="O112" i="2" s="1"/>
  <c r="N37" i="4" s="1"/>
  <c r="N60" i="2"/>
  <c r="N112" i="2" s="1"/>
  <c r="M37" i="4" s="1"/>
  <c r="M60" i="2"/>
  <c r="M112" i="2" s="1"/>
  <c r="L37" i="4" s="1"/>
  <c r="K60" i="2"/>
  <c r="K112" i="2" s="1"/>
  <c r="J37" i="4" s="1"/>
  <c r="J60" i="2"/>
  <c r="J112" i="2" s="1"/>
  <c r="I37" i="4" s="1"/>
  <c r="I60" i="2"/>
  <c r="I112" i="2" s="1"/>
  <c r="H37" i="4" s="1"/>
  <c r="H60" i="2"/>
  <c r="H112" i="2" s="1"/>
  <c r="G37" i="4" s="1"/>
  <c r="F60" i="2"/>
  <c r="F112" i="2" s="1"/>
  <c r="E37" i="4" s="1"/>
  <c r="E60" i="2"/>
  <c r="E112" i="2" s="1"/>
  <c r="D37" i="4" s="1"/>
  <c r="D60" i="2"/>
  <c r="AB59" i="2"/>
  <c r="AB111" i="2" s="1"/>
  <c r="AA36" i="4" s="1"/>
  <c r="Z59" i="2"/>
  <c r="Z111" i="2" s="1"/>
  <c r="Y36" i="4" s="1"/>
  <c r="Y59" i="2"/>
  <c r="Y111" i="2" s="1"/>
  <c r="X36" i="4" s="1"/>
  <c r="X59" i="2"/>
  <c r="X111" i="2" s="1"/>
  <c r="W36" i="4" s="1"/>
  <c r="W59" i="2"/>
  <c r="W111" i="2" s="1"/>
  <c r="V36" i="4" s="1"/>
  <c r="V59" i="2"/>
  <c r="V111" i="2" s="1"/>
  <c r="U36" i="4" s="1"/>
  <c r="U59" i="2"/>
  <c r="S59" i="2"/>
  <c r="S111" i="2" s="1"/>
  <c r="R36" i="4" s="1"/>
  <c r="R59" i="2"/>
  <c r="R111" i="2" s="1"/>
  <c r="Q36" i="4" s="1"/>
  <c r="Q59" i="2"/>
  <c r="Q111" i="2" s="1"/>
  <c r="P36" i="4" s="1"/>
  <c r="P59" i="2"/>
  <c r="P111" i="2" s="1"/>
  <c r="O36" i="4" s="1"/>
  <c r="O59" i="2"/>
  <c r="O111" i="2" s="1"/>
  <c r="N36" i="4" s="1"/>
  <c r="N59" i="2"/>
  <c r="N111" i="2" s="1"/>
  <c r="M36" i="4" s="1"/>
  <c r="M59" i="2"/>
  <c r="M111" i="2" s="1"/>
  <c r="L36" i="4" s="1"/>
  <c r="K59" i="2"/>
  <c r="K111" i="2" s="1"/>
  <c r="J36" i="4" s="1"/>
  <c r="J59" i="2"/>
  <c r="J111" i="2" s="1"/>
  <c r="I36" i="4" s="1"/>
  <c r="I59" i="2"/>
  <c r="I111" i="2" s="1"/>
  <c r="H36" i="4" s="1"/>
  <c r="H59" i="2"/>
  <c r="F59" i="2"/>
  <c r="F111" i="2" s="1"/>
  <c r="E36" i="4" s="1"/>
  <c r="E59" i="2"/>
  <c r="E111" i="2" s="1"/>
  <c r="D36" i="4" s="1"/>
  <c r="D59" i="2"/>
  <c r="AB58" i="2"/>
  <c r="AB110" i="2" s="1"/>
  <c r="AA35" i="4" s="1"/>
  <c r="Z58" i="2"/>
  <c r="Z110" i="2" s="1"/>
  <c r="Y35" i="4" s="1"/>
  <c r="Y58" i="2"/>
  <c r="Y110" i="2" s="1"/>
  <c r="X35" i="4" s="1"/>
  <c r="X58" i="2"/>
  <c r="X110" i="2" s="1"/>
  <c r="W35" i="4" s="1"/>
  <c r="W58" i="2"/>
  <c r="W110" i="2" s="1"/>
  <c r="V35" i="4" s="1"/>
  <c r="V58" i="2"/>
  <c r="V110" i="2" s="1"/>
  <c r="U35" i="4" s="1"/>
  <c r="U58" i="2"/>
  <c r="S58" i="2"/>
  <c r="S110" i="2" s="1"/>
  <c r="R35" i="4" s="1"/>
  <c r="R58" i="2"/>
  <c r="R110" i="2" s="1"/>
  <c r="Q35" i="4" s="1"/>
  <c r="Q58" i="2"/>
  <c r="Q110" i="2" s="1"/>
  <c r="P35" i="4" s="1"/>
  <c r="P58" i="2"/>
  <c r="P110" i="2" s="1"/>
  <c r="O35" i="4" s="1"/>
  <c r="O58" i="2"/>
  <c r="O110" i="2" s="1"/>
  <c r="N35" i="4" s="1"/>
  <c r="N58" i="2"/>
  <c r="N110" i="2" s="1"/>
  <c r="M35" i="4" s="1"/>
  <c r="M58" i="2"/>
  <c r="M110" i="2" s="1"/>
  <c r="L35" i="4" s="1"/>
  <c r="K58" i="2"/>
  <c r="K110" i="2" s="1"/>
  <c r="J35" i="4" s="1"/>
  <c r="J58" i="2"/>
  <c r="J110" i="2" s="1"/>
  <c r="I35" i="4" s="1"/>
  <c r="I58" i="2"/>
  <c r="I110" i="2" s="1"/>
  <c r="H35" i="4" s="1"/>
  <c r="H58" i="2"/>
  <c r="F58" i="2"/>
  <c r="F110" i="2" s="1"/>
  <c r="E35" i="4" s="1"/>
  <c r="E58" i="2"/>
  <c r="E110" i="2" s="1"/>
  <c r="D35" i="4" s="1"/>
  <c r="D58" i="2"/>
  <c r="AB57" i="2"/>
  <c r="AB109" i="2" s="1"/>
  <c r="AA34" i="4" s="1"/>
  <c r="Z57" i="2"/>
  <c r="Z109" i="2" s="1"/>
  <c r="Y34" i="4" s="1"/>
  <c r="Y57" i="2"/>
  <c r="Y109" i="2" s="1"/>
  <c r="X34" i="4" s="1"/>
  <c r="X57" i="2"/>
  <c r="X109" i="2" s="1"/>
  <c r="W34" i="4" s="1"/>
  <c r="W57" i="2"/>
  <c r="W109" i="2" s="1"/>
  <c r="V34" i="4" s="1"/>
  <c r="V57" i="2"/>
  <c r="V109" i="2" s="1"/>
  <c r="U34" i="4" s="1"/>
  <c r="U57" i="2"/>
  <c r="S57" i="2"/>
  <c r="S109" i="2" s="1"/>
  <c r="R34" i="4" s="1"/>
  <c r="R57" i="2"/>
  <c r="R109" i="2" s="1"/>
  <c r="Q34" i="4" s="1"/>
  <c r="Q57" i="2"/>
  <c r="Q109" i="2" s="1"/>
  <c r="P34" i="4" s="1"/>
  <c r="P57" i="2"/>
  <c r="P109" i="2" s="1"/>
  <c r="O34" i="4" s="1"/>
  <c r="O57" i="2"/>
  <c r="O109" i="2" s="1"/>
  <c r="N34" i="4" s="1"/>
  <c r="N57" i="2"/>
  <c r="N109" i="2" s="1"/>
  <c r="M34" i="4" s="1"/>
  <c r="M57" i="2"/>
  <c r="M109" i="2" s="1"/>
  <c r="L34" i="4" s="1"/>
  <c r="K57" i="2"/>
  <c r="K109" i="2" s="1"/>
  <c r="J34" i="4" s="1"/>
  <c r="J57" i="2"/>
  <c r="J109" i="2" s="1"/>
  <c r="I34" i="4" s="1"/>
  <c r="I57" i="2"/>
  <c r="I109" i="2" s="1"/>
  <c r="H34" i="4" s="1"/>
  <c r="H57" i="2"/>
  <c r="F57" i="2"/>
  <c r="F109" i="2" s="1"/>
  <c r="E34" i="4" s="1"/>
  <c r="E57" i="2"/>
  <c r="E109" i="2" s="1"/>
  <c r="D34" i="4" s="1"/>
  <c r="D57" i="2"/>
  <c r="AB56" i="2"/>
  <c r="AB108" i="2" s="1"/>
  <c r="AA33" i="4" s="1"/>
  <c r="Z56" i="2"/>
  <c r="Y56" i="2"/>
  <c r="X56" i="2"/>
  <c r="W56" i="2"/>
  <c r="V56" i="2"/>
  <c r="U56" i="2"/>
  <c r="S56" i="2"/>
  <c r="R56" i="2"/>
  <c r="Q56" i="2"/>
  <c r="P56" i="2"/>
  <c r="O56" i="2"/>
  <c r="N56" i="2"/>
  <c r="M56" i="2"/>
  <c r="K56" i="2"/>
  <c r="J56" i="2"/>
  <c r="I56" i="2"/>
  <c r="H56" i="2"/>
  <c r="F56" i="2"/>
  <c r="E56" i="2"/>
  <c r="D56" i="2"/>
  <c r="T124" i="1"/>
  <c r="P124" i="1"/>
  <c r="T123" i="1"/>
  <c r="P123" i="1"/>
  <c r="AA122" i="1"/>
  <c r="V122" i="1"/>
  <c r="U122" i="1"/>
  <c r="T122" i="1"/>
  <c r="S122" i="1"/>
  <c r="R122" i="1"/>
  <c r="Q122" i="1"/>
  <c r="P122" i="1"/>
  <c r="O122" i="1"/>
  <c r="N122" i="1"/>
  <c r="L122" i="1"/>
  <c r="K122" i="1"/>
  <c r="F122" i="1"/>
  <c r="E122" i="1"/>
  <c r="D122" i="1"/>
  <c r="C122" i="1"/>
  <c r="B122" i="1"/>
  <c r="T121" i="1"/>
  <c r="P121" i="1"/>
  <c r="T120" i="1"/>
  <c r="P120" i="1"/>
  <c r="T119" i="1"/>
  <c r="P119" i="1"/>
  <c r="T118" i="1"/>
  <c r="P118" i="1"/>
  <c r="T117" i="1"/>
  <c r="P117" i="1"/>
  <c r="T116" i="1"/>
  <c r="P116" i="1"/>
  <c r="T115" i="1"/>
  <c r="P115" i="1"/>
  <c r="T114" i="1"/>
  <c r="P114" i="1"/>
  <c r="T113" i="1"/>
  <c r="P113" i="1"/>
  <c r="T112" i="1"/>
  <c r="P112" i="1"/>
  <c r="T111" i="1"/>
  <c r="P111" i="1"/>
  <c r="T110" i="1"/>
  <c r="P110" i="1"/>
  <c r="T109" i="1"/>
  <c r="P109" i="1"/>
  <c r="T108" i="1"/>
  <c r="P108" i="1"/>
  <c r="T107" i="1"/>
  <c r="P107" i="1"/>
  <c r="T106" i="1"/>
  <c r="P106" i="1"/>
  <c r="AA105" i="1"/>
  <c r="V105" i="1"/>
  <c r="U105" i="1"/>
  <c r="T105" i="1"/>
  <c r="S105" i="1"/>
  <c r="R105" i="1"/>
  <c r="Q105" i="1"/>
  <c r="P105" i="1"/>
  <c r="O105" i="1"/>
  <c r="N105" i="1"/>
  <c r="L105" i="1"/>
  <c r="K105" i="1"/>
  <c r="F105" i="1"/>
  <c r="E105" i="1"/>
  <c r="D105" i="1"/>
  <c r="C105" i="1"/>
  <c r="B105" i="1"/>
  <c r="T104" i="1"/>
  <c r="P104" i="1"/>
  <c r="T103" i="1"/>
  <c r="P103" i="1"/>
  <c r="T102" i="1"/>
  <c r="P102" i="1"/>
  <c r="T101" i="1"/>
  <c r="P101" i="1"/>
  <c r="T100" i="1"/>
  <c r="P100" i="1"/>
  <c r="T99" i="1"/>
  <c r="P99" i="1"/>
  <c r="T98" i="1"/>
  <c r="P98" i="1"/>
  <c r="Y90" i="1"/>
  <c r="X90" i="1"/>
  <c r="W90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1" i="1"/>
  <c r="K61" i="1"/>
  <c r="F61" i="1"/>
  <c r="AA60" i="1"/>
  <c r="AA59" i="1" s="1"/>
  <c r="AA90" i="1" s="1"/>
  <c r="AA28" i="4" s="1"/>
  <c r="V60" i="1"/>
  <c r="V59" i="1" s="1"/>
  <c r="V90" i="1" s="1"/>
  <c r="V28" i="4" s="1"/>
  <c r="T60" i="1"/>
  <c r="T59" i="1" s="1"/>
  <c r="T90" i="1" s="1"/>
  <c r="T28" i="4" s="1"/>
  <c r="R60" i="1"/>
  <c r="R59" i="1" s="1"/>
  <c r="R90" i="1" s="1"/>
  <c r="R28" i="4" s="1"/>
  <c r="Q60" i="1"/>
  <c r="Q59" i="1" s="1"/>
  <c r="Q90" i="1" s="1"/>
  <c r="Q28" i="4" s="1"/>
  <c r="P60" i="1"/>
  <c r="P59" i="1" s="1"/>
  <c r="P90" i="1" s="1"/>
  <c r="P28" i="4" s="1"/>
  <c r="O60" i="1"/>
  <c r="O59" i="1" s="1"/>
  <c r="O90" i="1" s="1"/>
  <c r="O28" i="4" s="1"/>
  <c r="N60" i="1"/>
  <c r="N59" i="1" s="1"/>
  <c r="N90" i="1" s="1"/>
  <c r="N28" i="4" s="1"/>
  <c r="M60" i="1"/>
  <c r="M59" i="1" s="1"/>
  <c r="M90" i="1" s="1"/>
  <c r="M28" i="4" s="1"/>
  <c r="J60" i="1"/>
  <c r="J59" i="1" s="1"/>
  <c r="J90" i="1" s="1"/>
  <c r="J28" i="4" s="1"/>
  <c r="I60" i="1"/>
  <c r="I59" i="1" s="1"/>
  <c r="I90" i="1" s="1"/>
  <c r="I28" i="4" s="1"/>
  <c r="H60" i="1"/>
  <c r="H59" i="1" s="1"/>
  <c r="H90" i="1" s="1"/>
  <c r="H28" i="4" s="1"/>
  <c r="G60" i="1"/>
  <c r="E60" i="1"/>
  <c r="E59" i="1" s="1"/>
  <c r="E90" i="1" s="1"/>
  <c r="E28" i="4" s="1"/>
  <c r="D60" i="1"/>
  <c r="C60" i="1"/>
  <c r="C59" i="1" s="1"/>
  <c r="C90" i="1" s="1"/>
  <c r="C28" i="4" s="1"/>
  <c r="L59" i="1"/>
  <c r="L90" i="1" s="1"/>
  <c r="L28" i="4" s="1"/>
  <c r="D59" i="1"/>
  <c r="D90" i="1" s="1"/>
  <c r="D28" i="4" s="1"/>
  <c r="AA58" i="1"/>
  <c r="V58" i="1"/>
  <c r="U58" i="1"/>
  <c r="T58" i="1"/>
  <c r="R58" i="1"/>
  <c r="Q58" i="1"/>
  <c r="P58" i="1"/>
  <c r="N58" i="1"/>
  <c r="C58" i="1"/>
  <c r="AA87" i="1"/>
  <c r="AA25" i="4" s="1"/>
  <c r="Y87" i="1"/>
  <c r="Y25" i="4" s="1"/>
  <c r="X87" i="1"/>
  <c r="X25" i="4" s="1"/>
  <c r="W87" i="1"/>
  <c r="W25" i="4" s="1"/>
  <c r="V87" i="1"/>
  <c r="V25" i="4" s="1"/>
  <c r="U87" i="1"/>
  <c r="U25" i="4" s="1"/>
  <c r="T55" i="1"/>
  <c r="S55" i="1" s="1"/>
  <c r="R55" i="1"/>
  <c r="R87" i="1" s="1"/>
  <c r="R25" i="4" s="1"/>
  <c r="Q55" i="1"/>
  <c r="Q87" i="1" s="1"/>
  <c r="Q25" i="4" s="1"/>
  <c r="P55" i="1"/>
  <c r="P87" i="1" s="1"/>
  <c r="P25" i="4" s="1"/>
  <c r="N55" i="1"/>
  <c r="N87" i="1" s="1"/>
  <c r="N25" i="4" s="1"/>
  <c r="C55" i="1"/>
  <c r="T53" i="1"/>
  <c r="S53" i="1" s="1"/>
  <c r="R53" i="1"/>
  <c r="R85" i="1" s="1"/>
  <c r="R23" i="4" s="1"/>
  <c r="Q53" i="1"/>
  <c r="Q85" i="1" s="1"/>
  <c r="Q23" i="4" s="1"/>
  <c r="P53" i="1"/>
  <c r="P85" i="1" s="1"/>
  <c r="P23" i="4" s="1"/>
  <c r="O53" i="1"/>
  <c r="O85" i="1" s="1"/>
  <c r="O23" i="4" s="1"/>
  <c r="N53" i="1"/>
  <c r="N85" i="1" s="1"/>
  <c r="N23" i="4" s="1"/>
  <c r="M53" i="1"/>
  <c r="M85" i="1" s="1"/>
  <c r="M23" i="4" s="1"/>
  <c r="L53" i="1"/>
  <c r="J53" i="1"/>
  <c r="J85" i="1" s="1"/>
  <c r="J23" i="4" s="1"/>
  <c r="I53" i="1"/>
  <c r="H53" i="1"/>
  <c r="H85" i="1" s="1"/>
  <c r="H23" i="4" s="1"/>
  <c r="G53" i="1"/>
  <c r="E53" i="1"/>
  <c r="E85" i="1" s="1"/>
  <c r="E23" i="4" s="1"/>
  <c r="D53" i="1"/>
  <c r="C53" i="1"/>
  <c r="T51" i="1"/>
  <c r="S51" i="1" s="1"/>
  <c r="R51" i="1"/>
  <c r="R83" i="1" s="1"/>
  <c r="R21" i="4" s="1"/>
  <c r="Q51" i="1"/>
  <c r="Q83" i="1" s="1"/>
  <c r="Q21" i="4" s="1"/>
  <c r="P51" i="1"/>
  <c r="P83" i="1" s="1"/>
  <c r="P21" i="4" s="1"/>
  <c r="O51" i="1"/>
  <c r="O83" i="1" s="1"/>
  <c r="O21" i="4" s="1"/>
  <c r="N51" i="1"/>
  <c r="N83" i="1" s="1"/>
  <c r="N21" i="4" s="1"/>
  <c r="M51" i="1"/>
  <c r="M83" i="1" s="1"/>
  <c r="M21" i="4" s="1"/>
  <c r="L51" i="1"/>
  <c r="L83" i="1" s="1"/>
  <c r="L21" i="4" s="1"/>
  <c r="J51" i="1"/>
  <c r="I51" i="1"/>
  <c r="I83" i="1" s="1"/>
  <c r="I21" i="4" s="1"/>
  <c r="H51" i="1"/>
  <c r="G51" i="1"/>
  <c r="E51" i="1"/>
  <c r="E83" i="1" s="1"/>
  <c r="E21" i="4" s="1"/>
  <c r="D51" i="1"/>
  <c r="C51" i="1"/>
  <c r="T50" i="1"/>
  <c r="S50" i="1" s="1"/>
  <c r="R50" i="1"/>
  <c r="R82" i="1" s="1"/>
  <c r="R20" i="4" s="1"/>
  <c r="Q50" i="1"/>
  <c r="Q82" i="1" s="1"/>
  <c r="Q20" i="4" s="1"/>
  <c r="P50" i="1"/>
  <c r="P82" i="1" s="1"/>
  <c r="P20" i="4" s="1"/>
  <c r="O50" i="1"/>
  <c r="O82" i="1" s="1"/>
  <c r="O20" i="4" s="1"/>
  <c r="N50" i="1"/>
  <c r="N82" i="1" s="1"/>
  <c r="N20" i="4" s="1"/>
  <c r="M50" i="1"/>
  <c r="M82" i="1" s="1"/>
  <c r="M20" i="4" s="1"/>
  <c r="L50" i="1"/>
  <c r="J50" i="1"/>
  <c r="J82" i="1" s="1"/>
  <c r="J20" i="4" s="1"/>
  <c r="I50" i="1"/>
  <c r="H50" i="1"/>
  <c r="H82" i="1" s="1"/>
  <c r="H20" i="4" s="1"/>
  <c r="G50" i="1"/>
  <c r="E50" i="1"/>
  <c r="E82" i="1" s="1"/>
  <c r="E20" i="4" s="1"/>
  <c r="D50" i="1"/>
  <c r="C50" i="1"/>
  <c r="C82" i="1" s="1"/>
  <c r="C20" i="4" s="1"/>
  <c r="T48" i="1"/>
  <c r="S48" i="1" s="1"/>
  <c r="R48" i="1"/>
  <c r="R80" i="1" s="1"/>
  <c r="R18" i="4" s="1"/>
  <c r="Q48" i="1"/>
  <c r="Q80" i="1" s="1"/>
  <c r="Q18" i="4" s="1"/>
  <c r="P48" i="1"/>
  <c r="P80" i="1" s="1"/>
  <c r="P18" i="4" s="1"/>
  <c r="O48" i="1"/>
  <c r="O80" i="1" s="1"/>
  <c r="O18" i="4" s="1"/>
  <c r="N48" i="1"/>
  <c r="N80" i="1" s="1"/>
  <c r="N18" i="4" s="1"/>
  <c r="M48" i="1"/>
  <c r="M80" i="1" s="1"/>
  <c r="M18" i="4" s="1"/>
  <c r="L48" i="1"/>
  <c r="L80" i="1" s="1"/>
  <c r="L18" i="4" s="1"/>
  <c r="J48" i="1"/>
  <c r="I48" i="1"/>
  <c r="I80" i="1" s="1"/>
  <c r="I18" i="4" s="1"/>
  <c r="H48" i="1"/>
  <c r="G48" i="1"/>
  <c r="E48" i="1"/>
  <c r="E80" i="1" s="1"/>
  <c r="E18" i="4" s="1"/>
  <c r="D48" i="1"/>
  <c r="C48" i="1"/>
  <c r="T47" i="1"/>
  <c r="S47" i="1" s="1"/>
  <c r="R47" i="1"/>
  <c r="R79" i="1" s="1"/>
  <c r="R17" i="4" s="1"/>
  <c r="Q47" i="1"/>
  <c r="Q79" i="1" s="1"/>
  <c r="Q17" i="4" s="1"/>
  <c r="P47" i="1"/>
  <c r="P79" i="1" s="1"/>
  <c r="P17" i="4" s="1"/>
  <c r="O47" i="1"/>
  <c r="O79" i="1" s="1"/>
  <c r="O17" i="4" s="1"/>
  <c r="N47" i="1"/>
  <c r="N79" i="1" s="1"/>
  <c r="N17" i="4" s="1"/>
  <c r="M47" i="1"/>
  <c r="M79" i="1" s="1"/>
  <c r="M17" i="4" s="1"/>
  <c r="L47" i="1"/>
  <c r="J47" i="1"/>
  <c r="J79" i="1" s="1"/>
  <c r="J17" i="4" s="1"/>
  <c r="I47" i="1"/>
  <c r="H47" i="1"/>
  <c r="H79" i="1" s="1"/>
  <c r="H17" i="4" s="1"/>
  <c r="G47" i="1"/>
  <c r="E47" i="1"/>
  <c r="E79" i="1" s="1"/>
  <c r="E17" i="4" s="1"/>
  <c r="D47" i="1"/>
  <c r="C47" i="1"/>
  <c r="T46" i="1"/>
  <c r="R46" i="1"/>
  <c r="Q46" i="1"/>
  <c r="Q78" i="1" s="1"/>
  <c r="Q16" i="4" s="1"/>
  <c r="P46" i="1"/>
  <c r="O46" i="1"/>
  <c r="O78" i="1" s="1"/>
  <c r="O16" i="4" s="1"/>
  <c r="N46" i="1"/>
  <c r="M46" i="1"/>
  <c r="M78" i="1" s="1"/>
  <c r="M16" i="4" s="1"/>
  <c r="J46" i="1"/>
  <c r="J78" i="1" s="1"/>
  <c r="J16" i="4" s="1"/>
  <c r="I46" i="1"/>
  <c r="H46" i="1"/>
  <c r="H78" i="1" s="1"/>
  <c r="H16" i="4" s="1"/>
  <c r="T45" i="1"/>
  <c r="O45" i="1"/>
  <c r="I45" i="1"/>
  <c r="T43" i="1"/>
  <c r="S43" i="1" s="1"/>
  <c r="R43" i="1"/>
  <c r="Q43" i="1"/>
  <c r="Q75" i="1" s="1"/>
  <c r="Q13" i="4" s="1"/>
  <c r="P43" i="1"/>
  <c r="O43" i="1"/>
  <c r="O75" i="1" s="1"/>
  <c r="O13" i="4" s="1"/>
  <c r="N43" i="1"/>
  <c r="M43" i="1"/>
  <c r="M75" i="1" s="1"/>
  <c r="M13" i="4" s="1"/>
  <c r="L43" i="1"/>
  <c r="J43" i="1"/>
  <c r="J75" i="1" s="1"/>
  <c r="J13" i="4" s="1"/>
  <c r="I43" i="1"/>
  <c r="H43" i="1"/>
  <c r="H75" i="1" s="1"/>
  <c r="H13" i="4" s="1"/>
  <c r="G43" i="1"/>
  <c r="E43" i="1"/>
  <c r="D43" i="1"/>
  <c r="C43" i="1"/>
  <c r="T42" i="1"/>
  <c r="S42" i="1" s="1"/>
  <c r="R42" i="1"/>
  <c r="Q42" i="1"/>
  <c r="Q74" i="1" s="1"/>
  <c r="Q12" i="4" s="1"/>
  <c r="P42" i="1"/>
  <c r="O42" i="1"/>
  <c r="O74" i="1" s="1"/>
  <c r="O12" i="4" s="1"/>
  <c r="N42" i="1"/>
  <c r="M42" i="1"/>
  <c r="M74" i="1" s="1"/>
  <c r="M12" i="4" s="1"/>
  <c r="L42" i="1"/>
  <c r="J42" i="1"/>
  <c r="I42" i="1"/>
  <c r="I74" i="1" s="1"/>
  <c r="I12" i="4" s="1"/>
  <c r="H42" i="1"/>
  <c r="G42" i="1"/>
  <c r="E42" i="1"/>
  <c r="E74" i="1" s="1"/>
  <c r="E12" i="4" s="1"/>
  <c r="D42" i="1"/>
  <c r="C42" i="1"/>
  <c r="T41" i="1"/>
  <c r="S41" i="1" s="1"/>
  <c r="R41" i="1"/>
  <c r="Q41" i="1"/>
  <c r="Q73" i="1" s="1"/>
  <c r="Q11" i="4" s="1"/>
  <c r="P41" i="1"/>
  <c r="N41" i="1"/>
  <c r="M41" i="1"/>
  <c r="H41" i="1"/>
  <c r="H73" i="1" s="1"/>
  <c r="H11" i="4" s="1"/>
  <c r="G41" i="1"/>
  <c r="D41" i="1"/>
  <c r="C41" i="1"/>
  <c r="T40" i="1"/>
  <c r="S40" i="1" s="1"/>
  <c r="R40" i="1"/>
  <c r="Q40" i="1"/>
  <c r="P40" i="1"/>
  <c r="O40" i="1"/>
  <c r="N40" i="1"/>
  <c r="M40" i="1"/>
  <c r="L40" i="1"/>
  <c r="J40" i="1"/>
  <c r="I40" i="1"/>
  <c r="H40" i="1"/>
  <c r="G40" i="1"/>
  <c r="E40" i="1"/>
  <c r="D40" i="1"/>
  <c r="C40" i="1"/>
  <c r="T39" i="1"/>
  <c r="S39" i="1" s="1"/>
  <c r="R39" i="1"/>
  <c r="Q39" i="1"/>
  <c r="Q71" i="1" s="1"/>
  <c r="Q9" i="4" s="1"/>
  <c r="P39" i="1"/>
  <c r="O39" i="1"/>
  <c r="O71" i="1" s="1"/>
  <c r="O9" i="4" s="1"/>
  <c r="N39" i="1"/>
  <c r="M39" i="1"/>
  <c r="M71" i="1" s="1"/>
  <c r="M9" i="4" s="1"/>
  <c r="L39" i="1"/>
  <c r="J39" i="1"/>
  <c r="J71" i="1" s="1"/>
  <c r="J9" i="4" s="1"/>
  <c r="I39" i="1"/>
  <c r="H39" i="1"/>
  <c r="H71" i="1" s="1"/>
  <c r="H9" i="4" s="1"/>
  <c r="G39" i="1"/>
  <c r="E39" i="1"/>
  <c r="D39" i="1"/>
  <c r="C39" i="1"/>
  <c r="AA70" i="1"/>
  <c r="AA8" i="4" s="1"/>
  <c r="V70" i="1"/>
  <c r="V8" i="4" s="1"/>
  <c r="T38" i="1"/>
  <c r="S38" i="1" s="1"/>
  <c r="R38" i="1"/>
  <c r="Q38" i="1"/>
  <c r="P38" i="1"/>
  <c r="M38" i="1"/>
  <c r="L38" i="1"/>
  <c r="J38" i="1"/>
  <c r="J70" i="1" s="1"/>
  <c r="J8" i="4" s="1"/>
  <c r="I38" i="1"/>
  <c r="H38" i="1"/>
  <c r="H70" i="1" s="1"/>
  <c r="H8" i="4" s="1"/>
  <c r="G38" i="1"/>
  <c r="E38" i="1"/>
  <c r="D38" i="1"/>
  <c r="C38" i="1"/>
  <c r="W69" i="1"/>
  <c r="W7" i="4" s="1"/>
  <c r="U69" i="1"/>
  <c r="U7" i="4" s="1"/>
  <c r="T37" i="1"/>
  <c r="S37" i="1" s="1"/>
  <c r="R37" i="1"/>
  <c r="R69" i="1" s="1"/>
  <c r="R7" i="4" s="1"/>
  <c r="Q37" i="1"/>
  <c r="P37" i="1"/>
  <c r="P69" i="1" s="1"/>
  <c r="P7" i="4" s="1"/>
  <c r="O37" i="1"/>
  <c r="N37" i="1"/>
  <c r="N69" i="1" s="1"/>
  <c r="N7" i="4" s="1"/>
  <c r="M37" i="1"/>
  <c r="L37" i="1"/>
  <c r="L69" i="1" s="1"/>
  <c r="L7" i="4" s="1"/>
  <c r="J37" i="1"/>
  <c r="I37" i="1"/>
  <c r="I69" i="1" s="1"/>
  <c r="I7" i="4" s="1"/>
  <c r="H37" i="1"/>
  <c r="G37" i="1"/>
  <c r="E37" i="1"/>
  <c r="E69" i="1" s="1"/>
  <c r="E7" i="4" s="1"/>
  <c r="D37" i="1"/>
  <c r="C37" i="1"/>
  <c r="T36" i="1"/>
  <c r="S36" i="1" s="1"/>
  <c r="R36" i="1"/>
  <c r="Q36" i="1"/>
  <c r="Q68" i="1" s="1"/>
  <c r="Q6" i="4" s="1"/>
  <c r="P36" i="1"/>
  <c r="O36" i="1"/>
  <c r="O68" i="1" s="1"/>
  <c r="O6" i="4" s="1"/>
  <c r="N36" i="1"/>
  <c r="M36" i="1"/>
  <c r="M68" i="1" s="1"/>
  <c r="M6" i="4" s="1"/>
  <c r="L36" i="1"/>
  <c r="J36" i="1"/>
  <c r="I36" i="1"/>
  <c r="H36" i="1"/>
  <c r="G36" i="1"/>
  <c r="E68" i="1"/>
  <c r="E6" i="4" s="1"/>
  <c r="D36" i="1"/>
  <c r="C36" i="1"/>
  <c r="T35" i="1"/>
  <c r="S35" i="1" s="1"/>
  <c r="R35" i="1"/>
  <c r="Q35" i="1"/>
  <c r="P35" i="1"/>
  <c r="O35" i="1"/>
  <c r="N35" i="1"/>
  <c r="M35" i="1"/>
  <c r="L35" i="1"/>
  <c r="J35" i="1"/>
  <c r="I35" i="1"/>
  <c r="H35" i="1"/>
  <c r="G35" i="1"/>
  <c r="E35" i="1"/>
  <c r="D35" i="1"/>
  <c r="C35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296" i="3"/>
  <c r="AA85" i="1"/>
  <c r="AA23" i="4" s="1"/>
  <c r="X85" i="1"/>
  <c r="X23" i="4" s="1"/>
  <c r="V85" i="1"/>
  <c r="V23" i="4" s="1"/>
  <c r="Y83" i="1"/>
  <c r="Y21" i="4" s="1"/>
  <c r="W83" i="1"/>
  <c r="W21" i="4" s="1"/>
  <c r="U83" i="1"/>
  <c r="U21" i="4" s="1"/>
  <c r="AA82" i="1"/>
  <c r="AA20" i="4" s="1"/>
  <c r="X82" i="1"/>
  <c r="X20" i="4" s="1"/>
  <c r="V82" i="1"/>
  <c r="V20" i="4" s="1"/>
  <c r="Y80" i="1"/>
  <c r="Y18" i="4" s="1"/>
  <c r="W80" i="1"/>
  <c r="W18" i="4" s="1"/>
  <c r="U80" i="1"/>
  <c r="U18" i="4" s="1"/>
  <c r="AA79" i="1"/>
  <c r="AA17" i="4" s="1"/>
  <c r="X79" i="1"/>
  <c r="X17" i="4" s="1"/>
  <c r="V79" i="1"/>
  <c r="V17" i="4" s="1"/>
  <c r="AA75" i="1"/>
  <c r="AA13" i="4" s="1"/>
  <c r="X75" i="1"/>
  <c r="X13" i="4" s="1"/>
  <c r="V75" i="1"/>
  <c r="V13" i="4" s="1"/>
  <c r="Y74" i="1"/>
  <c r="Y12" i="4" s="1"/>
  <c r="W74" i="1"/>
  <c r="W12" i="4" s="1"/>
  <c r="U74" i="1"/>
  <c r="U12" i="4" s="1"/>
  <c r="AA73" i="1"/>
  <c r="AA11" i="4" s="1"/>
  <c r="X73" i="1"/>
  <c r="X11" i="4" s="1"/>
  <c r="V73" i="1"/>
  <c r="V11" i="4" s="1"/>
  <c r="AA71" i="1"/>
  <c r="AA9" i="4" s="1"/>
  <c r="X71" i="1"/>
  <c r="X9" i="4" s="1"/>
  <c r="V71" i="1"/>
  <c r="V9" i="4" s="1"/>
  <c r="X70" i="1"/>
  <c r="X8" i="4" s="1"/>
  <c r="Y69" i="1"/>
  <c r="Y7" i="4" s="1"/>
  <c r="N34" i="1" l="1"/>
  <c r="N33" i="1" s="1"/>
  <c r="E73" i="2"/>
  <c r="H45" i="1"/>
  <c r="N45" i="1"/>
  <c r="N77" i="1" s="1"/>
  <c r="N15" i="4" s="1"/>
  <c r="R45" i="1"/>
  <c r="J45" i="1"/>
  <c r="P45" i="1"/>
  <c r="M45" i="1"/>
  <c r="M44" i="1" s="1"/>
  <c r="M76" i="1" s="1"/>
  <c r="M14" i="4" s="1"/>
  <c r="Q45" i="1"/>
  <c r="S60" i="1"/>
  <c r="E296" i="3"/>
  <c r="E41" i="1" s="1"/>
  <c r="O152" i="6"/>
  <c r="E46" i="1"/>
  <c r="E31" i="1" s="1"/>
  <c r="T56" i="2"/>
  <c r="T108" i="2" s="1"/>
  <c r="S33" i="4" s="1"/>
  <c r="C75" i="1"/>
  <c r="C13" i="4" s="1"/>
  <c r="C79" i="1"/>
  <c r="C17" i="4" s="1"/>
  <c r="C85" i="1"/>
  <c r="C23" i="4" s="1"/>
  <c r="J69" i="2"/>
  <c r="J121" i="2" s="1"/>
  <c r="I46" i="4" s="1"/>
  <c r="Z69" i="2"/>
  <c r="Z121" i="2" s="1"/>
  <c r="Y46" i="4" s="1"/>
  <c r="O69" i="2"/>
  <c r="O121" i="2" s="1"/>
  <c r="N46" i="4" s="1"/>
  <c r="X69" i="2"/>
  <c r="X121" i="2" s="1"/>
  <c r="W46" i="4" s="1"/>
  <c r="AB69" i="2"/>
  <c r="AB121" i="2" s="1"/>
  <c r="AA46" i="4" s="1"/>
  <c r="S69" i="2"/>
  <c r="S121" i="2" s="1"/>
  <c r="R46" i="4" s="1"/>
  <c r="AA69" i="2"/>
  <c r="I69" i="2"/>
  <c r="I121" i="2" s="1"/>
  <c r="H46" i="4" s="1"/>
  <c r="U69" i="2"/>
  <c r="U72" i="2" s="1"/>
  <c r="R69" i="2"/>
  <c r="R121" i="2" s="1"/>
  <c r="Q46" i="4" s="1"/>
  <c r="H69" i="2"/>
  <c r="E69" i="2"/>
  <c r="M69" i="2"/>
  <c r="AC69" i="2"/>
  <c r="D69" i="2"/>
  <c r="V69" i="2"/>
  <c r="V121" i="2" s="1"/>
  <c r="U46" i="4" s="1"/>
  <c r="K69" i="2"/>
  <c r="K72" i="2" s="1"/>
  <c r="Y69" i="2"/>
  <c r="Y121" i="2" s="1"/>
  <c r="X46" i="4" s="1"/>
  <c r="F69" i="2"/>
  <c r="N69" i="2"/>
  <c r="N121" i="2" s="1"/>
  <c r="M46" i="4" s="1"/>
  <c r="P69" i="2"/>
  <c r="P121" i="2" s="1"/>
  <c r="O46" i="4" s="1"/>
  <c r="Q69" i="2"/>
  <c r="Q121" i="2" s="1"/>
  <c r="P46" i="4" s="1"/>
  <c r="Z45" i="1"/>
  <c r="Z77" i="1" s="1"/>
  <c r="Z15" i="4" s="1"/>
  <c r="C45" i="1"/>
  <c r="AB118" i="2"/>
  <c r="AA43" i="4" s="1"/>
  <c r="AB135" i="2"/>
  <c r="AA60" i="4" s="1"/>
  <c r="AB150" i="2"/>
  <c r="AA75" i="4" s="1"/>
  <c r="AA66" i="2"/>
  <c r="AA111" i="2"/>
  <c r="C34" i="1"/>
  <c r="AA138" i="2"/>
  <c r="Z63" i="4" s="1"/>
  <c r="E34" i="1"/>
  <c r="H34" i="1"/>
  <c r="H33" i="1" s="1"/>
  <c r="J34" i="1"/>
  <c r="J66" i="1" s="1"/>
  <c r="J4" i="4" s="1"/>
  <c r="M34" i="1"/>
  <c r="M33" i="1" s="1"/>
  <c r="O34" i="1"/>
  <c r="O66" i="1" s="1"/>
  <c r="O4" i="4" s="1"/>
  <c r="Q34" i="1"/>
  <c r="Q33" i="1" s="1"/>
  <c r="T82" i="2"/>
  <c r="T134" i="2" s="1"/>
  <c r="L73" i="2"/>
  <c r="T76" i="2"/>
  <c r="T128" i="2" s="1"/>
  <c r="T78" i="2"/>
  <c r="T130" i="2" s="1"/>
  <c r="T80" i="2"/>
  <c r="T132" i="2" s="1"/>
  <c r="U109" i="2"/>
  <c r="T57" i="2"/>
  <c r="T109" i="2" s="1"/>
  <c r="S34" i="4" s="1"/>
  <c r="U111" i="2"/>
  <c r="T59" i="2"/>
  <c r="T111" i="2" s="1"/>
  <c r="S36" i="4" s="1"/>
  <c r="U113" i="2"/>
  <c r="T61" i="2"/>
  <c r="T113" i="2" s="1"/>
  <c r="S38" i="4" s="1"/>
  <c r="U115" i="2"/>
  <c r="T63" i="2"/>
  <c r="T115" i="2" s="1"/>
  <c r="S40" i="4" s="1"/>
  <c r="U117" i="2"/>
  <c r="T65" i="2"/>
  <c r="T117" i="2" s="1"/>
  <c r="U120" i="2"/>
  <c r="T45" i="4" s="1"/>
  <c r="T68" i="2"/>
  <c r="T120" i="2" s="1"/>
  <c r="S45" i="4" s="1"/>
  <c r="U123" i="2"/>
  <c r="T48" i="4" s="1"/>
  <c r="T71" i="2"/>
  <c r="T123" i="2" s="1"/>
  <c r="U126" i="2"/>
  <c r="T51" i="4" s="1"/>
  <c r="T74" i="2"/>
  <c r="T126" i="2" s="1"/>
  <c r="S51" i="4" s="1"/>
  <c r="U136" i="2"/>
  <c r="T61" i="4" s="1"/>
  <c r="T84" i="2"/>
  <c r="T136" i="2" s="1"/>
  <c r="U140" i="2"/>
  <c r="T65" i="4" s="1"/>
  <c r="T88" i="2"/>
  <c r="T140" i="2" s="1"/>
  <c r="U142" i="2"/>
  <c r="T67" i="4" s="1"/>
  <c r="T90" i="2"/>
  <c r="T142" i="2" s="1"/>
  <c r="U144" i="2"/>
  <c r="T69" i="4" s="1"/>
  <c r="T92" i="2"/>
  <c r="T144" i="2" s="1"/>
  <c r="U146" i="2"/>
  <c r="T71" i="4" s="1"/>
  <c r="T94" i="2"/>
  <c r="T146" i="2" s="1"/>
  <c r="U148" i="2"/>
  <c r="T73" i="4" s="1"/>
  <c r="T96" i="2"/>
  <c r="T148" i="2" s="1"/>
  <c r="S73" i="4" s="1"/>
  <c r="U152" i="2"/>
  <c r="T77" i="4" s="1"/>
  <c r="T100" i="2"/>
  <c r="T152" i="2" s="1"/>
  <c r="U153" i="2"/>
  <c r="T78" i="4" s="1"/>
  <c r="T101" i="2"/>
  <c r="T153" i="2" s="1"/>
  <c r="U110" i="2"/>
  <c r="T35" i="4" s="1"/>
  <c r="T58" i="2"/>
  <c r="T110" i="2" s="1"/>
  <c r="S35" i="4" s="1"/>
  <c r="U112" i="2"/>
  <c r="T60" i="2"/>
  <c r="T112" i="2" s="1"/>
  <c r="S37" i="4" s="1"/>
  <c r="U114" i="2"/>
  <c r="T62" i="2"/>
  <c r="T114" i="2" s="1"/>
  <c r="S39" i="4" s="1"/>
  <c r="U116" i="2"/>
  <c r="T41" i="4" s="1"/>
  <c r="T64" i="2"/>
  <c r="T116" i="2" s="1"/>
  <c r="S41" i="4" s="1"/>
  <c r="T67" i="2"/>
  <c r="U122" i="2"/>
  <c r="T47" i="4" s="1"/>
  <c r="T70" i="2"/>
  <c r="T122" i="2" s="1"/>
  <c r="S47" i="4" s="1"/>
  <c r="T73" i="2"/>
  <c r="U127" i="2"/>
  <c r="T75" i="2"/>
  <c r="T127" i="2" s="1"/>
  <c r="S52" i="4" s="1"/>
  <c r="T77" i="2"/>
  <c r="T129" i="2" s="1"/>
  <c r="T79" i="2"/>
  <c r="T131" i="2" s="1"/>
  <c r="S56" i="4" s="1"/>
  <c r="T81" i="2"/>
  <c r="T133" i="2" s="1"/>
  <c r="U135" i="2"/>
  <c r="T60" i="4" s="1"/>
  <c r="T83" i="2"/>
  <c r="T135" i="2" s="1"/>
  <c r="S60" i="4" s="1"/>
  <c r="U137" i="2"/>
  <c r="T62" i="4" s="1"/>
  <c r="T85" i="2"/>
  <c r="T137" i="2" s="1"/>
  <c r="S62" i="4" s="1"/>
  <c r="T87" i="2"/>
  <c r="U141" i="2"/>
  <c r="T66" i="4" s="1"/>
  <c r="T89" i="2"/>
  <c r="T141" i="2" s="1"/>
  <c r="S66" i="4" s="1"/>
  <c r="U143" i="2"/>
  <c r="T91" i="2"/>
  <c r="T143" i="2" s="1"/>
  <c r="S68" i="4" s="1"/>
  <c r="U145" i="2"/>
  <c r="T70" i="4" s="1"/>
  <c r="T93" i="2"/>
  <c r="T145" i="2" s="1"/>
  <c r="S70" i="4" s="1"/>
  <c r="U147" i="2"/>
  <c r="T95" i="2"/>
  <c r="T147" i="2" s="1"/>
  <c r="S72" i="4" s="1"/>
  <c r="U149" i="2"/>
  <c r="T74" i="4" s="1"/>
  <c r="T97" i="2"/>
  <c r="T149" i="2" s="1"/>
  <c r="S74" i="4" s="1"/>
  <c r="U150" i="2"/>
  <c r="T75" i="4" s="1"/>
  <c r="T98" i="2"/>
  <c r="T150" i="2" s="1"/>
  <c r="S75" i="4" s="1"/>
  <c r="U151" i="2"/>
  <c r="T76" i="4" s="1"/>
  <c r="T99" i="2"/>
  <c r="T151" i="2" s="1"/>
  <c r="U154" i="2"/>
  <c r="T79" i="4" s="1"/>
  <c r="T102" i="2"/>
  <c r="T154" i="2" s="1"/>
  <c r="S79" i="4" s="1"/>
  <c r="T34" i="1"/>
  <c r="S34" i="1" s="1"/>
  <c r="D34" i="1"/>
  <c r="D33" i="1" s="1"/>
  <c r="G34" i="1"/>
  <c r="G33" i="1" s="1"/>
  <c r="G65" i="1" s="1"/>
  <c r="I34" i="1"/>
  <c r="L34" i="1"/>
  <c r="L66" i="1" s="1"/>
  <c r="L4" i="4" s="1"/>
  <c r="P34" i="1"/>
  <c r="P33" i="1" s="1"/>
  <c r="P65" i="1" s="1"/>
  <c r="R34" i="1"/>
  <c r="AA86" i="2"/>
  <c r="Z46" i="1"/>
  <c r="E101" i="2"/>
  <c r="E153" i="2" s="1"/>
  <c r="E99" i="2"/>
  <c r="E151" i="2" s="1"/>
  <c r="C87" i="1"/>
  <c r="C25" i="4" s="1"/>
  <c r="T87" i="1"/>
  <c r="AA36" i="1"/>
  <c r="AA34" i="1" s="1"/>
  <c r="AA33" i="1" s="1"/>
  <c r="AA65" i="1" s="1"/>
  <c r="AA3" i="4" s="1"/>
  <c r="D66" i="2"/>
  <c r="F66" i="2"/>
  <c r="N66" i="2"/>
  <c r="P66" i="2"/>
  <c r="R66" i="2"/>
  <c r="U66" i="2"/>
  <c r="D86" i="2"/>
  <c r="H66" i="2"/>
  <c r="J66" i="2"/>
  <c r="M66" i="2"/>
  <c r="V66" i="2"/>
  <c r="X66" i="2"/>
  <c r="Z66" i="2"/>
  <c r="D103" i="2"/>
  <c r="E108" i="2"/>
  <c r="E66" i="2"/>
  <c r="O108" i="2"/>
  <c r="N33" i="4" s="1"/>
  <c r="O66" i="2"/>
  <c r="Q108" i="2"/>
  <c r="P33" i="4" s="1"/>
  <c r="Q66" i="2"/>
  <c r="S108" i="2"/>
  <c r="R33" i="4" s="1"/>
  <c r="S66" i="2"/>
  <c r="E119" i="2"/>
  <c r="H119" i="2"/>
  <c r="G44" i="4" s="1"/>
  <c r="J119" i="2"/>
  <c r="M119" i="2"/>
  <c r="L44" i="4" s="1"/>
  <c r="O119" i="2"/>
  <c r="N44" i="4" s="1"/>
  <c r="O72" i="2"/>
  <c r="Q119" i="2"/>
  <c r="P44" i="4" s="1"/>
  <c r="S119" i="2"/>
  <c r="R44" i="4" s="1"/>
  <c r="V119" i="2"/>
  <c r="U44" i="4" s="1"/>
  <c r="X119" i="2"/>
  <c r="W44" i="4" s="1"/>
  <c r="Z119" i="2"/>
  <c r="Y44" i="4" s="1"/>
  <c r="E125" i="2"/>
  <c r="D50" i="4" s="1"/>
  <c r="E86" i="2"/>
  <c r="H125" i="2"/>
  <c r="H86" i="2"/>
  <c r="J125" i="2"/>
  <c r="J86" i="2"/>
  <c r="M125" i="2"/>
  <c r="M86" i="2"/>
  <c r="O125" i="2"/>
  <c r="N50" i="4" s="1"/>
  <c r="O86" i="2"/>
  <c r="Q125" i="2"/>
  <c r="P50" i="4" s="1"/>
  <c r="Q86" i="2"/>
  <c r="S125" i="2"/>
  <c r="R50" i="4" s="1"/>
  <c r="S86" i="2"/>
  <c r="V125" i="2"/>
  <c r="U50" i="4" s="1"/>
  <c r="V86" i="2"/>
  <c r="X125" i="2"/>
  <c r="W50" i="4" s="1"/>
  <c r="X86" i="2"/>
  <c r="Z125" i="2"/>
  <c r="Y50" i="4" s="1"/>
  <c r="Z86" i="2"/>
  <c r="F139" i="2"/>
  <c r="E64" i="4" s="1"/>
  <c r="F103" i="2"/>
  <c r="I139" i="2"/>
  <c r="H64" i="4" s="1"/>
  <c r="I103" i="2"/>
  <c r="K139" i="2"/>
  <c r="J64" i="4" s="1"/>
  <c r="K103" i="2"/>
  <c r="N139" i="2"/>
  <c r="N103" i="2"/>
  <c r="P139" i="2"/>
  <c r="O64" i="4" s="1"/>
  <c r="P103" i="2"/>
  <c r="R139" i="2"/>
  <c r="Q64" i="4" s="1"/>
  <c r="R103" i="2"/>
  <c r="U139" i="2"/>
  <c r="T64" i="4" s="1"/>
  <c r="U103" i="2"/>
  <c r="W139" i="2"/>
  <c r="V64" i="4" s="1"/>
  <c r="W103" i="2"/>
  <c r="Y139" i="2"/>
  <c r="X64" i="4" s="1"/>
  <c r="Y103" i="2"/>
  <c r="W19" i="6"/>
  <c r="U77" i="6" s="1"/>
  <c r="AB103" i="2"/>
  <c r="I108" i="2"/>
  <c r="H33" i="4" s="1"/>
  <c r="I66" i="2"/>
  <c r="K108" i="2"/>
  <c r="J33" i="4" s="1"/>
  <c r="K66" i="2"/>
  <c r="W108" i="2"/>
  <c r="W66" i="2"/>
  <c r="Y108" i="2"/>
  <c r="X33" i="4" s="1"/>
  <c r="Y66" i="2"/>
  <c r="AB66" i="2"/>
  <c r="F119" i="2"/>
  <c r="E44" i="4" s="1"/>
  <c r="I119" i="2"/>
  <c r="K119" i="2"/>
  <c r="J44" i="4" s="1"/>
  <c r="N119" i="2"/>
  <c r="P119" i="2"/>
  <c r="O44" i="4" s="1"/>
  <c r="R119" i="2"/>
  <c r="Q44" i="4" s="1"/>
  <c r="U119" i="2"/>
  <c r="T44" i="4" s="1"/>
  <c r="W119" i="2"/>
  <c r="V44" i="4" s="1"/>
  <c r="W72" i="2"/>
  <c r="Y119" i="2"/>
  <c r="F125" i="2"/>
  <c r="E50" i="4" s="1"/>
  <c r="F86" i="2"/>
  <c r="I125" i="2"/>
  <c r="H50" i="4" s="1"/>
  <c r="I86" i="2"/>
  <c r="K125" i="2"/>
  <c r="J50" i="4" s="1"/>
  <c r="K86" i="2"/>
  <c r="N125" i="2"/>
  <c r="N86" i="2"/>
  <c r="P125" i="2"/>
  <c r="O50" i="4" s="1"/>
  <c r="P86" i="2"/>
  <c r="R125" i="2"/>
  <c r="Q50" i="4" s="1"/>
  <c r="R86" i="2"/>
  <c r="U125" i="2"/>
  <c r="T50" i="4" s="1"/>
  <c r="U86" i="2"/>
  <c r="W125" i="2"/>
  <c r="V50" i="4" s="1"/>
  <c r="W86" i="2"/>
  <c r="Y125" i="2"/>
  <c r="X50" i="4" s="1"/>
  <c r="Y86" i="2"/>
  <c r="AB86" i="2"/>
  <c r="E139" i="2"/>
  <c r="D64" i="4" s="1"/>
  <c r="H139" i="2"/>
  <c r="H103" i="2"/>
  <c r="J139" i="2"/>
  <c r="J103" i="2"/>
  <c r="M139" i="2"/>
  <c r="L64" i="4" s="1"/>
  <c r="M103" i="2"/>
  <c r="O139" i="2"/>
  <c r="N64" i="4" s="1"/>
  <c r="O103" i="2"/>
  <c r="Q139" i="2"/>
  <c r="P64" i="4" s="1"/>
  <c r="Q103" i="2"/>
  <c r="S139" i="2"/>
  <c r="R64" i="4" s="1"/>
  <c r="S103" i="2"/>
  <c r="V139" i="2"/>
  <c r="U64" i="4" s="1"/>
  <c r="V103" i="2"/>
  <c r="X139" i="2"/>
  <c r="W64" i="4" s="1"/>
  <c r="X103" i="2"/>
  <c r="Z139" i="2"/>
  <c r="Y64" i="4" s="1"/>
  <c r="Z103" i="2"/>
  <c r="AB33" i="1"/>
  <c r="AB65" i="1" s="1"/>
  <c r="AB66" i="1"/>
  <c r="AB4" i="4" s="1"/>
  <c r="K60" i="1"/>
  <c r="B61" i="1"/>
  <c r="F60" i="1"/>
  <c r="Y45" i="1"/>
  <c r="Y77" i="1" s="1"/>
  <c r="Y15" i="4" s="1"/>
  <c r="AB45" i="1"/>
  <c r="AB77" i="1" s="1"/>
  <c r="AB15" i="4" s="1"/>
  <c r="X45" i="1"/>
  <c r="AA45" i="1"/>
  <c r="AB46" i="1"/>
  <c r="AB78" i="1" s="1"/>
  <c r="AB16" i="4" s="1"/>
  <c r="X46" i="1"/>
  <c r="X78" i="1" s="1"/>
  <c r="X16" i="4" s="1"/>
  <c r="AA46" i="1"/>
  <c r="AA78" i="1" s="1"/>
  <c r="Y46" i="1"/>
  <c r="Y78" i="1" s="1"/>
  <c r="Y16" i="4" s="1"/>
  <c r="W45" i="1"/>
  <c r="W77" i="1" s="1"/>
  <c r="W15" i="4" s="1"/>
  <c r="V45" i="1"/>
  <c r="V77" i="1" s="1"/>
  <c r="V15" i="4" s="1"/>
  <c r="W46" i="1"/>
  <c r="W78" i="1" s="1"/>
  <c r="W16" i="4" s="1"/>
  <c r="V46" i="1"/>
  <c r="V78" i="1" s="1"/>
  <c r="V16" i="4" s="1"/>
  <c r="D45" i="1"/>
  <c r="D77" i="1" s="1"/>
  <c r="D15" i="4" s="1"/>
  <c r="U45" i="1"/>
  <c r="U77" i="1" s="1"/>
  <c r="U15" i="4" s="1"/>
  <c r="U46" i="1"/>
  <c r="T70" i="1"/>
  <c r="T73" i="1"/>
  <c r="T11" i="4" s="1"/>
  <c r="T75" i="1"/>
  <c r="T13" i="4" s="1"/>
  <c r="T78" i="1"/>
  <c r="G56" i="2"/>
  <c r="C71" i="1"/>
  <c r="C73" i="1"/>
  <c r="C74" i="1"/>
  <c r="M108" i="2"/>
  <c r="L56" i="2"/>
  <c r="D113" i="2"/>
  <c r="D115" i="2"/>
  <c r="C40" i="4" s="1"/>
  <c r="D117" i="2"/>
  <c r="C42" i="4" s="1"/>
  <c r="D120" i="2"/>
  <c r="C45" i="4" s="1"/>
  <c r="D122" i="2"/>
  <c r="D125" i="2"/>
  <c r="C50" i="4" s="1"/>
  <c r="D127" i="2"/>
  <c r="D129" i="2"/>
  <c r="C54" i="4" s="1"/>
  <c r="D131" i="2"/>
  <c r="D133" i="2"/>
  <c r="C58" i="4" s="1"/>
  <c r="D135" i="2"/>
  <c r="C60" i="4" s="1"/>
  <c r="D137" i="2"/>
  <c r="C62" i="4" s="1"/>
  <c r="D140" i="2"/>
  <c r="D142" i="2"/>
  <c r="D144" i="2"/>
  <c r="C69" i="4" s="1"/>
  <c r="D146" i="2"/>
  <c r="D148" i="2"/>
  <c r="D150" i="2"/>
  <c r="C75" i="4" s="1"/>
  <c r="D152" i="2"/>
  <c r="C77" i="4" s="1"/>
  <c r="D154" i="2"/>
  <c r="C79" i="4" s="1"/>
  <c r="T71" i="1"/>
  <c r="K35" i="1"/>
  <c r="K67" i="1" s="1"/>
  <c r="K5" i="4" s="1"/>
  <c r="C70" i="1"/>
  <c r="C8" i="4" s="1"/>
  <c r="D108" i="2"/>
  <c r="C33" i="4" s="1"/>
  <c r="U108" i="2"/>
  <c r="T33" i="4" s="1"/>
  <c r="D112" i="2"/>
  <c r="D114" i="2"/>
  <c r="C39" i="4" s="1"/>
  <c r="D116" i="2"/>
  <c r="C41" i="4" s="1"/>
  <c r="D119" i="2"/>
  <c r="C44" i="4" s="1"/>
  <c r="D123" i="2"/>
  <c r="D126" i="2"/>
  <c r="D128" i="2"/>
  <c r="C53" i="4" s="1"/>
  <c r="D130" i="2"/>
  <c r="C55" i="4" s="1"/>
  <c r="D132" i="2"/>
  <c r="D134" i="2"/>
  <c r="C59" i="4" s="1"/>
  <c r="D136" i="2"/>
  <c r="C61" i="4" s="1"/>
  <c r="D139" i="2"/>
  <c r="C64" i="4" s="1"/>
  <c r="D141" i="2"/>
  <c r="D143" i="2"/>
  <c r="D145" i="2"/>
  <c r="C70" i="4" s="1"/>
  <c r="D147" i="2"/>
  <c r="D149" i="2"/>
  <c r="D151" i="2"/>
  <c r="D153" i="2"/>
  <c r="C78" i="4" s="1"/>
  <c r="L70" i="1"/>
  <c r="L8" i="4" s="1"/>
  <c r="N70" i="1"/>
  <c r="N8" i="4" s="1"/>
  <c r="P70" i="1"/>
  <c r="P8" i="4" s="1"/>
  <c r="R70" i="1"/>
  <c r="R8" i="4" s="1"/>
  <c r="P73" i="1"/>
  <c r="P11" i="4" s="1"/>
  <c r="R73" i="1"/>
  <c r="U73" i="1"/>
  <c r="U11" i="4" s="1"/>
  <c r="W73" i="1"/>
  <c r="W11" i="4" s="1"/>
  <c r="Y73" i="1"/>
  <c r="Y11" i="4" s="1"/>
  <c r="G69" i="1"/>
  <c r="G7" i="4" s="1"/>
  <c r="G73" i="1"/>
  <c r="G11" i="4" s="1"/>
  <c r="G74" i="1"/>
  <c r="G12" i="4" s="1"/>
  <c r="M73" i="1"/>
  <c r="M11" i="4" s="1"/>
  <c r="H74" i="1"/>
  <c r="H12" i="4" s="1"/>
  <c r="J74" i="1"/>
  <c r="J12" i="4" s="1"/>
  <c r="T74" i="1"/>
  <c r="T12" i="4" s="1"/>
  <c r="V74" i="1"/>
  <c r="V12" i="4" s="1"/>
  <c r="X74" i="1"/>
  <c r="X12" i="4" s="1"/>
  <c r="AA74" i="1"/>
  <c r="AA12" i="4" s="1"/>
  <c r="G75" i="1"/>
  <c r="G13" i="4" s="1"/>
  <c r="I75" i="1"/>
  <c r="I13" i="4" s="1"/>
  <c r="L75" i="1"/>
  <c r="N75" i="1"/>
  <c r="N13" i="4" s="1"/>
  <c r="P75" i="1"/>
  <c r="P13" i="4" s="1"/>
  <c r="R75" i="1"/>
  <c r="U75" i="1"/>
  <c r="U13" i="4" s="1"/>
  <c r="W75" i="1"/>
  <c r="W13" i="4" s="1"/>
  <c r="Y75" i="1"/>
  <c r="Y13" i="4" s="1"/>
  <c r="H77" i="1"/>
  <c r="H15" i="4" s="1"/>
  <c r="J77" i="1"/>
  <c r="J15" i="4" s="1"/>
  <c r="G80" i="1"/>
  <c r="G18" i="4" s="1"/>
  <c r="G83" i="1"/>
  <c r="G21" i="4" s="1"/>
  <c r="M67" i="1"/>
  <c r="M5" i="4" s="1"/>
  <c r="O67" i="1"/>
  <c r="O5" i="4" s="1"/>
  <c r="Q67" i="1"/>
  <c r="Q5" i="4" s="1"/>
  <c r="L67" i="1"/>
  <c r="L5" i="4" s="1"/>
  <c r="N67" i="1"/>
  <c r="N5" i="4" s="1"/>
  <c r="P67" i="1"/>
  <c r="P5" i="4" s="1"/>
  <c r="R67" i="1"/>
  <c r="U67" i="1"/>
  <c r="U5" i="4" s="1"/>
  <c r="W67" i="1"/>
  <c r="W5" i="4" s="1"/>
  <c r="Y67" i="1"/>
  <c r="Y5" i="4" s="1"/>
  <c r="AA100" i="1"/>
  <c r="C68" i="1"/>
  <c r="C6" i="4" s="1"/>
  <c r="H68" i="1"/>
  <c r="H6" i="4" s="1"/>
  <c r="J68" i="1"/>
  <c r="J6" i="4" s="1"/>
  <c r="T68" i="1"/>
  <c r="V68" i="1"/>
  <c r="V6" i="4" s="1"/>
  <c r="X68" i="1"/>
  <c r="X6" i="4" s="1"/>
  <c r="G70" i="1"/>
  <c r="G8" i="4" s="1"/>
  <c r="I70" i="1"/>
  <c r="I8" i="4" s="1"/>
  <c r="U70" i="1"/>
  <c r="U8" i="4" s="1"/>
  <c r="W70" i="1"/>
  <c r="W8" i="4" s="1"/>
  <c r="Y70" i="1"/>
  <c r="Y8" i="4" s="1"/>
  <c r="E71" i="1"/>
  <c r="E9" i="4" s="1"/>
  <c r="I77" i="1"/>
  <c r="I15" i="4" s="1"/>
  <c r="P77" i="1"/>
  <c r="P15" i="4" s="1"/>
  <c r="R77" i="1"/>
  <c r="H44" i="1"/>
  <c r="H76" i="1" s="1"/>
  <c r="H14" i="4" s="1"/>
  <c r="J44" i="1"/>
  <c r="J76" i="1" s="1"/>
  <c r="J14" i="4" s="1"/>
  <c r="O44" i="1"/>
  <c r="O76" i="1" s="1"/>
  <c r="O14" i="4" s="1"/>
  <c r="Q44" i="1"/>
  <c r="Q76" i="1" s="1"/>
  <c r="Q14" i="4" s="1"/>
  <c r="T44" i="1"/>
  <c r="I44" i="1"/>
  <c r="I76" i="1" s="1"/>
  <c r="I14" i="4" s="1"/>
  <c r="E67" i="1"/>
  <c r="L68" i="1"/>
  <c r="N68" i="1"/>
  <c r="N6" i="4" s="1"/>
  <c r="P68" i="1"/>
  <c r="P6" i="4" s="1"/>
  <c r="R68" i="1"/>
  <c r="R6" i="4" s="1"/>
  <c r="M69" i="1"/>
  <c r="M7" i="4" s="1"/>
  <c r="O69" i="1"/>
  <c r="Q69" i="1"/>
  <c r="Q7" i="4" s="1"/>
  <c r="T69" i="1"/>
  <c r="T7" i="4" s="1"/>
  <c r="V69" i="1"/>
  <c r="V7" i="4" s="1"/>
  <c r="X69" i="1"/>
  <c r="X7" i="4" s="1"/>
  <c r="AA69" i="1"/>
  <c r="AA7" i="4" s="1"/>
  <c r="E70" i="1"/>
  <c r="M70" i="1"/>
  <c r="M8" i="4" s="1"/>
  <c r="O70" i="1"/>
  <c r="O8" i="4" s="1"/>
  <c r="Q70" i="1"/>
  <c r="Q8" i="4" s="1"/>
  <c r="G71" i="1"/>
  <c r="G9" i="4" s="1"/>
  <c r="I71" i="1"/>
  <c r="I9" i="4" s="1"/>
  <c r="L71" i="1"/>
  <c r="N71" i="1"/>
  <c r="N9" i="4" s="1"/>
  <c r="P71" i="1"/>
  <c r="P9" i="4" s="1"/>
  <c r="R71" i="1"/>
  <c r="R9" i="4" s="1"/>
  <c r="U71" i="1"/>
  <c r="U9" i="4" s="1"/>
  <c r="W71" i="1"/>
  <c r="W9" i="4" s="1"/>
  <c r="Y71" i="1"/>
  <c r="Y9" i="4" s="1"/>
  <c r="AA104" i="1"/>
  <c r="N73" i="1"/>
  <c r="N11" i="4" s="1"/>
  <c r="L74" i="1"/>
  <c r="N74" i="1"/>
  <c r="N12" i="4" s="1"/>
  <c r="P74" i="1"/>
  <c r="P12" i="4" s="1"/>
  <c r="R74" i="1"/>
  <c r="R12" i="4" s="1"/>
  <c r="E75" i="1"/>
  <c r="S74" i="1"/>
  <c r="S12" i="4" s="1"/>
  <c r="K43" i="1"/>
  <c r="K75" i="1" s="1"/>
  <c r="K13" i="4" s="1"/>
  <c r="Y65" i="1"/>
  <c r="T77" i="1"/>
  <c r="T15" i="4" s="1"/>
  <c r="L79" i="1"/>
  <c r="L17" i="4" s="1"/>
  <c r="T82" i="1"/>
  <c r="L85" i="1"/>
  <c r="L23" i="4" s="1"/>
  <c r="I78" i="1"/>
  <c r="I16" i="4" s="1"/>
  <c r="T79" i="1"/>
  <c r="T17" i="4" s="1"/>
  <c r="L82" i="1"/>
  <c r="L20" i="4" s="1"/>
  <c r="T85" i="1"/>
  <c r="T23" i="4" s="1"/>
  <c r="O77" i="1"/>
  <c r="O15" i="4" s="1"/>
  <c r="Q77" i="1"/>
  <c r="N78" i="1"/>
  <c r="N16" i="4" s="1"/>
  <c r="P78" i="1"/>
  <c r="P16" i="4" s="1"/>
  <c r="R78" i="1"/>
  <c r="G79" i="1"/>
  <c r="G17" i="4" s="1"/>
  <c r="I79" i="1"/>
  <c r="I17" i="4" s="1"/>
  <c r="U79" i="1"/>
  <c r="U17" i="4" s="1"/>
  <c r="W79" i="1"/>
  <c r="W17" i="4" s="1"/>
  <c r="Y79" i="1"/>
  <c r="Y17" i="4" s="1"/>
  <c r="C80" i="1"/>
  <c r="C18" i="4" s="1"/>
  <c r="H80" i="1"/>
  <c r="H18" i="4" s="1"/>
  <c r="J80" i="1"/>
  <c r="J18" i="4" s="1"/>
  <c r="T80" i="1"/>
  <c r="T18" i="4" s="1"/>
  <c r="V80" i="1"/>
  <c r="V18" i="4" s="1"/>
  <c r="X80" i="1"/>
  <c r="X18" i="4" s="1"/>
  <c r="AA80" i="1"/>
  <c r="G82" i="1"/>
  <c r="G20" i="4" s="1"/>
  <c r="I82" i="1"/>
  <c r="I20" i="4" s="1"/>
  <c r="U82" i="1"/>
  <c r="U20" i="4" s="1"/>
  <c r="W82" i="1"/>
  <c r="W20" i="4" s="1"/>
  <c r="Y82" i="1"/>
  <c r="Y20" i="4" s="1"/>
  <c r="C83" i="1"/>
  <c r="H83" i="1"/>
  <c r="H21" i="4" s="1"/>
  <c r="J83" i="1"/>
  <c r="J21" i="4" s="1"/>
  <c r="T83" i="1"/>
  <c r="T21" i="4" s="1"/>
  <c r="V83" i="1"/>
  <c r="V21" i="4" s="1"/>
  <c r="X83" i="1"/>
  <c r="X21" i="4" s="1"/>
  <c r="AA83" i="1"/>
  <c r="AA21" i="4" s="1"/>
  <c r="G85" i="1"/>
  <c r="G23" i="4" s="1"/>
  <c r="I85" i="1"/>
  <c r="I23" i="4" s="1"/>
  <c r="U85" i="1"/>
  <c r="U23" i="4" s="1"/>
  <c r="W85" i="1"/>
  <c r="W23" i="4" s="1"/>
  <c r="Y85" i="1"/>
  <c r="Y23" i="4" s="1"/>
  <c r="K42" i="1"/>
  <c r="K74" i="1" s="1"/>
  <c r="S75" i="1"/>
  <c r="S13" i="4" s="1"/>
  <c r="N44" i="1"/>
  <c r="N76" i="1" s="1"/>
  <c r="N14" i="4" s="1"/>
  <c r="P44" i="1"/>
  <c r="R44" i="1"/>
  <c r="R76" i="1" s="1"/>
  <c r="R14" i="4" s="1"/>
  <c r="V106" i="1"/>
  <c r="Y66" i="1"/>
  <c r="Y4" i="4" s="1"/>
  <c r="I68" i="1"/>
  <c r="I6" i="4" s="1"/>
  <c r="U68" i="1"/>
  <c r="U6" i="4" s="1"/>
  <c r="W68" i="1"/>
  <c r="W6" i="4" s="1"/>
  <c r="Y68" i="1"/>
  <c r="Y6" i="4" s="1"/>
  <c r="C69" i="1"/>
  <c r="C7" i="4" s="1"/>
  <c r="H69" i="1"/>
  <c r="H7" i="4" s="1"/>
  <c r="J69" i="1"/>
  <c r="J7" i="4" s="1"/>
  <c r="V107" i="1"/>
  <c r="S68" i="1"/>
  <c r="S6" i="4" s="1"/>
  <c r="K37" i="1"/>
  <c r="K69" i="1" s="1"/>
  <c r="K7" i="4" s="1"/>
  <c r="K38" i="1"/>
  <c r="K70" i="1" s="1"/>
  <c r="K8" i="4" s="1"/>
  <c r="S71" i="1"/>
  <c r="S9" i="4" s="1"/>
  <c r="K40" i="1"/>
  <c r="F42" i="1"/>
  <c r="F74" i="1" s="1"/>
  <c r="F12" i="4" s="1"/>
  <c r="F43" i="1"/>
  <c r="F75" i="1" s="1"/>
  <c r="F13" i="4" s="1"/>
  <c r="K48" i="1"/>
  <c r="K80" i="1" s="1"/>
  <c r="K18" i="4" s="1"/>
  <c r="S82" i="1"/>
  <c r="S20" i="4" s="1"/>
  <c r="K51" i="1"/>
  <c r="K83" i="1" s="1"/>
  <c r="K21" i="4" s="1"/>
  <c r="W66" i="1"/>
  <c r="W4" i="4" s="1"/>
  <c r="V66" i="1"/>
  <c r="V4" i="4" s="1"/>
  <c r="X66" i="1"/>
  <c r="X4" i="4" s="1"/>
  <c r="G67" i="1"/>
  <c r="G5" i="4" s="1"/>
  <c r="I67" i="1"/>
  <c r="I5" i="4" s="1"/>
  <c r="F36" i="1"/>
  <c r="F68" i="1" s="1"/>
  <c r="F6" i="4" s="1"/>
  <c r="S70" i="1"/>
  <c r="S8" i="4" s="1"/>
  <c r="K39" i="1"/>
  <c r="S73" i="1"/>
  <c r="S11" i="4" s="1"/>
  <c r="K47" i="1"/>
  <c r="S80" i="1"/>
  <c r="S18" i="4" s="1"/>
  <c r="K50" i="1"/>
  <c r="K82" i="1" s="1"/>
  <c r="K20" i="4" s="1"/>
  <c r="S83" i="1"/>
  <c r="S21" i="4" s="1"/>
  <c r="K53" i="1"/>
  <c r="V65" i="1"/>
  <c r="V3" i="4" s="1"/>
  <c r="X65" i="1"/>
  <c r="C67" i="1"/>
  <c r="C5" i="4" s="1"/>
  <c r="H67" i="1"/>
  <c r="H5" i="4" s="1"/>
  <c r="J67" i="1"/>
  <c r="J5" i="4" s="1"/>
  <c r="T67" i="1"/>
  <c r="T5" i="4" s="1"/>
  <c r="V67" i="1"/>
  <c r="V5" i="4" s="1"/>
  <c r="X67" i="1"/>
  <c r="X5" i="4" s="1"/>
  <c r="AA67" i="1"/>
  <c r="AA5" i="4" s="1"/>
  <c r="G68" i="1"/>
  <c r="G6" i="4" s="1"/>
  <c r="V103" i="1"/>
  <c r="F35" i="1"/>
  <c r="K36" i="1"/>
  <c r="F37" i="1"/>
  <c r="F69" i="1" s="1"/>
  <c r="F7" i="4" s="1"/>
  <c r="F38" i="1"/>
  <c r="F39" i="1"/>
  <c r="F40" i="1"/>
  <c r="V104" i="1"/>
  <c r="U128" i="2"/>
  <c r="M129" i="2"/>
  <c r="L54" i="4" s="1"/>
  <c r="L77" i="2"/>
  <c r="L129" i="2" s="1"/>
  <c r="U130" i="2"/>
  <c r="T55" i="4" s="1"/>
  <c r="M131" i="2"/>
  <c r="L56" i="4" s="1"/>
  <c r="L79" i="2"/>
  <c r="L131" i="2" s="1"/>
  <c r="U132" i="2"/>
  <c r="T57" i="4" s="1"/>
  <c r="M133" i="2"/>
  <c r="L58" i="4" s="1"/>
  <c r="L81" i="2"/>
  <c r="L133" i="2" s="1"/>
  <c r="U134" i="2"/>
  <c r="T59" i="4" s="1"/>
  <c r="M135" i="2"/>
  <c r="L60" i="4" s="1"/>
  <c r="L83" i="2"/>
  <c r="L135" i="2" s="1"/>
  <c r="F47" i="1"/>
  <c r="F79" i="1" s="1"/>
  <c r="F17" i="4" s="1"/>
  <c r="F48" i="1"/>
  <c r="F50" i="1"/>
  <c r="F82" i="1" s="1"/>
  <c r="F20" i="4" s="1"/>
  <c r="F51" i="1"/>
  <c r="F53" i="1"/>
  <c r="F85" i="1" s="1"/>
  <c r="F23" i="4" s="1"/>
  <c r="L57" i="2"/>
  <c r="L109" i="2" s="1"/>
  <c r="K34" i="4" s="1"/>
  <c r="L58" i="2"/>
  <c r="L110" i="2" s="1"/>
  <c r="K35" i="4" s="1"/>
  <c r="L59" i="2"/>
  <c r="L111" i="2" s="1"/>
  <c r="L60" i="2"/>
  <c r="L112" i="2" s="1"/>
  <c r="K37" i="4" s="1"/>
  <c r="L61" i="2"/>
  <c r="L113" i="2" s="1"/>
  <c r="K38" i="4" s="1"/>
  <c r="L62" i="2"/>
  <c r="L114" i="2" s="1"/>
  <c r="K39" i="4" s="1"/>
  <c r="L63" i="2"/>
  <c r="L115" i="2" s="1"/>
  <c r="K40" i="4" s="1"/>
  <c r="L64" i="2"/>
  <c r="L116" i="2" s="1"/>
  <c r="K41" i="4" s="1"/>
  <c r="L65" i="2"/>
  <c r="L117" i="2" s="1"/>
  <c r="K42" i="4" s="1"/>
  <c r="L67" i="2"/>
  <c r="L68" i="2"/>
  <c r="L120" i="2" s="1"/>
  <c r="K45" i="4" s="1"/>
  <c r="X13" i="6"/>
  <c r="V71" i="6" s="1"/>
  <c r="L70" i="2"/>
  <c r="L122" i="2" s="1"/>
  <c r="K47" i="4" s="1"/>
  <c r="L71" i="2"/>
  <c r="L123" i="2" s="1"/>
  <c r="L74" i="2"/>
  <c r="L126" i="2" s="1"/>
  <c r="K51" i="4" s="1"/>
  <c r="L75" i="2"/>
  <c r="L127" i="2" s="1"/>
  <c r="M128" i="2"/>
  <c r="L53" i="4" s="1"/>
  <c r="L76" i="2"/>
  <c r="L128" i="2" s="1"/>
  <c r="K53" i="4" s="1"/>
  <c r="U129" i="2"/>
  <c r="T54" i="4" s="1"/>
  <c r="M130" i="2"/>
  <c r="L55" i="4" s="1"/>
  <c r="L78" i="2"/>
  <c r="L130" i="2" s="1"/>
  <c r="K55" i="4" s="1"/>
  <c r="U131" i="2"/>
  <c r="T56" i="4" s="1"/>
  <c r="M132" i="2"/>
  <c r="L57" i="4" s="1"/>
  <c r="L80" i="2"/>
  <c r="L132" i="2" s="1"/>
  <c r="K57" i="4" s="1"/>
  <c r="U133" i="2"/>
  <c r="T58" i="4" s="1"/>
  <c r="M134" i="2"/>
  <c r="L59" i="4" s="1"/>
  <c r="L82" i="2"/>
  <c r="L134" i="2" s="1"/>
  <c r="K59" i="4" s="1"/>
  <c r="L84" i="2"/>
  <c r="L136" i="2" s="1"/>
  <c r="K61" i="4" s="1"/>
  <c r="L85" i="2"/>
  <c r="L137" i="2" s="1"/>
  <c r="L87" i="2"/>
  <c r="L88" i="2"/>
  <c r="L140" i="2" s="1"/>
  <c r="K65" i="4" s="1"/>
  <c r="L89" i="2"/>
  <c r="L141" i="2" s="1"/>
  <c r="L90" i="2"/>
  <c r="L142" i="2" s="1"/>
  <c r="L91" i="2"/>
  <c r="L143" i="2" s="1"/>
  <c r="K68" i="4" s="1"/>
  <c r="L92" i="2"/>
  <c r="L144" i="2" s="1"/>
  <c r="K69" i="4" s="1"/>
  <c r="L93" i="2"/>
  <c r="L145" i="2" s="1"/>
  <c r="L94" i="2"/>
  <c r="L146" i="2" s="1"/>
  <c r="L95" i="2"/>
  <c r="L147" i="2" s="1"/>
  <c r="K72" i="4" s="1"/>
  <c r="L96" i="2"/>
  <c r="L148" i="2" s="1"/>
  <c r="K73" i="4" s="1"/>
  <c r="L97" i="2"/>
  <c r="L149" i="2" s="1"/>
  <c r="L98" i="2"/>
  <c r="L150" i="2" s="1"/>
  <c r="K75" i="4" s="1"/>
  <c r="L99" i="2"/>
  <c r="L151" i="2" s="1"/>
  <c r="K76" i="4" s="1"/>
  <c r="L100" i="2"/>
  <c r="L152" i="2" s="1"/>
  <c r="K77" i="4" s="1"/>
  <c r="L101" i="2"/>
  <c r="L153" i="2" s="1"/>
  <c r="L102" i="2"/>
  <c r="L154" i="2" s="1"/>
  <c r="K79" i="4" s="1"/>
  <c r="E106" i="6"/>
  <c r="K106" i="6"/>
  <c r="AA101" i="1"/>
  <c r="E102" i="1"/>
  <c r="U103" i="1"/>
  <c r="AA103" i="1"/>
  <c r="O104" i="1"/>
  <c r="E73" i="1"/>
  <c r="E11" i="4" s="1"/>
  <c r="O106" i="1"/>
  <c r="AA107" i="1"/>
  <c r="O108" i="1"/>
  <c r="AA111" i="1"/>
  <c r="E112" i="1"/>
  <c r="N112" i="1"/>
  <c r="O112" i="1"/>
  <c r="E115" i="1"/>
  <c r="N115" i="1"/>
  <c r="O115" i="1"/>
  <c r="E118" i="1"/>
  <c r="N118" i="1"/>
  <c r="O118" i="1"/>
  <c r="E101" i="1"/>
  <c r="O101" i="1"/>
  <c r="L102" i="1"/>
  <c r="Q102" i="1"/>
  <c r="AA102" i="1"/>
  <c r="U104" i="1"/>
  <c r="U106" i="1"/>
  <c r="AA106" i="1"/>
  <c r="E107" i="1"/>
  <c r="O107" i="1"/>
  <c r="C108" i="1"/>
  <c r="U108" i="1"/>
  <c r="AA108" i="1"/>
  <c r="AA110" i="1"/>
  <c r="O111" i="1"/>
  <c r="E113" i="1"/>
  <c r="N113" i="1"/>
  <c r="O113" i="1"/>
  <c r="C115" i="1"/>
  <c r="E116" i="1"/>
  <c r="N116" i="1"/>
  <c r="O116" i="1"/>
  <c r="O120" i="1"/>
  <c r="N123" i="1"/>
  <c r="O123" i="1"/>
  <c r="U123" i="1"/>
  <c r="C120" i="1"/>
  <c r="C123" i="1"/>
  <c r="C291" i="3"/>
  <c r="E291" i="3" s="1"/>
  <c r="J41" i="1" s="1"/>
  <c r="E292" i="3"/>
  <c r="L41" i="1" s="1"/>
  <c r="E55" i="1"/>
  <c r="G55" i="1"/>
  <c r="G87" i="1" s="1"/>
  <c r="G25" i="4" s="1"/>
  <c r="I55" i="1"/>
  <c r="I87" i="1" s="1"/>
  <c r="I25" i="4" s="1"/>
  <c r="M55" i="1"/>
  <c r="M87" i="1" s="1"/>
  <c r="M25" i="4" s="1"/>
  <c r="O55" i="1"/>
  <c r="O87" i="1" s="1"/>
  <c r="O25" i="4" s="1"/>
  <c r="E58" i="1"/>
  <c r="G58" i="1"/>
  <c r="I58" i="1"/>
  <c r="C295" i="3" s="1"/>
  <c r="E295" i="3" s="1"/>
  <c r="I41" i="1" s="1"/>
  <c r="M58" i="1"/>
  <c r="O58" i="1"/>
  <c r="S58" i="1"/>
  <c r="D123" i="1"/>
  <c r="L123" i="1"/>
  <c r="Q123" i="1"/>
  <c r="S123" i="1"/>
  <c r="R123" i="1"/>
  <c r="H108" i="2"/>
  <c r="G33" i="4" s="1"/>
  <c r="J108" i="2"/>
  <c r="I33" i="4" s="1"/>
  <c r="N108" i="2"/>
  <c r="M33" i="4" s="1"/>
  <c r="P108" i="2"/>
  <c r="R108" i="2"/>
  <c r="V108" i="2"/>
  <c r="X108" i="2"/>
  <c r="W33" i="4" s="1"/>
  <c r="Z108" i="2"/>
  <c r="Y33" i="4" s="1"/>
  <c r="F3" i="6"/>
  <c r="F61" i="6" s="1"/>
  <c r="H109" i="2"/>
  <c r="G34" i="4" s="1"/>
  <c r="G57" i="2"/>
  <c r="G109" i="2" s="1"/>
  <c r="F34" i="4" s="1"/>
  <c r="L3" i="6"/>
  <c r="N3" i="6"/>
  <c r="L61" i="6" s="1"/>
  <c r="U3" i="6"/>
  <c r="S61" i="6" s="1"/>
  <c r="Z3" i="6"/>
  <c r="X61" i="6" s="1"/>
  <c r="AB3" i="6"/>
  <c r="Z61" i="6" s="1"/>
  <c r="F4" i="6"/>
  <c r="F62" i="6" s="1"/>
  <c r="H110" i="2"/>
  <c r="G35" i="4" s="1"/>
  <c r="G58" i="2"/>
  <c r="G110" i="2" s="1"/>
  <c r="F35" i="4" s="1"/>
  <c r="L4" i="6"/>
  <c r="N4" i="6"/>
  <c r="L62" i="6" s="1"/>
  <c r="U4" i="6"/>
  <c r="S62" i="6" s="1"/>
  <c r="X4" i="6"/>
  <c r="V62" i="6" s="1"/>
  <c r="Z4" i="6"/>
  <c r="X62" i="6" s="1"/>
  <c r="AB4" i="6"/>
  <c r="Z62" i="6" s="1"/>
  <c r="F23" i="6"/>
  <c r="F81" i="6" s="1"/>
  <c r="H111" i="2"/>
  <c r="G36" i="4" s="1"/>
  <c r="G59" i="2"/>
  <c r="G111" i="2" s="1"/>
  <c r="F36" i="4" s="1"/>
  <c r="L23" i="6"/>
  <c r="N23" i="6"/>
  <c r="L81" i="6" s="1"/>
  <c r="U23" i="6"/>
  <c r="S81" i="6" s="1"/>
  <c r="Z23" i="6"/>
  <c r="X81" i="6" s="1"/>
  <c r="AB23" i="6"/>
  <c r="Z81" i="6" s="1"/>
  <c r="F5" i="6"/>
  <c r="F63" i="6" s="1"/>
  <c r="L5" i="6"/>
  <c r="N5" i="6"/>
  <c r="L63" i="6" s="1"/>
  <c r="U5" i="6"/>
  <c r="S63" i="6" s="1"/>
  <c r="X5" i="6"/>
  <c r="V63" i="6" s="1"/>
  <c r="Z5" i="6"/>
  <c r="X63" i="6" s="1"/>
  <c r="AB5" i="6"/>
  <c r="Z63" i="6" s="1"/>
  <c r="F6" i="6"/>
  <c r="F64" i="6" s="1"/>
  <c r="L6" i="6"/>
  <c r="N6" i="6"/>
  <c r="L64" i="6" s="1"/>
  <c r="U6" i="6"/>
  <c r="S64" i="6" s="1"/>
  <c r="X6" i="6"/>
  <c r="V64" i="6" s="1"/>
  <c r="Z6" i="6"/>
  <c r="X64" i="6" s="1"/>
  <c r="AB6" i="6"/>
  <c r="Z64" i="6" s="1"/>
  <c r="F7" i="6"/>
  <c r="F65" i="6" s="1"/>
  <c r="L7" i="6"/>
  <c r="N7" i="6"/>
  <c r="L65" i="6" s="1"/>
  <c r="U7" i="6"/>
  <c r="S65" i="6" s="1"/>
  <c r="X7" i="6"/>
  <c r="V65" i="6" s="1"/>
  <c r="Z7" i="6"/>
  <c r="X65" i="6" s="1"/>
  <c r="AB7" i="6"/>
  <c r="Z65" i="6" s="1"/>
  <c r="F8" i="6"/>
  <c r="F66" i="6" s="1"/>
  <c r="L8" i="6"/>
  <c r="N8" i="6"/>
  <c r="L66" i="6" s="1"/>
  <c r="U8" i="6"/>
  <c r="S66" i="6" s="1"/>
  <c r="X8" i="6"/>
  <c r="V66" i="6" s="1"/>
  <c r="Z8" i="6"/>
  <c r="X66" i="6" s="1"/>
  <c r="AB8" i="6"/>
  <c r="Z66" i="6" s="1"/>
  <c r="X2" i="6"/>
  <c r="Z2" i="6"/>
  <c r="AB2" i="6"/>
  <c r="F10" i="6"/>
  <c r="F68" i="6" s="1"/>
  <c r="L10" i="6"/>
  <c r="N10" i="6"/>
  <c r="L68" i="6" s="1"/>
  <c r="U10" i="6"/>
  <c r="S68" i="6" s="1"/>
  <c r="X10" i="6"/>
  <c r="V68" i="6" s="1"/>
  <c r="Z10" i="6"/>
  <c r="X68" i="6" s="1"/>
  <c r="AB10" i="6"/>
  <c r="Z68" i="6" s="1"/>
  <c r="X12" i="6"/>
  <c r="Z12" i="6"/>
  <c r="AB12" i="6"/>
  <c r="F13" i="6"/>
  <c r="F71" i="6" s="1"/>
  <c r="L13" i="6"/>
  <c r="N13" i="6"/>
  <c r="L71" i="6" s="1"/>
  <c r="U13" i="6"/>
  <c r="S71" i="6" s="1"/>
  <c r="Z13" i="6"/>
  <c r="X71" i="6" s="1"/>
  <c r="AB13" i="6"/>
  <c r="Y14" i="6"/>
  <c r="W72" i="6" s="1"/>
  <c r="AB14" i="6"/>
  <c r="Z72" i="6" s="1"/>
  <c r="F37" i="6"/>
  <c r="F95" i="6" s="1"/>
  <c r="L37" i="6"/>
  <c r="N37" i="6"/>
  <c r="L95" i="6" s="1"/>
  <c r="U37" i="6"/>
  <c r="S95" i="6" s="1"/>
  <c r="X37" i="6"/>
  <c r="V95" i="6" s="1"/>
  <c r="Z37" i="6"/>
  <c r="X95" i="6" s="1"/>
  <c r="AB37" i="6"/>
  <c r="Z95" i="6" s="1"/>
  <c r="F15" i="6"/>
  <c r="F73" i="6" s="1"/>
  <c r="L15" i="6"/>
  <c r="N15" i="6"/>
  <c r="L73" i="6" s="1"/>
  <c r="U15" i="6"/>
  <c r="S73" i="6" s="1"/>
  <c r="X15" i="6"/>
  <c r="V73" i="6" s="1"/>
  <c r="Z15" i="6"/>
  <c r="X73" i="6" s="1"/>
  <c r="AB15" i="6"/>
  <c r="Z73" i="6" s="1"/>
  <c r="X17" i="6"/>
  <c r="Z17" i="6"/>
  <c r="AB17" i="6"/>
  <c r="F18" i="6"/>
  <c r="F76" i="6" s="1"/>
  <c r="L18" i="6"/>
  <c r="N18" i="6"/>
  <c r="L76" i="6" s="1"/>
  <c r="U18" i="6"/>
  <c r="S76" i="6" s="1"/>
  <c r="X18" i="6"/>
  <c r="V76" i="6" s="1"/>
  <c r="Z18" i="6"/>
  <c r="X76" i="6" s="1"/>
  <c r="AB18" i="6"/>
  <c r="Z76" i="6" s="1"/>
  <c r="F21" i="6"/>
  <c r="F79" i="6" s="1"/>
  <c r="L21" i="6"/>
  <c r="N21" i="6"/>
  <c r="L79" i="6" s="1"/>
  <c r="U21" i="6"/>
  <c r="S79" i="6" s="1"/>
  <c r="X21" i="6"/>
  <c r="V79" i="6" s="1"/>
  <c r="Z21" i="6"/>
  <c r="X79" i="6" s="1"/>
  <c r="AB21" i="6"/>
  <c r="Z79" i="6" s="1"/>
  <c r="F22" i="6"/>
  <c r="F80" i="6" s="1"/>
  <c r="L22" i="6"/>
  <c r="N22" i="6"/>
  <c r="L80" i="6" s="1"/>
  <c r="U22" i="6"/>
  <c r="S80" i="6" s="1"/>
  <c r="X22" i="6"/>
  <c r="V80" i="6" s="1"/>
  <c r="Z22" i="6"/>
  <c r="X80" i="6" s="1"/>
  <c r="AB22" i="6"/>
  <c r="Z80" i="6" s="1"/>
  <c r="F25" i="6"/>
  <c r="F83" i="6" s="1"/>
  <c r="L25" i="6"/>
  <c r="N25" i="6"/>
  <c r="L83" i="6" s="1"/>
  <c r="U25" i="6"/>
  <c r="S83" i="6" s="1"/>
  <c r="X25" i="6"/>
  <c r="V83" i="6" s="1"/>
  <c r="Z25" i="6"/>
  <c r="X83" i="6" s="1"/>
  <c r="AB25" i="6"/>
  <c r="Z83" i="6" s="1"/>
  <c r="F27" i="6"/>
  <c r="F85" i="6" s="1"/>
  <c r="L27" i="6"/>
  <c r="N27" i="6"/>
  <c r="L85" i="6" s="1"/>
  <c r="U27" i="6"/>
  <c r="S85" i="6" s="1"/>
  <c r="X27" i="6"/>
  <c r="V85" i="6" s="1"/>
  <c r="Z27" i="6"/>
  <c r="X85" i="6" s="1"/>
  <c r="AB27" i="6"/>
  <c r="Z85" i="6" s="1"/>
  <c r="F29" i="6"/>
  <c r="F87" i="6" s="1"/>
  <c r="L29" i="6"/>
  <c r="N29" i="6"/>
  <c r="L87" i="6" s="1"/>
  <c r="U29" i="6"/>
  <c r="S87" i="6" s="1"/>
  <c r="X29" i="6"/>
  <c r="V87" i="6" s="1"/>
  <c r="Z29" i="6"/>
  <c r="X87" i="6" s="1"/>
  <c r="AB29" i="6"/>
  <c r="Z87" i="6" s="1"/>
  <c r="F30" i="6"/>
  <c r="F88" i="6" s="1"/>
  <c r="L30" i="6"/>
  <c r="N30" i="6"/>
  <c r="L88" i="6" s="1"/>
  <c r="U30" i="6"/>
  <c r="S88" i="6" s="1"/>
  <c r="X30" i="6"/>
  <c r="V88" i="6" s="1"/>
  <c r="Z30" i="6"/>
  <c r="X88" i="6" s="1"/>
  <c r="AB30" i="6"/>
  <c r="Z88" i="6" s="1"/>
  <c r="F34" i="6"/>
  <c r="F92" i="6" s="1"/>
  <c r="L34" i="6"/>
  <c r="N34" i="6"/>
  <c r="L92" i="6" s="1"/>
  <c r="U34" i="6"/>
  <c r="S92" i="6" s="1"/>
  <c r="X34" i="6"/>
  <c r="V92" i="6" s="1"/>
  <c r="Z34" i="6"/>
  <c r="X92" i="6" s="1"/>
  <c r="AB34" i="6"/>
  <c r="Z92" i="6" s="1"/>
  <c r="F35" i="6"/>
  <c r="F93" i="6" s="1"/>
  <c r="L35" i="6"/>
  <c r="N35" i="6"/>
  <c r="L93" i="6" s="1"/>
  <c r="U35" i="6"/>
  <c r="S93" i="6" s="1"/>
  <c r="X35" i="6"/>
  <c r="V93" i="6" s="1"/>
  <c r="Z35" i="6"/>
  <c r="X93" i="6" s="1"/>
  <c r="AB35" i="6"/>
  <c r="Z93" i="6" s="1"/>
  <c r="F26" i="6"/>
  <c r="F84" i="6" s="1"/>
  <c r="L26" i="6"/>
  <c r="N26" i="6"/>
  <c r="L84" i="6" s="1"/>
  <c r="U26" i="6"/>
  <c r="S84" i="6" s="1"/>
  <c r="X26" i="6"/>
  <c r="V84" i="6" s="1"/>
  <c r="Z26" i="6"/>
  <c r="X84" i="6" s="1"/>
  <c r="AB26" i="6"/>
  <c r="Z84" i="6" s="1"/>
  <c r="F40" i="6"/>
  <c r="F98" i="6" s="1"/>
  <c r="L40" i="6"/>
  <c r="N40" i="6"/>
  <c r="L98" i="6" s="1"/>
  <c r="U40" i="6"/>
  <c r="S98" i="6" s="1"/>
  <c r="X40" i="6"/>
  <c r="V98" i="6" s="1"/>
  <c r="Z40" i="6"/>
  <c r="X98" i="6" s="1"/>
  <c r="AB40" i="6"/>
  <c r="Z98" i="6" s="1"/>
  <c r="X19" i="6"/>
  <c r="V77" i="6" s="1"/>
  <c r="Z19" i="6"/>
  <c r="X77" i="6" s="1"/>
  <c r="AB19" i="6"/>
  <c r="Z77" i="6" s="1"/>
  <c r="F20" i="6"/>
  <c r="F78" i="6" s="1"/>
  <c r="L20" i="6"/>
  <c r="N20" i="6"/>
  <c r="L78" i="6" s="1"/>
  <c r="U20" i="6"/>
  <c r="S78" i="6" s="1"/>
  <c r="X20" i="6"/>
  <c r="V78" i="6" s="1"/>
  <c r="Z20" i="6"/>
  <c r="X78" i="6" s="1"/>
  <c r="AB20" i="6"/>
  <c r="Z78" i="6" s="1"/>
  <c r="F24" i="6"/>
  <c r="F82" i="6" s="1"/>
  <c r="L24" i="6"/>
  <c r="N24" i="6"/>
  <c r="L82" i="6" s="1"/>
  <c r="U24" i="6"/>
  <c r="S82" i="6" s="1"/>
  <c r="X24" i="6"/>
  <c r="V82" i="6" s="1"/>
  <c r="Z24" i="6"/>
  <c r="X82" i="6" s="1"/>
  <c r="AB24" i="6"/>
  <c r="Z82" i="6" s="1"/>
  <c r="F28" i="6"/>
  <c r="F86" i="6" s="1"/>
  <c r="L28" i="6"/>
  <c r="N28" i="6"/>
  <c r="L86" i="6" s="1"/>
  <c r="U28" i="6"/>
  <c r="S86" i="6" s="1"/>
  <c r="X28" i="6"/>
  <c r="V86" i="6" s="1"/>
  <c r="Z28" i="6"/>
  <c r="X86" i="6" s="1"/>
  <c r="AB28" i="6"/>
  <c r="Z86" i="6" s="1"/>
  <c r="F32" i="6"/>
  <c r="F90" i="6" s="1"/>
  <c r="L32" i="6"/>
  <c r="N32" i="6"/>
  <c r="L90" i="6" s="1"/>
  <c r="U32" i="6"/>
  <c r="S90" i="6" s="1"/>
  <c r="X32" i="6"/>
  <c r="V90" i="6" s="1"/>
  <c r="Z32" i="6"/>
  <c r="X90" i="6" s="1"/>
  <c r="AB32" i="6"/>
  <c r="Z90" i="6" s="1"/>
  <c r="F33" i="6"/>
  <c r="F91" i="6" s="1"/>
  <c r="L33" i="6"/>
  <c r="N33" i="6"/>
  <c r="L91" i="6" s="1"/>
  <c r="U33" i="6"/>
  <c r="S91" i="6" s="1"/>
  <c r="X33" i="6"/>
  <c r="V91" i="6" s="1"/>
  <c r="Z33" i="6"/>
  <c r="X91" i="6" s="1"/>
  <c r="AB33" i="6"/>
  <c r="Z91" i="6" s="1"/>
  <c r="F36" i="6"/>
  <c r="F94" i="6" s="1"/>
  <c r="L36" i="6"/>
  <c r="N36" i="6"/>
  <c r="L94" i="6" s="1"/>
  <c r="U36" i="6"/>
  <c r="S94" i="6" s="1"/>
  <c r="X36" i="6"/>
  <c r="V94" i="6" s="1"/>
  <c r="Z36" i="6"/>
  <c r="X94" i="6" s="1"/>
  <c r="AB36" i="6"/>
  <c r="Z94" i="6" s="1"/>
  <c r="F38" i="6"/>
  <c r="F96" i="6" s="1"/>
  <c r="L38" i="6"/>
  <c r="N38" i="6"/>
  <c r="L96" i="6" s="1"/>
  <c r="U38" i="6"/>
  <c r="S96" i="6" s="1"/>
  <c r="X38" i="6"/>
  <c r="V96" i="6" s="1"/>
  <c r="Z38" i="6"/>
  <c r="X96" i="6" s="1"/>
  <c r="AB38" i="6"/>
  <c r="Z96" i="6" s="1"/>
  <c r="F39" i="6"/>
  <c r="F97" i="6" s="1"/>
  <c r="L39" i="6"/>
  <c r="N39" i="6"/>
  <c r="L97" i="6" s="1"/>
  <c r="U39" i="6"/>
  <c r="S97" i="6" s="1"/>
  <c r="X39" i="6"/>
  <c r="V97" i="6" s="1"/>
  <c r="Z39" i="6"/>
  <c r="X97" i="6" s="1"/>
  <c r="AB39" i="6"/>
  <c r="Z97" i="6" s="1"/>
  <c r="F42" i="6"/>
  <c r="L42" i="6"/>
  <c r="N42" i="6"/>
  <c r="U42" i="6"/>
  <c r="X42" i="6"/>
  <c r="Z42" i="6"/>
  <c r="AB42" i="6"/>
  <c r="F43" i="6"/>
  <c r="F101" i="6" s="1"/>
  <c r="L43" i="6"/>
  <c r="N43" i="6"/>
  <c r="L101" i="6" s="1"/>
  <c r="U43" i="6"/>
  <c r="S101" i="6" s="1"/>
  <c r="X43" i="6"/>
  <c r="V101" i="6" s="1"/>
  <c r="Z43" i="6"/>
  <c r="X101" i="6" s="1"/>
  <c r="AB43" i="6"/>
  <c r="Z101" i="6" s="1"/>
  <c r="L45" i="6"/>
  <c r="N45" i="6"/>
  <c r="L103" i="6" s="1"/>
  <c r="U45" i="6"/>
  <c r="S103" i="6" s="1"/>
  <c r="X45" i="6"/>
  <c r="V103" i="6" s="1"/>
  <c r="Z45" i="6"/>
  <c r="X103" i="6" s="1"/>
  <c r="AB45" i="6"/>
  <c r="Z103" i="6" s="1"/>
  <c r="F46" i="6"/>
  <c r="F104" i="6" s="1"/>
  <c r="L46" i="6"/>
  <c r="N46" i="6"/>
  <c r="L104" i="6" s="1"/>
  <c r="U46" i="6"/>
  <c r="S104" i="6" s="1"/>
  <c r="X46" i="6"/>
  <c r="V104" i="6" s="1"/>
  <c r="Z46" i="6"/>
  <c r="X104" i="6" s="1"/>
  <c r="AB46" i="6"/>
  <c r="Z104" i="6" s="1"/>
  <c r="L47" i="6"/>
  <c r="N47" i="6"/>
  <c r="L105" i="6" s="1"/>
  <c r="U47" i="6"/>
  <c r="S105" i="6" s="1"/>
  <c r="X47" i="6"/>
  <c r="V105" i="6" s="1"/>
  <c r="Z47" i="6"/>
  <c r="X105" i="6" s="1"/>
  <c r="AB47" i="6"/>
  <c r="Z105" i="6" s="1"/>
  <c r="F44" i="6"/>
  <c r="F102" i="6" s="1"/>
  <c r="L44" i="6"/>
  <c r="N44" i="6"/>
  <c r="L102" i="6" s="1"/>
  <c r="U44" i="6"/>
  <c r="S102" i="6" s="1"/>
  <c r="X44" i="6"/>
  <c r="V102" i="6" s="1"/>
  <c r="Z44" i="6"/>
  <c r="X102" i="6" s="1"/>
  <c r="AB44" i="6"/>
  <c r="Z102" i="6" s="1"/>
  <c r="D67" i="1"/>
  <c r="D5" i="4" s="1"/>
  <c r="D68" i="1"/>
  <c r="D6" i="4" s="1"/>
  <c r="D69" i="1"/>
  <c r="D7" i="4" s="1"/>
  <c r="D71" i="1"/>
  <c r="D9" i="4" s="1"/>
  <c r="D73" i="1"/>
  <c r="D11" i="4" s="1"/>
  <c r="D74" i="1"/>
  <c r="D12" i="4" s="1"/>
  <c r="D75" i="1"/>
  <c r="D13" i="4" s="1"/>
  <c r="Q112" i="1"/>
  <c r="U112" i="1"/>
  <c r="AA112" i="1"/>
  <c r="D80" i="1"/>
  <c r="D18" i="4" s="1"/>
  <c r="L113" i="1"/>
  <c r="Q113" i="1"/>
  <c r="AA113" i="1"/>
  <c r="D82" i="1"/>
  <c r="D20" i="4" s="1"/>
  <c r="Q115" i="1"/>
  <c r="U115" i="1"/>
  <c r="AA115" i="1"/>
  <c r="D83" i="1"/>
  <c r="D21" i="4" s="1"/>
  <c r="L116" i="1"/>
  <c r="Q116" i="1"/>
  <c r="AA116" i="1"/>
  <c r="D85" i="1"/>
  <c r="D23" i="4" s="1"/>
  <c r="Q118" i="1"/>
  <c r="U118" i="1"/>
  <c r="AA118" i="1"/>
  <c r="H55" i="1"/>
  <c r="H87" i="1" s="1"/>
  <c r="H25" i="4" s="1"/>
  <c r="J55" i="1"/>
  <c r="J87" i="1" s="1"/>
  <c r="J25" i="4" s="1"/>
  <c r="L55" i="1"/>
  <c r="L87" i="1" s="1"/>
  <c r="L25" i="4" s="1"/>
  <c r="Q120" i="1"/>
  <c r="U120" i="1"/>
  <c r="AA120" i="1"/>
  <c r="F58" i="1"/>
  <c r="H58" i="1"/>
  <c r="J58" i="1"/>
  <c r="L58" i="1"/>
  <c r="G59" i="1"/>
  <c r="K59" i="1"/>
  <c r="S59" i="1"/>
  <c r="S90" i="1" s="1"/>
  <c r="S28" i="4" s="1"/>
  <c r="F108" i="2"/>
  <c r="D109" i="2"/>
  <c r="C34" i="4" s="1"/>
  <c r="G3" i="6"/>
  <c r="G61" i="6" s="1"/>
  <c r="J3" i="6"/>
  <c r="J61" i="6" s="1"/>
  <c r="M3" i="6"/>
  <c r="K3" i="6"/>
  <c r="P3" i="6"/>
  <c r="N61" i="6" s="1"/>
  <c r="V3" i="6"/>
  <c r="T61" i="6" s="1"/>
  <c r="W3" i="6"/>
  <c r="U61" i="6" s="1"/>
  <c r="Y3" i="6"/>
  <c r="W61" i="6" s="1"/>
  <c r="AA3" i="6"/>
  <c r="Y61" i="6" s="1"/>
  <c r="D110" i="2"/>
  <c r="C35" i="4" s="1"/>
  <c r="G4" i="6"/>
  <c r="G62" i="6" s="1"/>
  <c r="J4" i="6"/>
  <c r="J62" i="6" s="1"/>
  <c r="M4" i="6"/>
  <c r="K4" i="6"/>
  <c r="P4" i="6"/>
  <c r="N62" i="6" s="1"/>
  <c r="V4" i="6"/>
  <c r="T62" i="6" s="1"/>
  <c r="W4" i="6"/>
  <c r="U62" i="6" s="1"/>
  <c r="Y4" i="6"/>
  <c r="W62" i="6" s="1"/>
  <c r="AA4" i="6"/>
  <c r="Y62" i="6" s="1"/>
  <c r="D111" i="2"/>
  <c r="C36" i="4" s="1"/>
  <c r="G23" i="6"/>
  <c r="G81" i="6" s="1"/>
  <c r="J23" i="6"/>
  <c r="J81" i="6" s="1"/>
  <c r="M23" i="6"/>
  <c r="K23" i="6"/>
  <c r="P23" i="6"/>
  <c r="V23" i="6"/>
  <c r="T81" i="6" s="1"/>
  <c r="W23" i="6"/>
  <c r="U81" i="6" s="1"/>
  <c r="Y23" i="6"/>
  <c r="W81" i="6" s="1"/>
  <c r="AA23" i="6"/>
  <c r="Y81" i="6" s="1"/>
  <c r="G5" i="6"/>
  <c r="G63" i="6" s="1"/>
  <c r="J5" i="6"/>
  <c r="J63" i="6" s="1"/>
  <c r="M5" i="6"/>
  <c r="K5" i="6"/>
  <c r="P5" i="6"/>
  <c r="N63" i="6" s="1"/>
  <c r="V5" i="6"/>
  <c r="T63" i="6" s="1"/>
  <c r="W5" i="6"/>
  <c r="U63" i="6" s="1"/>
  <c r="Y5" i="6"/>
  <c r="W63" i="6" s="1"/>
  <c r="AA5" i="6"/>
  <c r="Y63" i="6" s="1"/>
  <c r="G6" i="6"/>
  <c r="G64" i="6" s="1"/>
  <c r="J6" i="6"/>
  <c r="J64" i="6" s="1"/>
  <c r="M6" i="6"/>
  <c r="K6" i="6"/>
  <c r="P6" i="6"/>
  <c r="N64" i="6" s="1"/>
  <c r="V6" i="6"/>
  <c r="T64" i="6" s="1"/>
  <c r="W6" i="6"/>
  <c r="U64" i="6" s="1"/>
  <c r="Y6" i="6"/>
  <c r="W64" i="6" s="1"/>
  <c r="AA6" i="6"/>
  <c r="Y64" i="6" s="1"/>
  <c r="G7" i="6"/>
  <c r="G65" i="6" s="1"/>
  <c r="J7" i="6"/>
  <c r="J65" i="6" s="1"/>
  <c r="M7" i="6"/>
  <c r="K7" i="6"/>
  <c r="P7" i="6"/>
  <c r="N65" i="6" s="1"/>
  <c r="V7" i="6"/>
  <c r="T65" i="6" s="1"/>
  <c r="W7" i="6"/>
  <c r="U65" i="6" s="1"/>
  <c r="Y7" i="6"/>
  <c r="W65" i="6" s="1"/>
  <c r="AA7" i="6"/>
  <c r="Y65" i="6" s="1"/>
  <c r="G8" i="6"/>
  <c r="G66" i="6" s="1"/>
  <c r="J8" i="6"/>
  <c r="J66" i="6" s="1"/>
  <c r="M8" i="6"/>
  <c r="K8" i="6"/>
  <c r="P8" i="6"/>
  <c r="N66" i="6" s="1"/>
  <c r="V8" i="6"/>
  <c r="T66" i="6" s="1"/>
  <c r="W8" i="6"/>
  <c r="U66" i="6" s="1"/>
  <c r="Y8" i="6"/>
  <c r="W66" i="6" s="1"/>
  <c r="AA8" i="6"/>
  <c r="Y66" i="6" s="1"/>
  <c r="Y2" i="6"/>
  <c r="AA2" i="6"/>
  <c r="G10" i="6"/>
  <c r="G68" i="6" s="1"/>
  <c r="J10" i="6"/>
  <c r="J68" i="6" s="1"/>
  <c r="M10" i="6"/>
  <c r="K10" i="6"/>
  <c r="P10" i="6"/>
  <c r="N68" i="6" s="1"/>
  <c r="V10" i="6"/>
  <c r="T68" i="6" s="1"/>
  <c r="W10" i="6"/>
  <c r="U68" i="6" s="1"/>
  <c r="Y10" i="6"/>
  <c r="W68" i="6" s="1"/>
  <c r="AA10" i="6"/>
  <c r="Y68" i="6" s="1"/>
  <c r="Y12" i="6"/>
  <c r="AA12" i="6"/>
  <c r="G13" i="6"/>
  <c r="G71" i="6" s="1"/>
  <c r="J13" i="6"/>
  <c r="J71" i="6" s="1"/>
  <c r="M13" i="6"/>
  <c r="K13" i="6"/>
  <c r="P13" i="6"/>
  <c r="N71" i="6" s="1"/>
  <c r="V13" i="6"/>
  <c r="T71" i="6" s="1"/>
  <c r="W13" i="6"/>
  <c r="U71" i="6" s="1"/>
  <c r="Y13" i="6"/>
  <c r="W71" i="6" s="1"/>
  <c r="AA13" i="6"/>
  <c r="Y71" i="6" s="1"/>
  <c r="M14" i="6"/>
  <c r="V14" i="6"/>
  <c r="T72" i="6" s="1"/>
  <c r="G37" i="6"/>
  <c r="G95" i="6" s="1"/>
  <c r="J37" i="6"/>
  <c r="J95" i="6" s="1"/>
  <c r="M37" i="6"/>
  <c r="K37" i="6"/>
  <c r="P37" i="6"/>
  <c r="V37" i="6"/>
  <c r="T95" i="6" s="1"/>
  <c r="W37" i="6"/>
  <c r="U95" i="6" s="1"/>
  <c r="Y37" i="6"/>
  <c r="W95" i="6" s="1"/>
  <c r="AA37" i="6"/>
  <c r="Y95" i="6" s="1"/>
  <c r="G15" i="6"/>
  <c r="G73" i="6" s="1"/>
  <c r="J15" i="6"/>
  <c r="J73" i="6" s="1"/>
  <c r="M15" i="6"/>
  <c r="K15" i="6"/>
  <c r="P15" i="6"/>
  <c r="N73" i="6" s="1"/>
  <c r="V15" i="6"/>
  <c r="T73" i="6" s="1"/>
  <c r="W15" i="6"/>
  <c r="U73" i="6" s="1"/>
  <c r="Y15" i="6"/>
  <c r="W73" i="6" s="1"/>
  <c r="AA15" i="6"/>
  <c r="Y73" i="6" s="1"/>
  <c r="Y17" i="6"/>
  <c r="AA17" i="6"/>
  <c r="G18" i="6"/>
  <c r="G76" i="6" s="1"/>
  <c r="J18" i="6"/>
  <c r="J76" i="6" s="1"/>
  <c r="M18" i="6"/>
  <c r="K18" i="6"/>
  <c r="P18" i="6"/>
  <c r="V18" i="6"/>
  <c r="T76" i="6" s="1"/>
  <c r="W18" i="6"/>
  <c r="U76" i="6" s="1"/>
  <c r="Y18" i="6"/>
  <c r="W76" i="6" s="1"/>
  <c r="AA18" i="6"/>
  <c r="Y76" i="6" s="1"/>
  <c r="G21" i="6"/>
  <c r="G79" i="6" s="1"/>
  <c r="J21" i="6"/>
  <c r="J79" i="6" s="1"/>
  <c r="M21" i="6"/>
  <c r="K21" i="6"/>
  <c r="P21" i="6"/>
  <c r="V21" i="6"/>
  <c r="T79" i="6" s="1"/>
  <c r="W21" i="6"/>
  <c r="U79" i="6" s="1"/>
  <c r="Y21" i="6"/>
  <c r="W79" i="6" s="1"/>
  <c r="AA21" i="6"/>
  <c r="Y79" i="6" s="1"/>
  <c r="G22" i="6"/>
  <c r="G80" i="6" s="1"/>
  <c r="M22" i="6"/>
  <c r="K22" i="6"/>
  <c r="P22" i="6"/>
  <c r="V22" i="6"/>
  <c r="T80" i="6" s="1"/>
  <c r="W22" i="6"/>
  <c r="U80" i="6" s="1"/>
  <c r="Y22" i="6"/>
  <c r="W80" i="6" s="1"/>
  <c r="AA22" i="6"/>
  <c r="Y80" i="6" s="1"/>
  <c r="G25" i="6"/>
  <c r="G83" i="6" s="1"/>
  <c r="M25" i="6"/>
  <c r="K25" i="6"/>
  <c r="P25" i="6"/>
  <c r="V25" i="6"/>
  <c r="T83" i="6" s="1"/>
  <c r="W25" i="6"/>
  <c r="U83" i="6" s="1"/>
  <c r="Y25" i="6"/>
  <c r="W83" i="6" s="1"/>
  <c r="AA25" i="6"/>
  <c r="Y83" i="6" s="1"/>
  <c r="G27" i="6"/>
  <c r="G85" i="6" s="1"/>
  <c r="M27" i="6"/>
  <c r="K27" i="6"/>
  <c r="P27" i="6"/>
  <c r="V27" i="6"/>
  <c r="T85" i="6" s="1"/>
  <c r="W27" i="6"/>
  <c r="U85" i="6" s="1"/>
  <c r="Y27" i="6"/>
  <c r="W85" i="6" s="1"/>
  <c r="AA27" i="6"/>
  <c r="Y85" i="6" s="1"/>
  <c r="G29" i="6"/>
  <c r="G87" i="6" s="1"/>
  <c r="M29" i="6"/>
  <c r="K29" i="6"/>
  <c r="P29" i="6"/>
  <c r="V29" i="6"/>
  <c r="T87" i="6" s="1"/>
  <c r="W29" i="6"/>
  <c r="U87" i="6" s="1"/>
  <c r="Y29" i="6"/>
  <c r="W87" i="6" s="1"/>
  <c r="AA29" i="6"/>
  <c r="Y87" i="6" s="1"/>
  <c r="G30" i="6"/>
  <c r="G88" i="6" s="1"/>
  <c r="M30" i="6"/>
  <c r="K30" i="6"/>
  <c r="P30" i="6"/>
  <c r="V30" i="6"/>
  <c r="T88" i="6" s="1"/>
  <c r="W30" i="6"/>
  <c r="U88" i="6" s="1"/>
  <c r="Y30" i="6"/>
  <c r="W88" i="6" s="1"/>
  <c r="AA30" i="6"/>
  <c r="Y88" i="6" s="1"/>
  <c r="G34" i="6"/>
  <c r="G92" i="6" s="1"/>
  <c r="M34" i="6"/>
  <c r="K34" i="6"/>
  <c r="P34" i="6"/>
  <c r="V34" i="6"/>
  <c r="T92" i="6" s="1"/>
  <c r="W34" i="6"/>
  <c r="U92" i="6" s="1"/>
  <c r="Y34" i="6"/>
  <c r="W92" i="6" s="1"/>
  <c r="AA34" i="6"/>
  <c r="Y92" i="6" s="1"/>
  <c r="G35" i="6"/>
  <c r="G93" i="6" s="1"/>
  <c r="M35" i="6"/>
  <c r="K35" i="6"/>
  <c r="P35" i="6"/>
  <c r="V35" i="6"/>
  <c r="T93" i="6" s="1"/>
  <c r="W35" i="6"/>
  <c r="U93" i="6" s="1"/>
  <c r="Y35" i="6"/>
  <c r="W93" i="6" s="1"/>
  <c r="AA35" i="6"/>
  <c r="Y93" i="6" s="1"/>
  <c r="M31" i="6"/>
  <c r="K31" i="6"/>
  <c r="G26" i="6"/>
  <c r="G84" i="6" s="1"/>
  <c r="J26" i="6"/>
  <c r="J84" i="6" s="1"/>
  <c r="M26" i="6"/>
  <c r="K26" i="6"/>
  <c r="P26" i="6"/>
  <c r="V26" i="6"/>
  <c r="T84" i="6" s="1"/>
  <c r="W26" i="6"/>
  <c r="U84" i="6" s="1"/>
  <c r="Y26" i="6"/>
  <c r="W84" i="6" s="1"/>
  <c r="AA26" i="6"/>
  <c r="Y84" i="6" s="1"/>
  <c r="G40" i="6"/>
  <c r="G98" i="6" s="1"/>
  <c r="J40" i="6"/>
  <c r="J98" i="6" s="1"/>
  <c r="M40" i="6"/>
  <c r="K40" i="6"/>
  <c r="P40" i="6"/>
  <c r="V40" i="6"/>
  <c r="T98" i="6" s="1"/>
  <c r="W40" i="6"/>
  <c r="U98" i="6" s="1"/>
  <c r="Y40" i="6"/>
  <c r="W98" i="6" s="1"/>
  <c r="AA40" i="6"/>
  <c r="Y98" i="6" s="1"/>
  <c r="Y19" i="6"/>
  <c r="W77" i="6" s="1"/>
  <c r="AA19" i="6"/>
  <c r="Y77" i="6" s="1"/>
  <c r="G20" i="6"/>
  <c r="G78" i="6" s="1"/>
  <c r="J20" i="6"/>
  <c r="J78" i="6" s="1"/>
  <c r="M20" i="6"/>
  <c r="K20" i="6"/>
  <c r="P20" i="6"/>
  <c r="V20" i="6"/>
  <c r="T78" i="6" s="1"/>
  <c r="W20" i="6"/>
  <c r="U78" i="6" s="1"/>
  <c r="Y20" i="6"/>
  <c r="W78" i="6" s="1"/>
  <c r="AA20" i="6"/>
  <c r="Y78" i="6" s="1"/>
  <c r="G24" i="6"/>
  <c r="G82" i="6" s="1"/>
  <c r="J24" i="6"/>
  <c r="J82" i="6" s="1"/>
  <c r="M24" i="6"/>
  <c r="K24" i="6"/>
  <c r="P24" i="6"/>
  <c r="V24" i="6"/>
  <c r="T82" i="6" s="1"/>
  <c r="W24" i="6"/>
  <c r="U82" i="6" s="1"/>
  <c r="Y24" i="6"/>
  <c r="W82" i="6" s="1"/>
  <c r="AA24" i="6"/>
  <c r="Y82" i="6" s="1"/>
  <c r="G28" i="6"/>
  <c r="G86" i="6" s="1"/>
  <c r="J28" i="6"/>
  <c r="J86" i="6" s="1"/>
  <c r="M28" i="6"/>
  <c r="K28" i="6"/>
  <c r="P28" i="6"/>
  <c r="V28" i="6"/>
  <c r="T86" i="6" s="1"/>
  <c r="W28" i="6"/>
  <c r="U86" i="6" s="1"/>
  <c r="Y28" i="6"/>
  <c r="W86" i="6" s="1"/>
  <c r="AA28" i="6"/>
  <c r="Y86" i="6" s="1"/>
  <c r="G32" i="6"/>
  <c r="G90" i="6" s="1"/>
  <c r="J32" i="6"/>
  <c r="J90" i="6" s="1"/>
  <c r="M32" i="6"/>
  <c r="K32" i="6"/>
  <c r="P32" i="6"/>
  <c r="V32" i="6"/>
  <c r="T90" i="6" s="1"/>
  <c r="W32" i="6"/>
  <c r="U90" i="6" s="1"/>
  <c r="Y32" i="6"/>
  <c r="W90" i="6" s="1"/>
  <c r="AA32" i="6"/>
  <c r="Y90" i="6" s="1"/>
  <c r="G33" i="6"/>
  <c r="G91" i="6" s="1"/>
  <c r="J33" i="6"/>
  <c r="J91" i="6" s="1"/>
  <c r="M33" i="6"/>
  <c r="K33" i="6"/>
  <c r="P33" i="6"/>
  <c r="V33" i="6"/>
  <c r="T91" i="6" s="1"/>
  <c r="W33" i="6"/>
  <c r="U91" i="6" s="1"/>
  <c r="Y33" i="6"/>
  <c r="W91" i="6" s="1"/>
  <c r="AA33" i="6"/>
  <c r="Y91" i="6" s="1"/>
  <c r="G36" i="6"/>
  <c r="G94" i="6" s="1"/>
  <c r="J36" i="6"/>
  <c r="J94" i="6" s="1"/>
  <c r="M36" i="6"/>
  <c r="K36" i="6"/>
  <c r="P36" i="6"/>
  <c r="V36" i="6"/>
  <c r="T94" i="6" s="1"/>
  <c r="W36" i="6"/>
  <c r="U94" i="6" s="1"/>
  <c r="Y36" i="6"/>
  <c r="W94" i="6" s="1"/>
  <c r="AA36" i="6"/>
  <c r="Y94" i="6" s="1"/>
  <c r="G38" i="6"/>
  <c r="G96" i="6" s="1"/>
  <c r="J38" i="6"/>
  <c r="J96" i="6" s="1"/>
  <c r="M38" i="6"/>
  <c r="K38" i="6"/>
  <c r="P38" i="6"/>
  <c r="V38" i="6"/>
  <c r="T96" i="6" s="1"/>
  <c r="W38" i="6"/>
  <c r="U96" i="6" s="1"/>
  <c r="Y38" i="6"/>
  <c r="W96" i="6" s="1"/>
  <c r="AA38" i="6"/>
  <c r="Y96" i="6" s="1"/>
  <c r="G39" i="6"/>
  <c r="G97" i="6" s="1"/>
  <c r="J39" i="6"/>
  <c r="J97" i="6" s="1"/>
  <c r="M39" i="6"/>
  <c r="K39" i="6"/>
  <c r="P39" i="6"/>
  <c r="V39" i="6"/>
  <c r="T97" i="6" s="1"/>
  <c r="W39" i="6"/>
  <c r="U97" i="6" s="1"/>
  <c r="Y39" i="6"/>
  <c r="W97" i="6" s="1"/>
  <c r="AA39" i="6"/>
  <c r="Y97" i="6" s="1"/>
  <c r="G42" i="6"/>
  <c r="J42" i="6"/>
  <c r="M42" i="6"/>
  <c r="K42" i="6"/>
  <c r="P42" i="6"/>
  <c r="V42" i="6"/>
  <c r="W42" i="6"/>
  <c r="Y42" i="6"/>
  <c r="AA42" i="6"/>
  <c r="G43" i="6"/>
  <c r="G101" i="6" s="1"/>
  <c r="J43" i="6"/>
  <c r="J101" i="6" s="1"/>
  <c r="M43" i="6"/>
  <c r="K43" i="6"/>
  <c r="P43" i="6"/>
  <c r="V43" i="6"/>
  <c r="T101" i="6" s="1"/>
  <c r="W43" i="6"/>
  <c r="U101" i="6" s="1"/>
  <c r="Y43" i="6"/>
  <c r="W101" i="6" s="1"/>
  <c r="AA43" i="6"/>
  <c r="Y101" i="6" s="1"/>
  <c r="G45" i="6"/>
  <c r="G103" i="6" s="1"/>
  <c r="J45" i="6"/>
  <c r="J103" i="6" s="1"/>
  <c r="M45" i="6"/>
  <c r="K45" i="6"/>
  <c r="P45" i="6"/>
  <c r="V45" i="6"/>
  <c r="T103" i="6" s="1"/>
  <c r="W45" i="6"/>
  <c r="U103" i="6" s="1"/>
  <c r="Y45" i="6"/>
  <c r="W103" i="6" s="1"/>
  <c r="AA45" i="6"/>
  <c r="Y103" i="6" s="1"/>
  <c r="G46" i="6"/>
  <c r="G104" i="6" s="1"/>
  <c r="J46" i="6"/>
  <c r="J104" i="6" s="1"/>
  <c r="M46" i="6"/>
  <c r="K46" i="6"/>
  <c r="P46" i="6"/>
  <c r="V46" i="6"/>
  <c r="T104" i="6" s="1"/>
  <c r="W46" i="6"/>
  <c r="U104" i="6" s="1"/>
  <c r="Y46" i="6"/>
  <c r="W104" i="6" s="1"/>
  <c r="AA46" i="6"/>
  <c r="Y104" i="6" s="1"/>
  <c r="G47" i="6"/>
  <c r="G105" i="6" s="1"/>
  <c r="J47" i="6"/>
  <c r="J105" i="6" s="1"/>
  <c r="M47" i="6"/>
  <c r="K47" i="6"/>
  <c r="P47" i="6"/>
  <c r="V47" i="6"/>
  <c r="T105" i="6" s="1"/>
  <c r="W47" i="6"/>
  <c r="U105" i="6" s="1"/>
  <c r="Y47" i="6"/>
  <c r="W105" i="6" s="1"/>
  <c r="AA47" i="6"/>
  <c r="Y105" i="6" s="1"/>
  <c r="G44" i="6"/>
  <c r="G102" i="6" s="1"/>
  <c r="J44" i="6"/>
  <c r="J102" i="6" s="1"/>
  <c r="M44" i="6"/>
  <c r="K44" i="6"/>
  <c r="P44" i="6"/>
  <c r="V44" i="6"/>
  <c r="T102" i="6" s="1"/>
  <c r="Y44" i="6"/>
  <c r="W102" i="6" s="1"/>
  <c r="AA44" i="6"/>
  <c r="Y102" i="6" s="1"/>
  <c r="G60" i="2"/>
  <c r="G112" i="2" s="1"/>
  <c r="F37" i="4" s="1"/>
  <c r="G61" i="2"/>
  <c r="G113" i="2" s="1"/>
  <c r="F38" i="4" s="1"/>
  <c r="G62" i="2"/>
  <c r="G114" i="2" s="1"/>
  <c r="F39" i="4" s="1"/>
  <c r="G63" i="2"/>
  <c r="G115" i="2" s="1"/>
  <c r="F40" i="4" s="1"/>
  <c r="G64" i="2"/>
  <c r="G116" i="2" s="1"/>
  <c r="F41" i="4" s="1"/>
  <c r="G65" i="2"/>
  <c r="G117" i="2" s="1"/>
  <c r="F42" i="4" s="1"/>
  <c r="G67" i="2"/>
  <c r="G68" i="2"/>
  <c r="G120" i="2" s="1"/>
  <c r="F45" i="4" s="1"/>
  <c r="G70" i="2"/>
  <c r="G122" i="2" s="1"/>
  <c r="F47" i="4" s="1"/>
  <c r="G71" i="2"/>
  <c r="G123" i="2" s="1"/>
  <c r="F48" i="4" s="1"/>
  <c r="G73" i="2"/>
  <c r="G74" i="2"/>
  <c r="G126" i="2" s="1"/>
  <c r="F51" i="4" s="1"/>
  <c r="G75" i="2"/>
  <c r="G127" i="2" s="1"/>
  <c r="F52" i="4" s="1"/>
  <c r="G76" i="2"/>
  <c r="G128" i="2" s="1"/>
  <c r="F53" i="4" s="1"/>
  <c r="G77" i="2"/>
  <c r="G129" i="2" s="1"/>
  <c r="F54" i="4" s="1"/>
  <c r="G78" i="2"/>
  <c r="G130" i="2" s="1"/>
  <c r="F55" i="4" s="1"/>
  <c r="G79" i="2"/>
  <c r="G131" i="2" s="1"/>
  <c r="F56" i="4" s="1"/>
  <c r="G80" i="2"/>
  <c r="G132" i="2" s="1"/>
  <c r="F57" i="4" s="1"/>
  <c r="G81" i="2"/>
  <c r="G133" i="2" s="1"/>
  <c r="F58" i="4" s="1"/>
  <c r="G82" i="2"/>
  <c r="G134" i="2" s="1"/>
  <c r="F59" i="4" s="1"/>
  <c r="G83" i="2"/>
  <c r="G135" i="2" s="1"/>
  <c r="F60" i="4" s="1"/>
  <c r="G84" i="2"/>
  <c r="G136" i="2" s="1"/>
  <c r="F61" i="4" s="1"/>
  <c r="G85" i="2"/>
  <c r="G137" i="2" s="1"/>
  <c r="F62" i="4" s="1"/>
  <c r="G87" i="2"/>
  <c r="G88" i="2"/>
  <c r="G140" i="2" s="1"/>
  <c r="F65" i="4" s="1"/>
  <c r="G89" i="2"/>
  <c r="G141" i="2" s="1"/>
  <c r="F66" i="4" s="1"/>
  <c r="G90" i="2"/>
  <c r="G142" i="2" s="1"/>
  <c r="F67" i="4" s="1"/>
  <c r="G91" i="2"/>
  <c r="G143" i="2" s="1"/>
  <c r="F68" i="4" s="1"/>
  <c r="G92" i="2"/>
  <c r="G144" i="2" s="1"/>
  <c r="F69" i="4" s="1"/>
  <c r="G93" i="2"/>
  <c r="G145" i="2" s="1"/>
  <c r="F70" i="4" s="1"/>
  <c r="G94" i="2"/>
  <c r="G146" i="2" s="1"/>
  <c r="F71" i="4" s="1"/>
  <c r="G95" i="2"/>
  <c r="G147" i="2" s="1"/>
  <c r="F72" i="4" s="1"/>
  <c r="G96" i="2"/>
  <c r="G148" i="2" s="1"/>
  <c r="F73" i="4" s="1"/>
  <c r="G97" i="2"/>
  <c r="G149" i="2" s="1"/>
  <c r="F74" i="4" s="1"/>
  <c r="G98" i="2"/>
  <c r="G150" i="2" s="1"/>
  <c r="F75" i="4" s="1"/>
  <c r="G99" i="2"/>
  <c r="G151" i="2" s="1"/>
  <c r="F76" i="4" s="1"/>
  <c r="G100" i="2"/>
  <c r="G152" i="2" s="1"/>
  <c r="F77" i="4" s="1"/>
  <c r="G101" i="2"/>
  <c r="G153" i="2" s="1"/>
  <c r="F78" i="4" s="1"/>
  <c r="G102" i="2"/>
  <c r="G154" i="2" s="1"/>
  <c r="F79" i="4" s="1"/>
  <c r="E51" i="3"/>
  <c r="R60" i="6"/>
  <c r="T11" i="6"/>
  <c r="D67" i="6"/>
  <c r="F67" i="6"/>
  <c r="F31" i="6"/>
  <c r="F89" i="6" s="1"/>
  <c r="H67" i="6"/>
  <c r="J67" i="6"/>
  <c r="L67" i="6"/>
  <c r="N31" i="6"/>
  <c r="L89" i="6" s="1"/>
  <c r="N67" i="6"/>
  <c r="P31" i="6"/>
  <c r="P67" i="6"/>
  <c r="R67" i="6"/>
  <c r="T31" i="6"/>
  <c r="R89" i="6" s="1"/>
  <c r="T67" i="6"/>
  <c r="V31" i="6"/>
  <c r="T89" i="6" s="1"/>
  <c r="V67" i="6"/>
  <c r="X31" i="6"/>
  <c r="V89" i="6" s="1"/>
  <c r="X67" i="6"/>
  <c r="Z31" i="6"/>
  <c r="X89" i="6" s="1"/>
  <c r="Z67" i="6"/>
  <c r="AB31" i="6"/>
  <c r="Z89" i="6" s="1"/>
  <c r="T16" i="6"/>
  <c r="R74" i="6" s="1"/>
  <c r="M75" i="6"/>
  <c r="O41" i="6"/>
  <c r="M99" i="6" s="1"/>
  <c r="O75" i="6"/>
  <c r="Q41" i="6"/>
  <c r="O99" i="6" s="1"/>
  <c r="E67" i="6"/>
  <c r="G67" i="6"/>
  <c r="G31" i="6"/>
  <c r="G89" i="6" s="1"/>
  <c r="I67" i="6"/>
  <c r="L31" i="6"/>
  <c r="K67" i="6"/>
  <c r="M67" i="6"/>
  <c r="O31" i="6"/>
  <c r="M89" i="6" s="1"/>
  <c r="O67" i="6"/>
  <c r="Q31" i="6"/>
  <c r="O89" i="6" s="1"/>
  <c r="Q67" i="6"/>
  <c r="S67" i="6"/>
  <c r="U31" i="6"/>
  <c r="S89" i="6" s="1"/>
  <c r="U67" i="6"/>
  <c r="W67" i="6"/>
  <c r="Y31" i="6"/>
  <c r="W89" i="6" s="1"/>
  <c r="Y67" i="6"/>
  <c r="AA31" i="6"/>
  <c r="Y89" i="6" s="1"/>
  <c r="O11" i="6"/>
  <c r="Q11" i="6"/>
  <c r="O16" i="6"/>
  <c r="M74" i="6" s="1"/>
  <c r="Q16" i="6"/>
  <c r="O74" i="6" s="1"/>
  <c r="R75" i="6"/>
  <c r="T41" i="6"/>
  <c r="R99" i="6" s="1"/>
  <c r="O143" i="6"/>
  <c r="N106" i="6"/>
  <c r="M100" i="6"/>
  <c r="O49" i="6"/>
  <c r="M107" i="6" s="1"/>
  <c r="O100" i="6"/>
  <c r="Q49" i="6"/>
  <c r="O107" i="6" s="1"/>
  <c r="T49" i="6"/>
  <c r="R107" i="6" s="1"/>
  <c r="X72" i="2" l="1"/>
  <c r="X104" i="2" s="1"/>
  <c r="N65" i="1"/>
  <c r="N3" i="4" s="1"/>
  <c r="C112" i="1"/>
  <c r="M77" i="1"/>
  <c r="M15" i="4" s="1"/>
  <c r="W44" i="6"/>
  <c r="U102" i="6" s="1"/>
  <c r="S46" i="6"/>
  <c r="Q104" i="6" s="1"/>
  <c r="E33" i="1"/>
  <c r="E65" i="1" s="1"/>
  <c r="E3" i="4" s="1"/>
  <c r="L14" i="6"/>
  <c r="W14" i="6"/>
  <c r="U72" i="6" s="1"/>
  <c r="I72" i="2"/>
  <c r="C287" i="3"/>
  <c r="C305" i="3" s="1"/>
  <c r="B60" i="1"/>
  <c r="S40" i="6"/>
  <c r="Q98" i="6" s="1"/>
  <c r="U121" i="2"/>
  <c r="T46" i="4" s="1"/>
  <c r="AB124" i="2"/>
  <c r="AA49" i="4" s="1"/>
  <c r="P14" i="6"/>
  <c r="N72" i="6" s="1"/>
  <c r="Z72" i="2"/>
  <c r="Z104" i="2" s="1"/>
  <c r="N14" i="6"/>
  <c r="L72" i="6" s="1"/>
  <c r="S72" i="2"/>
  <c r="S104" i="2" s="1"/>
  <c r="R120" i="1"/>
  <c r="T25" i="4"/>
  <c r="Q72" i="2"/>
  <c r="Q104" i="2" s="1"/>
  <c r="AB138" i="2"/>
  <c r="AA63" i="4" s="1"/>
  <c r="S120" i="1"/>
  <c r="V72" i="2"/>
  <c r="V104" i="2" s="1"/>
  <c r="S36" i="6"/>
  <c r="Q94" i="6" s="1"/>
  <c r="R72" i="2"/>
  <c r="R104" i="2" s="1"/>
  <c r="S43" i="6"/>
  <c r="Q101" i="6" s="1"/>
  <c r="S24" i="6"/>
  <c r="Q82" i="6" s="1"/>
  <c r="S15" i="6"/>
  <c r="Q73" i="6" s="1"/>
  <c r="K14" i="6"/>
  <c r="U14" i="6"/>
  <c r="S72" i="6" s="1"/>
  <c r="C118" i="1"/>
  <c r="B40" i="1"/>
  <c r="B38" i="1"/>
  <c r="B70" i="1" s="1"/>
  <c r="B103" i="1" s="1"/>
  <c r="S46" i="1"/>
  <c r="S78" i="1" s="1"/>
  <c r="S16" i="4" s="1"/>
  <c r="Y72" i="2"/>
  <c r="Y104" i="2" s="1"/>
  <c r="N72" i="2"/>
  <c r="N104" i="2" s="1"/>
  <c r="B51" i="1"/>
  <c r="B83" i="1" s="1"/>
  <c r="B116" i="1" s="1"/>
  <c r="B48" i="1"/>
  <c r="B80" i="1" s="1"/>
  <c r="B39" i="1"/>
  <c r="B71" i="1" s="1"/>
  <c r="B104" i="1" s="1"/>
  <c r="B35" i="1"/>
  <c r="B67" i="1" s="1"/>
  <c r="B5" i="4" s="1"/>
  <c r="G2" i="6"/>
  <c r="G60" i="6" s="1"/>
  <c r="E33" i="4"/>
  <c r="N2" i="6"/>
  <c r="L60" i="6" s="1"/>
  <c r="Q33" i="4"/>
  <c r="I47" i="6"/>
  <c r="I105" i="6" s="1"/>
  <c r="K78" i="4"/>
  <c r="I43" i="6"/>
  <c r="I101" i="6" s="1"/>
  <c r="K74" i="4"/>
  <c r="I36" i="6"/>
  <c r="I94" i="6" s="1"/>
  <c r="K70" i="4"/>
  <c r="I24" i="6"/>
  <c r="I82" i="6" s="1"/>
  <c r="K66" i="4"/>
  <c r="I40" i="6"/>
  <c r="I98" i="6" s="1"/>
  <c r="K62" i="4"/>
  <c r="I21" i="6"/>
  <c r="I79" i="6" s="1"/>
  <c r="K52" i="4"/>
  <c r="I15" i="6"/>
  <c r="I73" i="6" s="1"/>
  <c r="K48" i="4"/>
  <c r="I34" i="6"/>
  <c r="I92" i="6" s="1"/>
  <c r="K58" i="4"/>
  <c r="I25" i="6"/>
  <c r="I83" i="6" s="1"/>
  <c r="K54" i="4"/>
  <c r="S22" i="6"/>
  <c r="Q80" i="6" s="1"/>
  <c r="T53" i="4"/>
  <c r="X93" i="1"/>
  <c r="X3" i="4"/>
  <c r="K107" i="1"/>
  <c r="K12" i="4"/>
  <c r="O110" i="1"/>
  <c r="Q15" i="4"/>
  <c r="S115" i="1"/>
  <c r="T20" i="4"/>
  <c r="E108" i="1"/>
  <c r="E13" i="4"/>
  <c r="L107" i="1"/>
  <c r="L12" i="4"/>
  <c r="L101" i="1"/>
  <c r="L6" i="4"/>
  <c r="L108" i="1"/>
  <c r="L13" i="4"/>
  <c r="Q106" i="1"/>
  <c r="R11" i="4"/>
  <c r="E43" i="6"/>
  <c r="E101" i="6" s="1"/>
  <c r="C74" i="4"/>
  <c r="E24" i="6"/>
  <c r="E82" i="6" s="1"/>
  <c r="C66" i="4"/>
  <c r="E30" i="6"/>
  <c r="E88" i="6" s="1"/>
  <c r="C57" i="4"/>
  <c r="E15" i="6"/>
  <c r="E73" i="6" s="1"/>
  <c r="C48" i="4"/>
  <c r="E5" i="6"/>
  <c r="E63" i="6" s="1"/>
  <c r="C37" i="4"/>
  <c r="E38" i="6"/>
  <c r="E96" i="6" s="1"/>
  <c r="C71" i="4"/>
  <c r="E28" i="6"/>
  <c r="E86" i="6" s="1"/>
  <c r="C67" i="4"/>
  <c r="C107" i="1"/>
  <c r="C12" i="4"/>
  <c r="C104" i="1"/>
  <c r="C9" i="4"/>
  <c r="S111" i="1"/>
  <c r="T16" i="4"/>
  <c r="U111" i="1"/>
  <c r="AA16" i="4"/>
  <c r="I124" i="2"/>
  <c r="H49" i="4" s="1"/>
  <c r="H44" i="4"/>
  <c r="W118" i="2"/>
  <c r="V43" i="4" s="1"/>
  <c r="V33" i="4"/>
  <c r="N155" i="2"/>
  <c r="M80" i="4" s="1"/>
  <c r="M64" i="4"/>
  <c r="J17" i="6"/>
  <c r="J75" i="6" s="1"/>
  <c r="L50" i="4"/>
  <c r="J138" i="2"/>
  <c r="I63" i="4" s="1"/>
  <c r="I50" i="4"/>
  <c r="H138" i="2"/>
  <c r="G63" i="4" s="1"/>
  <c r="G50" i="4"/>
  <c r="J124" i="2"/>
  <c r="I49" i="4" s="1"/>
  <c r="I44" i="4"/>
  <c r="F12" i="6"/>
  <c r="F70" i="6" s="1"/>
  <c r="D44" i="4"/>
  <c r="E118" i="2"/>
  <c r="D43" i="4" s="1"/>
  <c r="D33" i="4"/>
  <c r="F45" i="6"/>
  <c r="F103" i="6" s="1"/>
  <c r="D76" i="4"/>
  <c r="R45" i="6"/>
  <c r="P103" i="6" s="1"/>
  <c r="S76" i="4"/>
  <c r="R47" i="6"/>
  <c r="P105" i="6" s="1"/>
  <c r="S78" i="4"/>
  <c r="R46" i="6"/>
  <c r="P104" i="6" s="1"/>
  <c r="S77" i="4"/>
  <c r="R38" i="6"/>
  <c r="P96" i="6" s="1"/>
  <c r="S71" i="4"/>
  <c r="R33" i="6"/>
  <c r="P91" i="6" s="1"/>
  <c r="S69" i="4"/>
  <c r="R28" i="6"/>
  <c r="P86" i="6" s="1"/>
  <c r="O181" i="6" s="1"/>
  <c r="S67" i="4"/>
  <c r="R20" i="6"/>
  <c r="P78" i="6" s="1"/>
  <c r="O173" i="6" s="1"/>
  <c r="S65" i="4"/>
  <c r="R15" i="6"/>
  <c r="P73" i="6" s="1"/>
  <c r="O168" i="6" s="1"/>
  <c r="S48" i="4"/>
  <c r="S10" i="6"/>
  <c r="Q68" i="6" s="1"/>
  <c r="T42" i="4"/>
  <c r="S8" i="6"/>
  <c r="Q66" i="6" s="1"/>
  <c r="T40" i="4"/>
  <c r="S6" i="6"/>
  <c r="Q64" i="6" s="1"/>
  <c r="T38" i="4"/>
  <c r="S23" i="6"/>
  <c r="Q81" i="6" s="1"/>
  <c r="T36" i="4"/>
  <c r="S3" i="6"/>
  <c r="Q61" i="6" s="1"/>
  <c r="T34" i="4"/>
  <c r="R27" i="6"/>
  <c r="P85" i="6" s="1"/>
  <c r="O180" i="6" s="1"/>
  <c r="S55" i="4"/>
  <c r="AA118" i="2"/>
  <c r="Z43" i="4" s="1"/>
  <c r="Z36" i="4"/>
  <c r="B47" i="1"/>
  <c r="B79" i="1" s="1"/>
  <c r="B42" i="1"/>
  <c r="B74" i="1" s="1"/>
  <c r="B12" i="4" s="1"/>
  <c r="S45" i="1"/>
  <c r="U2" i="6"/>
  <c r="U11" i="6" s="1"/>
  <c r="U33" i="4"/>
  <c r="L2" i="6"/>
  <c r="L11" i="6" s="1"/>
  <c r="O33" i="4"/>
  <c r="I38" i="6"/>
  <c r="I96" i="6" s="1"/>
  <c r="K71" i="4"/>
  <c r="I28" i="6"/>
  <c r="I86" i="6" s="1"/>
  <c r="K67" i="4"/>
  <c r="R26" i="6"/>
  <c r="P84" i="6" s="1"/>
  <c r="O179" i="6" s="1"/>
  <c r="S61" i="4"/>
  <c r="I23" i="6"/>
  <c r="I81" i="6" s="1"/>
  <c r="K36" i="4"/>
  <c r="I31" i="6"/>
  <c r="I89" i="6" s="1"/>
  <c r="K60" i="4"/>
  <c r="I29" i="6"/>
  <c r="I87" i="6" s="1"/>
  <c r="K56" i="4"/>
  <c r="F34" i="1"/>
  <c r="F66" i="1" s="1"/>
  <c r="F4" i="4" s="1"/>
  <c r="C116" i="1"/>
  <c r="C21" i="4"/>
  <c r="U113" i="1"/>
  <c r="AA18" i="4"/>
  <c r="Q111" i="1"/>
  <c r="R16" i="4"/>
  <c r="Y93" i="1"/>
  <c r="Y3" i="4"/>
  <c r="L104" i="1"/>
  <c r="L9" i="4"/>
  <c r="E103" i="1"/>
  <c r="E8" i="4"/>
  <c r="N102" i="1"/>
  <c r="O7" i="4"/>
  <c r="E100" i="1"/>
  <c r="E5" i="4"/>
  <c r="T76" i="1"/>
  <c r="T14" i="4" s="1"/>
  <c r="Q110" i="1"/>
  <c r="R15" i="4"/>
  <c r="S101" i="1"/>
  <c r="T6" i="4"/>
  <c r="Q100" i="1"/>
  <c r="R5" i="4"/>
  <c r="Q108" i="1"/>
  <c r="R13" i="4"/>
  <c r="E45" i="6"/>
  <c r="E103" i="6" s="1"/>
  <c r="C76" i="4"/>
  <c r="E39" i="6"/>
  <c r="E97" i="6" s="1"/>
  <c r="C72" i="4"/>
  <c r="E32" i="6"/>
  <c r="E90" i="6" s="1"/>
  <c r="C68" i="4"/>
  <c r="E18" i="6"/>
  <c r="E76" i="6" s="1"/>
  <c r="C51" i="4"/>
  <c r="S104" i="1"/>
  <c r="T9" i="4"/>
  <c r="E42" i="6"/>
  <c r="E100" i="6" s="1"/>
  <c r="C73" i="4"/>
  <c r="E20" i="6"/>
  <c r="E78" i="6" s="1"/>
  <c r="C65" i="4"/>
  <c r="E29" i="6"/>
  <c r="E87" i="6" s="1"/>
  <c r="C56" i="4"/>
  <c r="E21" i="6"/>
  <c r="E79" i="6" s="1"/>
  <c r="C52" i="4"/>
  <c r="E37" i="6"/>
  <c r="E95" i="6" s="1"/>
  <c r="C47" i="4"/>
  <c r="E6" i="6"/>
  <c r="E64" i="6" s="1"/>
  <c r="C38" i="4"/>
  <c r="M118" i="2"/>
  <c r="L43" i="4" s="1"/>
  <c r="L33" i="4"/>
  <c r="C106" i="1"/>
  <c r="C11" i="4"/>
  <c r="S103" i="1"/>
  <c r="T8" i="4"/>
  <c r="AB93" i="1"/>
  <c r="AB3" i="4"/>
  <c r="J155" i="2"/>
  <c r="I80" i="4" s="1"/>
  <c r="I64" i="4"/>
  <c r="H155" i="2"/>
  <c r="G80" i="4" s="1"/>
  <c r="G64" i="4"/>
  <c r="N138" i="2"/>
  <c r="M63" i="4" s="1"/>
  <c r="M50" i="4"/>
  <c r="Y124" i="2"/>
  <c r="X49" i="4" s="1"/>
  <c r="X44" i="4"/>
  <c r="N124" i="2"/>
  <c r="M49" i="4" s="1"/>
  <c r="M44" i="4"/>
  <c r="F47" i="6"/>
  <c r="F105" i="6" s="1"/>
  <c r="D78" i="4"/>
  <c r="P93" i="1"/>
  <c r="P3" i="4"/>
  <c r="G93" i="1"/>
  <c r="G3" i="4"/>
  <c r="S39" i="6"/>
  <c r="Q97" i="6" s="1"/>
  <c r="T72" i="4"/>
  <c r="S32" i="6"/>
  <c r="Q90" i="6" s="1"/>
  <c r="T68" i="4"/>
  <c r="R34" i="6"/>
  <c r="P92" i="6" s="1"/>
  <c r="S58" i="4"/>
  <c r="R25" i="6"/>
  <c r="P83" i="6" s="1"/>
  <c r="O178" i="6" s="1"/>
  <c r="S54" i="4"/>
  <c r="S21" i="6"/>
  <c r="Q79" i="6" s="1"/>
  <c r="T52" i="4"/>
  <c r="S7" i="6"/>
  <c r="Q65" i="6" s="1"/>
  <c r="T39" i="4"/>
  <c r="S5" i="6"/>
  <c r="Q63" i="6" s="1"/>
  <c r="T37" i="4"/>
  <c r="R10" i="6"/>
  <c r="P68" i="6" s="1"/>
  <c r="O163" i="6" s="1"/>
  <c r="S42" i="4"/>
  <c r="R30" i="6"/>
  <c r="P88" i="6" s="1"/>
  <c r="O183" i="6" s="1"/>
  <c r="S57" i="4"/>
  <c r="R22" i="6"/>
  <c r="P80" i="6" s="1"/>
  <c r="O175" i="6" s="1"/>
  <c r="S53" i="4"/>
  <c r="R35" i="6"/>
  <c r="P93" i="6" s="1"/>
  <c r="S59" i="4"/>
  <c r="B53" i="1"/>
  <c r="B50" i="1"/>
  <c r="B82" i="1" s="1"/>
  <c r="B37" i="1"/>
  <c r="B43" i="1"/>
  <c r="B75" i="1" s="1"/>
  <c r="B13" i="4" s="1"/>
  <c r="B36" i="1"/>
  <c r="B68" i="1" s="1"/>
  <c r="B101" i="1" s="1"/>
  <c r="S4" i="6"/>
  <c r="Q62" i="6" s="1"/>
  <c r="AB72" i="2"/>
  <c r="AB104" i="2" s="1"/>
  <c r="P72" i="2"/>
  <c r="P104" i="2" s="1"/>
  <c r="J72" i="2"/>
  <c r="J104" i="2" s="1"/>
  <c r="G69" i="2"/>
  <c r="K121" i="2"/>
  <c r="J46" i="4" s="1"/>
  <c r="W31" i="6"/>
  <c r="U89" i="6" s="1"/>
  <c r="S31" i="6"/>
  <c r="Q89" i="6" s="1"/>
  <c r="C73" i="2"/>
  <c r="C67" i="2"/>
  <c r="S44" i="6"/>
  <c r="Q102" i="6" s="1"/>
  <c r="S45" i="6"/>
  <c r="Q103" i="6" s="1"/>
  <c r="S13" i="6"/>
  <c r="Q71" i="6" s="1"/>
  <c r="AA72" i="2"/>
  <c r="AA104" i="2" s="1"/>
  <c r="AA121" i="2"/>
  <c r="AB155" i="2"/>
  <c r="C68" i="2"/>
  <c r="F67" i="1"/>
  <c r="F5" i="4" s="1"/>
  <c r="AC72" i="2"/>
  <c r="AC104" i="2" s="1"/>
  <c r="AC121" i="2"/>
  <c r="C99" i="2"/>
  <c r="C71" i="2"/>
  <c r="S47" i="6"/>
  <c r="Q105" i="6" s="1"/>
  <c r="S42" i="6"/>
  <c r="Q100" i="6" s="1"/>
  <c r="S38" i="6"/>
  <c r="Q96" i="6" s="1"/>
  <c r="S33" i="6"/>
  <c r="Q91" i="6" s="1"/>
  <c r="S28" i="6"/>
  <c r="Q86" i="6" s="1"/>
  <c r="S20" i="6"/>
  <c r="Q78" i="6" s="1"/>
  <c r="S26" i="6"/>
  <c r="Q84" i="6" s="1"/>
  <c r="S18" i="6"/>
  <c r="Q76" i="6" s="1"/>
  <c r="S37" i="6"/>
  <c r="Q95" i="6" s="1"/>
  <c r="U118" i="2"/>
  <c r="T43" i="4" s="1"/>
  <c r="C56" i="2"/>
  <c r="T66" i="2"/>
  <c r="T69" i="2"/>
  <c r="T121" i="2" s="1"/>
  <c r="L46" i="1"/>
  <c r="C77" i="1"/>
  <c r="L45" i="1"/>
  <c r="I66" i="1"/>
  <c r="I4" i="4" s="1"/>
  <c r="I33" i="1"/>
  <c r="I49" i="1" s="1"/>
  <c r="I52" i="1" s="1"/>
  <c r="I54" i="1" s="1"/>
  <c r="I56" i="1" s="1"/>
  <c r="I88" i="1" s="1"/>
  <c r="I26" i="4" s="1"/>
  <c r="I29" i="4" s="1"/>
  <c r="W138" i="2"/>
  <c r="V63" i="4" s="1"/>
  <c r="J12" i="6"/>
  <c r="J70" i="6" s="1"/>
  <c r="Q118" i="2"/>
  <c r="P43" i="4" s="1"/>
  <c r="E77" i="1"/>
  <c r="E15" i="4" s="1"/>
  <c r="G45" i="1"/>
  <c r="Z44" i="1"/>
  <c r="Z78" i="1"/>
  <c r="Z16" i="4" s="1"/>
  <c r="O104" i="2"/>
  <c r="E103" i="2"/>
  <c r="P49" i="1"/>
  <c r="P52" i="1" s="1"/>
  <c r="R101" i="1"/>
  <c r="AA68" i="1"/>
  <c r="AA6" i="4" s="1"/>
  <c r="Y155" i="2"/>
  <c r="X80" i="4" s="1"/>
  <c r="E46" i="6"/>
  <c r="E104" i="6" s="1"/>
  <c r="O155" i="2"/>
  <c r="N80" i="4" s="1"/>
  <c r="I155" i="2"/>
  <c r="H80" i="4" s="1"/>
  <c r="K138" i="2"/>
  <c r="J63" i="4" s="1"/>
  <c r="W155" i="2"/>
  <c r="V80" i="4" s="1"/>
  <c r="P19" i="6"/>
  <c r="O114" i="6" s="1"/>
  <c r="G19" i="6"/>
  <c r="G77" i="6" s="1"/>
  <c r="Q138" i="2"/>
  <c r="P63" i="4" s="1"/>
  <c r="Q124" i="2"/>
  <c r="P49" i="4" s="1"/>
  <c r="P2" i="6"/>
  <c r="N60" i="6" s="1"/>
  <c r="K2" i="6"/>
  <c r="K11" i="6" s="1"/>
  <c r="M2" i="6"/>
  <c r="M11" i="6" s="1"/>
  <c r="Z155" i="2"/>
  <c r="Y80" i="4" s="1"/>
  <c r="U17" i="6"/>
  <c r="S75" i="6" s="1"/>
  <c r="Z124" i="2"/>
  <c r="Y49" i="4" s="1"/>
  <c r="S106" i="1"/>
  <c r="V19" i="6"/>
  <c r="T77" i="6" s="1"/>
  <c r="S155" i="2"/>
  <c r="R80" i="4" s="1"/>
  <c r="M19" i="6"/>
  <c r="K155" i="2"/>
  <c r="J80" i="4" s="1"/>
  <c r="F155" i="2"/>
  <c r="S17" i="6"/>
  <c r="Q75" i="6" s="1"/>
  <c r="F138" i="2"/>
  <c r="E63" i="4" s="1"/>
  <c r="W12" i="6"/>
  <c r="W16" i="6" s="1"/>
  <c r="U74" i="6" s="1"/>
  <c r="S12" i="6"/>
  <c r="K118" i="2"/>
  <c r="J43" i="4" s="1"/>
  <c r="V155" i="2"/>
  <c r="U80" i="4" s="1"/>
  <c r="L19" i="6"/>
  <c r="X138" i="2"/>
  <c r="W63" i="4" s="1"/>
  <c r="P138" i="2"/>
  <c r="O63" i="4" s="1"/>
  <c r="V124" i="2"/>
  <c r="U49" i="4" s="1"/>
  <c r="L12" i="6"/>
  <c r="K84" i="6"/>
  <c r="Y138" i="2"/>
  <c r="X63" i="4" s="1"/>
  <c r="V17" i="6"/>
  <c r="T75" i="6" s="1"/>
  <c r="K17" i="6"/>
  <c r="I138" i="2"/>
  <c r="H63" i="4" s="1"/>
  <c r="G17" i="6"/>
  <c r="G75" i="6" s="1"/>
  <c r="K12" i="6"/>
  <c r="Y118" i="2"/>
  <c r="X43" i="4" s="1"/>
  <c r="S118" i="2"/>
  <c r="R43" i="4" s="1"/>
  <c r="O118" i="2"/>
  <c r="N43" i="4" s="1"/>
  <c r="I118" i="2"/>
  <c r="H43" i="4" s="1"/>
  <c r="X155" i="2"/>
  <c r="W80" i="4" s="1"/>
  <c r="U19" i="6"/>
  <c r="S77" i="6" s="1"/>
  <c r="P155" i="2"/>
  <c r="O80" i="4" s="1"/>
  <c r="Z138" i="2"/>
  <c r="Y63" i="4" s="1"/>
  <c r="V138" i="2"/>
  <c r="U63" i="4" s="1"/>
  <c r="L17" i="6"/>
  <c r="X124" i="2"/>
  <c r="W49" i="4" s="1"/>
  <c r="U12" i="6"/>
  <c r="P124" i="2"/>
  <c r="O49" i="4" s="1"/>
  <c r="J25" i="6"/>
  <c r="J83" i="6" s="1"/>
  <c r="E19" i="6"/>
  <c r="E77" i="6" s="1"/>
  <c r="K19" i="6"/>
  <c r="Q155" i="2"/>
  <c r="P80" i="4" s="1"/>
  <c r="J19" i="6"/>
  <c r="J77" i="6" s="1"/>
  <c r="M155" i="2"/>
  <c r="L80" i="4" s="1"/>
  <c r="F19" i="6"/>
  <c r="F77" i="6" s="1"/>
  <c r="E155" i="2"/>
  <c r="D80" i="4" s="1"/>
  <c r="W17" i="6"/>
  <c r="U75" i="6" s="1"/>
  <c r="N17" i="6"/>
  <c r="L75" i="6" s="1"/>
  <c r="R138" i="2"/>
  <c r="Q63" i="4" s="1"/>
  <c r="V12" i="6"/>
  <c r="T70" i="6" s="1"/>
  <c r="W124" i="2"/>
  <c r="V49" i="4" s="1"/>
  <c r="N12" i="6"/>
  <c r="L70" i="6" s="1"/>
  <c r="R124" i="2"/>
  <c r="Q49" i="4" s="1"/>
  <c r="G12" i="6"/>
  <c r="W2" i="6"/>
  <c r="W11" i="6" s="1"/>
  <c r="V2" i="6"/>
  <c r="V11" i="6" s="1"/>
  <c r="S19" i="6"/>
  <c r="Q77" i="6" s="1"/>
  <c r="U155" i="2"/>
  <c r="T80" i="4" s="1"/>
  <c r="N19" i="6"/>
  <c r="L77" i="6" s="1"/>
  <c r="R155" i="2"/>
  <c r="Q80" i="4" s="1"/>
  <c r="P17" i="6"/>
  <c r="N75" i="6" s="1"/>
  <c r="S138" i="2"/>
  <c r="R63" i="4" s="1"/>
  <c r="M17" i="6"/>
  <c r="O138" i="2"/>
  <c r="N63" i="4" s="1"/>
  <c r="F17" i="6"/>
  <c r="E138" i="2"/>
  <c r="D63" i="4" s="1"/>
  <c r="P12" i="6"/>
  <c r="N70" i="6" s="1"/>
  <c r="S124" i="2"/>
  <c r="R49" i="4" s="1"/>
  <c r="M12" i="6"/>
  <c r="M16" i="6" s="1"/>
  <c r="O124" i="2"/>
  <c r="N49" i="4" s="1"/>
  <c r="F2" i="6"/>
  <c r="F11" i="6" s="1"/>
  <c r="S27" i="6"/>
  <c r="Q85" i="6" s="1"/>
  <c r="K85" i="6"/>
  <c r="U116" i="1"/>
  <c r="G86" i="2"/>
  <c r="G119" i="2"/>
  <c r="F44" i="4" s="1"/>
  <c r="T139" i="2"/>
  <c r="T103" i="2"/>
  <c r="T125" i="2"/>
  <c r="S50" i="4" s="1"/>
  <c r="T86" i="2"/>
  <c r="L119" i="2"/>
  <c r="K44" i="4" s="1"/>
  <c r="G108" i="2"/>
  <c r="F33" i="4" s="1"/>
  <c r="G66" i="2"/>
  <c r="G139" i="2"/>
  <c r="G103" i="2"/>
  <c r="L139" i="2"/>
  <c r="K64" i="4" s="1"/>
  <c r="L103" i="2"/>
  <c r="L125" i="2"/>
  <c r="K50" i="4" s="1"/>
  <c r="L86" i="2"/>
  <c r="T119" i="2"/>
  <c r="S44" i="4" s="1"/>
  <c r="L108" i="2"/>
  <c r="K33" i="4" s="1"/>
  <c r="L66" i="2"/>
  <c r="W104" i="2"/>
  <c r="U104" i="2"/>
  <c r="K104" i="2"/>
  <c r="I104" i="2"/>
  <c r="J30" i="6"/>
  <c r="J88" i="6" s="1"/>
  <c r="E27" i="6"/>
  <c r="E85" i="6" s="1"/>
  <c r="R31" i="6"/>
  <c r="P89" i="6" s="1"/>
  <c r="O184" i="6" s="1"/>
  <c r="E35" i="6"/>
  <c r="E93" i="6" s="1"/>
  <c r="E8" i="6"/>
  <c r="E66" i="6" s="1"/>
  <c r="J31" i="6"/>
  <c r="J89" i="6" s="1"/>
  <c r="C154" i="2"/>
  <c r="C152" i="2"/>
  <c r="C148" i="2"/>
  <c r="C146" i="2"/>
  <c r="C132" i="2"/>
  <c r="D30" i="6" s="1"/>
  <c r="D88" i="6" s="1"/>
  <c r="C128" i="2"/>
  <c r="D22" i="6" s="1"/>
  <c r="D80" i="6" s="1"/>
  <c r="K98" i="6"/>
  <c r="K93" i="6"/>
  <c r="E10" i="6"/>
  <c r="E68" i="6" s="1"/>
  <c r="S2" i="6"/>
  <c r="J2" i="6"/>
  <c r="J11" i="6" s="1"/>
  <c r="K61" i="6"/>
  <c r="L118" i="1"/>
  <c r="R18" i="6"/>
  <c r="P76" i="6" s="1"/>
  <c r="O171" i="6" s="1"/>
  <c r="I42" i="6"/>
  <c r="I100" i="6" s="1"/>
  <c r="I33" i="6"/>
  <c r="I91" i="6" s="1"/>
  <c r="I20" i="6"/>
  <c r="I78" i="6" s="1"/>
  <c r="Q101" i="1"/>
  <c r="P66" i="1"/>
  <c r="P4" i="4" s="1"/>
  <c r="E33" i="6"/>
  <c r="E91" i="6" s="1"/>
  <c r="J35" i="6"/>
  <c r="J93" i="6" s="1"/>
  <c r="S34" i="6"/>
  <c r="Q92" i="6" s="1"/>
  <c r="S29" i="6"/>
  <c r="Q87" i="6" s="1"/>
  <c r="K87" i="6"/>
  <c r="J27" i="6"/>
  <c r="J85" i="6" s="1"/>
  <c r="S25" i="6"/>
  <c r="Q83" i="6" s="1"/>
  <c r="J22" i="6"/>
  <c r="J80" i="6" s="1"/>
  <c r="L115" i="1"/>
  <c r="I39" i="6"/>
  <c r="I97" i="6" s="1"/>
  <c r="I32" i="6"/>
  <c r="I90" i="6" s="1"/>
  <c r="I26" i="6"/>
  <c r="I84" i="6" s="1"/>
  <c r="I18" i="6"/>
  <c r="I76" i="6" s="1"/>
  <c r="I6" i="6"/>
  <c r="I64" i="6" s="1"/>
  <c r="E47" i="6"/>
  <c r="E105" i="6" s="1"/>
  <c r="E36" i="6"/>
  <c r="E94" i="6" s="1"/>
  <c r="E26" i="6"/>
  <c r="E84" i="6" s="1"/>
  <c r="S30" i="6"/>
  <c r="Q88" i="6" s="1"/>
  <c r="K88" i="6"/>
  <c r="E31" i="6"/>
  <c r="E89" i="6" s="1"/>
  <c r="C153" i="2"/>
  <c r="C149" i="2"/>
  <c r="B74" i="4" s="1"/>
  <c r="C145" i="2"/>
  <c r="D36" i="6" s="1"/>
  <c r="D94" i="6" s="1"/>
  <c r="C141" i="2"/>
  <c r="D24" i="6" s="1"/>
  <c r="D82" i="6" s="1"/>
  <c r="C131" i="2"/>
  <c r="C127" i="2"/>
  <c r="C122" i="2"/>
  <c r="S35" i="6"/>
  <c r="Q93" i="6" s="1"/>
  <c r="J34" i="6"/>
  <c r="J92" i="6" s="1"/>
  <c r="J29" i="6"/>
  <c r="J87" i="6" s="1"/>
  <c r="K83" i="6"/>
  <c r="E22" i="6"/>
  <c r="E80" i="6" s="1"/>
  <c r="K64" i="6"/>
  <c r="I46" i="6"/>
  <c r="I104" i="6" s="1"/>
  <c r="R43" i="6"/>
  <c r="P101" i="6" s="1"/>
  <c r="R42" i="6"/>
  <c r="P100" i="6" s="1"/>
  <c r="O103" i="1"/>
  <c r="U102" i="1"/>
  <c r="Q107" i="1"/>
  <c r="N104" i="1"/>
  <c r="L103" i="1"/>
  <c r="I44" i="6"/>
  <c r="I102" i="6" s="1"/>
  <c r="N103" i="1"/>
  <c r="R33" i="1"/>
  <c r="R65" i="1" s="1"/>
  <c r="R3" i="4" s="1"/>
  <c r="R66" i="1"/>
  <c r="R118" i="1"/>
  <c r="R112" i="1"/>
  <c r="L100" i="1"/>
  <c r="E12" i="6"/>
  <c r="E70" i="6" s="1"/>
  <c r="E7" i="6"/>
  <c r="E65" i="6" s="1"/>
  <c r="E44" i="6"/>
  <c r="E102" i="6" s="1"/>
  <c r="E25" i="6"/>
  <c r="E83" i="6" s="1"/>
  <c r="S108" i="1"/>
  <c r="R108" i="1"/>
  <c r="C151" i="2"/>
  <c r="C147" i="2"/>
  <c r="D39" i="6" s="1"/>
  <c r="D97" i="6" s="1"/>
  <c r="C143" i="2"/>
  <c r="B68" i="4" s="1"/>
  <c r="C137" i="2"/>
  <c r="D40" i="6" s="1"/>
  <c r="D98" i="6" s="1"/>
  <c r="C133" i="2"/>
  <c r="C129" i="2"/>
  <c r="D155" i="2"/>
  <c r="C80" i="4" s="1"/>
  <c r="E40" i="6"/>
  <c r="E98" i="6" s="1"/>
  <c r="K92" i="6"/>
  <c r="E34" i="6"/>
  <c r="E92" i="6" s="1"/>
  <c r="S118" i="1"/>
  <c r="S112" i="1"/>
  <c r="C102" i="1"/>
  <c r="I37" i="6"/>
  <c r="I95" i="6" s="1"/>
  <c r="R13" i="6"/>
  <c r="P71" i="6" s="1"/>
  <c r="O166" i="6" s="1"/>
  <c r="L112" i="1"/>
  <c r="O109" i="1"/>
  <c r="Q103" i="1"/>
  <c r="C144" i="2"/>
  <c r="C142" i="2"/>
  <c r="C140" i="2"/>
  <c r="C136" i="2"/>
  <c r="C134" i="2"/>
  <c r="D35" i="6" s="1"/>
  <c r="D93" i="6" s="1"/>
  <c r="C130" i="2"/>
  <c r="D27" i="6" s="1"/>
  <c r="D85" i="6" s="1"/>
  <c r="C126" i="2"/>
  <c r="D18" i="6" s="1"/>
  <c r="D76" i="6" s="1"/>
  <c r="C123" i="2"/>
  <c r="C120" i="2"/>
  <c r="D13" i="6" s="1"/>
  <c r="D71" i="6" s="1"/>
  <c r="K102" i="6"/>
  <c r="K105" i="6"/>
  <c r="K104" i="6"/>
  <c r="K103" i="6"/>
  <c r="K95" i="6"/>
  <c r="K68" i="6"/>
  <c r="K66" i="6"/>
  <c r="K81" i="6"/>
  <c r="M49" i="1"/>
  <c r="M52" i="1" s="1"/>
  <c r="M54" i="1" s="1"/>
  <c r="M86" i="1" s="1"/>
  <c r="M24" i="4" s="1"/>
  <c r="AA77" i="1"/>
  <c r="AA15" i="4" s="1"/>
  <c r="AA44" i="1"/>
  <c r="AB44" i="1"/>
  <c r="I30" i="6"/>
  <c r="I88" i="6" s="1"/>
  <c r="I22" i="6"/>
  <c r="I80" i="6" s="1"/>
  <c r="I8" i="6"/>
  <c r="I66" i="6" s="1"/>
  <c r="U107" i="1"/>
  <c r="C103" i="1"/>
  <c r="G66" i="1"/>
  <c r="G4" i="4" s="1"/>
  <c r="X44" i="1"/>
  <c r="X77" i="1"/>
  <c r="X15" i="4" s="1"/>
  <c r="Y44" i="1"/>
  <c r="I10" i="6"/>
  <c r="I68" i="6" s="1"/>
  <c r="I5" i="6"/>
  <c r="I63" i="6" s="1"/>
  <c r="N107" i="1"/>
  <c r="R104" i="1"/>
  <c r="S102" i="1"/>
  <c r="R111" i="1"/>
  <c r="E104" i="1"/>
  <c r="O100" i="1"/>
  <c r="U44" i="1"/>
  <c r="V44" i="1"/>
  <c r="W44" i="1"/>
  <c r="R106" i="1"/>
  <c r="Q104" i="1"/>
  <c r="R102" i="1"/>
  <c r="U100" i="1"/>
  <c r="Q66" i="1"/>
  <c r="Q4" i="4" s="1"/>
  <c r="E66" i="1"/>
  <c r="N110" i="1"/>
  <c r="U78" i="1"/>
  <c r="U16" i="4" s="1"/>
  <c r="E2" i="6"/>
  <c r="E60" i="6" s="1"/>
  <c r="D72" i="2"/>
  <c r="D104" i="2" s="1"/>
  <c r="C46" i="1"/>
  <c r="C78" i="1" s="1"/>
  <c r="C16" i="4" s="1"/>
  <c r="I45" i="6"/>
  <c r="I103" i="6" s="1"/>
  <c r="R39" i="6"/>
  <c r="P97" i="6" s="1"/>
  <c r="R36" i="6"/>
  <c r="P94" i="6" s="1"/>
  <c r="R32" i="6"/>
  <c r="P90" i="6" s="1"/>
  <c r="R24" i="6"/>
  <c r="P82" i="6" s="1"/>
  <c r="O177" i="6" s="1"/>
  <c r="R40" i="6"/>
  <c r="P98" i="6" s="1"/>
  <c r="I35" i="6"/>
  <c r="I93" i="6" s="1"/>
  <c r="R29" i="6"/>
  <c r="P87" i="6" s="1"/>
  <c r="O182" i="6" s="1"/>
  <c r="I27" i="6"/>
  <c r="I85" i="6" s="1"/>
  <c r="R21" i="6"/>
  <c r="P79" i="6" s="1"/>
  <c r="O174" i="6" s="1"/>
  <c r="R37" i="6"/>
  <c r="P95" i="6" s="1"/>
  <c r="I7" i="6"/>
  <c r="I65" i="6" s="1"/>
  <c r="R6" i="6"/>
  <c r="P64" i="6" s="1"/>
  <c r="O159" i="6" s="1"/>
  <c r="I4" i="6"/>
  <c r="I62" i="6" s="1"/>
  <c r="Q49" i="1"/>
  <c r="Q65" i="1"/>
  <c r="Q3" i="4" s="1"/>
  <c r="R116" i="1"/>
  <c r="S116" i="1"/>
  <c r="R113" i="1"/>
  <c r="S113" i="1"/>
  <c r="F83" i="1"/>
  <c r="F80" i="1"/>
  <c r="F18" i="4" s="1"/>
  <c r="M138" i="2"/>
  <c r="L63" i="4" s="1"/>
  <c r="U138" i="2"/>
  <c r="T63" i="4" s="1"/>
  <c r="R115" i="1"/>
  <c r="S110" i="1"/>
  <c r="R110" i="1"/>
  <c r="K108" i="1"/>
  <c r="O102" i="1"/>
  <c r="N100" i="1"/>
  <c r="N108" i="1"/>
  <c r="S107" i="1"/>
  <c r="E17" i="6"/>
  <c r="E75" i="6" s="1"/>
  <c r="D138" i="2"/>
  <c r="C63" i="4" s="1"/>
  <c r="R103" i="1"/>
  <c r="K73" i="6"/>
  <c r="K71" i="6"/>
  <c r="K62" i="6"/>
  <c r="J33" i="1"/>
  <c r="J49" i="1" s="1"/>
  <c r="H49" i="1"/>
  <c r="S100" i="1"/>
  <c r="R2" i="6"/>
  <c r="P60" i="6" s="1"/>
  <c r="O155" i="6" s="1"/>
  <c r="M65" i="1"/>
  <c r="M3" i="4" s="1"/>
  <c r="C101" i="2"/>
  <c r="C97" i="2"/>
  <c r="C95" i="2"/>
  <c r="C93" i="2"/>
  <c r="C91" i="2"/>
  <c r="C89" i="2"/>
  <c r="C87" i="2"/>
  <c r="C84" i="2"/>
  <c r="C82" i="2"/>
  <c r="C80" i="2"/>
  <c r="C78" i="2"/>
  <c r="C76" i="2"/>
  <c r="C74" i="2"/>
  <c r="C64" i="2"/>
  <c r="C62" i="2"/>
  <c r="C60" i="2"/>
  <c r="C58" i="2"/>
  <c r="C57" i="2"/>
  <c r="T66" i="1"/>
  <c r="T4" i="4" s="1"/>
  <c r="S33" i="1"/>
  <c r="C33" i="1"/>
  <c r="C65" i="1" s="1"/>
  <c r="C3" i="4" s="1"/>
  <c r="K34" i="1"/>
  <c r="C102" i="2"/>
  <c r="C100" i="2"/>
  <c r="C98" i="2"/>
  <c r="C96" i="2"/>
  <c r="C94" i="2"/>
  <c r="C92" i="2"/>
  <c r="C90" i="2"/>
  <c r="C88" i="2"/>
  <c r="C85" i="2"/>
  <c r="C83" i="2"/>
  <c r="C81" i="2"/>
  <c r="C79" i="2"/>
  <c r="C77" i="2"/>
  <c r="C75" i="2"/>
  <c r="C70" i="2"/>
  <c r="C65" i="2"/>
  <c r="C63" i="2"/>
  <c r="C61" i="2"/>
  <c r="C59" i="2"/>
  <c r="K80" i="6"/>
  <c r="K79" i="6"/>
  <c r="R44" i="6"/>
  <c r="P102" i="6" s="1"/>
  <c r="K76" i="6"/>
  <c r="K65" i="6"/>
  <c r="K63" i="6"/>
  <c r="C115" i="2"/>
  <c r="C111" i="2"/>
  <c r="C150" i="2"/>
  <c r="C135" i="2"/>
  <c r="C117" i="2"/>
  <c r="C113" i="2"/>
  <c r="C114" i="2"/>
  <c r="D7" i="6" s="1"/>
  <c r="D65" i="6" s="1"/>
  <c r="R4" i="6"/>
  <c r="P62" i="6" s="1"/>
  <c r="O157" i="6" s="1"/>
  <c r="C110" i="2"/>
  <c r="R8" i="6"/>
  <c r="P66" i="6" s="1"/>
  <c r="O161" i="6" s="1"/>
  <c r="R7" i="6"/>
  <c r="P65" i="6" s="1"/>
  <c r="O160" i="6" s="1"/>
  <c r="R23" i="6"/>
  <c r="P81" i="6" s="1"/>
  <c r="O176" i="6" s="1"/>
  <c r="C116" i="2"/>
  <c r="B41" i="4" s="1"/>
  <c r="C112" i="2"/>
  <c r="R3" i="6"/>
  <c r="P61" i="6" s="1"/>
  <c r="O156" i="6" s="1"/>
  <c r="C109" i="2"/>
  <c r="W65" i="1"/>
  <c r="D70" i="1"/>
  <c r="D8" i="4" s="1"/>
  <c r="D79" i="1"/>
  <c r="D17" i="4" s="1"/>
  <c r="V108" i="1"/>
  <c r="AA98" i="1"/>
  <c r="R5" i="6"/>
  <c r="P63" i="6" s="1"/>
  <c r="O158" i="6" s="1"/>
  <c r="N111" i="1"/>
  <c r="N101" i="1"/>
  <c r="R107" i="1"/>
  <c r="C101" i="1"/>
  <c r="C66" i="1"/>
  <c r="C4" i="4" s="1"/>
  <c r="T33" i="1"/>
  <c r="T49" i="1" s="1"/>
  <c r="C100" i="1"/>
  <c r="F70" i="1"/>
  <c r="X23" i="6"/>
  <c r="V81" i="6" s="1"/>
  <c r="I13" i="6"/>
  <c r="I71" i="6" s="1"/>
  <c r="I3" i="6"/>
  <c r="I61" i="6" s="1"/>
  <c r="C113" i="1"/>
  <c r="X3" i="6"/>
  <c r="V61" i="6" s="1"/>
  <c r="V101" i="1"/>
  <c r="U98" i="1"/>
  <c r="D65" i="1"/>
  <c r="D3" i="4" s="1"/>
  <c r="K103" i="1"/>
  <c r="L99" i="1"/>
  <c r="H31" i="6"/>
  <c r="H89" i="6" s="1"/>
  <c r="R100" i="1"/>
  <c r="V93" i="1"/>
  <c r="Q109" i="1"/>
  <c r="P76" i="1"/>
  <c r="P14" i="4" s="1"/>
  <c r="H66" i="1"/>
  <c r="H4" i="4" s="1"/>
  <c r="H65" i="1"/>
  <c r="H3" i="4" s="1"/>
  <c r="N49" i="1"/>
  <c r="K85" i="1"/>
  <c r="K79" i="1"/>
  <c r="K17" i="4" s="1"/>
  <c r="K71" i="1"/>
  <c r="K9" i="4" s="1"/>
  <c r="S69" i="1"/>
  <c r="S7" i="4" s="1"/>
  <c r="AA66" i="1"/>
  <c r="AA4" i="4" s="1"/>
  <c r="U65" i="1"/>
  <c r="U66" i="1"/>
  <c r="U4" i="4" s="1"/>
  <c r="S85" i="1"/>
  <c r="S23" i="4" s="1"/>
  <c r="S79" i="1"/>
  <c r="S17" i="4" s="1"/>
  <c r="V116" i="1"/>
  <c r="K113" i="1"/>
  <c r="F108" i="1"/>
  <c r="K116" i="1"/>
  <c r="V113" i="1"/>
  <c r="F107" i="1"/>
  <c r="AA93" i="1"/>
  <c r="K102" i="1"/>
  <c r="N66" i="1"/>
  <c r="N4" i="4" s="1"/>
  <c r="V115" i="1"/>
  <c r="F101" i="1"/>
  <c r="K100" i="1"/>
  <c r="V118" i="1"/>
  <c r="K115" i="1"/>
  <c r="V112" i="1"/>
  <c r="V100" i="1"/>
  <c r="S67" i="1"/>
  <c r="S5" i="4" s="1"/>
  <c r="F112" i="1"/>
  <c r="V110" i="1"/>
  <c r="F102" i="1"/>
  <c r="AA114" i="1"/>
  <c r="K101" i="6"/>
  <c r="K97" i="6"/>
  <c r="K96" i="6"/>
  <c r="K94" i="6"/>
  <c r="K91" i="6"/>
  <c r="K90" i="6"/>
  <c r="K86" i="6"/>
  <c r="K82" i="6"/>
  <c r="K78" i="6"/>
  <c r="F71" i="1"/>
  <c r="F9" i="4" s="1"/>
  <c r="M66" i="1"/>
  <c r="M4" i="4" s="1"/>
  <c r="K68" i="1"/>
  <c r="K6" i="4" s="1"/>
  <c r="L120" i="1"/>
  <c r="O126" i="6"/>
  <c r="N89" i="6"/>
  <c r="H72" i="2"/>
  <c r="H104" i="2" s="1"/>
  <c r="G46" i="1"/>
  <c r="H44" i="6"/>
  <c r="H102" i="6" s="1"/>
  <c r="H46" i="6"/>
  <c r="H104" i="6" s="1"/>
  <c r="H42" i="6"/>
  <c r="H38" i="6"/>
  <c r="H96" i="6" s="1"/>
  <c r="H33" i="6"/>
  <c r="H91" i="6" s="1"/>
  <c r="H28" i="6"/>
  <c r="H86" i="6" s="1"/>
  <c r="H37" i="6"/>
  <c r="H95" i="6" s="1"/>
  <c r="H8" i="6"/>
  <c r="H66" i="6" s="1"/>
  <c r="H5" i="6"/>
  <c r="H63" i="6" s="1"/>
  <c r="O130" i="6"/>
  <c r="N93" i="6"/>
  <c r="O125" i="6"/>
  <c r="N88" i="6"/>
  <c r="O124" i="6"/>
  <c r="N87" i="6"/>
  <c r="O122" i="6"/>
  <c r="N85" i="6"/>
  <c r="O120" i="6"/>
  <c r="N83" i="6"/>
  <c r="O117" i="6"/>
  <c r="N80" i="6"/>
  <c r="O116" i="6"/>
  <c r="N79" i="6"/>
  <c r="O113" i="6"/>
  <c r="N76" i="6"/>
  <c r="W75" i="6"/>
  <c r="Y41" i="6"/>
  <c r="W99" i="6" s="1"/>
  <c r="Y70" i="6"/>
  <c r="Y60" i="6"/>
  <c r="AA11" i="6"/>
  <c r="W60" i="6"/>
  <c r="Y11" i="6"/>
  <c r="G11" i="6"/>
  <c r="O118" i="6"/>
  <c r="N81" i="6"/>
  <c r="E23" i="6"/>
  <c r="E81" i="6" s="1"/>
  <c r="E4" i="6"/>
  <c r="E62" i="6" s="1"/>
  <c r="E3" i="6"/>
  <c r="E61" i="6" s="1"/>
  <c r="F118" i="2"/>
  <c r="E43" i="4" s="1"/>
  <c r="E120" i="1"/>
  <c r="G90" i="1"/>
  <c r="G28" i="4" s="1"/>
  <c r="F59" i="1"/>
  <c r="F90" i="1" s="1"/>
  <c r="F28" i="4" s="1"/>
  <c r="F118" i="1"/>
  <c r="D115" i="1"/>
  <c r="D113" i="1"/>
  <c r="D110" i="1"/>
  <c r="D108" i="1"/>
  <c r="D106" i="1"/>
  <c r="D101" i="1"/>
  <c r="D66" i="1"/>
  <c r="D4" i="4" s="1"/>
  <c r="Z100" i="6"/>
  <c r="AB49" i="6"/>
  <c r="Z107" i="6" s="1"/>
  <c r="X100" i="6"/>
  <c r="Z49" i="6"/>
  <c r="X107" i="6" s="1"/>
  <c r="V100" i="6"/>
  <c r="X49" i="6"/>
  <c r="V107" i="6" s="1"/>
  <c r="S100" i="6"/>
  <c r="U49" i="6"/>
  <c r="S107" i="6" s="1"/>
  <c r="L100" i="6"/>
  <c r="N49" i="6"/>
  <c r="L107" i="6" s="1"/>
  <c r="L49" i="6"/>
  <c r="X75" i="6"/>
  <c r="Z41" i="6"/>
  <c r="X99" i="6" s="1"/>
  <c r="X70" i="6"/>
  <c r="H23" i="6"/>
  <c r="H81" i="6" s="1"/>
  <c r="H3" i="6"/>
  <c r="H61" i="6" s="1"/>
  <c r="J118" i="2"/>
  <c r="I43" i="4" s="1"/>
  <c r="N120" i="1"/>
  <c r="L33" i="1"/>
  <c r="F41" i="1"/>
  <c r="S87" i="1"/>
  <c r="S25" i="4" s="1"/>
  <c r="J73" i="1"/>
  <c r="J11" i="4" s="1"/>
  <c r="E106" i="1"/>
  <c r="O50" i="6"/>
  <c r="M108" i="6" s="1"/>
  <c r="M69" i="6"/>
  <c r="R69" i="6"/>
  <c r="T50" i="6"/>
  <c r="R108" i="6" s="1"/>
  <c r="H47" i="6"/>
  <c r="H105" i="6" s="1"/>
  <c r="H45" i="6"/>
  <c r="H103" i="6" s="1"/>
  <c r="H43" i="6"/>
  <c r="H101" i="6" s="1"/>
  <c r="H39" i="6"/>
  <c r="H97" i="6" s="1"/>
  <c r="H36" i="6"/>
  <c r="H94" i="6" s="1"/>
  <c r="H32" i="6"/>
  <c r="H90" i="6" s="1"/>
  <c r="H24" i="6"/>
  <c r="H82" i="6" s="1"/>
  <c r="H20" i="6"/>
  <c r="H78" i="6" s="1"/>
  <c r="H15" i="6"/>
  <c r="H73" i="6" s="1"/>
  <c r="H10" i="6"/>
  <c r="H68" i="6" s="1"/>
  <c r="H7" i="6"/>
  <c r="H65" i="6" s="1"/>
  <c r="H6" i="6"/>
  <c r="H64" i="6" s="1"/>
  <c r="O135" i="6"/>
  <c r="N98" i="6"/>
  <c r="O121" i="6"/>
  <c r="N84" i="6"/>
  <c r="K89" i="6"/>
  <c r="O129" i="6"/>
  <c r="N92" i="6"/>
  <c r="O69" i="6"/>
  <c r="Q50" i="6"/>
  <c r="O108" i="6" s="1"/>
  <c r="O162" i="6"/>
  <c r="E72" i="2"/>
  <c r="D46" i="1"/>
  <c r="C167" i="3"/>
  <c r="H40" i="6"/>
  <c r="H98" i="6" s="1"/>
  <c r="H26" i="6"/>
  <c r="H84" i="6" s="1"/>
  <c r="H35" i="6"/>
  <c r="H93" i="6" s="1"/>
  <c r="H34" i="6"/>
  <c r="H92" i="6" s="1"/>
  <c r="H30" i="6"/>
  <c r="H88" i="6" s="1"/>
  <c r="H29" i="6"/>
  <c r="H87" i="6" s="1"/>
  <c r="H27" i="6"/>
  <c r="H85" i="6" s="1"/>
  <c r="H25" i="6"/>
  <c r="H83" i="6" s="1"/>
  <c r="H22" i="6"/>
  <c r="H80" i="6" s="1"/>
  <c r="H21" i="6"/>
  <c r="H79" i="6" s="1"/>
  <c r="H18" i="6"/>
  <c r="H76" i="6" s="1"/>
  <c r="G125" i="2"/>
  <c r="F50" i="4" s="1"/>
  <c r="H13" i="6"/>
  <c r="H71" i="6" s="1"/>
  <c r="O139" i="6"/>
  <c r="N102" i="6"/>
  <c r="O142" i="6"/>
  <c r="N105" i="6"/>
  <c r="O141" i="6"/>
  <c r="N104" i="6"/>
  <c r="O140" i="6"/>
  <c r="N103" i="6"/>
  <c r="O138" i="6"/>
  <c r="N101" i="6"/>
  <c r="Y100" i="6"/>
  <c r="AA49" i="6"/>
  <c r="Y107" i="6" s="1"/>
  <c r="W100" i="6"/>
  <c r="Y49" i="6"/>
  <c r="W107" i="6" s="1"/>
  <c r="U100" i="6"/>
  <c r="W49" i="6"/>
  <c r="U107" i="6" s="1"/>
  <c r="T100" i="6"/>
  <c r="V49" i="6"/>
  <c r="T107" i="6" s="1"/>
  <c r="O137" i="6"/>
  <c r="N100" i="6"/>
  <c r="P49" i="6"/>
  <c r="K100" i="6"/>
  <c r="K49" i="6"/>
  <c r="M49" i="6"/>
  <c r="J100" i="6"/>
  <c r="J49" i="6"/>
  <c r="J107" i="6" s="1"/>
  <c r="G100" i="6"/>
  <c r="G49" i="6"/>
  <c r="G107" i="6" s="1"/>
  <c r="O134" i="6"/>
  <c r="N97" i="6"/>
  <c r="O133" i="6"/>
  <c r="N96" i="6"/>
  <c r="O131" i="6"/>
  <c r="N94" i="6"/>
  <c r="O128" i="6"/>
  <c r="N91" i="6"/>
  <c r="O127" i="6"/>
  <c r="N90" i="6"/>
  <c r="O123" i="6"/>
  <c r="N86" i="6"/>
  <c r="O119" i="6"/>
  <c r="N82" i="6"/>
  <c r="O115" i="6"/>
  <c r="N78" i="6"/>
  <c r="Y75" i="6"/>
  <c r="AA41" i="6"/>
  <c r="Y99" i="6" s="1"/>
  <c r="O132" i="6"/>
  <c r="N95" i="6"/>
  <c r="W70" i="6"/>
  <c r="Y16" i="6"/>
  <c r="W74" i="6" s="1"/>
  <c r="D118" i="2"/>
  <c r="C43" i="4" s="1"/>
  <c r="K90" i="1"/>
  <c r="K28" i="4" s="1"/>
  <c r="F29" i="1"/>
  <c r="K58" i="1"/>
  <c r="K55" i="1"/>
  <c r="D118" i="1"/>
  <c r="D116" i="1"/>
  <c r="F115" i="1"/>
  <c r="D107" i="1"/>
  <c r="D104" i="1"/>
  <c r="D102" i="1"/>
  <c r="D100" i="1"/>
  <c r="F100" i="6"/>
  <c r="Z75" i="6"/>
  <c r="AB41" i="6"/>
  <c r="Z99" i="6" s="1"/>
  <c r="V75" i="6"/>
  <c r="X41" i="6"/>
  <c r="V99" i="6" s="1"/>
  <c r="E71" i="6"/>
  <c r="Z71" i="6"/>
  <c r="Z70" i="6"/>
  <c r="AB16" i="6"/>
  <c r="Z74" i="6" s="1"/>
  <c r="V70" i="6"/>
  <c r="Z60" i="6"/>
  <c r="AB11" i="6"/>
  <c r="X60" i="6"/>
  <c r="Z11" i="6"/>
  <c r="V60" i="6"/>
  <c r="X11" i="6"/>
  <c r="H4" i="6"/>
  <c r="H62" i="6" s="1"/>
  <c r="Z118" i="2"/>
  <c r="Y43" i="4" s="1"/>
  <c r="X118" i="2"/>
  <c r="W43" i="4" s="1"/>
  <c r="V118" i="2"/>
  <c r="U43" i="4" s="1"/>
  <c r="R118" i="2"/>
  <c r="Q43" i="4" s="1"/>
  <c r="P118" i="2"/>
  <c r="O43" i="4" s="1"/>
  <c r="N118" i="2"/>
  <c r="M43" i="4" s="1"/>
  <c r="H118" i="2"/>
  <c r="G43" i="4" s="1"/>
  <c r="V120" i="1"/>
  <c r="F55" i="1"/>
  <c r="F87" i="1" s="1"/>
  <c r="F25" i="4" s="1"/>
  <c r="E287" i="3"/>
  <c r="O41" i="1"/>
  <c r="L73" i="1"/>
  <c r="L11" i="4" s="1"/>
  <c r="I73" i="1"/>
  <c r="I11" i="4" s="1"/>
  <c r="N93" i="1" l="1"/>
  <c r="L16" i="6"/>
  <c r="K72" i="6"/>
  <c r="S109" i="1"/>
  <c r="U124" i="2"/>
  <c r="T49" i="4" s="1"/>
  <c r="E80" i="4"/>
  <c r="S14" i="6"/>
  <c r="Q72" i="6" s="1"/>
  <c r="N11" i="6"/>
  <c r="L69" i="6" s="1"/>
  <c r="R109" i="1"/>
  <c r="K16" i="6"/>
  <c r="K74" i="6" s="1"/>
  <c r="U16" i="6"/>
  <c r="S74" i="6" s="1"/>
  <c r="F100" i="1"/>
  <c r="S60" i="6"/>
  <c r="F49" i="6"/>
  <c r="F107" i="6" s="1"/>
  <c r="S49" i="6"/>
  <c r="Q107" i="6" s="1"/>
  <c r="S44" i="1"/>
  <c r="S76" i="1" s="1"/>
  <c r="S14" i="4" s="1"/>
  <c r="B34" i="1"/>
  <c r="S11" i="6"/>
  <c r="Q69" i="6" s="1"/>
  <c r="K118" i="1"/>
  <c r="K23" i="4"/>
  <c r="F103" i="1"/>
  <c r="F8" i="4"/>
  <c r="W93" i="1"/>
  <c r="W3" i="4"/>
  <c r="F116" i="1"/>
  <c r="F21" i="4"/>
  <c r="E99" i="1"/>
  <c r="E4" i="4"/>
  <c r="R19" i="6"/>
  <c r="P77" i="6" s="1"/>
  <c r="O172" i="6" s="1"/>
  <c r="S64" i="4"/>
  <c r="E104" i="2"/>
  <c r="C110" i="1"/>
  <c r="C15" i="4"/>
  <c r="R14" i="6"/>
  <c r="P72" i="6" s="1"/>
  <c r="O167" i="6" s="1"/>
  <c r="S46" i="4"/>
  <c r="AA124" i="2"/>
  <c r="Z46" i="4"/>
  <c r="U93" i="1"/>
  <c r="U3" i="4"/>
  <c r="Q99" i="1"/>
  <c r="R4" i="4"/>
  <c r="H19" i="6"/>
  <c r="H77" i="6" s="1"/>
  <c r="F64" i="4"/>
  <c r="AC124" i="2"/>
  <c r="AB46" i="4"/>
  <c r="AB156" i="2"/>
  <c r="AA80" i="4"/>
  <c r="F33" i="1"/>
  <c r="F65" i="1" s="1"/>
  <c r="F3" i="4" s="1"/>
  <c r="K124" i="2"/>
  <c r="J49" i="4" s="1"/>
  <c r="E110" i="1"/>
  <c r="K104" i="1"/>
  <c r="L77" i="1"/>
  <c r="L15" i="4" s="1"/>
  <c r="K45" i="1"/>
  <c r="L44" i="1"/>
  <c r="L76" i="1" s="1"/>
  <c r="L14" i="4" s="1"/>
  <c r="M121" i="2"/>
  <c r="L46" i="4" s="1"/>
  <c r="M72" i="2"/>
  <c r="M104" i="2" s="1"/>
  <c r="L69" i="2"/>
  <c r="C69" i="2" s="1"/>
  <c r="K46" i="1"/>
  <c r="K78" i="1" s="1"/>
  <c r="L78" i="1"/>
  <c r="L16" i="4" s="1"/>
  <c r="P81" i="1"/>
  <c r="P19" i="4" s="1"/>
  <c r="G77" i="1"/>
  <c r="G15" i="4" s="1"/>
  <c r="F45" i="1"/>
  <c r="F77" i="1" s="1"/>
  <c r="F15" i="4" s="1"/>
  <c r="T72" i="2"/>
  <c r="T104" i="2" s="1"/>
  <c r="F41" i="6"/>
  <c r="F99" i="6" s="1"/>
  <c r="Z49" i="1"/>
  <c r="Z76" i="1"/>
  <c r="Z14" i="4" s="1"/>
  <c r="T60" i="6"/>
  <c r="C125" i="2"/>
  <c r="C138" i="2" s="1"/>
  <c r="H2" i="6"/>
  <c r="H11" i="6" s="1"/>
  <c r="B53" i="4"/>
  <c r="R17" i="6"/>
  <c r="P75" i="6" s="1"/>
  <c r="O170" i="6" s="1"/>
  <c r="L155" i="2"/>
  <c r="K80" i="4" s="1"/>
  <c r="P16" i="6"/>
  <c r="N74" i="6" s="1"/>
  <c r="N77" i="6"/>
  <c r="N16" i="6"/>
  <c r="L74" i="6" s="1"/>
  <c r="F75" i="6"/>
  <c r="P11" i="6"/>
  <c r="N69" i="6" s="1"/>
  <c r="U70" i="6"/>
  <c r="P41" i="6"/>
  <c r="O136" i="6" s="1"/>
  <c r="U101" i="1"/>
  <c r="I86" i="1"/>
  <c r="I24" i="4" s="1"/>
  <c r="W156" i="2"/>
  <c r="V81" i="4" s="1"/>
  <c r="K75" i="6"/>
  <c r="G70" i="6"/>
  <c r="V16" i="6"/>
  <c r="T74" i="6" s="1"/>
  <c r="W41" i="6"/>
  <c r="U99" i="6" s="1"/>
  <c r="O112" i="6"/>
  <c r="Q156" i="2"/>
  <c r="P81" i="4" s="1"/>
  <c r="B66" i="4"/>
  <c r="D32" i="6"/>
  <c r="D90" i="6" s="1"/>
  <c r="S77" i="1"/>
  <c r="S15" i="4" s="1"/>
  <c r="L41" i="6"/>
  <c r="S70" i="6"/>
  <c r="U41" i="6"/>
  <c r="S99" i="6" s="1"/>
  <c r="K70" i="6"/>
  <c r="V41" i="6"/>
  <c r="T99" i="6" s="1"/>
  <c r="L118" i="2"/>
  <c r="K43" i="4" s="1"/>
  <c r="I156" i="2"/>
  <c r="H81" i="4" s="1"/>
  <c r="F60" i="6"/>
  <c r="K60" i="6"/>
  <c r="U60" i="6"/>
  <c r="Q70" i="6"/>
  <c r="G41" i="6"/>
  <c r="G99" i="6" s="1"/>
  <c r="B57" i="4"/>
  <c r="O156" i="2"/>
  <c r="N81" i="4" s="1"/>
  <c r="R12" i="6"/>
  <c r="P70" i="6" s="1"/>
  <c r="O165" i="6" s="1"/>
  <c r="S156" i="2"/>
  <c r="R81" i="4" s="1"/>
  <c r="M41" i="6"/>
  <c r="M50" i="6" s="1"/>
  <c r="K77" i="6"/>
  <c r="N41" i="6"/>
  <c r="L99" i="6" s="1"/>
  <c r="K41" i="6"/>
  <c r="I65" i="1"/>
  <c r="I84" i="1"/>
  <c r="I22" i="4" s="1"/>
  <c r="G118" i="2"/>
  <c r="F43" i="4" s="1"/>
  <c r="I81" i="1"/>
  <c r="I19" i="4" s="1"/>
  <c r="D103" i="1"/>
  <c r="Q60" i="6"/>
  <c r="B55" i="4"/>
  <c r="B62" i="4"/>
  <c r="D43" i="6"/>
  <c r="D101" i="6" s="1"/>
  <c r="T124" i="2"/>
  <c r="S49" i="4" s="1"/>
  <c r="Y156" i="2"/>
  <c r="X81" i="4" s="1"/>
  <c r="T138" i="2"/>
  <c r="S63" i="4" s="1"/>
  <c r="I12" i="6"/>
  <c r="I70" i="6" s="1"/>
  <c r="C139" i="2"/>
  <c r="D19" i="6" s="1"/>
  <c r="D77" i="6" s="1"/>
  <c r="B45" i="4"/>
  <c r="B70" i="4"/>
  <c r="S99" i="1"/>
  <c r="M56" i="1"/>
  <c r="M88" i="1" s="1"/>
  <c r="M26" i="4" s="1"/>
  <c r="M29" i="4" s="1"/>
  <c r="J60" i="6"/>
  <c r="G155" i="2"/>
  <c r="F80" i="4" s="1"/>
  <c r="B51" i="4"/>
  <c r="B59" i="4"/>
  <c r="B72" i="4"/>
  <c r="M84" i="1"/>
  <c r="M22" i="4" s="1"/>
  <c r="T155" i="2"/>
  <c r="S80" i="4" s="1"/>
  <c r="C108" i="2"/>
  <c r="B33" i="4" s="1"/>
  <c r="L138" i="2"/>
  <c r="K63" i="4" s="1"/>
  <c r="I19" i="6"/>
  <c r="I77" i="6" s="1"/>
  <c r="I49" i="6"/>
  <c r="I107" i="6" s="1"/>
  <c r="I17" i="6"/>
  <c r="I75" i="6" s="1"/>
  <c r="C119" i="2"/>
  <c r="D12" i="6" s="1"/>
  <c r="D70" i="6" s="1"/>
  <c r="F113" i="1"/>
  <c r="H12" i="6"/>
  <c r="H70" i="6" s="1"/>
  <c r="M81" i="1"/>
  <c r="M19" i="4" s="1"/>
  <c r="I2" i="6"/>
  <c r="I60" i="6" s="1"/>
  <c r="N99" i="1"/>
  <c r="C66" i="2"/>
  <c r="B20" i="4"/>
  <c r="B115" i="1"/>
  <c r="J41" i="6"/>
  <c r="J99" i="6" s="1"/>
  <c r="S41" i="6"/>
  <c r="Q99" i="6" s="1"/>
  <c r="E49" i="6"/>
  <c r="E107" i="6" s="1"/>
  <c r="D112" i="1"/>
  <c r="R93" i="1"/>
  <c r="Q98" i="1"/>
  <c r="R49" i="1"/>
  <c r="R81" i="1" s="1"/>
  <c r="R19" i="4" s="1"/>
  <c r="AB49" i="1"/>
  <c r="AB76" i="1"/>
  <c r="AB14" i="4" s="1"/>
  <c r="B59" i="1"/>
  <c r="B90" i="1" s="1"/>
  <c r="B28" i="4" s="1"/>
  <c r="E123" i="1"/>
  <c r="B18" i="4"/>
  <c r="B113" i="1"/>
  <c r="R49" i="6"/>
  <c r="P107" i="6" s="1"/>
  <c r="B39" i="4"/>
  <c r="R99" i="1"/>
  <c r="B100" i="1"/>
  <c r="AA49" i="1"/>
  <c r="AA76" i="1"/>
  <c r="AA14" i="4" s="1"/>
  <c r="Y49" i="1"/>
  <c r="Y76" i="1"/>
  <c r="Y14" i="4" s="1"/>
  <c r="X49" i="1"/>
  <c r="X52" i="1" s="1"/>
  <c r="X54" i="1" s="1"/>
  <c r="X56" i="1" s="1"/>
  <c r="X76" i="1"/>
  <c r="X14" i="4" s="1"/>
  <c r="AA14" i="6"/>
  <c r="U110" i="1"/>
  <c r="D121" i="2"/>
  <c r="C46" i="4" s="1"/>
  <c r="O99" i="1"/>
  <c r="W49" i="1"/>
  <c r="W76" i="1"/>
  <c r="W14" i="4" s="1"/>
  <c r="U49" i="1"/>
  <c r="U76" i="1"/>
  <c r="U14" i="4" s="1"/>
  <c r="C44" i="1"/>
  <c r="C76" i="1" s="1"/>
  <c r="C14" i="4" s="1"/>
  <c r="V49" i="1"/>
  <c r="V76" i="1"/>
  <c r="V14" i="4" s="1"/>
  <c r="C93" i="1"/>
  <c r="B112" i="1"/>
  <c r="B17" i="4"/>
  <c r="J65" i="1"/>
  <c r="J3" i="4" s="1"/>
  <c r="E98" i="1"/>
  <c r="M93" i="1"/>
  <c r="C99" i="1"/>
  <c r="T118" i="2"/>
  <c r="S43" i="4" s="1"/>
  <c r="J52" i="1"/>
  <c r="J81" i="1"/>
  <c r="J19" i="4" s="1"/>
  <c r="O98" i="1"/>
  <c r="Q93" i="1"/>
  <c r="H52" i="1"/>
  <c r="H81" i="1"/>
  <c r="H19" i="4" s="1"/>
  <c r="Q52" i="1"/>
  <c r="Q81" i="1"/>
  <c r="Q19" i="4" s="1"/>
  <c r="B8" i="4"/>
  <c r="T65" i="1"/>
  <c r="C98" i="1"/>
  <c r="C86" i="2"/>
  <c r="K66" i="1"/>
  <c r="K4" i="4" s="1"/>
  <c r="D44" i="1"/>
  <c r="D76" i="1" s="1"/>
  <c r="C103" i="2"/>
  <c r="J156" i="2"/>
  <c r="I81" i="4" s="1"/>
  <c r="N156" i="2"/>
  <c r="M81" i="4" s="1"/>
  <c r="V156" i="2"/>
  <c r="U81" i="4" s="1"/>
  <c r="Z156" i="2"/>
  <c r="Y81" i="4" s="1"/>
  <c r="K107" i="6"/>
  <c r="B75" i="4"/>
  <c r="P156" i="2"/>
  <c r="O81" i="4" s="1"/>
  <c r="R156" i="2"/>
  <c r="Q81" i="4" s="1"/>
  <c r="X156" i="2"/>
  <c r="W81" i="4" s="1"/>
  <c r="R11" i="6"/>
  <c r="P69" i="6" s="1"/>
  <c r="O164" i="6" s="1"/>
  <c r="E41" i="6"/>
  <c r="E99" i="6" s="1"/>
  <c r="B21" i="4"/>
  <c r="B107" i="1"/>
  <c r="S66" i="1"/>
  <c r="S4" i="4" s="1"/>
  <c r="K112" i="1"/>
  <c r="AA99" i="1"/>
  <c r="T52" i="1"/>
  <c r="T81" i="1"/>
  <c r="T19" i="4" s="1"/>
  <c r="B108" i="1"/>
  <c r="B9" i="4"/>
  <c r="N109" i="1"/>
  <c r="E93" i="1"/>
  <c r="B6" i="4"/>
  <c r="U99" i="1"/>
  <c r="H93" i="1"/>
  <c r="AA109" i="1"/>
  <c r="N52" i="1"/>
  <c r="N81" i="1"/>
  <c r="N19" i="4" s="1"/>
  <c r="P54" i="1"/>
  <c r="P84" i="1"/>
  <c r="P22" i="4" s="1"/>
  <c r="S65" i="1"/>
  <c r="S3" i="4" s="1"/>
  <c r="D78" i="1"/>
  <c r="D16" i="4" s="1"/>
  <c r="E11" i="6"/>
  <c r="E69" i="6" s="1"/>
  <c r="F99" i="1"/>
  <c r="F104" i="1"/>
  <c r="K101" i="1"/>
  <c r="I91" i="1"/>
  <c r="I94" i="1" s="1"/>
  <c r="D3" i="6"/>
  <c r="D61" i="6" s="1"/>
  <c r="B34" i="4"/>
  <c r="D6" i="6"/>
  <c r="D64" i="6" s="1"/>
  <c r="B38" i="4"/>
  <c r="L106" i="1"/>
  <c r="O33" i="1"/>
  <c r="O73" i="1"/>
  <c r="O11" i="4" s="1"/>
  <c r="F120" i="1"/>
  <c r="D23" i="6"/>
  <c r="D81" i="6" s="1"/>
  <c r="B36" i="4"/>
  <c r="D8" i="6"/>
  <c r="D66" i="6" s="1"/>
  <c r="B40" i="4"/>
  <c r="S69" i="6"/>
  <c r="V69" i="6"/>
  <c r="X69" i="6"/>
  <c r="Z69" i="6"/>
  <c r="AB50" i="6"/>
  <c r="Z108" i="6" s="1"/>
  <c r="D10" i="6"/>
  <c r="D68" i="6" s="1"/>
  <c r="B42" i="4"/>
  <c r="D15" i="6"/>
  <c r="D73" i="6" s="1"/>
  <c r="B48" i="4"/>
  <c r="D21" i="6"/>
  <c r="D79" i="6" s="1"/>
  <c r="B52" i="4"/>
  <c r="D29" i="6"/>
  <c r="D87" i="6" s="1"/>
  <c r="B56" i="4"/>
  <c r="D26" i="6"/>
  <c r="D84" i="6" s="1"/>
  <c r="B61" i="4"/>
  <c r="D20" i="6"/>
  <c r="D78" i="6" s="1"/>
  <c r="B65" i="4"/>
  <c r="D33" i="6"/>
  <c r="D91" i="6" s="1"/>
  <c r="B69" i="4"/>
  <c r="D42" i="6"/>
  <c r="B73" i="4"/>
  <c r="D47" i="6"/>
  <c r="D105" i="6" s="1"/>
  <c r="B78" i="4"/>
  <c r="K87" i="1"/>
  <c r="K25" i="4" s="1"/>
  <c r="V123" i="1"/>
  <c r="E121" i="2"/>
  <c r="D46" i="4" s="1"/>
  <c r="L65" i="1"/>
  <c r="L3" i="4" s="1"/>
  <c r="D4" i="6"/>
  <c r="D62" i="6" s="1"/>
  <c r="B35" i="4"/>
  <c r="F69" i="6"/>
  <c r="D37" i="6"/>
  <c r="D95" i="6" s="1"/>
  <c r="B47" i="4"/>
  <c r="D44" i="6"/>
  <c r="D102" i="6" s="1"/>
  <c r="B79" i="4"/>
  <c r="D99" i="1"/>
  <c r="F123" i="1"/>
  <c r="G69" i="6"/>
  <c r="J69" i="6"/>
  <c r="F46" i="1"/>
  <c r="G44" i="1"/>
  <c r="G78" i="1"/>
  <c r="G16" i="4" s="1"/>
  <c r="E167" i="3"/>
  <c r="D25" i="6"/>
  <c r="D83" i="6" s="1"/>
  <c r="B54" i="4"/>
  <c r="D34" i="6"/>
  <c r="D92" i="6" s="1"/>
  <c r="B58" i="4"/>
  <c r="D28" i="6"/>
  <c r="D86" i="6" s="1"/>
  <c r="B67" i="4"/>
  <c r="D38" i="6"/>
  <c r="D96" i="6" s="1"/>
  <c r="B71" i="4"/>
  <c r="D45" i="6"/>
  <c r="D103" i="6" s="1"/>
  <c r="B76" i="4"/>
  <c r="D58" i="1"/>
  <c r="D55" i="1"/>
  <c r="B55" i="1" s="1"/>
  <c r="K123" i="1"/>
  <c r="AA123" i="1"/>
  <c r="O144" i="6"/>
  <c r="N107" i="6"/>
  <c r="H17" i="6"/>
  <c r="G138" i="2"/>
  <c r="F63" i="4" s="1"/>
  <c r="B69" i="1"/>
  <c r="F73" i="1"/>
  <c r="F11" i="4" s="1"/>
  <c r="K41" i="1"/>
  <c r="D5" i="6"/>
  <c r="D63" i="6" s="1"/>
  <c r="B37" i="4"/>
  <c r="B60" i="4"/>
  <c r="D31" i="6"/>
  <c r="D89" i="6" s="1"/>
  <c r="D46" i="6"/>
  <c r="D104" i="6" s="1"/>
  <c r="B77" i="4"/>
  <c r="D98" i="1"/>
  <c r="D93" i="1"/>
  <c r="K69" i="6"/>
  <c r="T69" i="6"/>
  <c r="U69" i="6"/>
  <c r="W69" i="6"/>
  <c r="Y50" i="6"/>
  <c r="W108" i="6" s="1"/>
  <c r="Y69" i="6"/>
  <c r="H100" i="6"/>
  <c r="H49" i="6"/>
  <c r="H107" i="6" s="1"/>
  <c r="H121" i="2"/>
  <c r="G46" i="4" s="1"/>
  <c r="L50" i="6" l="1"/>
  <c r="U156" i="2"/>
  <c r="T81" i="4" s="1"/>
  <c r="B46" i="1"/>
  <c r="S16" i="6"/>
  <c r="Q74" i="6" s="1"/>
  <c r="K156" i="2"/>
  <c r="K158" i="2" s="1"/>
  <c r="B45" i="1"/>
  <c r="S49" i="1"/>
  <c r="S81" i="1" s="1"/>
  <c r="S19" i="4" s="1"/>
  <c r="K111" i="1"/>
  <c r="K16" i="4"/>
  <c r="B41" i="1"/>
  <c r="B57" i="1" s="1"/>
  <c r="AA156" i="2"/>
  <c r="Z49" i="4"/>
  <c r="D109" i="1"/>
  <c r="D14" i="4"/>
  <c r="S98" i="1"/>
  <c r="T3" i="4"/>
  <c r="I93" i="1"/>
  <c r="I3" i="4"/>
  <c r="AB158" i="2"/>
  <c r="AA81" i="4"/>
  <c r="AC156" i="2"/>
  <c r="AB49" i="4"/>
  <c r="L49" i="1"/>
  <c r="L52" i="1" s="1"/>
  <c r="L111" i="1"/>
  <c r="L121" i="2"/>
  <c r="K46" i="4" s="1"/>
  <c r="L72" i="2"/>
  <c r="L104" i="2" s="1"/>
  <c r="J14" i="6"/>
  <c r="M124" i="2"/>
  <c r="L49" i="4" s="1"/>
  <c r="K77" i="1"/>
  <c r="K15" i="4" s="1"/>
  <c r="K44" i="1"/>
  <c r="K76" i="1" s="1"/>
  <c r="K14" i="4" s="1"/>
  <c r="L109" i="1"/>
  <c r="L110" i="1"/>
  <c r="F110" i="1"/>
  <c r="B77" i="1"/>
  <c r="Z52" i="1"/>
  <c r="Z81" i="1"/>
  <c r="Z19" i="4" s="1"/>
  <c r="F121" i="2"/>
  <c r="E46" i="4" s="1"/>
  <c r="F72" i="2"/>
  <c r="F104" i="2" s="1"/>
  <c r="E78" i="1"/>
  <c r="E16" i="4" s="1"/>
  <c r="E44" i="1"/>
  <c r="K99" i="6"/>
  <c r="H60" i="6"/>
  <c r="N50" i="6"/>
  <c r="L108" i="6" s="1"/>
  <c r="N99" i="6"/>
  <c r="R41" i="6"/>
  <c r="P99" i="6" s="1"/>
  <c r="W158" i="2"/>
  <c r="B64" i="4"/>
  <c r="Y158" i="2"/>
  <c r="B123" i="1"/>
  <c r="P50" i="6"/>
  <c r="N108" i="6" s="1"/>
  <c r="J158" i="2"/>
  <c r="C155" i="2"/>
  <c r="B80" i="4" s="1"/>
  <c r="O158" i="2"/>
  <c r="I158" i="2"/>
  <c r="Q158" i="2"/>
  <c r="U50" i="6"/>
  <c r="S108" i="6" s="1"/>
  <c r="R52" i="1"/>
  <c r="R84" i="1" s="1"/>
  <c r="R22" i="4" s="1"/>
  <c r="V50" i="6"/>
  <c r="T108" i="6" s="1"/>
  <c r="W50" i="6"/>
  <c r="U108" i="6" s="1"/>
  <c r="S158" i="2"/>
  <c r="C118" i="2"/>
  <c r="B43" i="4" s="1"/>
  <c r="D2" i="6"/>
  <c r="D60" i="6" s="1"/>
  <c r="R16" i="6"/>
  <c r="P74" i="6" s="1"/>
  <c r="O169" i="6" s="1"/>
  <c r="K50" i="6"/>
  <c r="M91" i="1"/>
  <c r="M94" i="1" s="1"/>
  <c r="B44" i="4"/>
  <c r="I41" i="6"/>
  <c r="I99" i="6" s="1"/>
  <c r="I11" i="6"/>
  <c r="J93" i="1"/>
  <c r="T156" i="2"/>
  <c r="S81" i="4" s="1"/>
  <c r="G121" i="2"/>
  <c r="G72" i="2"/>
  <c r="G104" i="2" s="1"/>
  <c r="AB52" i="1"/>
  <c r="AB81" i="1"/>
  <c r="AB19" i="4" s="1"/>
  <c r="X81" i="1"/>
  <c r="X19" i="4" s="1"/>
  <c r="T93" i="1"/>
  <c r="R98" i="1"/>
  <c r="U109" i="1"/>
  <c r="Y72" i="6"/>
  <c r="AA16" i="6"/>
  <c r="Y52" i="1"/>
  <c r="Y81" i="1"/>
  <c r="Y19" i="4" s="1"/>
  <c r="AA52" i="1"/>
  <c r="AA81" i="1"/>
  <c r="AA19" i="4" s="1"/>
  <c r="Q114" i="1"/>
  <c r="C109" i="1"/>
  <c r="C49" i="1"/>
  <c r="V52" i="1"/>
  <c r="V81" i="1"/>
  <c r="V19" i="4" s="1"/>
  <c r="C111" i="1"/>
  <c r="U52" i="1"/>
  <c r="U81" i="1"/>
  <c r="U19" i="4" s="1"/>
  <c r="W52" i="1"/>
  <c r="W81" i="1"/>
  <c r="W19" i="4" s="1"/>
  <c r="D124" i="2"/>
  <c r="C49" i="4" s="1"/>
  <c r="E14" i="6"/>
  <c r="Q54" i="1"/>
  <c r="Q84" i="1"/>
  <c r="Q22" i="4" s="1"/>
  <c r="H54" i="1"/>
  <c r="H84" i="1"/>
  <c r="H22" i="4" s="1"/>
  <c r="J54" i="1"/>
  <c r="J84" i="1"/>
  <c r="J22" i="4" s="1"/>
  <c r="O114" i="1"/>
  <c r="K99" i="1"/>
  <c r="K33" i="1"/>
  <c r="D49" i="1"/>
  <c r="C72" i="2"/>
  <c r="C104" i="2" s="1"/>
  <c r="R114" i="1"/>
  <c r="S114" i="1"/>
  <c r="T54" i="1"/>
  <c r="T84" i="1"/>
  <c r="T22" i="4" s="1"/>
  <c r="X84" i="1"/>
  <c r="X22" i="4" s="1"/>
  <c r="D111" i="1"/>
  <c r="P56" i="1"/>
  <c r="P88" i="1" s="1"/>
  <c r="P26" i="4" s="1"/>
  <c r="P29" i="4" s="1"/>
  <c r="P86" i="1"/>
  <c r="P24" i="4" s="1"/>
  <c r="N54" i="1"/>
  <c r="N84" i="1"/>
  <c r="N22" i="4" s="1"/>
  <c r="S93" i="1"/>
  <c r="AA117" i="1"/>
  <c r="C57" i="1"/>
  <c r="B87" i="1"/>
  <c r="H69" i="6"/>
  <c r="V102" i="1"/>
  <c r="D17" i="6"/>
  <c r="B50" i="4"/>
  <c r="D87" i="1"/>
  <c r="D25" i="4" s="1"/>
  <c r="F78" i="1"/>
  <c r="F16" i="4" s="1"/>
  <c r="F44" i="1"/>
  <c r="F76" i="1" s="1"/>
  <c r="F14" i="4" s="1"/>
  <c r="L98" i="1"/>
  <c r="L93" i="1"/>
  <c r="F14" i="6"/>
  <c r="E124" i="2"/>
  <c r="D100" i="6"/>
  <c r="D49" i="6"/>
  <c r="D107" i="6" s="1"/>
  <c r="X158" i="2"/>
  <c r="R158" i="2"/>
  <c r="O49" i="1"/>
  <c r="O65" i="1"/>
  <c r="O3" i="4" s="1"/>
  <c r="H124" i="2"/>
  <c r="P158" i="2"/>
  <c r="K73" i="1"/>
  <c r="K11" i="4" s="1"/>
  <c r="F106" i="1"/>
  <c r="B7" i="4"/>
  <c r="B102" i="1"/>
  <c r="B63" i="4"/>
  <c r="H75" i="6"/>
  <c r="H41" i="6"/>
  <c r="H99" i="6" s="1"/>
  <c r="G76" i="1"/>
  <c r="G14" i="4" s="1"/>
  <c r="G49" i="1"/>
  <c r="K120" i="1"/>
  <c r="Z158" i="2"/>
  <c r="V158" i="2"/>
  <c r="N158" i="2"/>
  <c r="N106" i="1"/>
  <c r="U158" i="2" l="1"/>
  <c r="K108" i="6"/>
  <c r="B33" i="1"/>
  <c r="S50" i="6"/>
  <c r="Q108" i="6" s="1"/>
  <c r="J81" i="4"/>
  <c r="S52" i="1"/>
  <c r="S84" i="1" s="1"/>
  <c r="S22" i="4" s="1"/>
  <c r="E156" i="2"/>
  <c r="E158" i="2" s="1"/>
  <c r="D49" i="4"/>
  <c r="H156" i="2"/>
  <c r="G81" i="4" s="1"/>
  <c r="G49" i="4"/>
  <c r="B44" i="1"/>
  <c r="AC158" i="2"/>
  <c r="AB81" i="4"/>
  <c r="H14" i="6"/>
  <c r="H16" i="6" s="1"/>
  <c r="F46" i="4"/>
  <c r="Z81" i="4"/>
  <c r="AA158" i="2"/>
  <c r="L81" i="1"/>
  <c r="L19" i="4" s="1"/>
  <c r="K110" i="1"/>
  <c r="J72" i="6"/>
  <c r="J16" i="6"/>
  <c r="K109" i="1"/>
  <c r="M156" i="2"/>
  <c r="L81" i="4" s="1"/>
  <c r="I14" i="6"/>
  <c r="L124" i="2"/>
  <c r="K49" i="4" s="1"/>
  <c r="B110" i="1"/>
  <c r="B15" i="4"/>
  <c r="R50" i="6"/>
  <c r="P108" i="6" s="1"/>
  <c r="O145" i="6"/>
  <c r="Z54" i="1"/>
  <c r="Z84" i="1"/>
  <c r="Z22" i="4" s="1"/>
  <c r="E76" i="1"/>
  <c r="E14" i="4" s="1"/>
  <c r="E49" i="1"/>
  <c r="E111" i="1"/>
  <c r="G14" i="6"/>
  <c r="F124" i="2"/>
  <c r="R54" i="1"/>
  <c r="R86" i="1" s="1"/>
  <c r="R24" i="4" s="1"/>
  <c r="D11" i="6"/>
  <c r="D69" i="6" s="1"/>
  <c r="C121" i="2"/>
  <c r="C124" i="2" s="1"/>
  <c r="C156" i="2" s="1"/>
  <c r="G124" i="2"/>
  <c r="I69" i="6"/>
  <c r="T158" i="2"/>
  <c r="AB54" i="1"/>
  <c r="AB84" i="1"/>
  <c r="AB22" i="4" s="1"/>
  <c r="AA54" i="1"/>
  <c r="AA84" i="1"/>
  <c r="AA22" i="4" s="1"/>
  <c r="Y54" i="1"/>
  <c r="Y84" i="1"/>
  <c r="Y22" i="4" s="1"/>
  <c r="U114" i="1"/>
  <c r="Y74" i="6"/>
  <c r="AA50" i="6"/>
  <c r="Y108" i="6" s="1"/>
  <c r="Q117" i="1"/>
  <c r="R56" i="1"/>
  <c r="R88" i="1" s="1"/>
  <c r="R26" i="4" s="1"/>
  <c r="R29" i="4" s="1"/>
  <c r="C81" i="1"/>
  <c r="C19" i="4" s="1"/>
  <c r="C52" i="1"/>
  <c r="E72" i="6"/>
  <c r="E16" i="6"/>
  <c r="D156" i="2"/>
  <c r="W54" i="1"/>
  <c r="W84" i="1"/>
  <c r="W22" i="4" s="1"/>
  <c r="U54" i="1"/>
  <c r="U84" i="1"/>
  <c r="U22" i="4" s="1"/>
  <c r="V54" i="1"/>
  <c r="V84" i="1"/>
  <c r="V22" i="4" s="1"/>
  <c r="O117" i="1"/>
  <c r="J86" i="1"/>
  <c r="J24" i="4" s="1"/>
  <c r="J56" i="1"/>
  <c r="J88" i="1" s="1"/>
  <c r="J26" i="4" s="1"/>
  <c r="J29" i="4" s="1"/>
  <c r="H86" i="1"/>
  <c r="H24" i="4" s="1"/>
  <c r="H56" i="1"/>
  <c r="H88" i="1" s="1"/>
  <c r="H26" i="4" s="1"/>
  <c r="H29" i="4" s="1"/>
  <c r="Q56" i="1"/>
  <c r="Q88" i="1" s="1"/>
  <c r="Q26" i="4" s="1"/>
  <c r="Q29" i="4" s="1"/>
  <c r="Q86" i="1"/>
  <c r="Q24" i="4" s="1"/>
  <c r="D52" i="1"/>
  <c r="D81" i="1"/>
  <c r="D19" i="4" s="1"/>
  <c r="R117" i="1"/>
  <c r="S117" i="1"/>
  <c r="X88" i="1"/>
  <c r="X26" i="4" s="1"/>
  <c r="X29" i="4" s="1"/>
  <c r="X86" i="1"/>
  <c r="X24" i="4" s="1"/>
  <c r="T56" i="1"/>
  <c r="T86" i="1"/>
  <c r="T24" i="4" s="1"/>
  <c r="N56" i="1"/>
  <c r="N88" i="1" s="1"/>
  <c r="N26" i="4" s="1"/>
  <c r="N29" i="4" s="1"/>
  <c r="N86" i="1"/>
  <c r="N24" i="4" s="1"/>
  <c r="P91" i="1"/>
  <c r="P94" i="1" s="1"/>
  <c r="AA119" i="1"/>
  <c r="AA121" i="1"/>
  <c r="L54" i="1"/>
  <c r="L84" i="1"/>
  <c r="L22" i="4" s="1"/>
  <c r="X14" i="6"/>
  <c r="K49" i="1"/>
  <c r="K65" i="1"/>
  <c r="K3" i="4" s="1"/>
  <c r="B73" i="1"/>
  <c r="F72" i="6"/>
  <c r="F16" i="6"/>
  <c r="F111" i="1"/>
  <c r="D120" i="1"/>
  <c r="V99" i="1"/>
  <c r="G52" i="1"/>
  <c r="G81" i="1"/>
  <c r="G19" i="4" s="1"/>
  <c r="Z14" i="6"/>
  <c r="K106" i="1"/>
  <c r="O52" i="1"/>
  <c r="O81" i="1"/>
  <c r="O19" i="4" s="1"/>
  <c r="F109" i="1"/>
  <c r="F98" i="1"/>
  <c r="F93" i="1"/>
  <c r="B25" i="4"/>
  <c r="B120" i="1"/>
  <c r="B66" i="1"/>
  <c r="K29" i="1"/>
  <c r="O93" i="1"/>
  <c r="N98" i="1"/>
  <c r="D75" i="6"/>
  <c r="D41" i="6"/>
  <c r="D99" i="6" s="1"/>
  <c r="F49" i="1"/>
  <c r="E49" i="4" l="1"/>
  <c r="F156" i="2"/>
  <c r="H72" i="6"/>
  <c r="B49" i="1"/>
  <c r="L114" i="1"/>
  <c r="S54" i="1"/>
  <c r="S86" i="1" s="1"/>
  <c r="S24" i="4" s="1"/>
  <c r="D158" i="2"/>
  <c r="C81" i="4"/>
  <c r="G156" i="2"/>
  <c r="F81" i="4" s="1"/>
  <c r="F49" i="4"/>
  <c r="D81" i="4"/>
  <c r="M158" i="2"/>
  <c r="J74" i="6"/>
  <c r="J50" i="6"/>
  <c r="J108" i="6" s="1"/>
  <c r="L156" i="2"/>
  <c r="K81" i="4" s="1"/>
  <c r="I72" i="6"/>
  <c r="I16" i="6"/>
  <c r="Z56" i="1"/>
  <c r="Z88" i="1" s="1"/>
  <c r="Z86" i="1"/>
  <c r="Z24" i="4" s="1"/>
  <c r="E52" i="1"/>
  <c r="E81" i="1"/>
  <c r="E19" i="4" s="1"/>
  <c r="E81" i="4"/>
  <c r="G72" i="6"/>
  <c r="G16" i="6"/>
  <c r="E109" i="1"/>
  <c r="AB56" i="1"/>
  <c r="AB88" i="1" s="1"/>
  <c r="AB86" i="1"/>
  <c r="AB24" i="4" s="1"/>
  <c r="U117" i="1"/>
  <c r="Y56" i="1"/>
  <c r="Y88" i="1" s="1"/>
  <c r="Y26" i="4" s="1"/>
  <c r="Y29" i="4" s="1"/>
  <c r="Y86" i="1"/>
  <c r="Y24" i="4" s="1"/>
  <c r="AA56" i="1"/>
  <c r="AA88" i="1" s="1"/>
  <c r="AA26" i="4" s="1"/>
  <c r="AA29" i="4" s="1"/>
  <c r="AA86" i="1"/>
  <c r="AA24" i="4" s="1"/>
  <c r="Q119" i="1"/>
  <c r="Q121" i="1"/>
  <c r="R91" i="1"/>
  <c r="V56" i="1"/>
  <c r="V88" i="1" s="1"/>
  <c r="V26" i="4" s="1"/>
  <c r="V29" i="4" s="1"/>
  <c r="V86" i="1"/>
  <c r="V24" i="4" s="1"/>
  <c r="U56" i="1"/>
  <c r="U88" i="1" s="1"/>
  <c r="U86" i="1"/>
  <c r="U24" i="4" s="1"/>
  <c r="W56" i="1"/>
  <c r="W88" i="1" s="1"/>
  <c r="W26" i="4" s="1"/>
  <c r="W29" i="4" s="1"/>
  <c r="W86" i="1"/>
  <c r="W24" i="4" s="1"/>
  <c r="C114" i="1"/>
  <c r="E74" i="6"/>
  <c r="E50" i="6"/>
  <c r="E108" i="6" s="1"/>
  <c r="C84" i="1"/>
  <c r="C22" i="4" s="1"/>
  <c r="C54" i="1"/>
  <c r="O119" i="1"/>
  <c r="H91" i="1"/>
  <c r="H94" i="1" s="1"/>
  <c r="J91" i="1"/>
  <c r="J94" i="1" s="1"/>
  <c r="O121" i="1"/>
  <c r="Q91" i="1"/>
  <c r="Q94" i="1" s="1"/>
  <c r="D114" i="1"/>
  <c r="D54" i="1"/>
  <c r="D84" i="1"/>
  <c r="D22" i="4" s="1"/>
  <c r="T88" i="1"/>
  <c r="S119" i="1"/>
  <c r="R119" i="1"/>
  <c r="X91" i="1"/>
  <c r="X94" i="1" s="1"/>
  <c r="N91" i="1"/>
  <c r="N94" i="1" s="1"/>
  <c r="AA124" i="1"/>
  <c r="X72" i="6"/>
  <c r="Z16" i="6"/>
  <c r="G54" i="1"/>
  <c r="G84" i="1"/>
  <c r="G22" i="4" s="1"/>
  <c r="B11" i="4"/>
  <c r="B106" i="1"/>
  <c r="K52" i="1"/>
  <c r="K81" i="1"/>
  <c r="K19" i="4" s="1"/>
  <c r="B49" i="4"/>
  <c r="F52" i="1"/>
  <c r="F81" i="1"/>
  <c r="F19" i="4" s="1"/>
  <c r="B65" i="1"/>
  <c r="V111" i="1"/>
  <c r="V109" i="1"/>
  <c r="O54" i="1"/>
  <c r="O84" i="1"/>
  <c r="O22" i="4" s="1"/>
  <c r="F74" i="6"/>
  <c r="F50" i="6"/>
  <c r="F108" i="6" s="1"/>
  <c r="H158" i="2"/>
  <c r="K98" i="1"/>
  <c r="K93" i="1"/>
  <c r="D14" i="6"/>
  <c r="B46" i="4"/>
  <c r="L117" i="1"/>
  <c r="V98" i="1"/>
  <c r="H74" i="6"/>
  <c r="H50" i="6"/>
  <c r="H108" i="6" s="1"/>
  <c r="B4" i="4"/>
  <c r="B99" i="1"/>
  <c r="B78" i="1"/>
  <c r="C158" i="2" s="1"/>
  <c r="B76" i="1"/>
  <c r="N114" i="1"/>
  <c r="V72" i="6"/>
  <c r="X16" i="6"/>
  <c r="L56" i="1"/>
  <c r="L88" i="1" s="1"/>
  <c r="L26" i="4" s="1"/>
  <c r="L29" i="4" s="1"/>
  <c r="L86" i="1"/>
  <c r="L24" i="4" s="1"/>
  <c r="G158" i="2" l="1"/>
  <c r="B52" i="1"/>
  <c r="T91" i="1"/>
  <c r="T94" i="1" s="1"/>
  <c r="T26" i="4"/>
  <c r="T29" i="4" s="1"/>
  <c r="U91" i="1"/>
  <c r="U26" i="4"/>
  <c r="U29" i="4" s="1"/>
  <c r="AB91" i="1"/>
  <c r="AB94" i="1" s="1"/>
  <c r="AB26" i="4"/>
  <c r="AB29" i="4" s="1"/>
  <c r="Z91" i="1"/>
  <c r="Z94" i="1" s="1"/>
  <c r="Z26" i="4"/>
  <c r="Z29" i="4" s="1"/>
  <c r="S56" i="1"/>
  <c r="S88" i="1" s="1"/>
  <c r="S26" i="4" s="1"/>
  <c r="S29" i="4" s="1"/>
  <c r="I74" i="6"/>
  <c r="I50" i="6"/>
  <c r="I108" i="6" s="1"/>
  <c r="L158" i="2"/>
  <c r="G74" i="6"/>
  <c r="G50" i="6"/>
  <c r="G108" i="6" s="1"/>
  <c r="F158" i="2"/>
  <c r="E114" i="1"/>
  <c r="E54" i="1"/>
  <c r="E84" i="1"/>
  <c r="E22" i="4" s="1"/>
  <c r="R121" i="1"/>
  <c r="S121" i="1"/>
  <c r="U119" i="1"/>
  <c r="U121" i="1"/>
  <c r="AA91" i="1"/>
  <c r="Y91" i="1"/>
  <c r="Y94" i="1" s="1"/>
  <c r="Q124" i="1"/>
  <c r="R94" i="1"/>
  <c r="C56" i="1"/>
  <c r="C88" i="1" s="1"/>
  <c r="C86" i="1"/>
  <c r="C24" i="4" s="1"/>
  <c r="C117" i="1"/>
  <c r="W91" i="1"/>
  <c r="W94" i="1" s="1"/>
  <c r="V91" i="1"/>
  <c r="V94" i="1" s="1"/>
  <c r="O124" i="1"/>
  <c r="D117" i="1"/>
  <c r="D56" i="1"/>
  <c r="D86" i="1"/>
  <c r="D24" i="4" s="1"/>
  <c r="D72" i="6"/>
  <c r="D16" i="6"/>
  <c r="N117" i="1"/>
  <c r="B3" i="4"/>
  <c r="B98" i="1"/>
  <c r="B93" i="1"/>
  <c r="F54" i="1"/>
  <c r="F84" i="1"/>
  <c r="F22" i="4" s="1"/>
  <c r="K114" i="1"/>
  <c r="X74" i="6"/>
  <c r="Z50" i="6"/>
  <c r="X108" i="6" s="1"/>
  <c r="L119" i="1"/>
  <c r="V74" i="6"/>
  <c r="X50" i="6"/>
  <c r="V108" i="6" s="1"/>
  <c r="B14" i="4"/>
  <c r="B109" i="1"/>
  <c r="L121" i="1"/>
  <c r="L91" i="1"/>
  <c r="B16" i="4"/>
  <c r="B111" i="1"/>
  <c r="O56" i="1"/>
  <c r="O88" i="1" s="1"/>
  <c r="O26" i="4" s="1"/>
  <c r="O29" i="4" s="1"/>
  <c r="O86" i="1"/>
  <c r="O24" i="4" s="1"/>
  <c r="F114" i="1"/>
  <c r="K54" i="1"/>
  <c r="K84" i="1"/>
  <c r="K22" i="4" s="1"/>
  <c r="G56" i="1"/>
  <c r="G88" i="1" s="1"/>
  <c r="G26" i="4" s="1"/>
  <c r="G29" i="4" s="1"/>
  <c r="G86" i="1"/>
  <c r="G24" i="4" s="1"/>
  <c r="U94" i="1" l="1"/>
  <c r="U125" i="1"/>
  <c r="S124" i="1"/>
  <c r="R124" i="1"/>
  <c r="C121" i="1"/>
  <c r="C26" i="4"/>
  <c r="C29" i="4" s="1"/>
  <c r="B54" i="1"/>
  <c r="C91" i="1"/>
  <c r="C94" i="1" s="1"/>
  <c r="E117" i="1"/>
  <c r="E86" i="1"/>
  <c r="E24" i="4" s="1"/>
  <c r="E56" i="1"/>
  <c r="E88" i="1" s="1"/>
  <c r="E26" i="4" s="1"/>
  <c r="E29" i="4" s="1"/>
  <c r="S91" i="1"/>
  <c r="S94" i="1" s="1"/>
  <c r="AA94" i="1"/>
  <c r="U124" i="1"/>
  <c r="C119" i="1"/>
  <c r="D119" i="1"/>
  <c r="D88" i="1"/>
  <c r="D26" i="4" s="1"/>
  <c r="D29" i="4" s="1"/>
  <c r="K117" i="1"/>
  <c r="B81" i="1"/>
  <c r="N121" i="1"/>
  <c r="O91" i="1"/>
  <c r="V114" i="1"/>
  <c r="B81" i="4"/>
  <c r="F56" i="1"/>
  <c r="F86" i="1"/>
  <c r="F24" i="4" s="1"/>
  <c r="D74" i="6"/>
  <c r="D50" i="6"/>
  <c r="D108" i="6" s="1"/>
  <c r="G91" i="1"/>
  <c r="G94" i="1" s="1"/>
  <c r="K56" i="1"/>
  <c r="K88" i="1" s="1"/>
  <c r="K26" i="4" s="1"/>
  <c r="K29" i="4" s="1"/>
  <c r="K86" i="1"/>
  <c r="K24" i="4" s="1"/>
  <c r="N119" i="1"/>
  <c r="L124" i="1"/>
  <c r="L94" i="1"/>
  <c r="F117" i="1"/>
  <c r="C124" i="1" l="1"/>
  <c r="F88" i="1"/>
  <c r="F26" i="4" s="1"/>
  <c r="F29" i="4" s="1"/>
  <c r="B56" i="1"/>
  <c r="E91" i="1"/>
  <c r="E121" i="1"/>
  <c r="E119" i="1"/>
  <c r="D121" i="1"/>
  <c r="D91" i="1"/>
  <c r="V117" i="1"/>
  <c r="K119" i="1"/>
  <c r="K121" i="1"/>
  <c r="K91" i="1"/>
  <c r="B19" i="4"/>
  <c r="B114" i="1"/>
  <c r="F119" i="1"/>
  <c r="N124" i="1"/>
  <c r="O94" i="1"/>
  <c r="B85" i="1"/>
  <c r="B84" i="1"/>
  <c r="F91" i="1" l="1"/>
  <c r="F94" i="1" s="1"/>
  <c r="F121" i="1"/>
  <c r="E94" i="1"/>
  <c r="E124" i="1"/>
  <c r="D94" i="1"/>
  <c r="D124" i="1"/>
  <c r="B23" i="4"/>
  <c r="B118" i="1"/>
  <c r="B22" i="4"/>
  <c r="B117" i="1"/>
  <c r="V119" i="1"/>
  <c r="K124" i="1"/>
  <c r="K94" i="1"/>
  <c r="V121" i="1"/>
  <c r="F124" i="1" l="1"/>
  <c r="V124" i="1"/>
  <c r="B88" i="1"/>
  <c r="B86" i="1"/>
  <c r="B24" i="4" l="1"/>
  <c r="B119" i="1"/>
  <c r="B26" i="4"/>
  <c r="B29" i="4" s="1"/>
  <c r="B121" i="1"/>
  <c r="B91" i="1"/>
  <c r="B124" i="1" l="1"/>
  <c r="B94" i="1"/>
  <c r="E159" i="3" l="1"/>
  <c r="E105" i="3" s="1"/>
  <c r="C105" i="3"/>
</calcChain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总部交易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comments2.xml><?xml version="1.0" encoding="utf-8"?>
<comments xmlns="http://schemas.openxmlformats.org/spreadsheetml/2006/main">
  <authors>
    <author>黄奕馨</author>
    <author xml:space="preserve"> 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:</t>
        </r>
        <r>
          <rPr>
            <sz val="9"/>
            <color indexed="81"/>
            <rFont val="宋体"/>
            <family val="3"/>
            <charset val="134"/>
          </rPr>
          <t xml:space="preserve">
1-4月固定格式，填5-12月发生数，需价税分离</t>
        </r>
      </text>
    </comment>
    <comment ref="I167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288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92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3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<sst xmlns="http://schemas.openxmlformats.org/spreadsheetml/2006/main" count="2487" uniqueCount="549">
  <si>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</si>
  <si>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</si>
  <si>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</si>
  <si>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</si>
  <si>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</si>
  <si>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</si>
  <si>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</si>
  <si>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资管业务</t>
  </si>
  <si>
    <t>资产管理部</t>
  </si>
  <si>
    <t>权益产品投资部</t>
  </si>
  <si>
    <t>固收产品投资部</t>
  </si>
  <si>
    <t>量化产品投资部</t>
  </si>
  <si>
    <t>深分公司合计</t>
  </si>
  <si>
    <t>固定收益投资部</t>
  </si>
  <si>
    <t>固定收益市场部</t>
  </si>
  <si>
    <t>投顾业务部</t>
  </si>
  <si>
    <t>证券投资部</t>
  </si>
  <si>
    <t>做市业务部</t>
  </si>
  <si>
    <t>金融衍生品投资部</t>
  </si>
  <si>
    <t>深圳管理部</t>
  </si>
  <si>
    <t>投资银行合计</t>
  </si>
  <si>
    <t>投资银行三部</t>
  </si>
  <si>
    <t>投资银行一部</t>
  </si>
  <si>
    <t>投资银行二部</t>
  </si>
  <si>
    <t>投资银行四部</t>
  </si>
  <si>
    <t>投资银行北京一部</t>
  </si>
  <si>
    <t>投资银行北京二部</t>
  </si>
  <si>
    <t>投资银行管理部</t>
  </si>
  <si>
    <t>浙江分公司小计</t>
  </si>
  <si>
    <t>浙分总部</t>
  </si>
  <si>
    <t>综合业务部</t>
  </si>
  <si>
    <t>网络金融部</t>
  </si>
  <si>
    <t>广东分公司</t>
  </si>
  <si>
    <t>运营支持部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</si>
  <si>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</si>
  <si>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</si>
  <si>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</si>
  <si>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</si>
  <si>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</si>
  <si>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</si>
  <si>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</si>
  <si>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</si>
  <si>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</si>
  <si>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</si>
  <si>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</si>
  <si>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</si>
  <si>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</si>
  <si>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</si>
  <si>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</si>
  <si>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</si>
  <si>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</si>
  <si>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</si>
  <si>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</si>
  <si>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</si>
  <si>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</si>
  <si>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</si>
  <si>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</si>
  <si>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</si>
  <si>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</si>
  <si>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</si>
  <si>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</si>
  <si>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日均规模</t>
  </si>
  <si>
    <t>日均规模（万元）</t>
  </si>
  <si>
    <t>考核利润表</t>
  </si>
  <si>
    <t>调整后</t>
  </si>
  <si>
    <t>部门考核利润</t>
  </si>
  <si>
    <t>营业收入</t>
  </si>
  <si>
    <t>固定收益部</t>
  </si>
  <si>
    <t>风险管理部</t>
  </si>
  <si>
    <t>中小企业融资部</t>
  </si>
  <si>
    <t>债券融资部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</si>
  <si>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</si>
  <si>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</si>
  <si>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</si>
  <si>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</si>
  <si>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</si>
  <si>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</si>
  <si>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</si>
  <si>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</si>
  <si>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</si>
  <si>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</si>
  <si>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</si>
  <si>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</si>
  <si>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</si>
  <si>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</si>
  <si>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</si>
  <si>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</si>
  <si>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</si>
  <si>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</si>
  <si>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</si>
  <si>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</si>
  <si>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</si>
  <si>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</si>
  <si>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</si>
  <si>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</si>
  <si>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</si>
  <si>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</si>
  <si>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</si>
  <si>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</si>
  <si>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</si>
  <si>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</si>
  <si>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</si>
  <si>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</si>
  <si>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</si>
  <si>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</si>
  <si>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</si>
  <si>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</si>
  <si>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</si>
  <si>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</si>
  <si>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</si>
  <si>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</si>
  <si>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</si>
  <si>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</si>
  <si>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</si>
  <si>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</si>
  <si>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</si>
  <si>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</si>
  <si>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</si>
  <si>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</si>
  <si>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</si>
  <si>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</si>
  <si>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</si>
  <si>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</si>
  <si>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</si>
  <si>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</si>
  <si>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</si>
  <si>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</si>
  <si>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</si>
  <si>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</si>
  <si>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</si>
  <si>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</si>
  <si>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</si>
  <si>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</si>
  <si>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</si>
  <si>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</si>
  <si>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</si>
  <si>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</si>
  <si>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</si>
  <si>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</si>
  <si>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</si>
  <si>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</si>
  <si>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</si>
  <si>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</si>
  <si>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</si>
  <si>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</si>
  <si>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</si>
  <si>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</si>
  <si>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</si>
  <si>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</si>
  <si>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</si>
  <si>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</si>
  <si>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</si>
  <si>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</si>
  <si>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</si>
  <si>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</si>
  <si>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3</t>
  </si>
  <si>
    <t>固收期货</t>
  </si>
  <si>
    <t>通道占用</t>
  </si>
  <si>
    <t>4</t>
  </si>
  <si>
    <t>金衍期货</t>
  </si>
  <si>
    <t>5</t>
  </si>
  <si>
    <t>6</t>
  </si>
  <si>
    <t>固收2921账户基金投资收益</t>
  </si>
  <si>
    <t>7</t>
  </si>
  <si>
    <t>固收2921账户基金浮动盈亏</t>
  </si>
  <si>
    <t>8</t>
  </si>
  <si>
    <t>9</t>
  </si>
  <si>
    <t>已开专票尚未到账预提收入</t>
  </si>
  <si>
    <t>10</t>
  </si>
  <si>
    <t>11</t>
  </si>
  <si>
    <t>12</t>
  </si>
  <si>
    <t>资金运营部委托现金管理收入</t>
  </si>
  <si>
    <t>13</t>
  </si>
  <si>
    <t>固收代持撮合、申购户浮动盈亏调出（不含150218、160303）</t>
  </si>
  <si>
    <t>14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</si>
  <si>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</si>
  <si>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</si>
  <si>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</si>
  <si>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</si>
  <si>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</si>
  <si>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</si>
  <si>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</si>
  <si>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</si>
  <si>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</si>
  <si>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20</t>
  </si>
  <si>
    <t>固收代资金运营部购买基金收入</t>
  </si>
  <si>
    <t>21</t>
  </si>
  <si>
    <t>22</t>
  </si>
  <si>
    <t>月多利5号利息支出</t>
  </si>
  <si>
    <t>23</t>
  </si>
  <si>
    <t>24</t>
  </si>
  <si>
    <t>25</t>
  </si>
  <si>
    <t>珠江6号收入划至曙光营业部</t>
  </si>
  <si>
    <t>BGS0108-20160470.管理费50%、交易费50%、业绩报酬90%归资管，其余归曙光路营业部</t>
  </si>
  <si>
    <t>26</t>
  </si>
  <si>
    <t>三诺生物1号交易费转长沙八一</t>
  </si>
  <si>
    <t>BGS0108-20170248.管理费归资管，交易费归长沙八一营业部</t>
  </si>
  <si>
    <t>27</t>
  </si>
  <si>
    <t>融盈2号业绩报酬调至投资收益</t>
  </si>
  <si>
    <t>28</t>
  </si>
  <si>
    <t>29</t>
  </si>
  <si>
    <t>30</t>
  </si>
  <si>
    <t>31</t>
  </si>
  <si>
    <t>做市业务部推荐做市分成收入（快乐传媒）</t>
  </si>
  <si>
    <t>32</t>
  </si>
  <si>
    <t>33</t>
  </si>
  <si>
    <t>34</t>
  </si>
  <si>
    <t xml:space="preserve"> 投顾业务部期初分账产品公允价值（年初固定调整） </t>
  </si>
  <si>
    <t>35</t>
  </si>
  <si>
    <t>珠江8号收入划投顾部</t>
  </si>
  <si>
    <t>36</t>
  </si>
  <si>
    <t>37</t>
  </si>
  <si>
    <t>珠江10号收入划投顾部</t>
  </si>
  <si>
    <t>38</t>
  </si>
  <si>
    <t>39</t>
  </si>
  <si>
    <t>40</t>
  </si>
  <si>
    <t>运通70号收入划浙分综合业务部</t>
  </si>
  <si>
    <t>BGS0108-20171046，资管每年8万，其余为浙分</t>
  </si>
  <si>
    <t>41</t>
  </si>
  <si>
    <t>运通20号收入划红桂营业部</t>
  </si>
  <si>
    <t>BGS0108-20161346.收入10%归资管，90%归红桂营业部</t>
  </si>
  <si>
    <t>42</t>
  </si>
  <si>
    <t>浦发长春1号收入划长春营业部</t>
  </si>
  <si>
    <t>BGS0108-20170567.前5年资管每季2万，其余为长春营业部</t>
  </si>
  <si>
    <t>43</t>
  </si>
  <si>
    <t>运通22号收入划青岛营业部</t>
  </si>
  <si>
    <t>BGS0108-20170399.资管总共收10万，其余为青岛营业部</t>
  </si>
  <si>
    <t>44</t>
  </si>
  <si>
    <t>45</t>
  </si>
  <si>
    <t>46</t>
  </si>
  <si>
    <t>47</t>
  </si>
  <si>
    <t xml:space="preserve"> 量化委托证投自营投资收益</t>
  </si>
  <si>
    <t>48</t>
  </si>
  <si>
    <t xml:space="preserve"> 量化委托证投自营公允价值变动损益</t>
  </si>
  <si>
    <t>49</t>
  </si>
  <si>
    <t xml:space="preserve"> 量化委托证投自营利息收入</t>
  </si>
  <si>
    <t>50</t>
  </si>
  <si>
    <t xml:space="preserve"> 量化委托证投手续费及佣金收入</t>
  </si>
  <si>
    <t>51</t>
  </si>
  <si>
    <t>国信证券期权费</t>
  </si>
  <si>
    <t>52</t>
  </si>
  <si>
    <t>53</t>
  </si>
  <si>
    <t>54</t>
  </si>
  <si>
    <t>55</t>
  </si>
  <si>
    <t>财兴2号第60期管理费收入划永州营业部</t>
  </si>
  <si>
    <t>BGS0108-20170780.资管53%，永州47%</t>
  </si>
  <si>
    <t>56</t>
  </si>
  <si>
    <t>点米1号退还管理费资管和南京各承担一半</t>
  </si>
  <si>
    <t>BGS0108-20171089，退还管理费资管和南京营业部各承担一半</t>
  </si>
  <si>
    <t>宝辰投资投顾费(手签）</t>
  </si>
  <si>
    <t>58</t>
  </si>
  <si>
    <t>三、营业税调整项</t>
  </si>
  <si>
    <t>57</t>
  </si>
  <si>
    <t>房屋印花税</t>
  </si>
  <si>
    <t>四、费用调整项</t>
  </si>
  <si>
    <t>调至惠和</t>
  </si>
  <si>
    <t>运通22号咨询费划青岛营业部</t>
  </si>
  <si>
    <t>BGS0108-20170399.对应收入和费用归青岛营业部</t>
  </si>
  <si>
    <t>总部大宗采购分摊费用转出</t>
  </si>
  <si>
    <t>纸质签字</t>
  </si>
  <si>
    <t>折旧费分摊</t>
  </si>
  <si>
    <t>渠道引流业务广告费调出（2016年应付未付，已考核入2016费用）</t>
  </si>
  <si>
    <t>深分代垫水电费</t>
  </si>
  <si>
    <t>深分代垫惠和物业管理费、租金</t>
  </si>
  <si>
    <t>深分代垫福田营业部租金及管理费（橄榄大厦、地铁大厦）</t>
  </si>
  <si>
    <t>59</t>
  </si>
  <si>
    <t>运营管理部代付经总部费用</t>
  </si>
  <si>
    <t>60</t>
  </si>
  <si>
    <t>61</t>
  </si>
  <si>
    <t>总部营业部代付运营管理部呼叫中心管理费用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</si>
  <si>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</si>
  <si>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</si>
  <si>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</si>
  <si>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</si>
  <si>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</si>
  <si>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</si>
  <si>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金工产品浮动盈亏</t>
  </si>
  <si>
    <t>固收投资户浮动盈亏</t>
  </si>
  <si>
    <t>资产管理浮动收益</t>
  </si>
  <si>
    <t>产品浮动盈亏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</si>
  <si>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</si>
  <si>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</si>
  <si>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</si>
  <si>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</si>
  <si>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</si>
  <si>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</si>
  <si>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</si>
  <si>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</si>
  <si>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</si>
  <si>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</si>
  <si>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</si>
  <si>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</si>
  <si>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</si>
  <si>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</si>
  <si>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</si>
  <si>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</si>
  <si>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</si>
  <si>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</si>
  <si>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</si>
  <si>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</si>
  <si>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</si>
  <si>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</si>
  <si>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</si>
  <si>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</si>
  <si>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</si>
  <si>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</si>
  <si>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</si>
  <si>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</si>
  <si>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</si>
  <si>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</si>
  <si>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</si>
  <si>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</si>
  <si>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</si>
  <si>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</si>
  <si>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</si>
  <si>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</si>
  <si>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</si>
  <si>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</si>
  <si>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</si>
  <si>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</si>
  <si>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</si>
  <si>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</si>
  <si>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</si>
  <si>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</si>
  <si>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</si>
  <si>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</si>
  <si>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</si>
  <si>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</si>
  <si>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</si>
  <si>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</si>
  <si>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</si>
  <si>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</si>
  <si>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</si>
  <si>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</si>
  <si>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</si>
  <si>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</si>
  <si>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</si>
  <si>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</si>
  <si>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</si>
  <si>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</si>
  <si>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</si>
  <si>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</si>
  <si>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</si>
  <si>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</si>
  <si>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</si>
  <si>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</si>
  <si>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</si>
  <si>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</si>
  <si>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</si>
  <si>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</si>
  <si>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</si>
  <si>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</si>
  <si>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</si>
  <si>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</si>
  <si>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</si>
  <si>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</si>
  <si>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</si>
  <si>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</si>
  <si>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</si>
  <si>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</si>
  <si>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</si>
  <si>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</si>
  <si>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</si>
  <si>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</si>
  <si>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</si>
  <si>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</si>
  <si>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</si>
  <si>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</si>
  <si>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</si>
  <si>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</si>
  <si>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</si>
  <si>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</si>
  <si>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</si>
  <si>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</si>
  <si>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</si>
  <si>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</si>
  <si>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</si>
  <si>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</si>
  <si>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</si>
  <si>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</si>
  <si>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</si>
  <si>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</si>
  <si>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</si>
  <si>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</si>
  <si>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</si>
  <si>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</si>
  <si>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</si>
  <si>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</si>
  <si>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</si>
  <si>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</si>
  <si>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</si>
  <si>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</si>
  <si>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</si>
  <si>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</si>
  <si>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</si>
  <si>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</si>
  <si>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</si>
  <si>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</si>
  <si>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</si>
  <si>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</si>
  <si>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</si>
  <si>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</si>
  <si>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</si>
  <si>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</si>
  <si>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</si>
  <si>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</si>
  <si>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</si>
  <si>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</si>
  <si>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</si>
  <si>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</si>
  <si>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</si>
  <si>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</si>
  <si>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</si>
  <si>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金融工程部</t>
  </si>
  <si>
    <t>金融衍生品部</t>
  </si>
  <si>
    <t>投资银行管理总部</t>
  </si>
  <si>
    <t>股权融资部</t>
  </si>
  <si>
    <t>浙江管理总部</t>
  </si>
  <si>
    <t>经纪业务总部</t>
  </si>
  <si>
    <t>零售业务部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</si>
  <si>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</si>
  <si>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</si>
  <si>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</si>
  <si>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</si>
  <si>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</si>
  <si>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</si>
  <si>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</si>
  <si>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</si>
  <si>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</si>
  <si>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</si>
  <si>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</si>
  <si>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</si>
  <si>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</si>
  <si>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</si>
  <si>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</si>
  <si>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</si>
  <si>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</si>
  <si>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</si>
  <si>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</si>
  <si>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</si>
  <si>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</si>
  <si>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</si>
  <si>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</si>
  <si>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</si>
  <si>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</si>
  <si>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</si>
  <si>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</si>
  <si>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</si>
  <si>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</si>
  <si>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</si>
  <si>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</si>
  <si>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</si>
  <si>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</si>
  <si>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</si>
  <si>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</si>
  <si>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</si>
  <si>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</si>
  <si>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</si>
  <si>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</si>
  <si>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</si>
  <si>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</si>
  <si>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</si>
  <si>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</si>
  <si>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</si>
  <si>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</si>
  <si>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</si>
  <si>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</si>
  <si>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</si>
  <si>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</si>
  <si>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</si>
  <si>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</si>
  <si>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</si>
  <si>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</si>
  <si>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</si>
  <si>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</si>
  <si>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</si>
  <si>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</si>
  <si>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</si>
  <si>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</si>
  <si>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</si>
  <si>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</si>
  <si>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</si>
  <si>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</si>
  <si>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</si>
  <si>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</si>
  <si>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t>投资银行总部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</si>
  <si>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</si>
  <si>
    <t>运营管理部</t>
    <phoneticPr fontId="34" type="noConversion"/>
  </si>
  <si>
    <t>投资银行管理部</t>
    <phoneticPr fontId="34" type="noConversion"/>
  </si>
  <si>
    <t>2017年1-9月费用调整表</t>
    <phoneticPr fontId="34" type="noConversion"/>
  </si>
  <si>
    <t>2017年1-9月</t>
    <phoneticPr fontId="34" type="noConversion"/>
  </si>
  <si>
    <t>金融衍生品部</t>
    <phoneticPr fontId="34" type="noConversion"/>
  </si>
  <si>
    <t>量化期货</t>
    <phoneticPr fontId="34" type="noConversion"/>
  </si>
  <si>
    <t>大宗采购分摊</t>
    <phoneticPr fontId="34" type="noConversion"/>
  </si>
  <si>
    <t>总部大宗采购分摊费用</t>
    <phoneticPr fontId="34" type="noConversion"/>
  </si>
  <si>
    <t>资管调和金量化产品、财富1号2号销售服务费入营业部收入（收入双计）</t>
    <phoneticPr fontId="34" type="noConversion"/>
  </si>
  <si>
    <t>累计IB分成利润</t>
    <phoneticPr fontId="34" type="noConversion"/>
  </si>
  <si>
    <t>1-9月投行协同收入调整（双计）</t>
    <phoneticPr fontId="34" type="noConversion"/>
  </si>
  <si>
    <t>总部代零售采购固定资产一批入营销活动费(纸质签字）</t>
    <phoneticPr fontId="34" type="noConversion"/>
  </si>
  <si>
    <t>运营管理部</t>
  </si>
  <si>
    <t>运营管理部</t>
    <phoneticPr fontId="34" type="noConversion"/>
  </si>
  <si>
    <t>总部大宗采购分摊费用转出</t>
    <phoneticPr fontId="34" type="noConversion"/>
  </si>
  <si>
    <t>大宗采购费用</t>
    <phoneticPr fontId="34" type="noConversion"/>
  </si>
  <si>
    <t>投资银行深圳一部（筹）</t>
  </si>
  <si>
    <t>投资银行深圳一部（筹）</t>
    <phoneticPr fontId="34" type="noConversion"/>
  </si>
  <si>
    <t>投资银行深圳一部（筹）</t>
    <phoneticPr fontId="34" type="noConversion"/>
  </si>
  <si>
    <t>投资银行深圳一部（筹）</t>
    <phoneticPr fontId="34" type="noConversion"/>
  </si>
  <si>
    <t>深圳团队费用</t>
    <phoneticPr fontId="34" type="noConversion"/>
  </si>
  <si>
    <t>深圳团队费用</t>
  </si>
  <si>
    <t>证券投资部</t>
    <phoneticPr fontId="34" type="noConversion"/>
  </si>
  <si>
    <t>往年分销费收回及冲计提2016收入</t>
    <phoneticPr fontId="34" type="noConversion"/>
  </si>
  <si>
    <t>总部大宗采购分摊费用</t>
    <phoneticPr fontId="34" type="noConversion"/>
  </si>
  <si>
    <t>珠江16号收入划投顾部</t>
    <phoneticPr fontId="34" type="noConversion"/>
  </si>
  <si>
    <t>惠丰稳健22号收入50%给投顾部</t>
    <phoneticPr fontId="34" type="noConversion"/>
  </si>
  <si>
    <t>月多利1-6号利息支出,财丰金系列</t>
    <phoneticPr fontId="34" type="noConversion"/>
  </si>
  <si>
    <t>专家咨询费</t>
    <phoneticPr fontId="34" type="noConversion"/>
  </si>
  <si>
    <t>和金量化7号销售费用划营业部（见签字件）</t>
    <phoneticPr fontId="34" type="noConversion"/>
  </si>
  <si>
    <t>和金量化1号销售费用划营业部（见签字件）</t>
    <phoneticPr fontId="34" type="noConversion"/>
  </si>
  <si>
    <t>和金量化10号销售费用划营业部（见签字件及流程BGS0108-20171254）</t>
    <phoneticPr fontId="34" type="noConversion"/>
  </si>
  <si>
    <t>珠池12号销售费用划营业部（见流程BGS0108-20171159）</t>
    <phoneticPr fontId="34" type="noConversion"/>
  </si>
  <si>
    <t>专家费用</t>
    <phoneticPr fontId="34" type="noConversion"/>
  </si>
  <si>
    <t>专家费用</t>
    <phoneticPr fontId="34" type="noConversion"/>
  </si>
  <si>
    <t>总部大宗采购分摊费用</t>
    <phoneticPr fontId="34" type="noConversion"/>
  </si>
  <si>
    <t>深圳红桂路营业部于2017年4月、5月共计收到兴业全球基金佣金</t>
    <phoneticPr fontId="33" type="noConversion"/>
  </si>
  <si>
    <t>新三板挂牌，浙江分公司承做</t>
    <phoneticPr fontId="34" type="noConversion"/>
  </si>
  <si>
    <t>IB为税后，无税金</t>
    <phoneticPr fontId="34" type="noConversion"/>
  </si>
  <si>
    <t>咨讯费</t>
    <phoneticPr fontId="34" type="noConversion"/>
  </si>
  <si>
    <t>业务招待费</t>
    <phoneticPr fontId="34" type="noConversion"/>
  </si>
  <si>
    <t>经纪业务部</t>
    <phoneticPr fontId="34" type="noConversion"/>
  </si>
  <si>
    <t>营销费双计收入，不考虑税金</t>
    <phoneticPr fontId="34" type="noConversion"/>
  </si>
  <si>
    <t>不考虑税费，已扣除</t>
    <phoneticPr fontId="34" type="noConversion"/>
  </si>
  <si>
    <t>不考虑税费，已扣除</t>
    <phoneticPr fontId="34" type="noConversion"/>
  </si>
  <si>
    <t>补提2016年新三板项目承揽费按比例从中小融调出（100%）</t>
  </si>
  <si>
    <t xml:space="preserve">   2.营业税金及附加</t>
  </si>
  <si>
    <t xml:space="preserve">   3.业务及管理费</t>
  </si>
  <si>
    <t xml:space="preserve"> 慧丰稳健22号</t>
    <phoneticPr fontId="34" type="noConversion"/>
  </si>
  <si>
    <t>桑植农商行投顾费营业部与投顾50%</t>
    <phoneticPr fontId="34" type="noConversion"/>
  </si>
  <si>
    <t>运通16号收入每年56万（含税），第一年给资管18万，后两年全给投行一部</t>
    <phoneticPr fontId="34" type="noConversion"/>
  </si>
  <si>
    <t>62</t>
  </si>
  <si>
    <t>和畅量化1号销售费用划营业部（见签字件）</t>
    <phoneticPr fontId="34" type="noConversion"/>
  </si>
  <si>
    <t>财富3号销售费用划营业部（见签字件）</t>
    <phoneticPr fontId="34" type="noConversion"/>
  </si>
  <si>
    <t>财富1号2-10期销售费用划营业部（见签字件）</t>
    <phoneticPr fontId="34" type="noConversion"/>
  </si>
  <si>
    <t>财富2号销售费用划营业部（见签字件）</t>
    <phoneticPr fontId="34" type="noConversion"/>
  </si>
  <si>
    <t>R-014协议回购产品首期录入错误</t>
    <phoneticPr fontId="34" type="noConversion"/>
  </si>
  <si>
    <t>承做费从业务部门调到总部</t>
    <phoneticPr fontId="34" type="noConversion"/>
  </si>
  <si>
    <t>部门费用分摊</t>
    <phoneticPr fontId="34" type="noConversion"/>
  </si>
  <si>
    <t>保代津贴从投行二部调入投行管理部</t>
    <phoneticPr fontId="34" type="noConversion"/>
  </si>
  <si>
    <t>债券受托管理费调整至业务部门</t>
    <phoneticPr fontId="34" type="noConversion"/>
  </si>
  <si>
    <t>2017年1-10月利润调整表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</si>
</sst>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0.00_ "/>
    <numFmt numFmtId="178" formatCode="0_ "/>
    <numFmt numFmtId="179" formatCode="_ * #,##0.0000_ ;_ * \-#,##0.0000_ ;_ * &quot;-&quot;_ ;_ @_ "/>
    <numFmt numFmtId="180" formatCode="0_);[Red]\(0\)"/>
    <numFmt numFmtId="181" formatCode="_-* #,##0.00_-;\-* #,##0.00_-;_-* &quot;-&quot;??_-;_-@_-"/>
    <numFmt numFmtId="182" formatCode="#,##0.00_ "/>
    <numFmt numFmtId="183" formatCode="0.00_);[Red]\(0.00\)"/>
    <numFmt numFmtId="184" formatCode="_-* #,##0.0_-;\-* #,##0.0_-;_-* &quot;-&quot;??_-;_-@_-"/>
  </numFmts>
  <fonts count="37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C00000"/>
      <name val="Times New Roman"/>
      <family val="1"/>
    </font>
    <font>
      <sz val="12"/>
      <name val="微软雅黑"/>
      <family val="2"/>
      <charset val="134"/>
    </font>
    <font>
      <sz val="12"/>
      <color rgb="FFC00000"/>
      <name val="微软雅黑"/>
      <family val="2"/>
      <charset val="134"/>
    </font>
    <font>
      <sz val="14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name val="仿宋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b/>
      <sz val="10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89013336588644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7985778374584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  <border>
      <left/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/>
      <right style="dotted">
        <color rgb="FF0000FF"/>
      </right>
      <top style="dotted">
        <color rgb="FF0000FF"/>
      </top>
      <bottom style="medium">
        <color rgb="FF0000FF"/>
      </bottom>
      <diagonal/>
    </border>
  </borders>
  <cellStyleXfs count="4">
    <xf numFmtId="0" fontId="0" fillId="0" borderId="0">
      <alignment vertical="center"/>
    </xf>
    <xf numFmtId="18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30" fillId="0" borderId="0" applyFont="0" applyFill="0" applyBorder="0" applyAlignment="0" applyProtection="0"/>
  </cellStyleXfs>
  <cellXfs count="282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8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7" fillId="2" borderId="7" xfId="1" applyNumberFormat="1" applyFont="1" applyFill="1" applyBorder="1" applyAlignment="1">
      <alignment horizontal="left" vertical="center"/>
    </xf>
    <xf numFmtId="41" fontId="7" fillId="2" borderId="8" xfId="1" applyNumberFormat="1" applyFont="1" applyFill="1" applyBorder="1" applyAlignment="1">
      <alignment horizontal="left" vertical="center"/>
    </xf>
    <xf numFmtId="41" fontId="7" fillId="2" borderId="7" xfId="1" applyNumberFormat="1" applyFont="1" applyFill="1" applyBorder="1" applyAlignment="1" applyProtection="1">
      <alignment horizontal="left" vertical="center"/>
    </xf>
    <xf numFmtId="41" fontId="8" fillId="2" borderId="1" xfId="3" applyNumberFormat="1" applyFont="1" applyFill="1" applyBorder="1" applyAlignment="1">
      <alignment horizontal="center" vertical="center"/>
    </xf>
    <xf numFmtId="41" fontId="8" fillId="2" borderId="2" xfId="3" applyNumberFormat="1" applyFont="1" applyFill="1" applyBorder="1" applyAlignment="1">
      <alignment horizontal="center" vertical="center"/>
    </xf>
    <xf numFmtId="178" fontId="8" fillId="2" borderId="1" xfId="3" applyNumberFormat="1" applyFont="1" applyFill="1" applyBorder="1" applyAlignment="1" applyProtection="1">
      <alignment horizontal="center" vertical="center"/>
      <protection locked="0"/>
    </xf>
    <xf numFmtId="58" fontId="9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8" fontId="3" fillId="4" borderId="1" xfId="3" applyNumberFormat="1" applyFont="1" applyFill="1" applyBorder="1" applyAlignment="1" applyProtection="1">
      <alignment horizontal="center" vertical="center"/>
      <protection locked="0"/>
    </xf>
    <xf numFmtId="178" fontId="8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7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8" fontId="10" fillId="5" borderId="0" xfId="0" applyNumberFormat="1" applyFont="1" applyFill="1" applyAlignment="1" applyProtection="1">
      <alignment horizontal="center" vertical="center"/>
      <protection locked="0"/>
    </xf>
    <xf numFmtId="178" fontId="6" fillId="6" borderId="4" xfId="2" applyNumberFormat="1" applyFont="1" applyFill="1" applyBorder="1" applyAlignment="1" applyProtection="1">
      <alignment horizontal="center" wrapText="1"/>
      <protection hidden="1"/>
    </xf>
    <xf numFmtId="178" fontId="11" fillId="3" borderId="12" xfId="0" applyNumberFormat="1" applyFont="1" applyFill="1" applyBorder="1" applyAlignment="1" applyProtection="1">
      <alignment horizontal="center"/>
      <protection hidden="1"/>
    </xf>
    <xf numFmtId="178" fontId="5" fillId="3" borderId="12" xfId="0" applyNumberFormat="1" applyFont="1" applyFill="1" applyBorder="1" applyAlignment="1" applyProtection="1">
      <alignment horizontal="center"/>
      <protection hidden="1"/>
    </xf>
    <xf numFmtId="178" fontId="12" fillId="0" borderId="13" xfId="0" applyNumberFormat="1" applyFont="1" applyBorder="1" applyAlignment="1" applyProtection="1">
      <alignment horizontal="center" vertical="center"/>
      <protection hidden="1"/>
    </xf>
    <xf numFmtId="178" fontId="13" fillId="6" borderId="12" xfId="0" applyNumberFormat="1" applyFont="1" applyFill="1" applyBorder="1" applyAlignment="1" applyProtection="1">
      <alignment horizontal="center"/>
      <protection hidden="1"/>
    </xf>
    <xf numFmtId="178" fontId="14" fillId="6" borderId="12" xfId="0" applyNumberFormat="1" applyFont="1" applyFill="1" applyBorder="1" applyAlignment="1" applyProtection="1">
      <alignment horizontal="center"/>
      <protection hidden="1"/>
    </xf>
    <xf numFmtId="178" fontId="13" fillId="7" borderId="3" xfId="0" applyNumberFormat="1" applyFont="1" applyFill="1" applyBorder="1" applyAlignment="1" applyProtection="1">
      <alignment horizontal="center"/>
      <protection hidden="1"/>
    </xf>
    <xf numFmtId="178" fontId="14" fillId="7" borderId="3" xfId="0" applyNumberFormat="1" applyFont="1" applyFill="1" applyBorder="1" applyAlignment="1" applyProtection="1">
      <alignment horizontal="center"/>
      <protection hidden="1"/>
    </xf>
    <xf numFmtId="178" fontId="13" fillId="2" borderId="14" xfId="0" applyNumberFormat="1" applyFont="1" applyFill="1" applyBorder="1" applyAlignment="1" applyProtection="1">
      <alignment horizontal="center"/>
      <protection hidden="1"/>
    </xf>
    <xf numFmtId="178" fontId="14" fillId="2" borderId="14" xfId="0" applyNumberFormat="1" applyFont="1" applyFill="1" applyBorder="1" applyAlignment="1" applyProtection="1">
      <alignment horizontal="center"/>
      <protection hidden="1"/>
    </xf>
    <xf numFmtId="178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Font="1" applyAlignment="1" applyProtection="1">
      <alignment horizontal="center" vertical="center"/>
      <protection locked="0"/>
    </xf>
    <xf numFmtId="178" fontId="13" fillId="6" borderId="12" xfId="0" applyNumberFormat="1" applyFont="1" applyFill="1" applyBorder="1" applyAlignment="1" applyProtection="1">
      <alignment horizontal="center"/>
      <protection locked="0"/>
    </xf>
    <xf numFmtId="178" fontId="14" fillId="6" borderId="12" xfId="0" applyNumberFormat="1" applyFont="1" applyFill="1" applyBorder="1" applyAlignment="1" applyProtection="1">
      <alignment horizontal="center"/>
      <protection locked="0"/>
    </xf>
    <xf numFmtId="178" fontId="13" fillId="2" borderId="14" xfId="0" applyNumberFormat="1" applyFont="1" applyFill="1" applyBorder="1" applyAlignment="1" applyProtection="1">
      <alignment horizontal="center"/>
      <protection locked="0"/>
    </xf>
    <xf numFmtId="178" fontId="14" fillId="2" borderId="14" xfId="0" applyNumberFormat="1" applyFont="1" applyFill="1" applyBorder="1" applyAlignment="1" applyProtection="1">
      <alignment horizontal="center"/>
      <protection locked="0"/>
    </xf>
    <xf numFmtId="41" fontId="15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3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82" fontId="12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5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16" fillId="7" borderId="0" xfId="0" applyFont="1" applyFill="1" applyProtection="1">
      <alignment vertical="center"/>
      <protection locked="0"/>
    </xf>
    <xf numFmtId="49" fontId="16" fillId="0" borderId="0" xfId="0" applyNumberFormat="1" applyFont="1" applyProtection="1">
      <alignment vertical="center"/>
      <protection locked="0"/>
    </xf>
    <xf numFmtId="49" fontId="18" fillId="0" borderId="0" xfId="0" applyNumberFormat="1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49" fontId="16" fillId="7" borderId="0" xfId="0" applyNumberFormat="1" applyFont="1" applyFill="1" applyAlignme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20" fillId="7" borderId="0" xfId="0" applyNumberFormat="1" applyFont="1" applyFill="1" applyAlignment="1" applyProtection="1">
      <alignment vertical="center"/>
      <protection locked="0"/>
    </xf>
    <xf numFmtId="49" fontId="21" fillId="7" borderId="0" xfId="0" applyNumberFormat="1" applyFont="1" applyFill="1" applyAlignment="1" applyProtection="1">
      <alignment vertical="center"/>
      <protection locked="0"/>
    </xf>
    <xf numFmtId="49" fontId="16" fillId="7" borderId="0" xfId="0" applyNumberFormat="1" applyFont="1" applyFill="1" applyProtection="1">
      <alignment vertical="center"/>
      <protection locked="0"/>
    </xf>
    <xf numFmtId="49" fontId="18" fillId="7" borderId="0" xfId="0" applyNumberFormat="1" applyFont="1" applyFill="1" applyProtection="1">
      <alignment vertical="center"/>
      <protection locked="0"/>
    </xf>
    <xf numFmtId="43" fontId="16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2" borderId="25" xfId="3" applyNumberFormat="1" applyFont="1" applyFill="1" applyBorder="1" applyAlignment="1" applyProtection="1">
      <alignment horizontal="center" vertical="center"/>
      <protection locked="0"/>
    </xf>
    <xf numFmtId="9" fontId="16" fillId="6" borderId="4" xfId="2" applyFont="1" applyFill="1" applyBorder="1" applyAlignment="1" applyProtection="1">
      <alignment horizontal="left" wrapText="1"/>
      <protection locked="0"/>
    </xf>
    <xf numFmtId="180" fontId="18" fillId="6" borderId="4" xfId="2" applyNumberFormat="1" applyFont="1" applyFill="1" applyBorder="1" applyAlignment="1" applyProtection="1">
      <alignment horizontal="left" wrapText="1"/>
      <protection locked="0"/>
    </xf>
    <xf numFmtId="180" fontId="16" fillId="6" borderId="4" xfId="2" applyNumberFormat="1" applyFont="1" applyFill="1" applyBorder="1" applyAlignment="1" applyProtection="1">
      <alignment horizontal="left" wrapText="1"/>
      <protection locked="0"/>
    </xf>
    <xf numFmtId="180" fontId="16" fillId="6" borderId="9" xfId="2" applyNumberFormat="1" applyFont="1" applyFill="1" applyBorder="1" applyAlignment="1" applyProtection="1">
      <alignment horizontal="left" wrapText="1"/>
      <protection locked="0"/>
    </xf>
    <xf numFmtId="181" fontId="18" fillId="6" borderId="4" xfId="2" applyNumberFormat="1" applyFont="1" applyFill="1" applyBorder="1" applyAlignment="1" applyProtection="1">
      <alignment horizontal="left" wrapText="1"/>
      <protection locked="0"/>
    </xf>
    <xf numFmtId="181" fontId="16" fillId="6" borderId="4" xfId="2" applyNumberFormat="1" applyFont="1" applyFill="1" applyBorder="1" applyAlignment="1" applyProtection="1">
      <alignment horizontal="left" wrapText="1"/>
      <protection locked="0"/>
    </xf>
    <xf numFmtId="49" fontId="16" fillId="7" borderId="4" xfId="1" applyNumberFormat="1" applyFont="1" applyFill="1" applyBorder="1" applyAlignment="1" applyProtection="1">
      <protection locked="0"/>
    </xf>
    <xf numFmtId="181" fontId="16" fillId="7" borderId="4" xfId="1" applyNumberFormat="1" applyFont="1" applyFill="1" applyBorder="1" applyAlignment="1" applyProtection="1">
      <protection locked="0"/>
    </xf>
    <xf numFmtId="181" fontId="18" fillId="11" borderId="27" xfId="0" applyNumberFormat="1" applyFont="1" applyFill="1" applyBorder="1" applyAlignment="1" applyProtection="1">
      <protection locked="0"/>
    </xf>
    <xf numFmtId="183" fontId="16" fillId="7" borderId="0" xfId="0" applyNumberFormat="1" applyFont="1" applyFill="1" applyAlignment="1" applyProtection="1">
      <alignment vertical="center"/>
      <protection locked="0"/>
    </xf>
    <xf numFmtId="181" fontId="18" fillId="10" borderId="4" xfId="1" applyNumberFormat="1" applyFont="1" applyFill="1" applyBorder="1" applyAlignment="1" applyProtection="1">
      <protection locked="0"/>
    </xf>
    <xf numFmtId="181" fontId="16" fillId="7" borderId="4" xfId="1" applyNumberFormat="1" applyFont="1" applyFill="1" applyBorder="1" applyAlignment="1" applyProtection="1"/>
    <xf numFmtId="181" fontId="18" fillId="10" borderId="4" xfId="1" applyNumberFormat="1" applyFont="1" applyFill="1" applyBorder="1" applyAlignment="1" applyProtection="1"/>
    <xf numFmtId="181" fontId="16" fillId="7" borderId="9" xfId="1" applyNumberFormat="1" applyFont="1" applyFill="1" applyBorder="1" applyAlignment="1" applyProtection="1">
      <protection locked="0"/>
    </xf>
    <xf numFmtId="181" fontId="16" fillId="5" borderId="4" xfId="1" applyNumberFormat="1" applyFont="1" applyFill="1" applyBorder="1" applyAlignment="1" applyProtection="1">
      <protection locked="0"/>
    </xf>
    <xf numFmtId="177" fontId="18" fillId="7" borderId="4" xfId="1" applyNumberFormat="1" applyFont="1" applyFill="1" applyBorder="1" applyAlignment="1" applyProtection="1">
      <protection locked="0"/>
    </xf>
    <xf numFmtId="0" fontId="16" fillId="0" borderId="4" xfId="0" applyFont="1" applyBorder="1" applyProtection="1">
      <alignment vertical="center"/>
      <protection locked="0"/>
    </xf>
    <xf numFmtId="0" fontId="16" fillId="0" borderId="9" xfId="0" applyFont="1" applyBorder="1" applyProtection="1">
      <alignment vertical="center"/>
      <protection locked="0"/>
    </xf>
    <xf numFmtId="181" fontId="16" fillId="13" borderId="9" xfId="1" applyNumberFormat="1" applyFont="1" applyFill="1" applyBorder="1" applyAlignment="1" applyProtection="1">
      <protection locked="0"/>
    </xf>
    <xf numFmtId="49" fontId="17" fillId="7" borderId="0" xfId="0" applyNumberFormat="1" applyFont="1" applyFill="1" applyAlignment="1" applyProtection="1">
      <alignment vertical="center"/>
      <protection locked="0"/>
    </xf>
    <xf numFmtId="0" fontId="16" fillId="7" borderId="4" xfId="0" applyFont="1" applyFill="1" applyBorder="1" applyProtection="1">
      <alignment vertical="center"/>
      <protection locked="0"/>
    </xf>
    <xf numFmtId="0" fontId="16" fillId="7" borderId="9" xfId="0" applyFont="1" applyFill="1" applyBorder="1" applyProtection="1">
      <alignment vertical="center"/>
      <protection locked="0"/>
    </xf>
    <xf numFmtId="43" fontId="16" fillId="0" borderId="9" xfId="0" applyNumberFormat="1" applyFont="1" applyBorder="1" applyProtection="1">
      <alignment vertical="center"/>
      <protection locked="0"/>
    </xf>
    <xf numFmtId="181" fontId="16" fillId="13" borderId="4" xfId="1" applyNumberFormat="1" applyFont="1" applyFill="1" applyBorder="1" applyAlignment="1" applyProtection="1">
      <protection locked="0"/>
    </xf>
    <xf numFmtId="0" fontId="17" fillId="0" borderId="4" xfId="0" applyFont="1" applyBorder="1" applyProtection="1">
      <alignment vertical="center"/>
      <protection locked="0"/>
    </xf>
    <xf numFmtId="181" fontId="16" fillId="6" borderId="9" xfId="2" applyNumberFormat="1" applyFont="1" applyFill="1" applyBorder="1" applyAlignment="1" applyProtection="1">
      <alignment horizontal="left" wrapText="1"/>
      <protection locked="0"/>
    </xf>
    <xf numFmtId="49" fontId="16" fillId="13" borderId="4" xfId="1" applyNumberFormat="1" applyFont="1" applyFill="1" applyBorder="1" applyAlignment="1" applyProtection="1">
      <protection locked="0"/>
    </xf>
    <xf numFmtId="181" fontId="18" fillId="13" borderId="4" xfId="1" applyNumberFormat="1" applyFont="1" applyFill="1" applyBorder="1" applyAlignment="1" applyProtection="1">
      <protection locked="0"/>
    </xf>
    <xf numFmtId="0" fontId="16" fillId="2" borderId="31" xfId="0" applyFont="1" applyFill="1" applyBorder="1" applyAlignment="1" applyProtection="1">
      <alignment horizontal="left"/>
      <protection locked="0"/>
    </xf>
    <xf numFmtId="181" fontId="18" fillId="2" borderId="31" xfId="0" applyNumberFormat="1" applyFont="1" applyFill="1" applyBorder="1" applyAlignment="1" applyProtection="1">
      <alignment horizontal="left"/>
      <protection locked="0"/>
    </xf>
    <xf numFmtId="181" fontId="16" fillId="2" borderId="31" xfId="0" applyNumberFormat="1" applyFont="1" applyFill="1" applyBorder="1" applyAlignment="1" applyProtection="1">
      <alignment horizontal="left"/>
      <protection locked="0"/>
    </xf>
    <xf numFmtId="181" fontId="16" fillId="2" borderId="23" xfId="0" applyNumberFormat="1" applyFont="1" applyFill="1" applyBorder="1" applyAlignment="1" applyProtection="1">
      <alignment horizontal="left"/>
      <protection locked="0"/>
    </xf>
    <xf numFmtId="181" fontId="16" fillId="0" borderId="0" xfId="0" applyNumberFormat="1" applyFont="1" applyProtection="1">
      <alignment vertical="center"/>
      <protection locked="0"/>
    </xf>
    <xf numFmtId="9" fontId="16" fillId="7" borderId="4" xfId="2" applyFont="1" applyFill="1" applyBorder="1" applyAlignment="1" applyProtection="1">
      <alignment horizontal="left" wrapText="1"/>
      <protection locked="0"/>
    </xf>
    <xf numFmtId="181" fontId="16" fillId="7" borderId="4" xfId="2" applyNumberFormat="1" applyFont="1" applyFill="1" applyBorder="1" applyAlignment="1" applyProtection="1">
      <alignment horizontal="left" wrapText="1"/>
      <protection locked="0"/>
    </xf>
    <xf numFmtId="181" fontId="16" fillId="7" borderId="9" xfId="2" applyNumberFormat="1" applyFont="1" applyFill="1" applyBorder="1" applyAlignment="1" applyProtection="1">
      <alignment horizontal="left" wrapText="1"/>
      <protection locked="0"/>
    </xf>
    <xf numFmtId="181" fontId="16" fillId="7" borderId="3" xfId="2" applyNumberFormat="1" applyFont="1" applyFill="1" applyBorder="1" applyAlignment="1" applyProtection="1">
      <alignment horizontal="left" wrapText="1"/>
      <protection locked="0"/>
    </xf>
    <xf numFmtId="181" fontId="16" fillId="7" borderId="32" xfId="2" applyNumberFormat="1" applyFont="1" applyFill="1" applyBorder="1" applyAlignment="1" applyProtection="1">
      <alignment horizontal="left" wrapText="1"/>
      <protection locked="0"/>
    </xf>
    <xf numFmtId="0" fontId="16" fillId="2" borderId="14" xfId="0" applyFont="1" applyFill="1" applyBorder="1" applyAlignment="1" applyProtection="1">
      <alignment horizontal="left"/>
      <protection locked="0"/>
    </xf>
    <xf numFmtId="0" fontId="18" fillId="2" borderId="14" xfId="0" applyFont="1" applyFill="1" applyBorder="1" applyAlignment="1" applyProtection="1">
      <alignment horizontal="left"/>
      <protection locked="0"/>
    </xf>
    <xf numFmtId="181" fontId="16" fillId="2" borderId="14" xfId="0" applyNumberFormat="1" applyFont="1" applyFill="1" applyBorder="1" applyAlignment="1" applyProtection="1">
      <alignment horizontal="left"/>
      <protection locked="0"/>
    </xf>
    <xf numFmtId="181" fontId="16" fillId="2" borderId="33" xfId="0" applyNumberFormat="1" applyFont="1" applyFill="1" applyBorder="1" applyAlignment="1" applyProtection="1">
      <alignment horizontal="left"/>
      <protection locked="0"/>
    </xf>
    <xf numFmtId="0" fontId="16" fillId="7" borderId="5" xfId="0" applyFont="1" applyFill="1" applyBorder="1" applyAlignment="1" applyProtection="1">
      <alignment horizontal="left"/>
      <protection locked="0"/>
    </xf>
    <xf numFmtId="0" fontId="18" fillId="7" borderId="5" xfId="0" applyFont="1" applyFill="1" applyBorder="1" applyAlignment="1" applyProtection="1">
      <alignment horizontal="left"/>
      <protection locked="0"/>
    </xf>
    <xf numFmtId="181" fontId="16" fillId="7" borderId="5" xfId="0" applyNumberFormat="1" applyFont="1" applyFill="1" applyBorder="1" applyAlignment="1" applyProtection="1">
      <alignment horizontal="left"/>
      <protection locked="0"/>
    </xf>
    <xf numFmtId="181" fontId="20" fillId="7" borderId="5" xfId="0" applyNumberFormat="1" applyFont="1" applyFill="1" applyBorder="1" applyAlignment="1" applyProtection="1">
      <alignment horizontal="left"/>
      <protection locked="0"/>
    </xf>
    <xf numFmtId="181" fontId="16" fillId="7" borderId="0" xfId="0" applyNumberFormat="1" applyFont="1" applyFill="1" applyBorder="1" applyAlignment="1" applyProtection="1">
      <alignment horizontal="left"/>
      <protection locked="0"/>
    </xf>
    <xf numFmtId="43" fontId="18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14" borderId="34" xfId="3" applyNumberFormat="1" applyFont="1" applyFill="1" applyBorder="1" applyAlignment="1" applyProtection="1">
      <alignment horizontal="center" vertical="center"/>
      <protection locked="0"/>
    </xf>
    <xf numFmtId="43" fontId="18" fillId="14" borderId="34" xfId="3" applyNumberFormat="1" applyFont="1" applyFill="1" applyBorder="1" applyAlignment="1" applyProtection="1">
      <alignment horizontal="center" vertical="center"/>
      <protection locked="0"/>
    </xf>
    <xf numFmtId="43" fontId="16" fillId="14" borderId="35" xfId="3" applyNumberFormat="1" applyFont="1" applyFill="1" applyBorder="1" applyAlignment="1" applyProtection="1">
      <alignment horizontal="center" vertical="center"/>
      <protection locked="0"/>
    </xf>
    <xf numFmtId="49" fontId="16" fillId="15" borderId="4" xfId="1" applyNumberFormat="1" applyFont="1" applyFill="1" applyBorder="1" applyAlignment="1" applyProtection="1">
      <protection locked="0"/>
    </xf>
    <xf numFmtId="181" fontId="16" fillId="15" borderId="4" xfId="1" applyNumberFormat="1" applyFont="1" applyFill="1" applyBorder="1" applyAlignment="1" applyProtection="1">
      <protection locked="0"/>
    </xf>
    <xf numFmtId="181" fontId="16" fillId="17" borderId="4" xfId="1" applyNumberFormat="1" applyFont="1" applyFill="1" applyBorder="1" applyAlignment="1" applyProtection="1">
      <protection locked="0"/>
    </xf>
    <xf numFmtId="0" fontId="16" fillId="15" borderId="4" xfId="0" applyFont="1" applyFill="1" applyBorder="1" applyProtection="1">
      <alignment vertical="center"/>
      <protection locked="0"/>
    </xf>
    <xf numFmtId="181" fontId="16" fillId="16" borderId="36" xfId="0" applyNumberFormat="1" applyFont="1" applyFill="1" applyBorder="1" applyAlignment="1" applyProtection="1">
      <protection locked="0"/>
    </xf>
    <xf numFmtId="49" fontId="16" fillId="15" borderId="0" xfId="1" applyNumberFormat="1" applyFont="1" applyFill="1" applyBorder="1" applyAlignment="1" applyProtection="1">
      <protection locked="0"/>
    </xf>
    <xf numFmtId="181" fontId="18" fillId="17" borderId="0" xfId="1" applyNumberFormat="1" applyFont="1" applyFill="1" applyBorder="1" applyAlignment="1" applyProtection="1">
      <protection locked="0"/>
    </xf>
    <xf numFmtId="181" fontId="16" fillId="15" borderId="0" xfId="1" applyNumberFormat="1" applyFont="1" applyFill="1" applyBorder="1" applyAlignment="1" applyProtection="1">
      <protection locked="0"/>
    </xf>
    <xf numFmtId="181" fontId="16" fillId="17" borderId="0" xfId="1" applyNumberFormat="1" applyFont="1" applyFill="1" applyBorder="1" applyAlignment="1" applyProtection="1"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0" fontId="16" fillId="15" borderId="0" xfId="0" applyFont="1" applyFill="1" applyBorder="1" applyProtection="1">
      <alignment vertical="center"/>
      <protection locked="0"/>
    </xf>
    <xf numFmtId="181" fontId="18" fillId="15" borderId="4" xfId="1" applyNumberFormat="1" applyFont="1" applyFill="1" applyBorder="1" applyAlignment="1" applyProtection="1">
      <protection locked="0"/>
    </xf>
    <xf numFmtId="41" fontId="24" fillId="0" borderId="0" xfId="0" applyNumberFormat="1" applyFont="1">
      <alignment vertical="center"/>
    </xf>
    <xf numFmtId="41" fontId="25" fillId="0" borderId="0" xfId="0" applyNumberFormat="1" applyFont="1">
      <alignment vertical="center"/>
    </xf>
    <xf numFmtId="41" fontId="26" fillId="0" borderId="0" xfId="0" applyNumberFormat="1" applyFont="1">
      <alignment vertical="center"/>
    </xf>
    <xf numFmtId="41" fontId="26" fillId="0" borderId="0" xfId="0" applyNumberFormat="1" applyFont="1" applyAlignment="1">
      <alignment horizontal="center" vertical="center"/>
    </xf>
    <xf numFmtId="41" fontId="24" fillId="0" borderId="0" xfId="0" applyNumberFormat="1" applyFont="1" applyAlignment="1">
      <alignment horizontal="left" vertical="center"/>
    </xf>
    <xf numFmtId="41" fontId="24" fillId="0" borderId="0" xfId="0" applyNumberFormat="1" applyFont="1" applyAlignment="1">
      <alignment horizontal="center" vertical="center"/>
    </xf>
    <xf numFmtId="41" fontId="26" fillId="7" borderId="0" xfId="0" applyNumberFormat="1" applyFont="1" applyFill="1">
      <alignment vertical="center"/>
    </xf>
    <xf numFmtId="41" fontId="27" fillId="8" borderId="0" xfId="0" applyNumberFormat="1" applyFont="1" applyFill="1">
      <alignment vertical="center"/>
    </xf>
    <xf numFmtId="41" fontId="25" fillId="7" borderId="0" xfId="0" applyNumberFormat="1" applyFont="1" applyFill="1">
      <alignment vertical="center"/>
    </xf>
    <xf numFmtId="181" fontId="5" fillId="3" borderId="4" xfId="1" applyFont="1" applyFill="1" applyBorder="1" applyAlignment="1"/>
    <xf numFmtId="181" fontId="11" fillId="2" borderId="4" xfId="1" applyFont="1" applyFill="1" applyBorder="1" applyAlignment="1">
      <alignment horizontal="right" wrapText="1"/>
    </xf>
    <xf numFmtId="43" fontId="4" fillId="0" borderId="4" xfId="1" applyNumberFormat="1" applyFont="1" applyFill="1" applyBorder="1" applyAlignment="1">
      <alignment horizontal="left" vertical="center"/>
    </xf>
    <xf numFmtId="43" fontId="4" fillId="2" borderId="4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178" fontId="8" fillId="5" borderId="1" xfId="3" applyNumberFormat="1" applyFont="1" applyFill="1" applyBorder="1" applyAlignment="1" applyProtection="1">
      <alignment horizontal="center" vertical="center"/>
      <protection locked="0"/>
    </xf>
    <xf numFmtId="41" fontId="27" fillId="5" borderId="0" xfId="0" applyNumberFormat="1" applyFont="1" applyFill="1">
      <alignment vertical="center"/>
    </xf>
    <xf numFmtId="41" fontId="5" fillId="3" borderId="4" xfId="1" applyNumberFormat="1" applyFont="1" applyFill="1" applyBorder="1" applyAlignment="1"/>
    <xf numFmtId="41" fontId="26" fillId="0" borderId="0" xfId="0" applyNumberFormat="1" applyFont="1" applyFill="1">
      <alignment vertical="center"/>
    </xf>
    <xf numFmtId="41" fontId="26" fillId="7" borderId="0" xfId="0" applyNumberFormat="1" applyFont="1" applyFill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/>
    </xf>
    <xf numFmtId="41" fontId="11" fillId="2" borderId="4" xfId="1" applyNumberFormat="1" applyFont="1" applyFill="1" applyBorder="1" applyAlignment="1" applyProtection="1">
      <alignment horizontal="right" wrapText="1"/>
    </xf>
    <xf numFmtId="41" fontId="11" fillId="2" borderId="4" xfId="1" applyNumberFormat="1" applyFont="1" applyFill="1" applyBorder="1" applyAlignment="1" applyProtection="1">
      <alignment horizontal="center" wrapText="1"/>
    </xf>
    <xf numFmtId="179" fontId="26" fillId="0" borderId="0" xfId="0" applyNumberFormat="1" applyFont="1">
      <alignment vertical="center"/>
    </xf>
    <xf numFmtId="41" fontId="4" fillId="8" borderId="0" xfId="1" applyNumberFormat="1" applyFont="1" applyFill="1" applyBorder="1" applyAlignment="1">
      <alignment horizontal="left" vertical="center" wrapText="1"/>
    </xf>
    <xf numFmtId="178" fontId="26" fillId="0" borderId="0" xfId="0" applyNumberFormat="1" applyFont="1" applyAlignment="1" applyProtection="1">
      <alignment horizontal="center" vertical="center"/>
      <protection locked="0"/>
    </xf>
    <xf numFmtId="178" fontId="25" fillId="0" borderId="0" xfId="0" applyNumberFormat="1" applyFont="1" applyAlignment="1" applyProtection="1">
      <alignment horizontal="center" vertical="center"/>
      <protection locked="0"/>
    </xf>
    <xf numFmtId="178" fontId="26" fillId="0" borderId="0" xfId="0" applyNumberFormat="1" applyFont="1" applyAlignment="1" applyProtection="1">
      <alignment horizontal="center" vertical="center"/>
      <protection hidden="1"/>
    </xf>
    <xf numFmtId="178" fontId="27" fillId="0" borderId="0" xfId="0" applyNumberFormat="1" applyFont="1" applyAlignment="1" applyProtection="1">
      <alignment horizontal="center" vertical="center"/>
      <protection hidden="1"/>
    </xf>
    <xf numFmtId="0" fontId="26" fillId="12" borderId="0" xfId="0" applyFont="1" applyFill="1" applyAlignment="1" applyProtection="1">
      <alignment horizontal="center" vertical="center"/>
      <protection locked="0"/>
    </xf>
    <xf numFmtId="0" fontId="26" fillId="5" borderId="0" xfId="0" applyFont="1" applyFill="1" applyAlignment="1" applyProtection="1">
      <alignment horizontal="center" vertical="center"/>
      <protection locked="0"/>
    </xf>
    <xf numFmtId="0" fontId="26" fillId="0" borderId="0" xfId="0" applyFont="1">
      <alignment vertical="center"/>
    </xf>
    <xf numFmtId="0" fontId="26" fillId="0" borderId="0" xfId="0" applyFont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25" fillId="7" borderId="0" xfId="0" applyFont="1" applyFill="1" applyProtection="1">
      <alignment vertical="center"/>
      <protection locked="0"/>
    </xf>
    <xf numFmtId="0" fontId="26" fillId="7" borderId="0" xfId="0" applyFont="1" applyFill="1" applyAlignment="1" applyProtection="1">
      <alignment horizontal="center" vertical="center"/>
      <protection locked="0"/>
    </xf>
    <xf numFmtId="178" fontId="26" fillId="7" borderId="0" xfId="0" applyNumberFormat="1" applyFont="1" applyFill="1" applyAlignment="1" applyProtection="1">
      <alignment horizontal="center" vertical="center"/>
      <protection locked="0"/>
    </xf>
    <xf numFmtId="9" fontId="26" fillId="5" borderId="0" xfId="0" applyNumberFormat="1" applyFont="1" applyFill="1" applyAlignment="1" applyProtection="1">
      <alignment horizontal="center" vertical="center"/>
      <protection locked="0"/>
    </xf>
    <xf numFmtId="178" fontId="11" fillId="6" borderId="4" xfId="2" applyNumberFormat="1" applyFont="1" applyFill="1" applyBorder="1" applyAlignment="1" applyProtection="1">
      <alignment horizontal="center" wrapText="1"/>
      <protection locked="0"/>
    </xf>
    <xf numFmtId="178" fontId="11" fillId="6" borderId="4" xfId="2" applyNumberFormat="1" applyFont="1" applyFill="1" applyBorder="1" applyAlignment="1">
      <alignment horizontal="right" wrapText="1"/>
    </xf>
    <xf numFmtId="178" fontId="28" fillId="18" borderId="28" xfId="0" applyNumberFormat="1" applyFont="1" applyFill="1" applyBorder="1" applyAlignment="1">
      <alignment horizontal="center" wrapText="1"/>
    </xf>
    <xf numFmtId="178" fontId="11" fillId="3" borderId="12" xfId="0" applyNumberFormat="1" applyFont="1" applyFill="1" applyBorder="1" applyAlignment="1" applyProtection="1">
      <alignment horizontal="center"/>
      <protection locked="0"/>
    </xf>
    <xf numFmtId="178" fontId="11" fillId="3" borderId="12" xfId="0" applyNumberFormat="1" applyFont="1" applyFill="1" applyBorder="1" applyAlignment="1">
      <alignment horizontal="right"/>
    </xf>
    <xf numFmtId="178" fontId="28" fillId="3" borderId="37" xfId="0" applyNumberFormat="1" applyFont="1" applyFill="1" applyBorder="1" applyAlignment="1">
      <alignment horizontal="center" wrapText="1"/>
    </xf>
    <xf numFmtId="178" fontId="4" fillId="0" borderId="13" xfId="0" applyNumberFormat="1" applyFont="1" applyBorder="1" applyAlignment="1" applyProtection="1">
      <alignment horizontal="center" vertical="center"/>
      <protection locked="0"/>
    </xf>
    <xf numFmtId="178" fontId="4" fillId="0" borderId="13" xfId="0" applyNumberFormat="1" applyFont="1" applyBorder="1" applyAlignment="1">
      <alignment horizontal="right" vertical="center"/>
    </xf>
    <xf numFmtId="178" fontId="13" fillId="6" borderId="12" xfId="0" applyNumberFormat="1" applyFont="1" applyFill="1" applyBorder="1" applyAlignment="1">
      <alignment horizontal="right"/>
    </xf>
    <xf numFmtId="178" fontId="29" fillId="18" borderId="37" xfId="0" applyNumberFormat="1" applyFont="1" applyFill="1" applyBorder="1" applyAlignment="1">
      <alignment horizontal="center" wrapText="1"/>
    </xf>
    <xf numFmtId="178" fontId="5" fillId="3" borderId="12" xfId="0" applyNumberFormat="1" applyFont="1" applyFill="1" applyBorder="1" applyAlignment="1" applyProtection="1">
      <alignment horizontal="center"/>
      <protection locked="0"/>
    </xf>
    <xf numFmtId="178" fontId="5" fillId="3" borderId="12" xfId="0" applyNumberFormat="1" applyFont="1" applyFill="1" applyBorder="1" applyAlignment="1">
      <alignment horizontal="right"/>
    </xf>
    <xf numFmtId="178" fontId="13" fillId="7" borderId="3" xfId="0" applyNumberFormat="1" applyFont="1" applyFill="1" applyBorder="1" applyAlignment="1" applyProtection="1">
      <alignment horizontal="center"/>
      <protection locked="0"/>
    </xf>
    <xf numFmtId="178" fontId="13" fillId="7" borderId="3" xfId="0" applyNumberFormat="1" applyFont="1" applyFill="1" applyBorder="1" applyAlignment="1">
      <alignment horizontal="right"/>
    </xf>
    <xf numFmtId="178" fontId="13" fillId="2" borderId="14" xfId="0" applyNumberFormat="1" applyFont="1" applyFill="1" applyBorder="1" applyAlignment="1">
      <alignment horizontal="right"/>
    </xf>
    <xf numFmtId="178" fontId="29" fillId="19" borderId="38" xfId="0" applyNumberFormat="1" applyFont="1" applyFill="1" applyBorder="1" applyAlignment="1">
      <alignment horizontal="center" wrapText="1"/>
    </xf>
    <xf numFmtId="178" fontId="25" fillId="0" borderId="0" xfId="0" applyNumberFormat="1" applyFont="1" applyAlignment="1" applyProtection="1">
      <alignment vertical="center"/>
      <protection locked="0"/>
    </xf>
    <xf numFmtId="178" fontId="25" fillId="20" borderId="0" xfId="0" applyNumberFormat="1" applyFont="1" applyFill="1" applyAlignment="1" applyProtection="1">
      <alignment vertical="center"/>
      <protection locked="0"/>
    </xf>
    <xf numFmtId="178" fontId="25" fillId="0" borderId="0" xfId="0" applyNumberFormat="1" applyFont="1" applyFill="1" applyAlignment="1" applyProtection="1">
      <alignment vertical="center"/>
      <protection locked="0"/>
    </xf>
    <xf numFmtId="178" fontId="8" fillId="5" borderId="0" xfId="0" applyNumberFormat="1" applyFont="1" applyFill="1" applyAlignment="1" applyProtection="1">
      <alignment horizontal="center" vertical="center"/>
      <protection locked="0"/>
    </xf>
    <xf numFmtId="178" fontId="26" fillId="7" borderId="0" xfId="0" applyNumberFormat="1" applyFont="1" applyFill="1" applyAlignment="1" applyProtection="1">
      <alignment vertical="center"/>
      <protection locked="0"/>
    </xf>
    <xf numFmtId="178" fontId="11" fillId="6" borderId="4" xfId="2" applyNumberFormat="1" applyFont="1" applyFill="1" applyBorder="1" applyAlignment="1" applyProtection="1">
      <alignment horizontal="center" wrapText="1"/>
      <protection hidden="1"/>
    </xf>
    <xf numFmtId="178" fontId="11" fillId="6" borderId="4" xfId="2" applyNumberFormat="1" applyFont="1" applyFill="1" applyBorder="1" applyAlignment="1" applyProtection="1">
      <alignment vertical="center" wrapText="1"/>
      <protection hidden="1"/>
    </xf>
    <xf numFmtId="178" fontId="11" fillId="3" borderId="12" xfId="0" applyNumberFormat="1" applyFont="1" applyFill="1" applyBorder="1" applyAlignment="1" applyProtection="1">
      <alignment vertical="center"/>
      <protection hidden="1"/>
    </xf>
    <xf numFmtId="178" fontId="4" fillId="0" borderId="13" xfId="0" applyNumberFormat="1" applyFont="1" applyBorder="1" applyAlignment="1" applyProtection="1">
      <alignment horizontal="center" vertical="center"/>
      <protection hidden="1"/>
    </xf>
    <xf numFmtId="178" fontId="5" fillId="3" borderId="12" xfId="0" applyNumberFormat="1" applyFont="1" applyFill="1" applyBorder="1" applyAlignment="1" applyProtection="1">
      <alignment vertical="center"/>
      <protection hidden="1"/>
    </xf>
    <xf numFmtId="178" fontId="11" fillId="7" borderId="12" xfId="0" applyNumberFormat="1" applyFont="1" applyFill="1" applyBorder="1" applyAlignment="1" applyProtection="1">
      <alignment vertical="center"/>
      <protection hidden="1"/>
    </xf>
    <xf numFmtId="178" fontId="13" fillId="6" borderId="12" xfId="0" applyNumberFormat="1" applyFont="1" applyFill="1" applyBorder="1" applyAlignment="1" applyProtection="1">
      <alignment vertical="center"/>
      <protection hidden="1"/>
    </xf>
    <xf numFmtId="178" fontId="13" fillId="2" borderId="14" xfId="0" applyNumberFormat="1" applyFont="1" applyFill="1" applyBorder="1" applyAlignment="1" applyProtection="1">
      <alignment vertical="center"/>
      <protection hidden="1"/>
    </xf>
    <xf numFmtId="177" fontId="13" fillId="6" borderId="12" xfId="0" applyNumberFormat="1" applyFont="1" applyFill="1" applyBorder="1" applyAlignment="1" applyProtection="1">
      <alignment horizontal="center"/>
      <protection locked="0"/>
    </xf>
    <xf numFmtId="178" fontId="27" fillId="7" borderId="0" xfId="0" applyNumberFormat="1" applyFont="1" applyFill="1" applyAlignment="1" applyProtection="1">
      <alignment horizontal="center" vertical="center"/>
      <protection locked="0"/>
    </xf>
    <xf numFmtId="178" fontId="13" fillId="2" borderId="0" xfId="0" applyNumberFormat="1" applyFont="1" applyFill="1" applyBorder="1" applyAlignment="1" applyProtection="1">
      <alignment horizontal="center"/>
      <protection locked="0"/>
    </xf>
    <xf numFmtId="178" fontId="14" fillId="2" borderId="0" xfId="0" applyNumberFormat="1" applyFont="1" applyFill="1" applyBorder="1" applyAlignment="1" applyProtection="1">
      <alignment horizontal="center"/>
      <protection locked="0"/>
    </xf>
    <xf numFmtId="1" fontId="26" fillId="12" borderId="0" xfId="0" applyNumberFormat="1" applyFont="1" applyFill="1" applyAlignment="1" applyProtection="1">
      <alignment horizontal="center" vertical="center"/>
      <protection locked="0"/>
    </xf>
    <xf numFmtId="1" fontId="26" fillId="5" borderId="0" xfId="0" applyNumberFormat="1" applyFont="1" applyFill="1" applyAlignment="1" applyProtection="1">
      <alignment horizontal="center" vertical="center"/>
      <protection locked="0"/>
    </xf>
    <xf numFmtId="178" fontId="5" fillId="7" borderId="12" xfId="0" applyNumberFormat="1" applyFont="1" applyFill="1" applyBorder="1" applyAlignment="1" applyProtection="1">
      <alignment horizontal="center"/>
      <protection hidden="1"/>
    </xf>
    <xf numFmtId="178" fontId="4" fillId="7" borderId="13" xfId="0" applyNumberFormat="1" applyFont="1" applyFill="1" applyBorder="1" applyAlignment="1" applyProtection="1">
      <alignment horizontal="center" vertical="center"/>
      <protection hidden="1"/>
    </xf>
    <xf numFmtId="178" fontId="11" fillId="7" borderId="12" xfId="0" applyNumberFormat="1" applyFont="1" applyFill="1" applyBorder="1" applyAlignment="1" applyProtection="1">
      <alignment horizontal="center"/>
      <protection hidden="1"/>
    </xf>
    <xf numFmtId="43" fontId="25" fillId="0" borderId="0" xfId="0" applyNumberFormat="1" applyFont="1" applyAlignment="1" applyProtection="1">
      <alignment horizontal="center" vertical="center"/>
      <protection locked="0"/>
    </xf>
    <xf numFmtId="43" fontId="26" fillId="0" borderId="0" xfId="0" applyNumberFormat="1" applyFont="1" applyAlignment="1" applyProtection="1">
      <alignment horizontal="center" vertical="center"/>
      <protection locked="0"/>
    </xf>
    <xf numFmtId="181" fontId="5" fillId="3" borderId="4" xfId="1" applyFont="1" applyFill="1" applyBorder="1" applyAlignment="1">
      <alignment horizontal="center"/>
    </xf>
    <xf numFmtId="181" fontId="11" fillId="2" borderId="4" xfId="1" applyFont="1" applyFill="1" applyBorder="1" applyAlignment="1">
      <alignment horizontal="center" wrapText="1"/>
    </xf>
    <xf numFmtId="43" fontId="4" fillId="0" borderId="4" xfId="1" applyNumberFormat="1" applyFont="1" applyFill="1" applyBorder="1" applyAlignment="1">
      <alignment horizontal="center" vertical="center"/>
    </xf>
    <xf numFmtId="43" fontId="4" fillId="2" borderId="4" xfId="1" applyNumberFormat="1" applyFont="1" applyFill="1" applyBorder="1" applyAlignment="1">
      <alignment horizontal="center" vertical="center"/>
    </xf>
    <xf numFmtId="43" fontId="7" fillId="2" borderId="7" xfId="1" applyNumberFormat="1" applyFont="1" applyFill="1" applyBorder="1" applyAlignment="1">
      <alignment horizontal="center" vertical="center"/>
    </xf>
    <xf numFmtId="181" fontId="18" fillId="5" borderId="4" xfId="1" applyNumberFormat="1" applyFont="1" applyFill="1" applyBorder="1" applyAlignment="1" applyProtection="1">
      <protection locked="0"/>
    </xf>
    <xf numFmtId="177" fontId="18" fillId="5" borderId="4" xfId="1" applyNumberFormat="1" applyFont="1" applyFill="1" applyBorder="1" applyAlignment="1" applyProtection="1">
      <protection locked="0"/>
    </xf>
    <xf numFmtId="49" fontId="16" fillId="5" borderId="4" xfId="1" applyNumberFormat="1" applyFont="1" applyFill="1" applyBorder="1" applyAlignment="1" applyProtection="1">
      <protection locked="0"/>
    </xf>
    <xf numFmtId="49" fontId="16" fillId="5" borderId="0" xfId="0" applyNumberFormat="1" applyFont="1" applyFill="1" applyAlignment="1" applyProtection="1">
      <alignment vertical="center"/>
      <protection locked="0"/>
    </xf>
    <xf numFmtId="0" fontId="16" fillId="5" borderId="0" xfId="0" applyFont="1" applyFill="1" applyProtection="1">
      <alignment vertical="center"/>
      <protection locked="0"/>
    </xf>
    <xf numFmtId="181" fontId="16" fillId="5" borderId="4" xfId="1" applyNumberFormat="1" applyFont="1" applyFill="1" applyBorder="1" applyAlignment="1" applyProtection="1"/>
    <xf numFmtId="181" fontId="16" fillId="5" borderId="9" xfId="1" applyNumberFormat="1" applyFont="1" applyFill="1" applyBorder="1" applyAlignment="1" applyProtection="1">
      <protection locked="0"/>
    </xf>
    <xf numFmtId="181" fontId="23" fillId="5" borderId="28" xfId="0" applyNumberFormat="1" applyFont="1" applyFill="1" applyBorder="1" applyAlignment="1" applyProtection="1">
      <alignment wrapText="1"/>
      <protection locked="0"/>
    </xf>
    <xf numFmtId="181" fontId="16" fillId="5" borderId="30" xfId="1" applyNumberFormat="1" applyFont="1" applyFill="1" applyBorder="1" applyAlignment="1" applyProtection="1">
      <protection locked="0"/>
    </xf>
    <xf numFmtId="49" fontId="16" fillId="5" borderId="8" xfId="1" applyNumberFormat="1" applyFont="1" applyFill="1" applyBorder="1" applyAlignment="1" applyProtection="1">
      <protection locked="0"/>
    </xf>
    <xf numFmtId="181" fontId="16" fillId="5" borderId="8" xfId="1" applyNumberFormat="1" applyFont="1" applyFill="1" applyBorder="1" applyAlignment="1" applyProtection="1">
      <protection locked="0"/>
    </xf>
    <xf numFmtId="181" fontId="16" fillId="5" borderId="0" xfId="1" applyNumberFormat="1" applyFont="1" applyFill="1" applyBorder="1" applyAlignment="1" applyProtection="1">
      <protection locked="0"/>
    </xf>
    <xf numFmtId="181" fontId="16" fillId="5" borderId="5" xfId="1" applyNumberFormat="1" applyFont="1" applyFill="1" applyBorder="1" applyAlignment="1" applyProtection="1">
      <protection locked="0"/>
    </xf>
    <xf numFmtId="184" fontId="16" fillId="5" borderId="4" xfId="1" applyNumberFormat="1" applyFont="1" applyFill="1" applyBorder="1" applyAlignment="1" applyProtection="1">
      <protection locked="0"/>
    </xf>
    <xf numFmtId="183" fontId="18" fillId="0" borderId="0" xfId="0" applyNumberFormat="1" applyFont="1" applyProtection="1">
      <alignment vertical="center"/>
      <protection locked="0"/>
    </xf>
    <xf numFmtId="49" fontId="16" fillId="5" borderId="5" xfId="1" applyNumberFormat="1" applyFont="1" applyFill="1" applyBorder="1" applyAlignment="1" applyProtection="1">
      <protection locked="0"/>
    </xf>
    <xf numFmtId="181" fontId="16" fillId="13" borderId="8" xfId="1" applyNumberFormat="1" applyFont="1" applyFill="1" applyBorder="1" applyAlignment="1" applyProtection="1">
      <protection locked="0"/>
    </xf>
    <xf numFmtId="49" fontId="16" fillId="7" borderId="5" xfId="1" applyNumberFormat="1" applyFont="1" applyFill="1" applyBorder="1" applyAlignment="1" applyProtection="1">
      <protection locked="0"/>
    </xf>
    <xf numFmtId="181" fontId="16" fillId="13" borderId="5" xfId="1" applyNumberFormat="1" applyFont="1" applyFill="1" applyBorder="1" applyAlignment="1" applyProtection="1">
      <protection locked="0"/>
    </xf>
    <xf numFmtId="181" fontId="16" fillId="7" borderId="5" xfId="1" applyNumberFormat="1" applyFont="1" applyFill="1" applyBorder="1" applyAlignment="1" applyProtection="1">
      <protection locked="0"/>
    </xf>
    <xf numFmtId="181" fontId="16" fillId="7" borderId="0" xfId="1" applyNumberFormat="1" applyFont="1" applyFill="1" applyBorder="1" applyAlignment="1" applyProtection="1">
      <protection locked="0"/>
    </xf>
    <xf numFmtId="181" fontId="16" fillId="13" borderId="0" xfId="1" applyNumberFormat="1" applyFont="1" applyFill="1" applyBorder="1" applyAlignment="1" applyProtection="1">
      <protection locked="0"/>
    </xf>
    <xf numFmtId="0" fontId="16" fillId="5" borderId="4" xfId="0" applyFont="1" applyFill="1" applyBorder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9" fontId="22" fillId="7" borderId="23" xfId="0" applyNumberFormat="1" applyFont="1" applyFill="1" applyBorder="1" applyAlignment="1" applyProtection="1">
      <alignment horizontal="center" vertical="center"/>
      <protection locked="0"/>
    </xf>
    <xf numFmtId="49" fontId="16" fillId="0" borderId="4" xfId="1" applyNumberFormat="1" applyFont="1" applyFill="1" applyBorder="1" applyAlignment="1" applyProtection="1">
      <protection locked="0"/>
    </xf>
    <xf numFmtId="181" fontId="18" fillId="0" borderId="27" xfId="0" applyNumberFormat="1" applyFont="1" applyFill="1" applyBorder="1" applyAlignment="1" applyProtection="1">
      <protection locked="0"/>
    </xf>
    <xf numFmtId="181" fontId="16" fillId="0" borderId="4" xfId="1" applyNumberFormat="1" applyFont="1" applyFill="1" applyBorder="1" applyAlignment="1" applyProtection="1">
      <protection locked="0"/>
    </xf>
    <xf numFmtId="49" fontId="16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Protection="1">
      <alignment vertical="center"/>
      <protection locked="0"/>
    </xf>
    <xf numFmtId="43" fontId="16" fillId="0" borderId="0" xfId="0" applyNumberFormat="1" applyFont="1" applyFill="1" applyAlignment="1" applyProtection="1">
      <alignment vertical="center"/>
      <protection locked="0"/>
    </xf>
    <xf numFmtId="181" fontId="23" fillId="0" borderId="28" xfId="0" applyNumberFormat="1" applyFont="1" applyFill="1" applyBorder="1" applyAlignment="1" applyProtection="1">
      <alignment wrapText="1"/>
      <protection locked="0"/>
    </xf>
    <xf numFmtId="183" fontId="16" fillId="0" borderId="0" xfId="0" applyNumberFormat="1" applyFont="1" applyFill="1" applyAlignment="1" applyProtection="1">
      <alignment vertical="center"/>
      <protection locked="0"/>
    </xf>
    <xf numFmtId="181" fontId="16" fillId="0" borderId="4" xfId="1" applyNumberFormat="1" applyFont="1" applyFill="1" applyBorder="1" applyAlignment="1" applyProtection="1"/>
    <xf numFmtId="177" fontId="16" fillId="0" borderId="0" xfId="0" applyNumberFormat="1" applyFont="1" applyFill="1" applyAlignment="1" applyProtection="1">
      <alignment vertical="center"/>
      <protection locked="0"/>
    </xf>
    <xf numFmtId="181" fontId="16" fillId="0" borderId="9" xfId="1" applyNumberFormat="1" applyFont="1" applyFill="1" applyBorder="1" applyAlignment="1" applyProtection="1">
      <protection locked="0"/>
    </xf>
    <xf numFmtId="181" fontId="16" fillId="0" borderId="9" xfId="1" applyNumberFormat="1" applyFont="1" applyFill="1" applyBorder="1" applyAlignment="1" applyProtection="1">
      <alignment wrapText="1"/>
      <protection locked="0"/>
    </xf>
    <xf numFmtId="181" fontId="16" fillId="0" borderId="29" xfId="0" applyNumberFormat="1" applyFont="1" applyFill="1" applyBorder="1" applyAlignment="1" applyProtection="1">
      <protection locked="0"/>
    </xf>
    <xf numFmtId="181" fontId="18" fillId="0" borderId="26" xfId="0" applyNumberFormat="1" applyFont="1" applyFill="1" applyBorder="1" applyAlignment="1" applyProtection="1">
      <protection locked="0"/>
    </xf>
    <xf numFmtId="181" fontId="18" fillId="0" borderId="4" xfId="1" applyNumberFormat="1" applyFont="1" applyFill="1" applyBorder="1" applyAlignment="1" applyProtection="1">
      <protection locked="0"/>
    </xf>
    <xf numFmtId="181" fontId="16" fillId="0" borderId="0" xfId="1" applyNumberFormat="1" applyFont="1" applyFill="1" applyBorder="1" applyAlignment="1" applyProtection="1">
      <protection locked="0"/>
    </xf>
    <xf numFmtId="181" fontId="16" fillId="0" borderId="9" xfId="1" applyNumberFormat="1" applyFont="1" applyFill="1" applyBorder="1" applyAlignment="1" applyProtection="1"/>
    <xf numFmtId="181" fontId="18" fillId="0" borderId="4" xfId="1" applyNumberFormat="1" applyFont="1" applyFill="1" applyBorder="1" applyAlignment="1" applyProtection="1"/>
    <xf numFmtId="0" fontId="17" fillId="0" borderId="0" xfId="0" applyFont="1" applyFill="1">
      <alignment vertical="center"/>
    </xf>
    <xf numFmtId="49" fontId="17" fillId="0" borderId="0" xfId="0" applyNumberFormat="1" applyFont="1" applyFill="1" applyAlignment="1" applyProtection="1">
      <alignment vertical="center"/>
      <protection locked="0"/>
    </xf>
    <xf numFmtId="0" fontId="17" fillId="0" borderId="0" xfId="0" applyFont="1" applyFill="1" applyProtection="1">
      <alignment vertic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771;&#26680;&#25968;&#25454;&#35843;&#25972;&#34920;2017&#24180;10&#26376;&#65288;&#32463;&#32426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771;&#26680;&#25968;&#25454;&#35843;&#25972;&#34920;2017&#24180;10&#26376;&#65288;&#25237;&#34892;1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Sheet2"/>
      <sheetName val="入经总长摊明细表"/>
      <sheetName val="呼叫中心转运营支持部"/>
      <sheetName val="Sheet1"/>
    </sheetNames>
    <sheetDataSet>
      <sheetData sheetId="0">
        <row r="45">
          <cell r="E45">
            <v>37378.779999999992</v>
          </cell>
        </row>
        <row r="46">
          <cell r="E46">
            <v>-3898915.2899999968</v>
          </cell>
        </row>
      </sheetData>
      <sheetData sheetId="1" refreshError="1"/>
      <sheetData sheetId="2">
        <row r="138">
          <cell r="C138">
            <v>90034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分部报表（费用）"/>
      <sheetName val="调整后万元版"/>
      <sheetName val="承销资金利息收入"/>
      <sheetName val="中小融承揽费调出"/>
      <sheetName val="中小融新三板收入调出明细"/>
      <sheetName val="资金成本明细表"/>
    </sheetNames>
    <sheetDataSet>
      <sheetData sheetId="0">
        <row r="90">
          <cell r="R90">
            <v>151637232.88102311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9"/>
  <sheetViews>
    <sheetView zoomScaleNormal="100" workbookViewId="0">
      <pane xSplit="1" ySplit="3" topLeftCell="B4" activePane="bottomRight" state="frozen"/>
      <selection pane="topRight"/>
      <selection pane="bottomLeft"/>
      <selection pane="bottomRight" activeCell="A2" sqref="A2"/>
    </sheetView>
  </sheetViews>
  <sheetFormatPr defaultColWidth="9" defaultRowHeight="13.5"/>
  <cols>
    <col min="1" max="1" width="34.875" style="176" customWidth="1"/>
    <col min="2" max="2" width="18" style="176" customWidth="1"/>
    <col min="3" max="3" width="17.375" style="176" customWidth="1"/>
    <col min="4" max="4" width="15.125" style="176" customWidth="1"/>
    <col min="5" max="5" width="14.75" style="176" customWidth="1"/>
    <col min="6" max="10" width="17.875" style="176" customWidth="1"/>
    <col min="11" max="11" width="17.25" style="176" customWidth="1"/>
    <col min="12" max="13" width="17.875" style="176" customWidth="1"/>
    <col min="14" max="14" width="15.75" style="176" customWidth="1"/>
    <col min="15" max="16" width="17.25" style="176" customWidth="1"/>
    <col min="17" max="17" width="14.125" style="176" customWidth="1"/>
    <col min="18" max="18" width="15.125" style="176" customWidth="1"/>
    <col min="19" max="21" width="16.125" style="176" customWidth="1"/>
    <col min="22" max="22" width="12" style="176" customWidth="1"/>
    <col min="23" max="23" width="12.25" style="176" customWidth="1"/>
    <col min="24" max="26" width="16.125" style="176" customWidth="1"/>
    <col min="27" max="27" width="14.25" style="176" customWidth="1"/>
    <col min="28" max="28" width="10.5" style="176" customWidth="1"/>
    <col min="29" max="30" width="16.125" style="176" customWidth="1"/>
    <col min="31" max="16384" width="9" style="176"/>
  </cols>
  <sheetData>
    <row r="1" spans="1:30" ht="22.5" customHeight="1">
      <c r="A1" s="250" t="s">
        <v>548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</row>
    <row r="2" spans="1:30" ht="14.25" thickBot="1">
      <c r="A2" s="177" t="s">
        <v>0</v>
      </c>
      <c r="B2" s="178" t="s">
        <v>1</v>
      </c>
      <c r="C2" s="179"/>
      <c r="D2" s="179"/>
      <c r="E2" s="180"/>
      <c r="F2" s="174">
        <v>10</v>
      </c>
      <c r="G2" s="181">
        <v>5.1999999999999998E-2</v>
      </c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C2" s="169"/>
      <c r="AD2" s="169"/>
    </row>
    <row r="3" spans="1:30" s="169" customFormat="1" ht="14.25" customHeight="1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24" t="s">
        <v>8</v>
      </c>
      <c r="H3" s="24" t="s">
        <v>9</v>
      </c>
      <c r="I3" s="24" t="s">
        <v>10</v>
      </c>
      <c r="J3" s="24" t="s">
        <v>11</v>
      </c>
      <c r="K3" s="19" t="s">
        <v>12</v>
      </c>
      <c r="L3" s="24" t="s">
        <v>13</v>
      </c>
      <c r="M3" s="24" t="s">
        <v>14</v>
      </c>
      <c r="N3" s="24" t="s">
        <v>15</v>
      </c>
      <c r="O3" s="24" t="s">
        <v>16</v>
      </c>
      <c r="P3" s="24" t="s">
        <v>17</v>
      </c>
      <c r="Q3" s="24" t="s">
        <v>414</v>
      </c>
      <c r="R3" s="24" t="s">
        <v>411</v>
      </c>
      <c r="S3" s="19" t="s">
        <v>20</v>
      </c>
      <c r="T3" s="24" t="s">
        <v>21</v>
      </c>
      <c r="U3" s="24" t="s">
        <v>22</v>
      </c>
      <c r="V3" s="159" t="s">
        <v>23</v>
      </c>
      <c r="W3" s="24" t="s">
        <v>24</v>
      </c>
      <c r="X3" s="24" t="s">
        <v>25</v>
      </c>
      <c r="Y3" s="24" t="s">
        <v>26</v>
      </c>
      <c r="Z3" s="24" t="s">
        <v>503</v>
      </c>
      <c r="AA3" s="19" t="s">
        <v>27</v>
      </c>
      <c r="AB3" s="19" t="s">
        <v>33</v>
      </c>
    </row>
    <row r="4" spans="1:30" s="169" customFormat="1">
      <c r="A4" s="182" t="s">
        <v>34</v>
      </c>
      <c r="B4" s="183">
        <v>989082790.85000002</v>
      </c>
      <c r="C4" s="183">
        <v>2777930.53</v>
      </c>
      <c r="D4" s="184">
        <v>-222607850.90999991</v>
      </c>
      <c r="E4" s="183">
        <v>793211768.0200001</v>
      </c>
      <c r="F4" s="183">
        <v>-28698154.639999997</v>
      </c>
      <c r="G4" s="183">
        <v>10819552.1</v>
      </c>
      <c r="H4" s="183">
        <v>-52756583.079999998</v>
      </c>
      <c r="I4" s="183">
        <v>9670619.5299999993</v>
      </c>
      <c r="J4" s="183">
        <v>3568256.81</v>
      </c>
      <c r="K4" s="183">
        <v>177424510.56</v>
      </c>
      <c r="L4" s="183">
        <v>63561937.619999997</v>
      </c>
      <c r="M4" s="183">
        <v>29071574.989999998</v>
      </c>
      <c r="N4" s="183">
        <v>4541401.1399999997</v>
      </c>
      <c r="O4" s="183">
        <v>83551189.329999998</v>
      </c>
      <c r="P4" s="183">
        <v>-1995013.86</v>
      </c>
      <c r="Q4" s="183">
        <v>-1313431.99</v>
      </c>
      <c r="R4" s="183">
        <v>6853.33</v>
      </c>
      <c r="S4" s="183">
        <v>266408549.56000003</v>
      </c>
      <c r="T4" s="183">
        <v>15299668.390000001</v>
      </c>
      <c r="U4" s="183">
        <v>222491145.27000001</v>
      </c>
      <c r="V4" s="183">
        <v>27538490.609999999</v>
      </c>
      <c r="W4" s="183">
        <v>1079245.29</v>
      </c>
      <c r="X4" s="183">
        <v>0</v>
      </c>
      <c r="Y4" s="183">
        <v>0</v>
      </c>
      <c r="Z4" s="183"/>
      <c r="AA4" s="183">
        <v>566037.73</v>
      </c>
      <c r="AB4" s="183">
        <v>0</v>
      </c>
    </row>
    <row r="5" spans="1:30" s="169" customFormat="1">
      <c r="A5" s="185" t="s">
        <v>73</v>
      </c>
      <c r="B5" s="186">
        <v>691737982.69000006</v>
      </c>
      <c r="C5" s="186">
        <v>-50</v>
      </c>
      <c r="D5" s="187">
        <v>-2131577.7199999201</v>
      </c>
      <c r="E5" s="183">
        <v>369515105.63999999</v>
      </c>
      <c r="F5" s="186">
        <v>55420013.740000002</v>
      </c>
      <c r="G5" s="186">
        <v>11974466.689999999</v>
      </c>
      <c r="H5" s="186">
        <v>31792862.859999999</v>
      </c>
      <c r="I5" s="186">
        <v>9649142.4199999999</v>
      </c>
      <c r="J5" s="186">
        <v>2003541.77</v>
      </c>
      <c r="K5" s="186">
        <v>1947605.9999999998</v>
      </c>
      <c r="L5" s="186">
        <v>-83035.520000000004</v>
      </c>
      <c r="M5" s="186">
        <v>-945506.28</v>
      </c>
      <c r="N5" s="186">
        <v>2778633.26</v>
      </c>
      <c r="O5" s="186">
        <v>214406.36</v>
      </c>
      <c r="P5" s="186">
        <v>0</v>
      </c>
      <c r="Q5" s="186">
        <v>-14269.82</v>
      </c>
      <c r="R5" s="186">
        <v>-2622</v>
      </c>
      <c r="S5" s="183">
        <v>266420847.29999998</v>
      </c>
      <c r="T5" s="186">
        <v>15299668.390000001</v>
      </c>
      <c r="U5" s="186">
        <v>222503443.00999999</v>
      </c>
      <c r="V5" s="186">
        <v>27538490.609999999</v>
      </c>
      <c r="W5" s="186">
        <v>1079245.29</v>
      </c>
      <c r="X5" s="186">
        <v>0</v>
      </c>
      <c r="Y5" s="186">
        <v>0</v>
      </c>
      <c r="Z5" s="186"/>
      <c r="AA5" s="186">
        <v>566037.73</v>
      </c>
      <c r="AB5" s="186">
        <v>0</v>
      </c>
    </row>
    <row r="6" spans="1:30" s="169" customFormat="1">
      <c r="A6" s="188" t="s">
        <v>36</v>
      </c>
      <c r="B6" s="189">
        <v>367110958.99000001</v>
      </c>
      <c r="C6" s="189">
        <v>-50</v>
      </c>
      <c r="D6" s="187">
        <v>-1701899.2500000144</v>
      </c>
      <c r="E6" s="183">
        <v>367706504.60000002</v>
      </c>
      <c r="F6" s="189">
        <v>906267.10000000009</v>
      </c>
      <c r="G6" s="189">
        <v>413134.2</v>
      </c>
      <c r="H6" s="189">
        <v>0</v>
      </c>
      <c r="I6" s="189">
        <v>0</v>
      </c>
      <c r="J6" s="189">
        <v>493132.9</v>
      </c>
      <c r="K6" s="189">
        <v>200136.53999999998</v>
      </c>
      <c r="L6" s="189">
        <v>0</v>
      </c>
      <c r="M6" s="189">
        <v>0</v>
      </c>
      <c r="N6" s="189">
        <v>0</v>
      </c>
      <c r="O6" s="189">
        <v>214406.36</v>
      </c>
      <c r="P6" s="189">
        <v>0</v>
      </c>
      <c r="Q6" s="189">
        <v>-14269.82</v>
      </c>
      <c r="R6" s="189">
        <v>0</v>
      </c>
      <c r="S6" s="183">
        <v>0</v>
      </c>
      <c r="T6" s="189">
        <v>0</v>
      </c>
      <c r="U6" s="189">
        <v>0</v>
      </c>
      <c r="V6" s="189">
        <v>0</v>
      </c>
      <c r="W6" s="189">
        <v>0</v>
      </c>
      <c r="X6" s="189">
        <v>0</v>
      </c>
      <c r="Y6" s="189">
        <v>0</v>
      </c>
      <c r="Z6" s="189"/>
      <c r="AA6" s="189">
        <v>0</v>
      </c>
      <c r="AB6" s="189">
        <v>0</v>
      </c>
    </row>
    <row r="7" spans="1:30" s="169" customFormat="1">
      <c r="A7" s="188" t="s">
        <v>37</v>
      </c>
      <c r="B7" s="189">
        <v>267054385.03</v>
      </c>
      <c r="C7" s="189">
        <v>0</v>
      </c>
      <c r="D7" s="187">
        <v>1.909211277961731E-8</v>
      </c>
      <c r="E7" s="183">
        <v>0</v>
      </c>
      <c r="F7" s="189">
        <v>0</v>
      </c>
      <c r="G7" s="189">
        <v>0</v>
      </c>
      <c r="H7" s="189">
        <v>0</v>
      </c>
      <c r="I7" s="189">
        <v>0</v>
      </c>
      <c r="J7" s="189">
        <v>0</v>
      </c>
      <c r="K7" s="189">
        <v>67500</v>
      </c>
      <c r="L7" s="189">
        <v>0</v>
      </c>
      <c r="M7" s="189">
        <v>67500</v>
      </c>
      <c r="N7" s="189">
        <v>0</v>
      </c>
      <c r="O7" s="189">
        <v>0</v>
      </c>
      <c r="P7" s="189">
        <v>0</v>
      </c>
      <c r="Q7" s="189">
        <v>0</v>
      </c>
      <c r="R7" s="189">
        <v>0</v>
      </c>
      <c r="S7" s="183">
        <v>266420847.29999998</v>
      </c>
      <c r="T7" s="189">
        <v>15299668.390000001</v>
      </c>
      <c r="U7" s="189">
        <v>222503443.00999999</v>
      </c>
      <c r="V7" s="189">
        <v>27538490.609999999</v>
      </c>
      <c r="W7" s="189">
        <v>1079245.29</v>
      </c>
      <c r="X7" s="189">
        <v>0</v>
      </c>
      <c r="Y7" s="189">
        <v>0</v>
      </c>
      <c r="Z7" s="189"/>
      <c r="AA7" s="189">
        <v>566037.73</v>
      </c>
      <c r="AB7" s="189">
        <v>0</v>
      </c>
    </row>
    <row r="8" spans="1:30" s="169" customFormat="1">
      <c r="A8" s="188" t="s">
        <v>38</v>
      </c>
      <c r="B8" s="189">
        <v>54521071.909999996</v>
      </c>
      <c r="C8" s="189">
        <v>0</v>
      </c>
      <c r="D8" s="187">
        <v>0</v>
      </c>
      <c r="E8" s="183">
        <v>0</v>
      </c>
      <c r="F8" s="189">
        <v>54521071.909999996</v>
      </c>
      <c r="G8" s="189">
        <v>11568657.76</v>
      </c>
      <c r="H8" s="189">
        <v>31792862.859999999</v>
      </c>
      <c r="I8" s="189">
        <v>9649142.4199999999</v>
      </c>
      <c r="J8" s="189">
        <v>1510408.87</v>
      </c>
      <c r="K8" s="189">
        <v>0</v>
      </c>
      <c r="L8" s="189">
        <v>0</v>
      </c>
      <c r="M8" s="189">
        <v>0</v>
      </c>
      <c r="N8" s="189">
        <v>0</v>
      </c>
      <c r="O8" s="189">
        <v>0</v>
      </c>
      <c r="P8" s="189">
        <v>0</v>
      </c>
      <c r="Q8" s="189">
        <v>0</v>
      </c>
      <c r="R8" s="189">
        <v>0</v>
      </c>
      <c r="S8" s="183">
        <v>0</v>
      </c>
      <c r="T8" s="189">
        <v>0</v>
      </c>
      <c r="U8" s="189">
        <v>0</v>
      </c>
      <c r="V8" s="189">
        <v>0</v>
      </c>
      <c r="W8" s="189">
        <v>0</v>
      </c>
      <c r="X8" s="189">
        <v>0</v>
      </c>
      <c r="Y8" s="189">
        <v>0</v>
      </c>
      <c r="Z8" s="189"/>
      <c r="AA8" s="189">
        <v>0</v>
      </c>
      <c r="AB8" s="189">
        <v>0</v>
      </c>
    </row>
    <row r="9" spans="1:30" s="169" customFormat="1">
      <c r="A9" s="185" t="s">
        <v>74</v>
      </c>
      <c r="B9" s="186">
        <v>227512719.02000001</v>
      </c>
      <c r="C9" s="186">
        <v>2777980.53</v>
      </c>
      <c r="D9" s="187">
        <v>-221095084.08999997</v>
      </c>
      <c r="E9" s="183">
        <v>414927040.51999998</v>
      </c>
      <c r="F9" s="186">
        <v>338593.74</v>
      </c>
      <c r="G9" s="186">
        <v>263845.09000000003</v>
      </c>
      <c r="H9" s="186">
        <v>74748.649999999994</v>
      </c>
      <c r="I9" s="186">
        <v>0</v>
      </c>
      <c r="J9" s="186">
        <v>0</v>
      </c>
      <c r="K9" s="186">
        <v>30576486.059999999</v>
      </c>
      <c r="L9" s="186">
        <v>-87487.57</v>
      </c>
      <c r="M9" s="186">
        <v>1054113.83</v>
      </c>
      <c r="N9" s="186">
        <v>0</v>
      </c>
      <c r="O9" s="186">
        <v>29204669.52</v>
      </c>
      <c r="P9" s="186">
        <v>0</v>
      </c>
      <c r="Q9" s="186">
        <v>395714.95</v>
      </c>
      <c r="R9" s="186">
        <v>9475.33</v>
      </c>
      <c r="S9" s="183">
        <v>-12297.74</v>
      </c>
      <c r="T9" s="186">
        <v>0</v>
      </c>
      <c r="U9" s="186">
        <v>-12297.74</v>
      </c>
      <c r="V9" s="186">
        <v>0</v>
      </c>
      <c r="W9" s="186">
        <v>0</v>
      </c>
      <c r="X9" s="186">
        <v>0</v>
      </c>
      <c r="Y9" s="186">
        <v>0</v>
      </c>
      <c r="Z9" s="186"/>
      <c r="AA9" s="186">
        <v>0</v>
      </c>
      <c r="AB9" s="186">
        <v>0</v>
      </c>
    </row>
    <row r="10" spans="1:30" s="169" customFormat="1">
      <c r="A10" s="185" t="s">
        <v>40</v>
      </c>
      <c r="B10" s="186">
        <v>-758942.66</v>
      </c>
      <c r="C10" s="186">
        <v>0</v>
      </c>
      <c r="D10" s="187">
        <v>542645.26000000536</v>
      </c>
      <c r="E10" s="183">
        <v>170142.06</v>
      </c>
      <c r="F10" s="186">
        <v>-84456762.120000005</v>
      </c>
      <c r="G10" s="186">
        <v>-1418759.68</v>
      </c>
      <c r="H10" s="186">
        <v>-84624194.590000004</v>
      </c>
      <c r="I10" s="186">
        <v>21477.11</v>
      </c>
      <c r="J10" s="186">
        <v>1564715.04</v>
      </c>
      <c r="K10" s="186">
        <v>82985032.140000001</v>
      </c>
      <c r="L10" s="186">
        <v>61231638.710000001</v>
      </c>
      <c r="M10" s="186">
        <v>44013900.439999998</v>
      </c>
      <c r="N10" s="186">
        <v>1762767.88</v>
      </c>
      <c r="O10" s="186">
        <v>-36237018.579999998</v>
      </c>
      <c r="P10" s="186">
        <v>11884262.109999999</v>
      </c>
      <c r="Q10" s="186">
        <v>329481.58</v>
      </c>
      <c r="R10" s="186">
        <v>0</v>
      </c>
      <c r="S10" s="183">
        <v>0</v>
      </c>
      <c r="T10" s="186">
        <v>0</v>
      </c>
      <c r="U10" s="186">
        <v>0</v>
      </c>
      <c r="V10" s="186">
        <v>0</v>
      </c>
      <c r="W10" s="186">
        <v>0</v>
      </c>
      <c r="X10" s="186">
        <v>0</v>
      </c>
      <c r="Y10" s="186">
        <v>0</v>
      </c>
      <c r="Z10" s="186"/>
      <c r="AA10" s="186">
        <v>0</v>
      </c>
      <c r="AB10" s="186">
        <v>0</v>
      </c>
    </row>
    <row r="11" spans="1:30" s="169" customFormat="1">
      <c r="A11" s="185" t="s">
        <v>75</v>
      </c>
      <c r="B11" s="186">
        <v>0</v>
      </c>
      <c r="C11" s="186">
        <v>0</v>
      </c>
      <c r="D11" s="187">
        <v>0</v>
      </c>
      <c r="E11" s="183">
        <v>0</v>
      </c>
      <c r="F11" s="186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0</v>
      </c>
      <c r="L11" s="186">
        <v>0</v>
      </c>
      <c r="M11" s="186">
        <v>0</v>
      </c>
      <c r="N11" s="186">
        <v>0</v>
      </c>
      <c r="O11" s="186">
        <v>0</v>
      </c>
      <c r="P11" s="186">
        <v>0</v>
      </c>
      <c r="Q11" s="186">
        <v>0</v>
      </c>
      <c r="R11" s="186">
        <v>0</v>
      </c>
      <c r="S11" s="183">
        <v>0</v>
      </c>
      <c r="T11" s="186">
        <v>0</v>
      </c>
      <c r="U11" s="186">
        <v>0</v>
      </c>
      <c r="V11" s="186">
        <v>0</v>
      </c>
      <c r="W11" s="186">
        <v>0</v>
      </c>
      <c r="X11" s="186">
        <v>0</v>
      </c>
      <c r="Y11" s="186">
        <v>0</v>
      </c>
      <c r="Z11" s="186"/>
      <c r="AA11" s="186">
        <v>0</v>
      </c>
      <c r="AB11" s="186">
        <v>0</v>
      </c>
    </row>
    <row r="12" spans="1:30" s="169" customFormat="1">
      <c r="A12" s="185" t="s">
        <v>42</v>
      </c>
      <c r="B12" s="186">
        <v>61915386.359999999</v>
      </c>
      <c r="C12" s="186">
        <v>0</v>
      </c>
      <c r="D12" s="187">
        <v>0</v>
      </c>
      <c r="E12" s="183">
        <v>0</v>
      </c>
      <c r="F12" s="186">
        <v>0</v>
      </c>
      <c r="G12" s="186">
        <v>0</v>
      </c>
      <c r="H12" s="186">
        <v>0</v>
      </c>
      <c r="I12" s="186">
        <v>0</v>
      </c>
      <c r="J12" s="186">
        <v>0</v>
      </c>
      <c r="K12" s="186">
        <v>61915386.359999999</v>
      </c>
      <c r="L12" s="186">
        <v>2500822</v>
      </c>
      <c r="M12" s="186">
        <v>-15050933</v>
      </c>
      <c r="N12" s="186">
        <v>0</v>
      </c>
      <c r="O12" s="186">
        <v>90369132.030000001</v>
      </c>
      <c r="P12" s="186">
        <v>-13879275.970000001</v>
      </c>
      <c r="Q12" s="186">
        <v>-2024358.7</v>
      </c>
      <c r="R12" s="186">
        <v>0</v>
      </c>
      <c r="S12" s="183">
        <v>0</v>
      </c>
      <c r="T12" s="186">
        <v>0</v>
      </c>
      <c r="U12" s="186">
        <v>0</v>
      </c>
      <c r="V12" s="186">
        <v>0</v>
      </c>
      <c r="W12" s="186">
        <v>0</v>
      </c>
      <c r="X12" s="186">
        <v>0</v>
      </c>
      <c r="Y12" s="186">
        <v>0</v>
      </c>
      <c r="Z12" s="186"/>
      <c r="AA12" s="186">
        <v>0</v>
      </c>
      <c r="AB12" s="186">
        <v>0</v>
      </c>
    </row>
    <row r="13" spans="1:30" s="169" customFormat="1">
      <c r="A13" s="185" t="s">
        <v>76</v>
      </c>
      <c r="B13" s="186">
        <v>-653418.38</v>
      </c>
      <c r="C13" s="186">
        <v>0</v>
      </c>
      <c r="D13" s="187">
        <v>76165.640000000014</v>
      </c>
      <c r="E13" s="183">
        <v>-729584.02</v>
      </c>
      <c r="F13" s="186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186">
        <v>0</v>
      </c>
      <c r="M13" s="186">
        <v>0</v>
      </c>
      <c r="N13" s="186">
        <v>0</v>
      </c>
      <c r="O13" s="186">
        <v>0</v>
      </c>
      <c r="P13" s="186">
        <v>0</v>
      </c>
      <c r="Q13" s="186">
        <v>0</v>
      </c>
      <c r="R13" s="186">
        <v>0</v>
      </c>
      <c r="S13" s="183">
        <v>0</v>
      </c>
      <c r="T13" s="186">
        <v>0</v>
      </c>
      <c r="U13" s="186">
        <v>0</v>
      </c>
      <c r="V13" s="186">
        <v>0</v>
      </c>
      <c r="W13" s="186">
        <v>0</v>
      </c>
      <c r="X13" s="186">
        <v>0</v>
      </c>
      <c r="Y13" s="186">
        <v>0</v>
      </c>
      <c r="Z13" s="186"/>
      <c r="AA13" s="186">
        <v>0</v>
      </c>
      <c r="AB13" s="186">
        <v>0</v>
      </c>
    </row>
    <row r="14" spans="1:30" s="169" customFormat="1">
      <c r="A14" s="185" t="s">
        <v>77</v>
      </c>
      <c r="B14" s="186">
        <v>9329063.8200000003</v>
      </c>
      <c r="C14" s="186">
        <v>0</v>
      </c>
      <c r="D14" s="187">
        <v>0</v>
      </c>
      <c r="E14" s="183">
        <v>9329063.8200000003</v>
      </c>
      <c r="F14" s="186">
        <v>0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L14" s="186">
        <v>0</v>
      </c>
      <c r="M14" s="186">
        <v>0</v>
      </c>
      <c r="N14" s="186">
        <v>0</v>
      </c>
      <c r="O14" s="186">
        <v>0</v>
      </c>
      <c r="P14" s="186">
        <v>0</v>
      </c>
      <c r="Q14" s="186">
        <v>0</v>
      </c>
      <c r="R14" s="186">
        <v>0</v>
      </c>
      <c r="S14" s="183">
        <v>0</v>
      </c>
      <c r="T14" s="186">
        <v>0</v>
      </c>
      <c r="U14" s="186">
        <v>0</v>
      </c>
      <c r="V14" s="186">
        <v>0</v>
      </c>
      <c r="W14" s="186">
        <v>0</v>
      </c>
      <c r="X14" s="186">
        <v>0</v>
      </c>
      <c r="Y14" s="186">
        <v>0</v>
      </c>
      <c r="Z14" s="186"/>
      <c r="AA14" s="186">
        <v>0</v>
      </c>
      <c r="AB14" s="186">
        <v>0</v>
      </c>
    </row>
    <row r="15" spans="1:30" s="169" customFormat="1">
      <c r="A15" s="42" t="s">
        <v>45</v>
      </c>
      <c r="B15" s="190">
        <v>594575306.05999994</v>
      </c>
      <c r="C15" s="190">
        <v>45861.1</v>
      </c>
      <c r="D15" s="191">
        <v>120826152.54999994</v>
      </c>
      <c r="E15" s="183">
        <v>295010755.09999996</v>
      </c>
      <c r="F15" s="190">
        <v>15255318.359999999</v>
      </c>
      <c r="G15" s="190">
        <v>4611948.28</v>
      </c>
      <c r="H15" s="190">
        <v>2658307.54</v>
      </c>
      <c r="I15" s="190">
        <v>2463990.86</v>
      </c>
      <c r="J15" s="190">
        <v>5521071.6799999997</v>
      </c>
      <c r="K15" s="190">
        <v>28974515.530000001</v>
      </c>
      <c r="L15" s="190">
        <v>4340489.78</v>
      </c>
      <c r="M15" s="190">
        <v>3648373.63</v>
      </c>
      <c r="N15" s="190">
        <v>1457653.27</v>
      </c>
      <c r="O15" s="190">
        <v>6102191.6200000001</v>
      </c>
      <c r="P15" s="190">
        <v>2869961</v>
      </c>
      <c r="Q15" s="190">
        <v>3248945.32</v>
      </c>
      <c r="R15" s="190">
        <v>7306900.9100000001</v>
      </c>
      <c r="S15" s="183">
        <v>123764421.31999999</v>
      </c>
      <c r="T15" s="190">
        <v>10875149.779999999</v>
      </c>
      <c r="U15" s="190">
        <v>87729281.659999996</v>
      </c>
      <c r="V15" s="190">
        <v>23175783.210000001</v>
      </c>
      <c r="W15" s="190">
        <v>441940.49</v>
      </c>
      <c r="X15" s="190">
        <v>1281452.6100000001</v>
      </c>
      <c r="Y15" s="190">
        <v>260813.57</v>
      </c>
      <c r="Z15" s="190"/>
      <c r="AA15" s="190">
        <v>4804668.79</v>
      </c>
      <c r="AB15" s="190">
        <v>5893613.3099999996</v>
      </c>
    </row>
    <row r="16" spans="1:30" s="169" customFormat="1">
      <c r="A16" s="192" t="s">
        <v>78</v>
      </c>
      <c r="B16" s="193">
        <v>8503379.9600000009</v>
      </c>
      <c r="C16" s="193">
        <v>0</v>
      </c>
      <c r="D16" s="187">
        <v>-1051678.459999999</v>
      </c>
      <c r="E16" s="183">
        <v>5423633.6399999997</v>
      </c>
      <c r="F16" s="193">
        <v>397230.31999999995</v>
      </c>
      <c r="G16" s="193">
        <v>85442.85</v>
      </c>
      <c r="H16" s="193">
        <v>228381.87</v>
      </c>
      <c r="I16" s="193">
        <v>69403.63</v>
      </c>
      <c r="J16" s="193">
        <v>14001.97</v>
      </c>
      <c r="K16" s="193">
        <v>1830536.8</v>
      </c>
      <c r="L16" s="193">
        <v>1592813.24</v>
      </c>
      <c r="M16" s="193">
        <v>465216.2</v>
      </c>
      <c r="N16" s="193">
        <v>29471.01</v>
      </c>
      <c r="O16" s="193">
        <v>-323784.69</v>
      </c>
      <c r="P16" s="193">
        <v>65406.21</v>
      </c>
      <c r="Q16" s="193">
        <v>1414.83</v>
      </c>
      <c r="R16" s="193">
        <v>0</v>
      </c>
      <c r="S16" s="183">
        <v>1907668.8500000003</v>
      </c>
      <c r="T16" s="193">
        <v>109783.08</v>
      </c>
      <c r="U16" s="193">
        <v>1594012.19</v>
      </c>
      <c r="V16" s="193">
        <v>196328.75</v>
      </c>
      <c r="W16" s="193">
        <v>7714.37</v>
      </c>
      <c r="X16" s="193">
        <v>-96.4</v>
      </c>
      <c r="Y16" s="193">
        <v>-73.14</v>
      </c>
      <c r="Z16" s="193"/>
      <c r="AA16" s="193">
        <v>-3266.28</v>
      </c>
      <c r="AB16" s="193">
        <v>-744.91</v>
      </c>
    </row>
    <row r="17" spans="1:28" s="169" customFormat="1">
      <c r="A17" s="192" t="s">
        <v>79</v>
      </c>
      <c r="B17" s="193">
        <v>582663696.08000004</v>
      </c>
      <c r="C17" s="193">
        <v>45861.1</v>
      </c>
      <c r="D17" s="187">
        <v>121877831.01000002</v>
      </c>
      <c r="E17" s="183">
        <v>286178891.44</v>
      </c>
      <c r="F17" s="193">
        <v>14858088.039999999</v>
      </c>
      <c r="G17" s="193">
        <v>4526505.43</v>
      </c>
      <c r="H17" s="193">
        <v>2429925.67</v>
      </c>
      <c r="I17" s="193">
        <v>2394587.23</v>
      </c>
      <c r="J17" s="193">
        <v>5507069.71</v>
      </c>
      <c r="K17" s="193">
        <v>27143978.73</v>
      </c>
      <c r="L17" s="193">
        <v>2747676.54</v>
      </c>
      <c r="M17" s="193">
        <v>3183157.43</v>
      </c>
      <c r="N17" s="193">
        <v>1428182.26</v>
      </c>
      <c r="O17" s="193">
        <v>6425976.3099999996</v>
      </c>
      <c r="P17" s="193">
        <v>2804554.79</v>
      </c>
      <c r="Q17" s="193">
        <v>3247530.49</v>
      </c>
      <c r="R17" s="193">
        <v>7306900.9100000001</v>
      </c>
      <c r="S17" s="183">
        <v>121856752.47</v>
      </c>
      <c r="T17" s="193">
        <v>10765366.699999999</v>
      </c>
      <c r="U17" s="193">
        <v>86135269.469999999</v>
      </c>
      <c r="V17" s="193">
        <v>22979454.460000001</v>
      </c>
      <c r="W17" s="193">
        <v>434226.12</v>
      </c>
      <c r="X17" s="193">
        <v>1281549.01</v>
      </c>
      <c r="Y17" s="193">
        <v>260886.71</v>
      </c>
      <c r="Z17" s="193"/>
      <c r="AA17" s="193">
        <v>4807935.07</v>
      </c>
      <c r="AB17" s="193">
        <v>5894358.2199999997</v>
      </c>
    </row>
    <row r="18" spans="1:28" s="169" customFormat="1">
      <c r="A18" s="192" t="s">
        <v>80</v>
      </c>
      <c r="B18" s="193">
        <v>0</v>
      </c>
      <c r="C18" s="193">
        <v>0</v>
      </c>
      <c r="D18" s="187">
        <v>0</v>
      </c>
      <c r="E18" s="183">
        <v>0</v>
      </c>
      <c r="F18" s="193">
        <v>0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83">
        <v>0</v>
      </c>
      <c r="T18" s="193">
        <v>0</v>
      </c>
      <c r="U18" s="193">
        <v>0</v>
      </c>
      <c r="V18" s="193">
        <v>0</v>
      </c>
      <c r="W18" s="193">
        <v>0</v>
      </c>
      <c r="X18" s="193">
        <v>0</v>
      </c>
      <c r="Y18" s="193">
        <v>0</v>
      </c>
      <c r="Z18" s="193"/>
      <c r="AA18" s="193">
        <v>0</v>
      </c>
      <c r="AB18" s="193">
        <v>0</v>
      </c>
    </row>
    <row r="19" spans="1:28" s="169" customFormat="1">
      <c r="A19" s="192" t="s">
        <v>81</v>
      </c>
      <c r="B19" s="193">
        <v>3408230.02</v>
      </c>
      <c r="C19" s="193">
        <v>0</v>
      </c>
      <c r="D19" s="187">
        <v>0</v>
      </c>
      <c r="E19" s="183">
        <v>3408230.02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83">
        <v>0</v>
      </c>
      <c r="T19" s="193">
        <v>0</v>
      </c>
      <c r="U19" s="193">
        <v>0</v>
      </c>
      <c r="V19" s="193">
        <v>0</v>
      </c>
      <c r="W19" s="193">
        <v>0</v>
      </c>
      <c r="X19" s="193">
        <v>0</v>
      </c>
      <c r="Y19" s="193">
        <v>0</v>
      </c>
      <c r="Z19" s="193"/>
      <c r="AA19" s="193">
        <v>0</v>
      </c>
      <c r="AB19" s="193">
        <v>0</v>
      </c>
    </row>
    <row r="20" spans="1:28" s="169" customFormat="1">
      <c r="A20" s="42" t="s">
        <v>50</v>
      </c>
      <c r="B20" s="190">
        <v>394507484.79000002</v>
      </c>
      <c r="C20" s="190">
        <v>2732069.43</v>
      </c>
      <c r="D20" s="191">
        <v>-343434003.46000004</v>
      </c>
      <c r="E20" s="183">
        <v>498201012.92000002</v>
      </c>
      <c r="F20" s="190">
        <v>-43953472.999999993</v>
      </c>
      <c r="G20" s="190">
        <v>6207603.8200000003</v>
      </c>
      <c r="H20" s="190">
        <v>-55414890.619999997</v>
      </c>
      <c r="I20" s="190">
        <v>7206628.6699999999</v>
      </c>
      <c r="J20" s="190">
        <v>-1952814.87</v>
      </c>
      <c r="K20" s="190">
        <v>148449995.03</v>
      </c>
      <c r="L20" s="190">
        <v>59221447.840000004</v>
      </c>
      <c r="M20" s="190">
        <v>25423201.359999999</v>
      </c>
      <c r="N20" s="190">
        <v>3083747.87</v>
      </c>
      <c r="O20" s="190">
        <v>77448997.709999993</v>
      </c>
      <c r="P20" s="190">
        <v>-4864974.8600000003</v>
      </c>
      <c r="Q20" s="190">
        <v>-4562377.3099999996</v>
      </c>
      <c r="R20" s="190">
        <v>-7300047.5800000001</v>
      </c>
      <c r="S20" s="183">
        <v>142644128.24000004</v>
      </c>
      <c r="T20" s="190">
        <v>4424518.6100000003</v>
      </c>
      <c r="U20" s="190">
        <v>134761863.61000001</v>
      </c>
      <c r="V20" s="190">
        <v>4362707.4000000004</v>
      </c>
      <c r="W20" s="190">
        <v>637304.80000000005</v>
      </c>
      <c r="X20" s="190">
        <v>-1281452.6100000001</v>
      </c>
      <c r="Y20" s="190">
        <v>-260813.57</v>
      </c>
      <c r="Z20" s="190"/>
      <c r="AA20" s="190">
        <v>-4238631.0599999996</v>
      </c>
      <c r="AB20" s="190">
        <v>-5893613.3099999996</v>
      </c>
    </row>
    <row r="21" spans="1:28" s="169" customFormat="1">
      <c r="A21" s="192" t="s">
        <v>82</v>
      </c>
      <c r="B21" s="193">
        <v>2127297.98</v>
      </c>
      <c r="C21" s="193">
        <v>666421.88</v>
      </c>
      <c r="D21" s="187">
        <v>1045785.48</v>
      </c>
      <c r="E21" s="183">
        <v>404799.66000000003</v>
      </c>
      <c r="F21" s="193">
        <v>10290.959999999999</v>
      </c>
      <c r="G21" s="193">
        <v>10290.959999999999</v>
      </c>
      <c r="H21" s="193">
        <v>0</v>
      </c>
      <c r="I21" s="193">
        <v>0</v>
      </c>
      <c r="J21" s="193">
        <v>0</v>
      </c>
      <c r="K21" s="193">
        <v>0</v>
      </c>
      <c r="L21" s="193">
        <v>0</v>
      </c>
      <c r="M21" s="193">
        <v>0</v>
      </c>
      <c r="N21" s="193">
        <v>0</v>
      </c>
      <c r="O21" s="193">
        <v>0</v>
      </c>
      <c r="P21" s="193">
        <v>0</v>
      </c>
      <c r="Q21" s="193">
        <v>0</v>
      </c>
      <c r="R21" s="193">
        <v>0</v>
      </c>
      <c r="S21" s="183">
        <v>0</v>
      </c>
      <c r="T21" s="193">
        <v>0</v>
      </c>
      <c r="U21" s="193">
        <v>0</v>
      </c>
      <c r="V21" s="193">
        <v>0</v>
      </c>
      <c r="W21" s="193">
        <v>0</v>
      </c>
      <c r="X21" s="193">
        <v>0</v>
      </c>
      <c r="Y21" s="193">
        <v>0</v>
      </c>
      <c r="Z21" s="193"/>
      <c r="AA21" s="193">
        <v>0</v>
      </c>
      <c r="AB21" s="193">
        <v>0</v>
      </c>
    </row>
    <row r="22" spans="1:28" s="169" customFormat="1">
      <c r="A22" s="192" t="s">
        <v>83</v>
      </c>
      <c r="B22" s="193">
        <v>1829246.27</v>
      </c>
      <c r="C22" s="193">
        <v>0</v>
      </c>
      <c r="D22" s="187">
        <v>1298872.54</v>
      </c>
      <c r="E22" s="183">
        <v>527944.05999999994</v>
      </c>
      <c r="F22" s="193">
        <v>837.5</v>
      </c>
      <c r="G22" s="193">
        <v>0</v>
      </c>
      <c r="H22" s="193">
        <v>0</v>
      </c>
      <c r="I22" s="193">
        <v>0</v>
      </c>
      <c r="J22" s="193">
        <v>837.5</v>
      </c>
      <c r="K22" s="193">
        <v>1592.17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1592.17</v>
      </c>
      <c r="S22" s="183">
        <v>0</v>
      </c>
      <c r="T22" s="193">
        <v>0</v>
      </c>
      <c r="U22" s="193">
        <v>0</v>
      </c>
      <c r="V22" s="193">
        <v>0</v>
      </c>
      <c r="W22" s="193">
        <v>0</v>
      </c>
      <c r="X22" s="193">
        <v>0</v>
      </c>
      <c r="Y22" s="193">
        <v>0</v>
      </c>
      <c r="Z22" s="193"/>
      <c r="AA22" s="193">
        <v>0</v>
      </c>
      <c r="AB22" s="193">
        <v>0</v>
      </c>
    </row>
    <row r="23" spans="1:28" s="169" customFormat="1">
      <c r="A23" s="42" t="s">
        <v>53</v>
      </c>
      <c r="B23" s="190">
        <v>394805536.5</v>
      </c>
      <c r="C23" s="190">
        <v>3398491.31</v>
      </c>
      <c r="D23" s="191">
        <v>-343687090.5200001</v>
      </c>
      <c r="E23" s="183">
        <v>498077868.52000004</v>
      </c>
      <c r="F23" s="190">
        <v>-43944019.539999992</v>
      </c>
      <c r="G23" s="190">
        <v>6217894.7800000003</v>
      </c>
      <c r="H23" s="190">
        <v>-55414890.619999997</v>
      </c>
      <c r="I23" s="190">
        <v>7206628.6699999999</v>
      </c>
      <c r="J23" s="190">
        <v>-1953652.37</v>
      </c>
      <c r="K23" s="190">
        <v>148448402.86000001</v>
      </c>
      <c r="L23" s="190">
        <v>59221447.840000004</v>
      </c>
      <c r="M23" s="190">
        <v>25423201.359999999</v>
      </c>
      <c r="N23" s="190">
        <v>3083747.87</v>
      </c>
      <c r="O23" s="190">
        <v>77448997.709999993</v>
      </c>
      <c r="P23" s="190">
        <v>-4864974.8600000003</v>
      </c>
      <c r="Q23" s="190">
        <v>-4562377.3099999996</v>
      </c>
      <c r="R23" s="190">
        <v>-7301639.75</v>
      </c>
      <c r="S23" s="183">
        <v>142644128.24000004</v>
      </c>
      <c r="T23" s="190">
        <v>4424518.6100000003</v>
      </c>
      <c r="U23" s="190">
        <v>134761863.61000001</v>
      </c>
      <c r="V23" s="190">
        <v>4362707.4000000004</v>
      </c>
      <c r="W23" s="190">
        <v>637304.80000000005</v>
      </c>
      <c r="X23" s="190">
        <v>-1281452.6100000001</v>
      </c>
      <c r="Y23" s="190">
        <v>-260813.57</v>
      </c>
      <c r="Z23" s="190"/>
      <c r="AA23" s="190">
        <v>-4238631.0599999996</v>
      </c>
      <c r="AB23" s="190">
        <v>-5893613.3099999996</v>
      </c>
    </row>
    <row r="24" spans="1:28" s="169" customFormat="1">
      <c r="A24" s="192" t="s">
        <v>84</v>
      </c>
      <c r="B24" s="193">
        <v>97499333.159999996</v>
      </c>
      <c r="C24" s="193"/>
      <c r="D24" s="187">
        <v>97498539.25999999</v>
      </c>
      <c r="E24" s="183">
        <v>793.9</v>
      </c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193">
        <v>0</v>
      </c>
      <c r="S24" s="183">
        <v>0</v>
      </c>
      <c r="T24" s="193">
        <v>0</v>
      </c>
      <c r="U24" s="193">
        <v>0</v>
      </c>
      <c r="V24" s="193">
        <v>0</v>
      </c>
      <c r="W24" s="193">
        <v>0</v>
      </c>
      <c r="X24" s="193">
        <v>0</v>
      </c>
      <c r="Y24" s="193">
        <v>0</v>
      </c>
      <c r="Z24" s="193"/>
      <c r="AA24" s="193">
        <v>0</v>
      </c>
      <c r="AB24" s="193">
        <v>0</v>
      </c>
    </row>
    <row r="25" spans="1:28" s="169" customFormat="1">
      <c r="A25" s="42" t="s">
        <v>55</v>
      </c>
      <c r="B25" s="190">
        <v>297306203.33999997</v>
      </c>
      <c r="C25" s="190">
        <v>3398491.31</v>
      </c>
      <c r="D25" s="191">
        <v>-441185629.78000009</v>
      </c>
      <c r="E25" s="183">
        <v>498077074.62</v>
      </c>
      <c r="F25" s="190">
        <v>-43944019.539999992</v>
      </c>
      <c r="G25" s="190">
        <v>6217894.7800000003</v>
      </c>
      <c r="H25" s="190">
        <v>-55414890.619999997</v>
      </c>
      <c r="I25" s="190">
        <v>7206628.6699999999</v>
      </c>
      <c r="J25" s="190">
        <v>-1953652.37</v>
      </c>
      <c r="K25" s="190">
        <v>148448402.86000001</v>
      </c>
      <c r="L25" s="190">
        <v>59221447.840000004</v>
      </c>
      <c r="M25" s="190">
        <v>25423201.359999999</v>
      </c>
      <c r="N25" s="190">
        <v>3083747.87</v>
      </c>
      <c r="O25" s="190">
        <v>77448997.709999993</v>
      </c>
      <c r="P25" s="190">
        <v>-4864974.8600000003</v>
      </c>
      <c r="Q25" s="190">
        <v>-4562377.3099999996</v>
      </c>
      <c r="R25" s="190">
        <v>-7301639.75</v>
      </c>
      <c r="S25" s="183">
        <v>142644128.24000004</v>
      </c>
      <c r="T25" s="190">
        <v>4424518.6100000003</v>
      </c>
      <c r="U25" s="190">
        <v>134761863.61000001</v>
      </c>
      <c r="V25" s="190">
        <v>4362707.4000000004</v>
      </c>
      <c r="W25" s="190">
        <v>637304.80000000005</v>
      </c>
      <c r="X25" s="190">
        <v>-1281452.6100000001</v>
      </c>
      <c r="Y25" s="190">
        <v>-260813.57</v>
      </c>
      <c r="Z25" s="190"/>
      <c r="AA25" s="190">
        <v>-4238631.0599999996</v>
      </c>
      <c r="AB25" s="190">
        <v>-5893613.3099999996</v>
      </c>
    </row>
    <row r="26" spans="1:28" s="169" customFormat="1">
      <c r="A26" s="194" t="s">
        <v>56</v>
      </c>
      <c r="B26" s="195">
        <v>-123905921.39</v>
      </c>
      <c r="C26" s="195"/>
      <c r="D26" s="187">
        <v>-1.6763806343078613E-8</v>
      </c>
      <c r="E26" s="183">
        <v>1304148.3</v>
      </c>
      <c r="F26" s="195">
        <v>-136274443.01999998</v>
      </c>
      <c r="G26" s="195">
        <v>42369307.460000001</v>
      </c>
      <c r="H26" s="195">
        <v>-180220824.5</v>
      </c>
      <c r="I26" s="195">
        <v>2236426.27</v>
      </c>
      <c r="J26" s="195">
        <v>-659352.25</v>
      </c>
      <c r="K26" s="195">
        <v>11064373.33</v>
      </c>
      <c r="L26" s="195">
        <v>173094.51</v>
      </c>
      <c r="M26" s="195">
        <v>0</v>
      </c>
      <c r="N26" s="195">
        <v>0</v>
      </c>
      <c r="O26" s="195">
        <v>10891278.82</v>
      </c>
      <c r="P26" s="195">
        <v>0</v>
      </c>
      <c r="Q26" s="195">
        <v>0</v>
      </c>
      <c r="R26" s="195">
        <v>0</v>
      </c>
      <c r="S26" s="183">
        <v>0</v>
      </c>
      <c r="T26" s="195">
        <v>0</v>
      </c>
      <c r="U26" s="195">
        <v>0</v>
      </c>
      <c r="V26" s="195">
        <v>0</v>
      </c>
      <c r="W26" s="195">
        <v>0</v>
      </c>
      <c r="X26" s="195">
        <v>0</v>
      </c>
      <c r="Y26" s="195">
        <v>0</v>
      </c>
      <c r="Z26" s="195"/>
      <c r="AA26" s="195">
        <v>0</v>
      </c>
      <c r="AB26" s="195">
        <v>0</v>
      </c>
    </row>
    <row r="27" spans="1:28" s="169" customFormat="1" ht="14.25" thickBot="1">
      <c r="A27" s="44" t="s">
        <v>57</v>
      </c>
      <c r="B27" s="196">
        <v>173400281.94999999</v>
      </c>
      <c r="C27" s="196">
        <v>3398491.31</v>
      </c>
      <c r="D27" s="197">
        <v>-441185629.78000009</v>
      </c>
      <c r="E27" s="183">
        <v>499381222.92000002</v>
      </c>
      <c r="F27" s="196">
        <v>-180218462.56</v>
      </c>
      <c r="G27" s="196">
        <v>48587202.240000002</v>
      </c>
      <c r="H27" s="196">
        <v>-235635715.12</v>
      </c>
      <c r="I27" s="196">
        <v>9443054.9399999995</v>
      </c>
      <c r="J27" s="196">
        <v>-2613004.62</v>
      </c>
      <c r="K27" s="196">
        <v>159512776.19000003</v>
      </c>
      <c r="L27" s="196">
        <v>59394542.350000001</v>
      </c>
      <c r="M27" s="196">
        <v>25423201.359999999</v>
      </c>
      <c r="N27" s="196">
        <v>3083747.87</v>
      </c>
      <c r="O27" s="196">
        <v>88340276.530000001</v>
      </c>
      <c r="P27" s="196">
        <v>-4864974.8600000003</v>
      </c>
      <c r="Q27" s="196">
        <v>-4562377.3099999996</v>
      </c>
      <c r="R27" s="196">
        <v>-7301639.75</v>
      </c>
      <c r="S27" s="183">
        <v>142644128.24000004</v>
      </c>
      <c r="T27" s="196">
        <v>4424518.6100000003</v>
      </c>
      <c r="U27" s="196">
        <v>134761863.61000001</v>
      </c>
      <c r="V27" s="196">
        <v>4362707.4000000004</v>
      </c>
      <c r="W27" s="196">
        <v>637304.80000000005</v>
      </c>
      <c r="X27" s="196">
        <v>-1281452.6100000001</v>
      </c>
      <c r="Y27" s="196">
        <v>-260813.57</v>
      </c>
      <c r="Z27" s="196"/>
      <c r="AA27" s="196">
        <v>-4238631.0599999996</v>
      </c>
      <c r="AB27" s="196">
        <v>-5893613.3099999996</v>
      </c>
    </row>
    <row r="28" spans="1:28" s="170" customFormat="1" ht="12"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</row>
    <row r="29" spans="1:28" s="170" customFormat="1" ht="12">
      <c r="A29" s="170" t="s">
        <v>58</v>
      </c>
      <c r="B29" s="199">
        <f>B27-SUM(C27:F27)-S27-K27-AA27-AB27</f>
        <v>0</v>
      </c>
      <c r="C29" s="200"/>
      <c r="D29" s="198"/>
      <c r="E29" s="198"/>
      <c r="F29" s="199">
        <f>F27-(H27+I27+J27+G27)</f>
        <v>0</v>
      </c>
      <c r="G29" s="200"/>
      <c r="H29" s="198"/>
      <c r="I29" s="198"/>
      <c r="J29" s="198"/>
      <c r="K29" s="199">
        <f>K27-SUM(L27:R27)</f>
        <v>0</v>
      </c>
      <c r="L29" s="198"/>
      <c r="M29" s="198"/>
      <c r="N29" s="198"/>
      <c r="O29" s="198"/>
      <c r="P29" s="198"/>
      <c r="Q29" s="198"/>
      <c r="R29" s="198"/>
      <c r="S29" s="199">
        <f>S27-SUM(T27:Z27)</f>
        <v>0</v>
      </c>
      <c r="T29" s="198"/>
      <c r="U29" s="198"/>
      <c r="V29" s="198"/>
      <c r="W29" s="198"/>
      <c r="X29" s="198"/>
      <c r="Y29" s="198"/>
      <c r="Z29" s="198"/>
      <c r="AA29" s="198"/>
    </row>
    <row r="30" spans="1:28" s="169" customFormat="1">
      <c r="A30" s="170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</row>
    <row r="31" spans="1:28" s="169" customFormat="1" ht="14.25" thickBot="1">
      <c r="A31" s="201" t="s">
        <v>59</v>
      </c>
      <c r="B31" s="202"/>
      <c r="C31" s="202"/>
      <c r="D31" s="202">
        <f>[2]累计利润调整表!$E$45-E45</f>
        <v>9.9999999874853529E-3</v>
      </c>
      <c r="E31" s="202">
        <f>[2]累计利润调整表!$E$46-E46</f>
        <v>-9.9999998230487108E-2</v>
      </c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</row>
    <row r="32" spans="1:28" s="169" customFormat="1" ht="14.25" customHeight="1">
      <c r="A32" s="19" t="s">
        <v>2</v>
      </c>
      <c r="B32" s="19" t="str">
        <f>B3</f>
        <v>合计</v>
      </c>
      <c r="C32" s="19" t="str">
        <f t="shared" ref="C32:V32" si="0">C3</f>
        <v>其他</v>
      </c>
      <c r="D32" s="19" t="str">
        <f t="shared" si="0"/>
        <v>总部中后台</v>
      </c>
      <c r="E32" s="19" t="str">
        <f t="shared" si="0"/>
        <v>经纪业务部</v>
      </c>
      <c r="F32" s="19" t="str">
        <f t="shared" si="0"/>
        <v>资管业务</v>
      </c>
      <c r="G32" s="24" t="str">
        <f t="shared" si="0"/>
        <v>资产管理部</v>
      </c>
      <c r="H32" s="24" t="str">
        <f t="shared" si="0"/>
        <v>权益产品投资部</v>
      </c>
      <c r="I32" s="24" t="str">
        <f t="shared" ref="I32:J32" si="1">I3</f>
        <v>固收产品投资部</v>
      </c>
      <c r="J32" s="24" t="str">
        <f t="shared" si="1"/>
        <v>量化产品投资部</v>
      </c>
      <c r="K32" s="19" t="str">
        <f t="shared" si="0"/>
        <v>深分公司合计</v>
      </c>
      <c r="L32" s="24" t="str">
        <f t="shared" si="0"/>
        <v>固定收益投资部</v>
      </c>
      <c r="M32" s="24" t="str">
        <f t="shared" si="0"/>
        <v>固定收益市场部</v>
      </c>
      <c r="N32" s="24" t="str">
        <f t="shared" si="0"/>
        <v>投顾业务部</v>
      </c>
      <c r="O32" s="24" t="str">
        <f t="shared" si="0"/>
        <v>证券投资部</v>
      </c>
      <c r="P32" s="24" t="str">
        <f t="shared" si="0"/>
        <v>做市业务部</v>
      </c>
      <c r="Q32" s="24" t="str">
        <f t="shared" si="0"/>
        <v>金融衍生品部</v>
      </c>
      <c r="R32" s="24" t="str">
        <f t="shared" si="0"/>
        <v>深圳管理总部</v>
      </c>
      <c r="S32" s="19" t="str">
        <f t="shared" ref="S32" si="2">S3</f>
        <v>投资银行合计</v>
      </c>
      <c r="T32" s="24" t="str">
        <f t="shared" si="0"/>
        <v>投资银行三部</v>
      </c>
      <c r="U32" s="24" t="str">
        <f t="shared" si="0"/>
        <v>投资银行一部</v>
      </c>
      <c r="V32" s="24" t="str">
        <f t="shared" si="0"/>
        <v>投资银行二部</v>
      </c>
      <c r="W32" s="24" t="s">
        <v>24</v>
      </c>
      <c r="X32" s="24" t="s">
        <v>25</v>
      </c>
      <c r="Y32" s="24" t="s">
        <v>26</v>
      </c>
      <c r="Z32" s="24" t="s">
        <v>504</v>
      </c>
      <c r="AA32" s="19" t="s">
        <v>27</v>
      </c>
      <c r="AB32" s="19" t="s">
        <v>499</v>
      </c>
    </row>
    <row r="33" spans="1:28" s="171" customFormat="1">
      <c r="A33" s="203" t="s">
        <v>34</v>
      </c>
      <c r="B33" s="204">
        <f>B34+B38+B39+B41+B42+B43</f>
        <v>-165148448.28666669</v>
      </c>
      <c r="C33" s="204">
        <f t="shared" ref="C33:D33" si="3">C34+C38+C39+C41+C42+C43</f>
        <v>-18547254.84</v>
      </c>
      <c r="D33" s="204">
        <f t="shared" si="3"/>
        <v>-11068758.569666656</v>
      </c>
      <c r="E33" s="204">
        <f>E34+E38+E39+E41+E42+E43</f>
        <v>30693634.402566027</v>
      </c>
      <c r="F33" s="204">
        <f>F34+F38+F39+F41+F42+F43</f>
        <v>-194408815.96049058</v>
      </c>
      <c r="G33" s="204">
        <f t="shared" ref="G33" si="4">G34+G38+G39+G41+G42+G43</f>
        <v>-2416379.8604905666</v>
      </c>
      <c r="H33" s="204">
        <f t="shared" ref="H33:L33" si="5">H34+H38+H39+H41+H42+H43</f>
        <v>-184142349.27000001</v>
      </c>
      <c r="I33" s="204">
        <f>I34+I38+I39+I41+I42+I43</f>
        <v>125040.43333333312</v>
      </c>
      <c r="J33" s="204">
        <f t="shared" si="5"/>
        <v>-7975127.2633333337</v>
      </c>
      <c r="K33" s="204">
        <f>K34+K38+K39+K41+K42+K43</f>
        <v>27206685.184257869</v>
      </c>
      <c r="L33" s="204">
        <f t="shared" si="5"/>
        <v>-5596156.8200000003</v>
      </c>
      <c r="M33" s="204">
        <f t="shared" ref="M33:T33" si="6">M34+M38+M39+M41+M42+M43</f>
        <v>4313241.150924528</v>
      </c>
      <c r="N33" s="204">
        <f>N34+N38+N39+N41+N42+N43</f>
        <v>221528.36999999988</v>
      </c>
      <c r="O33" s="204">
        <f t="shared" si="6"/>
        <v>23868791.013333336</v>
      </c>
      <c r="P33" s="204">
        <f t="shared" si="6"/>
        <v>46198.470000000008</v>
      </c>
      <c r="Q33" s="204">
        <f t="shared" si="6"/>
        <v>4293636.1099999994</v>
      </c>
      <c r="R33" s="204">
        <f t="shared" si="6"/>
        <v>0</v>
      </c>
      <c r="S33" s="204">
        <f>S34+S38+S39+S41+S42+S43</f>
        <v>1542099.2266666666</v>
      </c>
      <c r="T33" s="204">
        <f t="shared" si="6"/>
        <v>-2464814.8199999998</v>
      </c>
      <c r="U33" s="204">
        <f t="shared" ref="U33:AA33" si="7">U34+U38+U39+U41+U42+U43</f>
        <v>3893417.1900000004</v>
      </c>
      <c r="V33" s="204">
        <f t="shared" si="7"/>
        <v>113496.85666666669</v>
      </c>
      <c r="W33" s="204">
        <f t="shared" si="7"/>
        <v>0</v>
      </c>
      <c r="X33" s="204">
        <f t="shared" si="7"/>
        <v>0</v>
      </c>
      <c r="Y33" s="204">
        <f t="shared" si="7"/>
        <v>0</v>
      </c>
      <c r="Z33" s="204">
        <f t="shared" ref="Z33" si="8">Z34+Z38+Z39+Z41+Z42+Z43</f>
        <v>0</v>
      </c>
      <c r="AA33" s="204">
        <f t="shared" si="7"/>
        <v>-566037.73</v>
      </c>
      <c r="AB33" s="204">
        <f t="shared" ref="AB33" si="9">AB34+AB38+AB39+AB41+AB42+AB43</f>
        <v>0</v>
      </c>
    </row>
    <row r="34" spans="1:28" s="171" customFormat="1">
      <c r="A34" s="31" t="s">
        <v>35</v>
      </c>
      <c r="B34" s="205">
        <f>SUM(C34:F34)+K34+S34+AA34+AB34</f>
        <v>59446.889999998035</v>
      </c>
      <c r="C34" s="207">
        <f>SUM(C35:C37)+SUMIFS(考核调整事项表!$C:$C,考核调整事项表!$B:$B,累计利润调整表!$A34,考核调整事项表!$D:$D,C$3)+SUMIFS(考核调整事项表!$E:$E,考核调整事项表!$B:$B,累计利润调整表!$A34,考核调整事项表!$F:$F,C$3)</f>
        <v>230309.44000000041</v>
      </c>
      <c r="D34" s="207">
        <f>SUM(D35:D37)+SUMIFS(考核调整事项表!$C:$C,考核调整事项表!$B:$B,累计利润调整表!$A34,考核调整事项表!$D:$D,D$3)+SUMIFS(考核调整事项表!$E:$E,考核调整事项表!$B:$B,累计利润调整表!$A34,考核调整事项表!$F:$F,D$3)</f>
        <v>0</v>
      </c>
      <c r="E34" s="207">
        <f>SUM(E35:E37)+SUMIFS(考核调整事项表!$C:$C,考核调整事项表!$B:$B,累计利润调整表!$A34,考核调整事项表!$D:$D,E$3)+SUMIFS(考核调整事项表!$E:$E,考核调整事项表!$B:$B,累计利润调整表!$A34,考核调整事项表!$F:$F,E$3)</f>
        <v>5191496.742566037</v>
      </c>
      <c r="F34" s="207">
        <f>SUM(F35:F37)+SUMIFS(考核调整事项表!$C:$C,考核调整事项表!$B:$B,累计利润调整表!$A34,考核调整事项表!$D:$D,F$3)+SUMIFS(考核调整事项表!$E:$E,考核调整事项表!$B:$B,累计利润调整表!$A34,考核调整事项表!$F:$F,F$3)</f>
        <v>-6597136.4704905674</v>
      </c>
      <c r="G34" s="207">
        <f>SUM(G35:G37)+SUMIFS(考核调整事项表!$C:$C,考核调整事项表!$B:$B,累计利润调整表!$A34,考核调整事项表!$D:$D,G$3)+SUMIFS(考核调整事项表!$E:$E,考核调整事项表!$B:$B,累计利润调整表!$A34,考核调整事项表!$F:$F,G$3)</f>
        <v>-3811442.9704905665</v>
      </c>
      <c r="H34" s="207">
        <f>SUM(H35:H37)+SUMIFS(考核调整事项表!$C:$C,考核调整事项表!$B:$B,累计利润调整表!$A34,考核调整事项表!$D:$D,H$3)+SUMIFS(考核调整事项表!$E:$E,考核调整事项表!$B:$B,累计利润调整表!$A34,考核调整事项表!$F:$F,H$3)</f>
        <v>0</v>
      </c>
      <c r="I34" s="207">
        <f>SUM(I35:I37)+SUMIFS(考核调整事项表!$C:$C,考核调整事项表!$B:$B,累计利润调整表!$A34,考核调整事项表!$D:$D,I$3)+SUMIFS(考核调整事项表!$E:$E,考核调整事项表!$B:$B,累计利润调整表!$A34,考核调整事项表!$F:$F,I$3)</f>
        <v>-2823429.35</v>
      </c>
      <c r="J34" s="207">
        <f>SUM(J35:J37)+SUMIFS(考核调整事项表!$C:$C,考核调整事项表!$B:$B,累计利润调整表!$A34,考核调整事项表!$D:$D,J$3)+SUMIFS(考核调整事项表!$E:$E,考核调整事项表!$B:$B,累计利润调整表!$A34,考核调整事项表!$F:$F,J$3)</f>
        <v>37735.85</v>
      </c>
      <c r="K34" s="205">
        <f>SUM(K35:K37)</f>
        <v>3342072.7679245281</v>
      </c>
      <c r="L34" s="207">
        <f>SUM(L35:L37)+SUMIFS(考核调整事项表!$C:$C,考核调整事项表!$B:$B,累计利润调整表!$A34,考核调整事项表!$D:$D,L$3)+SUMIFS(考核调整事项表!$E:$E,考核调整事项表!$B:$B,累计利润调整表!$A34,考核调整事项表!$F:$F,L$3)</f>
        <v>0</v>
      </c>
      <c r="M34" s="207">
        <f>SUM(M35:M37)+SUMIFS(考核调整事项表!$C:$C,考核调整事项表!$B:$B,累计利润调整表!$A34,考核调整事项表!$D:$D,M$3)+SUMIFS(考核调整事项表!$E:$E,考核调整事项表!$B:$B,累计利润调整表!$A34,考核调整事项表!$F:$F,M$3)</f>
        <v>1851354.3679245282</v>
      </c>
      <c r="N34" s="207">
        <f>SUM(N35:N37)+SUMIFS(考核调整事项表!$C:$C,考核调整事项表!$B:$B,累计利润调整表!$A34,考核调整事项表!$D:$D,N$3)+SUMIFS(考核调整事项表!$E:$E,考核调整事项表!$B:$B,累计利润调整表!$A34,考核调整事项表!$F:$F,N$3)</f>
        <v>1469007.3599999999</v>
      </c>
      <c r="O34" s="207">
        <f>SUM(O35:O37)+SUMIFS(考核调整事项表!$C:$C,考核调整事项表!$B:$B,累计利润调整表!$A34,考核调整事项表!$D:$D,O$3)+SUMIFS(考核调整事项表!$E:$E,考核调整事项表!$B:$B,累计利润调整表!$A34,考核调整事项表!$F:$F,O$3)</f>
        <v>-37735.85</v>
      </c>
      <c r="P34" s="207">
        <f>SUM(P35:P37)+SUMIFS(考核调整事项表!$C:$C,考核调整事项表!$B:$B,累计利润调整表!$A34,考核调整事项表!$D:$D,P$3)+SUMIFS(考核调整事项表!$E:$E,考核调整事项表!$B:$B,累计利润调整表!$A34,考核调整事项表!$F:$F,P$3)</f>
        <v>0</v>
      </c>
      <c r="Q34" s="207">
        <f>SUM(Q35:Q37)+SUMIFS(考核调整事项表!$C:$C,考核调整事项表!$B:$B,累计利润调整表!$A34,考核调整事项表!$D:$D,Q$3)+SUMIFS(考核调整事项表!$E:$E,考核调整事项表!$B:$B,累计利润调整表!$A34,考核调整事项表!$F:$F,Q$3)</f>
        <v>0</v>
      </c>
      <c r="R34" s="207">
        <f>SUM(R35:R37)+SUMIFS(考核调整事项表!$C:$C,考核调整事项表!$B:$B,累计利润调整表!$A34,考核调整事项表!$D:$D,R$3)+SUMIFS(考核调整事项表!$E:$E,考核调整事项表!$B:$B,累计利润调整表!$A34,考核调整事项表!$F:$F,R$3)</f>
        <v>0</v>
      </c>
      <c r="S34" s="205">
        <f>SUM(T34:Z34)</f>
        <v>-1541257.86</v>
      </c>
      <c r="T34" s="207">
        <f>SUM(T35:T37)+SUMIFS(考核调整事项表!$C:$C,考核调整事项表!$B:$B,累计利润调整表!$A34,考核调整事项表!$D:$D,T$3)+SUMIFS(考核调整事项表!$E:$E,考核调整事项表!$B:$B,累计利润调整表!$A34,考核调整事项表!$F:$F,T$3)</f>
        <v>-2418616.35</v>
      </c>
      <c r="U34" s="207">
        <f>SUM(U35:U37)+SUMIFS(考核调整事项表!$C:$C,考核调整事项表!$B:$B,累计利润调整表!$A34,考核调整事项表!$D:$D,U$3)+SUMIFS(考核调整事项表!$E:$E,考核调整事项表!$B:$B,累计利润调整表!$A34,考核调整事项表!$F:$F,U$3)</f>
        <v>924528.3</v>
      </c>
      <c r="V34" s="207">
        <f>SUM(V35:V37)+SUMIFS(考核调整事项表!$C:$C,考核调整事项表!$B:$B,累计利润调整表!$A34,考核调整事项表!$D:$D,V$3)+SUMIFS(考核调整事项表!$E:$E,考核调整事项表!$B:$B,累计利润调整表!$A34,考核调整事项表!$F:$F,V$3)</f>
        <v>-47169.81</v>
      </c>
      <c r="W34" s="207">
        <f>SUM(W35:W37)+SUMIFS(考核调整事项表!$C:$C,考核调整事项表!$B:$B,累计利润调整表!$A34,考核调整事项表!$D:$D,W$3)+SUMIFS(考核调整事项表!$E:$E,考核调整事项表!$B:$B,累计利润调整表!$A34,考核调整事项表!$F:$F,W$3)</f>
        <v>0</v>
      </c>
      <c r="X34" s="207">
        <f>SUM(X35:X37)+SUMIFS(考核调整事项表!$C:$C,考核调整事项表!$B:$B,累计利润调整表!$A34,考核调整事项表!$D:$D,X$3)+SUMIFS(考核调整事项表!$E:$E,考核调整事项表!$B:$B,累计利润调整表!$A34,考核调整事项表!$F:$F,X$3)</f>
        <v>0</v>
      </c>
      <c r="Y34" s="205">
        <f t="shared" ref="Y34:AA34" si="10">SUM(Y35:Y37)</f>
        <v>0</v>
      </c>
      <c r="Z34" s="205">
        <f t="shared" ref="Z34" si="11">SUM(Z35:Z37)</f>
        <v>0</v>
      </c>
      <c r="AA34" s="205">
        <f t="shared" si="10"/>
        <v>-566037.73</v>
      </c>
      <c r="AB34" s="205">
        <f t="shared" ref="AB34" si="12">SUM(AB35:AB37)</f>
        <v>0</v>
      </c>
    </row>
    <row r="35" spans="1:28" s="171" customFormat="1">
      <c r="A35" s="206" t="s">
        <v>36</v>
      </c>
      <c r="B35" s="205">
        <f t="shared" ref="B35:B56" si="13">SUM(C35:F35)+K35+S35+AA35+AB35</f>
        <v>0</v>
      </c>
      <c r="C35" s="207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207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207">
        <f>SUMIFS(考核调整事项表!$C:$C,考核调整事项表!$B:$B,累计利润调整表!$A35,考核调整事项表!$D:$D,E$3)+SUMIFS(考核调整事项表!$E:$E,考核调整事项表!$B:$B,累计利润调整表!$A35,考核调整事项表!$F:$F,E$3)</f>
        <v>-1200411.3679245282</v>
      </c>
      <c r="F35" s="207">
        <f>SUM(G35:J35)</f>
        <v>37735.85</v>
      </c>
      <c r="G35" s="207">
        <f>SUMIFS(考核调整事项表!$C:$C,考核调整事项表!$B:$B,累计利润调整表!$A35,考核调整事项表!$D:$D,G$3)+SUMIFS(考核调整事项表!$E:$E,考核调整事项表!$B:$B,累计利润调整表!$A35,考核调整事项表!$F:$F,G$3)</f>
        <v>0</v>
      </c>
      <c r="H35" s="207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207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207">
        <f>SUMIFS(考核调整事项表!$C:$C,考核调整事项表!$B:$B,累计利润调整表!$A35,考核调整事项表!$D:$D,J$3)+SUMIFS(考核调整事项表!$E:$E,考核调整事项表!$B:$B,累计利润调整表!$A35,考核调整事项表!$F:$F,J$3)</f>
        <v>37735.85</v>
      </c>
      <c r="K35" s="205">
        <f>SUM(L35:R35)</f>
        <v>1162675.5179245281</v>
      </c>
      <c r="L35" s="207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207">
        <f>SUMIFS(考核调整事项表!$C:$C,考核调整事项表!$B:$B,累计利润调整表!$A35,考核调整事项表!$D:$D,M$3)+SUMIFS(考核调整事项表!$E:$E,考核调整事项表!$B:$B,累计利润调整表!$A35,考核调整事项表!$F:$F,M$3)</f>
        <v>1200411.3679245282</v>
      </c>
      <c r="N35" s="207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207">
        <f>SUMIFS(考核调整事项表!$C:$C,考核调整事项表!$B:$B,累计利润调整表!$A35,考核调整事项表!$D:$D,O$3)+SUMIFS(考核调整事项表!$E:$E,考核调整事项表!$B:$B,累计利润调整表!$A35,考核调整事项表!$F:$F,O$3)</f>
        <v>-37735.85</v>
      </c>
      <c r="P35" s="207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207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207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205">
        <f t="shared" ref="S35:S56" si="14">SUM(T35:Z35)</f>
        <v>0</v>
      </c>
      <c r="T35" s="207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207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207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207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207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207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207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  <c r="AA35" s="207">
        <f>SUMIFS(考核调整事项表!$C:$C,考核调整事项表!$B:$B,累计利润调整表!$A35,考核调整事项表!$D:$D,AA$3)+SUMIFS(考核调整事项表!$E:$E,考核调整事项表!$B:$B,累计利润调整表!$A35,考核调整事项表!$F:$F,AA$3)</f>
        <v>0</v>
      </c>
      <c r="AB35" s="207">
        <f>SUMIFS(考核调整事项表!$C:$C,考核调整事项表!$B:$B,累计利润调整表!$A35,考核调整事项表!$D:$D,AB$3)+SUMIFS(考核调整事项表!$E:$E,考核调整事项表!$B:$B,累计利润调整表!$A35,考核调整事项表!$F:$F,AB$3)</f>
        <v>0</v>
      </c>
    </row>
    <row r="36" spans="1:28" s="171" customFormat="1">
      <c r="A36" s="206" t="s">
        <v>37</v>
      </c>
      <c r="B36" s="205">
        <f t="shared" si="13"/>
        <v>0</v>
      </c>
      <c r="C36" s="207">
        <f>SUMIFS(考核调整事项表!$C:$C,考核调整事项表!$B:$B,累计利润调整表!$A36,考核调整事项表!$D:$D,C$3)+SUMIFS(考核调整事项表!$E:$E,考核调整事项表!$B:$B,累计利润调整表!$A36,考核调整事项表!$F:$F,C$3)</f>
        <v>-1345676.1099999996</v>
      </c>
      <c r="D36" s="207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207">
        <f>SUMIFS(考核调整事项表!$C:$C,考核调整事项表!$B:$B,累计利润调整表!$A36,考核调整事项表!$D:$D,E$3)+SUMIFS(考核调整事项表!$E:$E,考核调整事项表!$B:$B,累计利润调整表!$A36,考核调整事项表!$F:$F,E$3)</f>
        <v>3811462.2699999996</v>
      </c>
      <c r="F36" s="207">
        <f t="shared" ref="F36:F53" si="15">SUM(G36:J36)</f>
        <v>0</v>
      </c>
      <c r="G36" s="207">
        <f>SUMIFS(考核调整事项表!$C:$C,考核调整事项表!$B:$B,累计利润调整表!$A36,考核调整事项表!$D:$D,G$3)+SUMIFS(考核调整事项表!$E:$E,考核调整事项表!$B:$B,累计利润调整表!$A36,考核调整事项表!$F:$F,G$3)</f>
        <v>0</v>
      </c>
      <c r="H36" s="207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207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207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205">
        <f t="shared" ref="K36:K43" si="16">SUM(L36:R36)</f>
        <v>0</v>
      </c>
      <c r="L36" s="207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207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207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207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207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207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207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205">
        <f t="shared" si="14"/>
        <v>-1899748.4300000002</v>
      </c>
      <c r="T36" s="207">
        <f>SUMIFS(考核调整事项表!$C:$C,考核调整事项表!$B:$B,累计利润调整表!$A36,考核调整事项表!$D:$D,T$3)+SUMIFS(考核调整事项表!$E:$E,考核调整事项表!$B:$B,累计利润调整表!$A36,考核调整事项表!$F:$F,T$3)</f>
        <v>-2418616.35</v>
      </c>
      <c r="U36" s="207">
        <f>SUMIFS(考核调整事项表!$C:$C,考核调整事项表!$B:$B,累计利润调整表!$A36,考核调整事项表!$D:$D,U$3)+SUMIFS(考核调整事项表!$E:$E,考核调整事项表!$B:$B,累计利润调整表!$A36,考核调整事项表!$F:$F,U$3)</f>
        <v>566037.73</v>
      </c>
      <c r="V36" s="207">
        <f>SUMIFS(考核调整事项表!$C:$C,考核调整事项表!$B:$B,累计利润调整表!$A36,考核调整事项表!$D:$D,V$3)+SUMIFS(考核调整事项表!$E:$E,考核调整事项表!$B:$B,累计利润调整表!$A36,考核调整事项表!$F:$F,V$3)</f>
        <v>-47169.81</v>
      </c>
      <c r="W36" s="207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207">
        <f>SUMIFS(考核调整事项表!$C:$C,考核调整事项表!$B:$B,累计利润调整表!$A36,考核调整事项表!$D:$D,X$3)+SUMIFS(考核调整事项表!$E:$E,考核调整事项表!$B:$B,累计利润调整表!$A36,考核调整事项表!$F:$F,X$3)</f>
        <v>0</v>
      </c>
      <c r="Y36" s="207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207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  <c r="AA36" s="207">
        <f>SUMIFS(考核调整事项表!$C:$C,考核调整事项表!$B:$B,累计利润调整表!$A36,考核调整事项表!$D:$D,AA$3)+SUMIFS(考核调整事项表!$E:$E,考核调整事项表!$B:$B,累计利润调整表!$A36,考核调整事项表!$F:$F,AA$3)</f>
        <v>-566037.73</v>
      </c>
      <c r="AB36" s="207">
        <f>SUMIFS(考核调整事项表!$C:$C,考核调整事项表!$B:$B,累计利润调整表!$A36,考核调整事项表!$D:$D,AB$3)+SUMIFS(考核调整事项表!$E:$E,考核调整事项表!$B:$B,累计利润调整表!$A36,考核调整事项表!$F:$F,AB$3)</f>
        <v>0</v>
      </c>
    </row>
    <row r="37" spans="1:28" s="171" customFormat="1">
      <c r="A37" s="206" t="s">
        <v>38</v>
      </c>
      <c r="B37" s="205">
        <f t="shared" si="13"/>
        <v>-2.9103830456733704E-10</v>
      </c>
      <c r="C37" s="207">
        <f>SUMIFS(考核调整事项表!$C:$C,考核调整事项表!$B:$B,累计利润调整表!$A37,考核调整事项表!$D:$D,C$3)+SUMIFS(考核调整事项表!$E:$E,考核调整事项表!$B:$B,累计利润调整表!$A37,考核调整事项表!$F:$F,C$3)</f>
        <v>1575985.55</v>
      </c>
      <c r="D37" s="207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207">
        <f>SUMIFS(考核调整事项表!$C:$C,考核调整事项表!$B:$B,累计利润调整表!$A37,考核调整事项表!$D:$D,E$3)+SUMIFS(考核调整事项表!$E:$E,考核调整事项表!$B:$B,累计利润调整表!$A37,考核调整事项表!$F:$F,E$3)</f>
        <v>2520998.9504905664</v>
      </c>
      <c r="F37" s="207">
        <f t="shared" si="15"/>
        <v>-6634872.320490567</v>
      </c>
      <c r="G37" s="207">
        <f>SUMIFS(考核调整事项表!$C:$C,考核调整事项表!$B:$B,累计利润调整表!$A37,考核调整事项表!$D:$D,G$3)+SUMIFS(考核调整事项表!$E:$E,考核调整事项表!$B:$B,累计利润调整表!$A37,考核调整事项表!$F:$F,G$3)</f>
        <v>-3811442.9704905665</v>
      </c>
      <c r="H37" s="207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207">
        <f>SUMIFS(考核调整事项表!$C:$C,考核调整事项表!$B:$B,累计利润调整表!$A37,考核调整事项表!$D:$D,I$3)+SUMIFS(考核调整事项表!$E:$E,考核调整事项表!$B:$B,累计利润调整表!$A37,考核调整事项表!$F:$F,I$3)</f>
        <v>-2823429.35</v>
      </c>
      <c r="J37" s="207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205">
        <f t="shared" si="16"/>
        <v>2179397.25</v>
      </c>
      <c r="L37" s="207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207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207">
        <f>SUMIFS(考核调整事项表!$C:$C,考核调整事项表!$B:$B,累计利润调整表!$A37,考核调整事项表!$D:$D,N$3)+SUMIFS(考核调整事项表!$E:$E,考核调整事项表!$B:$B,累计利润调整表!$A37,考核调整事项表!$F:$F,N$3)</f>
        <v>2179397.25</v>
      </c>
      <c r="O37" s="207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207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207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207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205">
        <f t="shared" si="14"/>
        <v>358490.57</v>
      </c>
      <c r="T37" s="207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207">
        <f>SUMIFS(考核调整事项表!$C:$C,考核调整事项表!$B:$B,累计利润调整表!$A37,考核调整事项表!$D:$D,U$3)+SUMIFS(考核调整事项表!$E:$E,考核调整事项表!$B:$B,累计利润调整表!$A37,考核调整事项表!$F:$F,U$3)</f>
        <v>358490.57</v>
      </c>
      <c r="V37" s="207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207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207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207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207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  <c r="AA37" s="207">
        <f>SUMIFS(考核调整事项表!$C:$C,考核调整事项表!$B:$B,累计利润调整表!$A37,考核调整事项表!$D:$D,AA$3)+SUMIFS(考核调整事项表!$E:$E,考核调整事项表!$B:$B,累计利润调整表!$A37,考核调整事项表!$F:$F,AA$3)</f>
        <v>0</v>
      </c>
      <c r="AB37" s="207">
        <f>SUMIFS(考核调整事项表!$C:$C,考核调整事项表!$B:$B,累计利润调整表!$A37,考核调整事项表!$D:$D,AB$3)+SUMIFS(考核调整事项表!$E:$E,考核调整事项表!$B:$B,累计利润调整表!$A37,考核调整事项表!$F:$F,AB$3)</f>
        <v>0</v>
      </c>
    </row>
    <row r="38" spans="1:28" s="171" customFormat="1">
      <c r="A38" s="31" t="s">
        <v>39</v>
      </c>
      <c r="B38" s="205">
        <f t="shared" si="13"/>
        <v>9.3132257461547852E-10</v>
      </c>
      <c r="C38" s="205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205">
        <f>SUMIFS(考核调整事项表!$C:$C,考核调整事项表!$B:$B,累计利润调整表!$A38,考核调整事项表!$D:$D,D$3)+SUMIFS(考核调整事项表!$E:$E,考核调整事项表!$B:$B,累计利润调整表!$A38,考核调整事项表!$F:$F,D$3)</f>
        <v>-16728643.466666656</v>
      </c>
      <c r="E38" s="205">
        <f>SUMIFS(考核调整事项表!$C:$C,考核调整事项表!$B:$B,累计利润调整表!$A38,考核调整事项表!$D:$D,E$3)+SUMIFS(考核调整事项表!$E:$E,考核调整事项表!$B:$B,累计利润调整表!$A38,考核调整事项表!$F:$F,E$3)</f>
        <v>20461170.229999989</v>
      </c>
      <c r="F38" s="207">
        <f t="shared" si="15"/>
        <v>2330320.96</v>
      </c>
      <c r="G38" s="205">
        <f>SUMIFS(考核调整事项表!$C:$C,考核调整事项表!$B:$B,累计利润调整表!$A38,考核调整事项表!$D:$D,G$3)+SUMIFS(考核调整事项表!$E:$E,考核调整事项表!$B:$B,累计利润调整表!$A38,考核调整事项表!$F:$F,G$3)</f>
        <v>0</v>
      </c>
      <c r="H38" s="205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205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205">
        <f>SUMIFS(考核调整事项表!$C:$C,考核调整事项表!$B:$B,累计利润调整表!$A38,考核调整事项表!$D:$D,J$3)+SUMIFS(考核调整事项表!$E:$E,考核调整事项表!$B:$B,累计利润调整表!$A38,考核调整事项表!$F:$F,J$3)</f>
        <v>2330320.96</v>
      </c>
      <c r="K38" s="205">
        <f t="shared" si="16"/>
        <v>-9192403.2799999993</v>
      </c>
      <c r="L38" s="205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205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205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205">
        <f>SUMIFS(考核调整事项表!$C:$C,考核调整事项表!$B:$B,累计利润调整表!$A38,考核调整事项表!$D:$D,O$3)+SUMIFS(考核调整事项表!$E:$E,考核调整事项表!$B:$B,累计利润调整表!$A38,考核调整事项表!$F:$F,O$3)</f>
        <v>-9091406.25</v>
      </c>
      <c r="P38" s="205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205">
        <f>SUMIFS(考核调整事项表!$C:$C,考核调整事项表!$B:$B,累计利润调整表!$A38,考核调整事项表!$D:$D,Q$3)+SUMIFS(考核调整事项表!$E:$E,考核调整事项表!$B:$B,累计利润调整表!$A38,考核调整事项表!$F:$F,Q$3)</f>
        <v>-100997.03</v>
      </c>
      <c r="R38" s="205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205">
        <f t="shared" si="14"/>
        <v>3129555.5566666666</v>
      </c>
      <c r="T38" s="205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205">
        <f>SUMIFS(考核调整事项表!$C:$C,考核调整事项表!$B:$B,累计利润调整表!$A38,考核调整事项表!$D:$D,U$3)+SUMIFS(考核调整事项表!$E:$E,考核调整事项表!$B:$B,累计利润调整表!$A38,考核调整事项表!$F:$F,U$3)</f>
        <v>2968888.89</v>
      </c>
      <c r="V38" s="205">
        <f>SUMIFS(考核调整事项表!$C:$C,考核调整事项表!$B:$B,累计利润调整表!$A38,考核调整事项表!$D:$D,V$3)+SUMIFS(考核调整事项表!$E:$E,考核调整事项表!$B:$B,累计利润调整表!$A38,考核调整事项表!$F:$F,V$3)</f>
        <v>160666.66666666669</v>
      </c>
      <c r="W38" s="205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205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205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205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  <c r="AA38" s="205">
        <f>SUMIFS(考核调整事项表!$C:$C,考核调整事项表!$B:$B,累计利润调整表!$A38,考核调整事项表!$D:$D,AA$3)+SUMIFS(考核调整事项表!$E:$E,考核调整事项表!$B:$B,累计利润调整表!$A38,考核调整事项表!$F:$F,AA$3)</f>
        <v>0</v>
      </c>
      <c r="AB38" s="205">
        <f>SUMIFS(考核调整事项表!$C:$C,考核调整事项表!$B:$B,累计利润调整表!$A38,考核调整事项表!$D:$D,AB$3)+SUMIFS(考核调整事项表!$E:$E,考核调整事项表!$B:$B,累计利润调整表!$A38,考核调整事项表!$F:$F,AB$3)</f>
        <v>0</v>
      </c>
    </row>
    <row r="39" spans="1:28" s="171" customFormat="1">
      <c r="A39" s="31" t="s">
        <v>40</v>
      </c>
      <c r="B39" s="205">
        <f t="shared" si="13"/>
        <v>2.9103830456733704E-10</v>
      </c>
      <c r="C39" s="205">
        <f>SUMIFS(考核调整事项表!$C:$C,考核调整事项表!$B:$B,累计利润调整表!$A39,考核调整事项表!$D:$D,C$3)+SUMIFS(考核调整事项表!$E:$E,考核调整事项表!$B:$B,累计利润调整表!$A39,考核调整事项表!$F:$F,C$3)</f>
        <v>-25488122.219999999</v>
      </c>
      <c r="D39" s="205">
        <f>SUMIFS(考核调整事项表!$C:$C,考核调整事项表!$B:$B,累计利润调整表!$A39,考核调整事项表!$D:$D,D$3)+SUMIFS(考核调整事项表!$E:$E,考核调整事项表!$B:$B,累计利润调整表!$A39,考核调整事项表!$F:$F,D$3)</f>
        <v>5659884.8969999999</v>
      </c>
      <c r="E39" s="205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207">
        <f t="shared" si="15"/>
        <v>-5241875.28</v>
      </c>
      <c r="G39" s="208">
        <f>SUMIFS(考核调整事项表!$C:$C,考核调整事项表!$B:$B,累计利润调整表!$A39,考核调整事项表!$D:$D,G$3)+SUMIFS(考核调整事项表!$E:$E,考核调整事项表!$B:$B,累计利润调整表!$A39,考核调整事项表!$F:$F,G$3)</f>
        <v>1575985.55</v>
      </c>
      <c r="H39" s="208">
        <f>SUMIFS(考核调整事项表!$C:$C,考核调整事项表!$B:$B,累计利润调整表!$A39,考核调整事项表!$D:$D,H$3)+SUMIFS(考核调整事项表!$E:$E,考核调整事项表!$B:$B,累计利润调整表!$A39,考核调整事项表!$F:$F,H$3)</f>
        <v>0</v>
      </c>
      <c r="I39" s="208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208">
        <f>SUMIFS(考核调整事项表!$C:$C,考核调整事项表!$B:$B,累计利润调整表!$A39,考核调整事项表!$D:$D,J$3)+SUMIFS(考核调整事项表!$E:$E,考核调整事项表!$B:$B,累计利润调整表!$A39,考核调整事项表!$F:$F,J$3)</f>
        <v>-6817860.8300000001</v>
      </c>
      <c r="K39" s="205">
        <f t="shared" si="16"/>
        <v>25144799.423</v>
      </c>
      <c r="L39" s="205">
        <f>SUMIFS(考核调整事项表!$C:$C,考核调整事项表!$B:$B,累计利润调整表!$A39,考核调整事项表!$D:$D,L$3)+SUMIFS(考核调整事项表!$E:$E,考核调整事项表!$B:$B,累计利润调整表!$A39,考核调整事项表!$F:$F,L$3)</f>
        <v>-1089667.57</v>
      </c>
      <c r="M39" s="205">
        <f>SUMIFS(考核调整事项表!$C:$C,考核调整事项表!$B:$B,累计利润调整表!$A39,考核调整事项表!$D:$D,M$3)+SUMIFS(考核调整事项表!$E:$E,考核调整事项表!$B:$B,累计利润调整表!$A39,考核调整事项表!$F:$F,M$3)</f>
        <v>12474547.752999999</v>
      </c>
      <c r="N39" s="205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205">
        <f>SUMIFS(考核调整事项表!$C:$C,考核调整事项表!$B:$B,累计利润调整表!$A39,考核调整事项表!$D:$D,O$3)+SUMIFS(考核调整事项表!$E:$E,考核调整事项表!$B:$B,累计利润调整表!$A39,考核调整事项表!$F:$F,O$3)</f>
        <v>6899412.4199999999</v>
      </c>
      <c r="P39" s="205">
        <f>SUMIFS(考核调整事项表!$C:$C,考核调整事项表!$B:$B,累计利润调整表!$A39,考核调整事项表!$D:$D,P$3)+SUMIFS(考核调整事项表!$E:$E,考核调整事项表!$B:$B,累计利润调整表!$A39,考核调整事项表!$F:$F,P$3)</f>
        <v>74686.820000000007</v>
      </c>
      <c r="Q39" s="205">
        <f>SUMIFS(考核调整事项表!$C:$C,考核调整事项表!$B:$B,累计利润调整表!$A39,考核调整事项表!$D:$D,Q$3)+SUMIFS(考核调整事项表!$E:$E,考核调整事项表!$B:$B,累计利润调整表!$A39,考核调整事项表!$F:$F,Q$3)</f>
        <v>6785820</v>
      </c>
      <c r="R39" s="205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205">
        <f t="shared" si="14"/>
        <v>-74686.820000000007</v>
      </c>
      <c r="T39" s="205">
        <f>SUMIFS(考核调整事项表!$C:$C,考核调整事项表!$B:$B,累计利润调整表!$A39,考核调整事项表!$D:$D,T$3)+SUMIFS(考核调整事项表!$E:$E,考核调整事项表!$B:$B,累计利润调整表!$A39,考核调整事项表!$F:$F,T$3)</f>
        <v>-74686.820000000007</v>
      </c>
      <c r="U39" s="205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205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205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205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205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205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  <c r="AA39" s="205">
        <f>SUMIFS(考核调整事项表!$C:$C,考核调整事项表!$B:$B,累计利润调整表!$A39,考核调整事项表!$D:$D,AA$3)+SUMIFS(考核调整事项表!$E:$E,考核调整事项表!$B:$B,累计利润调整表!$A39,考核调整事项表!$F:$F,AA$3)</f>
        <v>0</v>
      </c>
      <c r="AB39" s="205">
        <f>SUMIFS(考核调整事项表!$C:$C,考核调整事项表!$B:$B,累计利润调整表!$A39,考核调整事项表!$D:$D,AB$3)+SUMIFS(考核调整事项表!$E:$E,考核调整事项表!$B:$B,累计利润调整表!$A39,考核调整事项表!$F:$F,AB$3)</f>
        <v>0</v>
      </c>
    </row>
    <row r="40" spans="1:28" s="171" customFormat="1">
      <c r="A40" s="31" t="s">
        <v>41</v>
      </c>
      <c r="B40" s="205">
        <f t="shared" si="13"/>
        <v>0</v>
      </c>
      <c r="C40" s="205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205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205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207">
        <f t="shared" si="15"/>
        <v>0</v>
      </c>
      <c r="G40" s="205">
        <f>SUMIFS(考核调整事项表!$C:$C,考核调整事项表!$B:$B,累计利润调整表!$A40,考核调整事项表!$D:$D,G$3)+SUMIFS(考核调整事项表!$E:$E,考核调整事项表!$B:$B,累计利润调整表!$A40,考核调整事项表!$F:$F,G$3)</f>
        <v>0</v>
      </c>
      <c r="H40" s="205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205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205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205">
        <f t="shared" si="16"/>
        <v>0</v>
      </c>
      <c r="L40" s="205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205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205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205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205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205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205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205">
        <f t="shared" si="14"/>
        <v>0</v>
      </c>
      <c r="T40" s="205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205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205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205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205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205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205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  <c r="AA40" s="205">
        <f>SUMIFS(考核调整事项表!$C:$C,考核调整事项表!$B:$B,累计利润调整表!$A40,考核调整事项表!$D:$D,AA$3)+SUMIFS(考核调整事项表!$E:$E,考核调整事项表!$B:$B,累计利润调整表!$A40,考核调整事项表!$F:$F,AA$3)</f>
        <v>0</v>
      </c>
      <c r="AB40" s="205">
        <f>SUMIFS(考核调整事项表!$C:$C,考核调整事项表!$B:$B,累计利润调整表!$A40,考核调整事项表!$D:$D,AB$3)+SUMIFS(考核调整事项表!$E:$E,考核调整事项表!$B:$B,累计利润调整表!$A40,考核调整事项表!$F:$F,AB$3)</f>
        <v>0</v>
      </c>
    </row>
    <row r="41" spans="1:28" s="171" customFormat="1">
      <c r="A41" s="31" t="s">
        <v>42</v>
      </c>
      <c r="B41" s="205">
        <f>SUM(C41:F41)+K41+S41+AA41+AB41</f>
        <v>-165207895.17666668</v>
      </c>
      <c r="C41" s="205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10012660.969999999</v>
      </c>
      <c r="D41" s="205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205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1738864.4000000001</v>
      </c>
      <c r="F41" s="207">
        <f t="shared" si="15"/>
        <v>-184900125.17000002</v>
      </c>
      <c r="G41" s="205">
        <f>SUMIFS(考核调整事项表!$C:$C,考核调整事项表!$B:$B,累计利润调整表!$A41,考核调整事项表!$D:$D,G$3)+SUMIFS(考核调整事项表!$E:$E,考核调整事项表!$B:$B,累计利润调整表!$A41,考核调整事项表!$F:$F,G$3)+SUMIFS(考核调整事项表!$E:$E,考核调整事项表!$G:$G,累计利润调整表!$A41,考核调整事项表!$F:$F,累计利润调整表!G$3)</f>
        <v>-180922.44</v>
      </c>
      <c r="H41" s="205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-184142349.27000001</v>
      </c>
      <c r="I41" s="205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2948469.7833333332</v>
      </c>
      <c r="J41" s="205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-3525323.2433333336</v>
      </c>
      <c r="K41" s="205">
        <f t="shared" si="16"/>
        <v>7912216.2733333372</v>
      </c>
      <c r="L41" s="205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-4506489.25</v>
      </c>
      <c r="M41" s="205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-10012660.969999999</v>
      </c>
      <c r="N41" s="205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-1247478.99</v>
      </c>
      <c r="O41" s="205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26098520.693333335</v>
      </c>
      <c r="P41" s="205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-28488.35</v>
      </c>
      <c r="Q41" s="205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-2391186.86</v>
      </c>
      <c r="R41" s="205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205">
        <f t="shared" si="14"/>
        <v>28488.35</v>
      </c>
      <c r="T41" s="205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28488.35</v>
      </c>
      <c r="U41" s="205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205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205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205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205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205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  <c r="AA41" s="205">
        <f>SUMIFS(考核调整事项表!$C:$C,考核调整事项表!$B:$B,累计利润调整表!$A41,考核调整事项表!$D:$D,AA$3)+SUMIFS(考核调整事项表!$E:$E,考核调整事项表!$B:$B,累计利润调整表!$A41,考核调整事项表!$F:$F,AA$3)+SUMIFS(考核调整事项表!$E:$E,考核调整事项表!$G:$G,累计利润调整表!$A41,考核调整事项表!$F:$F,累计利润调整表!AA$3)</f>
        <v>0</v>
      </c>
      <c r="AB41" s="205">
        <f>SUMIFS(考核调整事项表!$C:$C,考核调整事项表!$B:$B,累计利润调整表!$A41,考核调整事项表!$D:$D,AB$3)+SUMIFS(考核调整事项表!$E:$E,考核调整事项表!$B:$B,累计利润调整表!$A41,考核调整事项表!$F:$F,AB$3)+SUMIFS(考核调整事项表!$E:$E,考核调整事项表!$G:$G,累计利润调整表!$A41,考核调整事项表!$F:$F,累计利润调整表!AB$3)</f>
        <v>0</v>
      </c>
    </row>
    <row r="42" spans="1:28" s="171" customFormat="1">
      <c r="A42" s="31" t="s">
        <v>43</v>
      </c>
      <c r="B42" s="205">
        <f t="shared" si="13"/>
        <v>0</v>
      </c>
      <c r="C42" s="205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205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205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207">
        <f t="shared" si="15"/>
        <v>0</v>
      </c>
      <c r="G42" s="205">
        <f>SUMIFS(考核调整事项表!$C:$C,考核调整事项表!$B:$B,累计利润调整表!$A42,考核调整事项表!$D:$D,G$3)+SUMIFS(考核调整事项表!$E:$E,考核调整事项表!$B:$B,累计利润调整表!$A42,考核调整事项表!$F:$F,G$3)</f>
        <v>0</v>
      </c>
      <c r="H42" s="205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205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205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205">
        <f t="shared" si="16"/>
        <v>0</v>
      </c>
      <c r="L42" s="205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205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205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205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205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205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205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205">
        <f t="shared" si="14"/>
        <v>0</v>
      </c>
      <c r="T42" s="205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205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205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205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205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205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205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  <c r="AA42" s="205">
        <f>SUMIFS(考核调整事项表!$C:$C,考核调整事项表!$B:$B,累计利润调整表!$A42,考核调整事项表!$D:$D,AA$3)+SUMIFS(考核调整事项表!$E:$E,考核调整事项表!$B:$B,累计利润调整表!$A42,考核调整事项表!$F:$F,AA$3)</f>
        <v>0</v>
      </c>
      <c r="AB42" s="205">
        <f>SUMIFS(考核调整事项表!$C:$C,考核调整事项表!$B:$B,累计利润调整表!$A42,考核调整事项表!$D:$D,AB$3)+SUMIFS(考核调整事项表!$E:$E,考核调整事项表!$B:$B,累计利润调整表!$A42,考核调整事项表!$F:$F,AB$3)</f>
        <v>0</v>
      </c>
    </row>
    <row r="43" spans="1:28" s="171" customFormat="1">
      <c r="A43" s="31" t="s">
        <v>44</v>
      </c>
      <c r="B43" s="205">
        <f t="shared" si="13"/>
        <v>0</v>
      </c>
      <c r="C43" s="205">
        <f>SUMIFS(考核调整事项表!$C:$C,考核调整事项表!$B:$B,累计利润调整表!$A43,考核调整事项表!$D:$D,C$3)+SUMIFS(考核调整事项表!$E:$E,考核调整事项表!$B:$B,累计利润调整表!$A43,考核调整事项表!$F:$F,C$3)</f>
        <v>-3302103.0300000003</v>
      </c>
      <c r="D43" s="205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205">
        <f>SUMIFS(考核调整事项表!$C:$C,考核调整事项表!$B:$B,累计利润调整表!$A43,考核调整事项表!$D:$D,E$3)+SUMIFS(考核调整事项表!$E:$E,考核调整事项表!$B:$B,累计利润调整表!$A43,考核调整事项表!$F:$F,E$3)</f>
        <v>3302103.0300000003</v>
      </c>
      <c r="F43" s="207">
        <f t="shared" si="15"/>
        <v>0</v>
      </c>
      <c r="G43" s="205">
        <f>SUMIFS(考核调整事项表!$C:$C,考核调整事项表!$B:$B,累计利润调整表!$A43,考核调整事项表!$D:$D,G$3)+SUMIFS(考核调整事项表!$E:$E,考核调整事项表!$B:$B,累计利润调整表!$A43,考核调整事项表!$F:$F,G$3)</f>
        <v>0</v>
      </c>
      <c r="H43" s="205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205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205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205">
        <f t="shared" si="16"/>
        <v>0</v>
      </c>
      <c r="L43" s="205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205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205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205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205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205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205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205">
        <f t="shared" si="14"/>
        <v>0</v>
      </c>
      <c r="T43" s="205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205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205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205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205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205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205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  <c r="AA43" s="205">
        <f>SUMIFS(考核调整事项表!$C:$C,考核调整事项表!$B:$B,累计利润调整表!$A43,考核调整事项表!$D:$D,AA$3)+SUMIFS(考核调整事项表!$E:$E,考核调整事项表!$B:$B,累计利润调整表!$A43,考核调整事项表!$F:$F,AA$3)</f>
        <v>0</v>
      </c>
      <c r="AB43" s="205">
        <f>SUMIFS(考核调整事项表!$C:$C,考核调整事项表!$B:$B,累计利润调整表!$A43,考核调整事项表!$D:$D,AB$3)+SUMIFS(考核调整事项表!$E:$E,考核调整事项表!$B:$B,累计利润调整表!$A43,考核调整事项表!$F:$F,AB$3)</f>
        <v>0</v>
      </c>
    </row>
    <row r="44" spans="1:28" s="171" customFormat="1">
      <c r="A44" s="34" t="s">
        <v>45</v>
      </c>
      <c r="B44" s="209">
        <f t="shared" si="13"/>
        <v>-2.3283064365386963E-9</v>
      </c>
      <c r="C44" s="209">
        <f t="shared" ref="C44:K44" si="17">SUM(C45:C48)</f>
        <v>-53644.740000000224</v>
      </c>
      <c r="D44" s="209">
        <f t="shared" si="17"/>
        <v>18737671.479999997</v>
      </c>
      <c r="E44" s="209">
        <f t="shared" si="17"/>
        <v>-3861536.4199999985</v>
      </c>
      <c r="F44" s="209">
        <f t="shared" si="17"/>
        <v>599684.82999999984</v>
      </c>
      <c r="G44" s="209">
        <f t="shared" ref="G44" si="18">SUM(G45:G48)</f>
        <v>-589626.82000000007</v>
      </c>
      <c r="H44" s="209">
        <f t="shared" ref="H44:J44" si="19">SUM(H45:H48)</f>
        <v>24700</v>
      </c>
      <c r="I44" s="209">
        <f t="shared" si="19"/>
        <v>1177476.97</v>
      </c>
      <c r="J44" s="209">
        <f t="shared" si="19"/>
        <v>-12865.320000000043</v>
      </c>
      <c r="K44" s="209">
        <f t="shared" si="17"/>
        <v>-459437.62</v>
      </c>
      <c r="L44" s="209">
        <f t="shared" ref="L44:T44" si="20">SUM(L45:L48)</f>
        <v>-109257.22</v>
      </c>
      <c r="M44" s="209">
        <f t="shared" ref="M44" si="21">SUM(M45:M48)</f>
        <v>184963.19999999995</v>
      </c>
      <c r="N44" s="209">
        <f t="shared" si="20"/>
        <v>14428.549999999997</v>
      </c>
      <c r="O44" s="209">
        <f t="shared" si="20"/>
        <v>218068.19999999998</v>
      </c>
      <c r="P44" s="209">
        <f t="shared" si="20"/>
        <v>3674.2200000000003</v>
      </c>
      <c r="Q44" s="209">
        <f t="shared" si="20"/>
        <v>152702.53000000003</v>
      </c>
      <c r="R44" s="209">
        <f t="shared" si="20"/>
        <v>-924017.1</v>
      </c>
      <c r="S44" s="209">
        <f t="shared" si="14"/>
        <v>-16442549.5</v>
      </c>
      <c r="T44" s="209">
        <f t="shared" si="20"/>
        <v>35579.94999999999</v>
      </c>
      <c r="U44" s="209">
        <f t="shared" ref="U44:AA44" si="22">SUM(U45:U48)</f>
        <v>-13376916.6</v>
      </c>
      <c r="V44" s="209">
        <f t="shared" si="22"/>
        <v>-3210618.5</v>
      </c>
      <c r="W44" s="209">
        <f t="shared" si="22"/>
        <v>0</v>
      </c>
      <c r="X44" s="209">
        <f t="shared" si="22"/>
        <v>0</v>
      </c>
      <c r="Y44" s="209">
        <f t="shared" si="22"/>
        <v>0</v>
      </c>
      <c r="Z44" s="209">
        <f t="shared" ref="Z44" si="23">SUM(Z45:Z48)</f>
        <v>109405.65</v>
      </c>
      <c r="AA44" s="209">
        <f t="shared" si="22"/>
        <v>1479811.9700000002</v>
      </c>
      <c r="AB44" s="209">
        <f t="shared" ref="AB44" si="24">SUM(AB45:AB48)</f>
        <v>0</v>
      </c>
    </row>
    <row r="45" spans="1:28" s="171" customFormat="1">
      <c r="A45" s="32" t="s">
        <v>46</v>
      </c>
      <c r="B45" s="205">
        <f t="shared" si="13"/>
        <v>-2.2737367544323206E-12</v>
      </c>
      <c r="C45" s="207">
        <f>SUMIFS(考核调整事项表!$C:$C,考核调整事项表!$B:$B,累计利润调整表!$A45,考核调整事项表!$D:$D,C$3)+SUMIFS(考核调整事项表!$E:$E,考核调整事项表!$B:$B,累计利润调整表!$A45,考核调整事项表!$F:$F,C$3)</f>
        <v>-181856.25</v>
      </c>
      <c r="D45" s="207">
        <f>SUMIFS(考核调整事项表!$C:$C,考核调整事项表!$B:$B,累计利润调整表!$A45,考核调整事项表!$D:$D,D$3)+SUMIFS(考核调整事项表!$E:$E,考核调整事项表!$B:$B,累计利润调整表!$A45,考核调整事项表!$F:$F,D$3)</f>
        <v>40751.18</v>
      </c>
      <c r="E45" s="207">
        <f>SUMIFS(考核调整事项表!$C:$C,考核调整事项表!$B:$B,累计利润调整表!$A45,考核调整事项表!$D:$D,E$3)+SUMIFS(考核调整事项表!$E:$E,考核调整事项表!$B:$B,累计利润调整表!$A45,考核调整事项表!$F:$F,E$3)</f>
        <v>37378.770000000004</v>
      </c>
      <c r="F45" s="207">
        <f t="shared" si="15"/>
        <v>-85240.87</v>
      </c>
      <c r="G45" s="207">
        <f>SUMIFS(考核调整事项表!$C:$C,考核调整事项表!$B:$B,累计利润调整表!$A45,考核调整事项表!$D:$D,G$3)+SUMIFS(考核调整事项表!$E:$E,考核调整事项表!$B:$B,累计利润调整表!$A45,考核调整事项表!$F:$F,G$3)</f>
        <v>-16095.279999999997</v>
      </c>
      <c r="H45" s="207">
        <f>SUMIFS(考核调整事项表!$C:$C,考核调整事项表!$B:$B,累计利润调整表!$A45,考核调整事项表!$D:$D,H$3)+SUMIFS(考核调整事项表!$E:$E,考核调整事项表!$B:$B,累计利润调整表!$A45,考核调整事项表!$F:$F,H$3)</f>
        <v>0</v>
      </c>
      <c r="I45" s="207">
        <f>SUMIFS(考核调整事项表!$C:$C,考核调整事项表!$B:$B,累计利润调整表!$A45,考核调整事项表!$D:$D,I$3)+SUMIFS(考核调整事项表!$E:$E,考核调整事项表!$B:$B,累计利润调整表!$A45,考核调整事项表!$F:$F,I$3)</f>
        <v>-20328.690000000002</v>
      </c>
      <c r="J45" s="207">
        <f>SUMIFS(考核调整事项表!$C:$C,考核调整事项表!$B:$B,累计利润调整表!$A45,考核调整事项表!$D:$D,J$3)+SUMIFS(考核调整事项表!$E:$E,考核调整事项表!$B:$B,累计利润调整表!$A45,考核调整事项表!$F:$F,J$3)</f>
        <v>-48816.9</v>
      </c>
      <c r="K45" s="205">
        <f t="shared" ref="K45:K48" si="25">SUM(L45:R45)</f>
        <v>204677.44999999998</v>
      </c>
      <c r="L45" s="207">
        <f>SUMIFS(考核调整事项表!$C:$C,考核调整事项表!$B:$B,累计利润调整表!$A45,考核调整事项表!$D:$D,L$3)+SUMIFS(考核调整事项表!$E:$E,考核调整事项表!$B:$B,累计利润调整表!$A45,考核调整事项表!$F:$F,L$3)</f>
        <v>-7845.61</v>
      </c>
      <c r="M45" s="207">
        <f>SUMIFS(考核调整事项表!$C:$C,考核调整事项表!$B:$B,累计利润调整表!$A45,考核调整事项表!$D:$D,M$3)+SUMIFS(考核调整事项表!$E:$E,考核调整事项表!$B:$B,累计利润调整表!$A45,考核调整事项表!$F:$F,M$3)</f>
        <v>103146.48999999999</v>
      </c>
      <c r="N45" s="207">
        <f>SUMIFS(考核调整事项表!$C:$C,考核调整事项表!$B:$B,累计利润调整表!$A45,考核调整事项表!$D:$D,N$3)+SUMIFS(考核调整事项表!$E:$E,考核调整事项表!$B:$B,累计利润调整表!$A45,考核调整事项表!$F:$F,N$3)</f>
        <v>10576.849999999999</v>
      </c>
      <c r="O45" s="207">
        <f>SUMIFS(考核调整事项表!$C:$C,考核调整事项表!$B:$B,累计利润调整表!$A45,考核调整事项表!$D:$D,O$3)+SUMIFS(考核调整事项表!$E:$E,考核调整事项表!$B:$B,累计利润调整表!$A45,考核调整事项表!$F:$F,O$3)</f>
        <v>49404.07</v>
      </c>
      <c r="P45" s="207">
        <f>SUMIFS(考核调整事项表!$C:$C,考核调整事项表!$B:$B,累计利润调整表!$A45,考核调整事项表!$D:$D,P$3)+SUMIFS(考核调整事项表!$E:$E,考核调整事项表!$B:$B,累计利润调整表!$A45,考核调整事项表!$F:$F,P$3)</f>
        <v>537.75</v>
      </c>
      <c r="Q45" s="207">
        <f>SUMIFS(考核调整事项表!$C:$C,考核调整事项表!$B:$B,累计利润调整表!$A45,考核调整事项表!$D:$D,Q$3)+SUMIFS(考核调整事项表!$E:$E,考核调整事项表!$B:$B,累计利润调整表!$A45,考核调整事项表!$F:$F,Q$3)</f>
        <v>48857.9</v>
      </c>
      <c r="R45" s="207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207">
        <f t="shared" si="14"/>
        <v>-11634.810000000001</v>
      </c>
      <c r="T45" s="207">
        <f>SUMIFS(考核调整事项表!$C:$C,考核调整事项表!$B:$B,累计利润调整表!$A45,考核调整事项表!$D:$D,T$3)+SUMIFS(考核调整事项表!$E:$E,考核调整事项表!$B:$B,累计利润调整表!$A45,考核调整事项表!$F:$F,T$3)</f>
        <v>-17951.79</v>
      </c>
      <c r="U45" s="207">
        <f>SUMIFS(考核调整事项表!$C:$C,考核调整事项表!$B:$B,累计利润调整表!$A45,考核调整事项表!$D:$D,U$3)+SUMIFS(考核调整事项表!$E:$E,考核调整事项表!$B:$B,累计利润调整表!$A45,考核调整事项表!$F:$F,U$3)</f>
        <v>6656.6</v>
      </c>
      <c r="V45" s="207">
        <f>SUMIFS(考核调整事项表!$C:$C,考核调整事项表!$B:$B,累计利润调整表!$A45,考核调整事项表!$D:$D,V$3)+SUMIFS(考核调整事项表!$E:$E,考核调整事项表!$B:$B,累计利润调整表!$A45,考核调整事项表!$F:$F,V$3)</f>
        <v>-339.62</v>
      </c>
      <c r="W45" s="207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207">
        <f>SUMIFS(考核调整事项表!$C:$C,考核调整事项表!$B:$B,累计利润调整表!$A45,考核调整事项表!$D:$D,X$3)+SUMIFS(考核调整事项表!$E:$E,考核调整事项表!$B:$B,累计利润调整表!$A45,考核调整事项表!$F:$F,X$3)</f>
        <v>0</v>
      </c>
      <c r="Y45" s="207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207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  <c r="AA45" s="207">
        <f>SUMIFS(考核调整事项表!$C:$C,考核调整事项表!$B:$B,累计利润调整表!$A45,考核调整事项表!$D:$D,AA$3)+SUMIFS(考核调整事项表!$E:$E,考核调整事项表!$B:$B,累计利润调整表!$A45,考核调整事项表!$F:$F,AA$3)</f>
        <v>-4075.47</v>
      </c>
      <c r="AB45" s="207">
        <f>SUMIFS(考核调整事项表!$C:$C,考核调整事项表!$B:$B,累计利润调整表!$A45,考核调整事项表!$D:$D,AB$3)+SUMIFS(考核调整事项表!$E:$E,考核调整事项表!$B:$B,累计利润调整表!$A45,考核调整事项表!$F:$F,AB$3)</f>
        <v>0</v>
      </c>
    </row>
    <row r="46" spans="1:28" s="171" customFormat="1">
      <c r="A46" s="32" t="s">
        <v>47</v>
      </c>
      <c r="B46" s="205">
        <f>SUM(C46:F46)+K46+S46+AA46+AB46</f>
        <v>-3.0267983675003052E-9</v>
      </c>
      <c r="C46" s="207">
        <f>SUMIFS(考核调整事项表!$C:$C,考核调整事项表!$B:$B,累计利润调整表!$A46,考核调整事项表!$D:$D,C$3)+SUMIFS(考核调整事项表!$E:$E,考核调整事项表!$B:$B,累计利润调整表!$A46,考核调整事项表!$F:$F,C$3)</f>
        <v>128211.50999999978</v>
      </c>
      <c r="D46" s="207">
        <f>SUMIFS(考核调整事项表!$C:$C,考核调整事项表!$B:$B,累计利润调整表!$A46,考核调整事项表!$D:$D,D$3)+SUMIFS(考核调整事项表!$E:$E,考核调整事项表!$B:$B,累计利润调整表!$A46,考核调整事项表!$F:$F,D$3)</f>
        <v>18696920.299999997</v>
      </c>
      <c r="E46" s="207">
        <f>SUMIFS(考核调整事项表!$C:$C,考核调整事项表!$B:$B,累计利润调整表!$A46,考核调整事项表!$D:$D,E$3)+SUMIFS(考核调整事项表!$E:$E,考核调整事项表!$B:$B,累计利润调整表!$A46,考核调整事项表!$F:$F,E$3)</f>
        <v>-3898915.1899999985</v>
      </c>
      <c r="F46" s="207">
        <f t="shared" si="15"/>
        <v>684925.69999999984</v>
      </c>
      <c r="G46" s="207">
        <f>SUMIFS(考核调整事项表!$C:$C,考核调整事项表!$B:$B,累计利润调整表!$A46,考核调整事项表!$D:$D,G$3)+SUMIFS(考核调整事项表!$E:$E,考核调整事项表!$B:$B,累计利润调整表!$A46,考核调整事项表!$F:$F,G$3)</f>
        <v>-573531.54</v>
      </c>
      <c r="H46" s="207">
        <f>SUMIFS(考核调整事项表!$C:$C,考核调整事项表!$B:$B,累计利润调整表!$A46,考核调整事项表!$D:$D,H$3)+SUMIFS(考核调整事项表!$E:$E,考核调整事项表!$B:$B,累计利润调整表!$A46,考核调整事项表!$F:$F,H$3)</f>
        <v>24700</v>
      </c>
      <c r="I46" s="207">
        <f>SUMIFS(考核调整事项表!$C:$C,考核调整事项表!$B:$B,累计利润调整表!$A46,考核调整事项表!$D:$D,I$3)+SUMIFS(考核调整事项表!$E:$E,考核调整事项表!$B:$B,累计利润调整表!$A46,考核调整事项表!$F:$F,I$3)</f>
        <v>1197805.6599999999</v>
      </c>
      <c r="J46" s="207">
        <f>SUMIFS(考核调整事项表!$C:$C,考核调整事项表!$B:$B,累计利润调整表!$A46,考核调整事项表!$D:$D,J$3)+SUMIFS(考核调整事项表!$E:$E,考核调整事项表!$B:$B,累计利润调整表!$A46,考核调整事项表!$F:$F,J$3)</f>
        <v>35951.579999999958</v>
      </c>
      <c r="K46" s="205">
        <f t="shared" si="25"/>
        <v>-664115.06999999995</v>
      </c>
      <c r="L46" s="207">
        <f>SUMIFS(考核调整事项表!$C:$C,考核调整事项表!$B:$B,累计利润调整表!$A46,考核调整事项表!$D:$D,L$3)+SUMIFS(考核调整事项表!$E:$E,考核调整事项表!$B:$B,累计利润调整表!$A46,考核调整事项表!$F:$F,L$3)</f>
        <v>-101411.61</v>
      </c>
      <c r="M46" s="207">
        <f>SUMIFS(考核调整事项表!$C:$C,考核调整事项表!$B:$B,累计利润调整表!$A46,考核调整事项表!$D:$D,M$3)+SUMIFS(考核调整事项表!$E:$E,考核调整事项表!$B:$B,累计利润调整表!$A46,考核调整事项表!$F:$F,M$3)</f>
        <v>81816.709999999977</v>
      </c>
      <c r="N46" s="207">
        <f>SUMIFS(考核调整事项表!$C:$C,考核调整事项表!$B:$B,累计利润调整表!$A46,考核调整事项表!$D:$D,N$3)+SUMIFS(考核调整事项表!$E:$E,考核调整事项表!$B:$B,累计利润调整表!$A46,考核调整事项表!$F:$F,N$3)</f>
        <v>3851.6999999999989</v>
      </c>
      <c r="O46" s="207">
        <f>SUMIFS(考核调整事项表!$C:$C,考核调整事项表!$B:$B,累计利润调整表!$A46,考核调整事项表!$D:$D,O$3)+SUMIFS(考核调整事项表!$E:$E,考核调整事项表!$B:$B,累计利润调整表!$A46,考核调整事项表!$F:$F,O$3)</f>
        <v>168664.12999999998</v>
      </c>
      <c r="P46" s="207">
        <f>SUMIFS(考核调整事项表!$C:$C,考核调整事项表!$B:$B,累计利润调整表!$A46,考核调整事项表!$D:$D,P$3)+SUMIFS(考核调整事项表!$E:$E,考核调整事项表!$B:$B,累计利润调整表!$A46,考核调整事项表!$F:$F,P$3)</f>
        <v>3136.4700000000003</v>
      </c>
      <c r="Q46" s="207">
        <f>SUMIFS(考核调整事项表!$C:$C,考核调整事项表!$B:$B,累计利润调整表!$A46,考核调整事项表!$D:$D,Q$3)+SUMIFS(考核调整事项表!$E:$E,考核调整事项表!$B:$B,累计利润调整表!$A46,考核调整事项表!$F:$F,Q$3)</f>
        <v>103844.63000000003</v>
      </c>
      <c r="R46" s="207">
        <f>SUMIFS(考核调整事项表!$C:$C,考核调整事项表!$B:$B,累计利润调整表!$A46,考核调整事项表!$D:$D,R$3)+SUMIFS(考核调整事项表!$E:$E,考核调整事项表!$B:$B,累计利润调整表!$A46,考核调整事项表!$F:$F,R$3)</f>
        <v>-924017.1</v>
      </c>
      <c r="S46" s="207">
        <f t="shared" si="14"/>
        <v>-16430914.689999999</v>
      </c>
      <c r="T46" s="207">
        <f>SUMIFS(考核调整事项表!$C:$C,考核调整事项表!$B:$B,累计利润调整表!$A46,考核调整事项表!$D:$D,T$3)+SUMIFS(考核调整事项表!$E:$E,考核调整事项表!$B:$B,累计利润调整表!$A46,考核调整事项表!$F:$F,T$3)</f>
        <v>53531.739999999991</v>
      </c>
      <c r="U46" s="207">
        <f>SUMIFS(考核调整事项表!$C:$C,考核调整事项表!$B:$B,累计利润调整表!$A46,考核调整事项表!$D:$D,U$3)+SUMIFS(考核调整事项表!$E:$E,考核调整事项表!$B:$B,累计利润调整表!$A46,考核调整事项表!$F:$F,U$3)</f>
        <v>-13383573.199999999</v>
      </c>
      <c r="V46" s="207">
        <f>SUMIFS(考核调整事项表!$C:$C,考核调整事项表!$B:$B,累计利润调整表!$A46,考核调整事项表!$D:$D,V$3)+SUMIFS(考核调整事项表!$E:$E,考核调整事项表!$B:$B,累计利润调整表!$A46,考核调整事项表!$F:$F,V$3)</f>
        <v>-3210278.88</v>
      </c>
      <c r="W46" s="207">
        <f>SUMIFS(考核调整事项表!$C:$C,考核调整事项表!$B:$B,累计利润调整表!$A46,考核调整事项表!$D:$D,W$3)+SUMIFS(考核调整事项表!$E:$E,考核调整事项表!$B:$B,累计利润调整表!$A46,考核调整事项表!$F:$F,W$3)</f>
        <v>0</v>
      </c>
      <c r="X46" s="207">
        <f>SUMIFS(考核调整事项表!$C:$C,考核调整事项表!$B:$B,累计利润调整表!$A46,考核调整事项表!$D:$D,X$3)+SUMIFS(考核调整事项表!$E:$E,考核调整事项表!$B:$B,累计利润调整表!$A46,考核调整事项表!$F:$F,X$3)</f>
        <v>0</v>
      </c>
      <c r="Y46" s="207">
        <f>SUMIFS(考核调整事项表!$C:$C,考核调整事项表!$B:$B,累计利润调整表!$A46,考核调整事项表!$D:$D,Y$3)+SUMIFS(考核调整事项表!$E:$E,考核调整事项表!$B:$B,累计利润调整表!$A46,考核调整事项表!$F:$F,Y$3)</f>
        <v>0</v>
      </c>
      <c r="Z46" s="207">
        <f>SUMIFS(考核调整事项表!$C:$C,考核调整事项表!$B:$B,累计利润调整表!$A46,考核调整事项表!$D:$D,Z$3)+SUMIFS(考核调整事项表!$E:$E,考核调整事项表!$B:$B,累计利润调整表!$A46,考核调整事项表!$F:$F,Z$3)</f>
        <v>109405.65</v>
      </c>
      <c r="AA46" s="207">
        <f>SUMIFS(考核调整事项表!$C:$C,考核调整事项表!$B:$B,累计利润调整表!$A46,考核调整事项表!$D:$D,AA$3)+SUMIFS(考核调整事项表!$E:$E,考核调整事项表!$B:$B,累计利润调整表!$A46,考核调整事项表!$F:$F,AA$3)</f>
        <v>1483887.4400000002</v>
      </c>
      <c r="AB46" s="207">
        <f>SUMIFS(考核调整事项表!$C:$C,考核调整事项表!$B:$B,累计利润调整表!$A46,考核调整事项表!$D:$D,AB$3)+SUMIFS(考核调整事项表!$E:$E,考核调整事项表!$B:$B,累计利润调整表!$A46,考核调整事项表!$F:$F,AB$3)</f>
        <v>0</v>
      </c>
    </row>
    <row r="47" spans="1:28" s="171" customFormat="1">
      <c r="A47" s="32" t="s">
        <v>48</v>
      </c>
      <c r="B47" s="205">
        <f t="shared" si="13"/>
        <v>0</v>
      </c>
      <c r="C47" s="207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207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207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207">
        <f t="shared" si="15"/>
        <v>0</v>
      </c>
      <c r="G47" s="207">
        <f>SUMIFS(考核调整事项表!$C:$C,考核调整事项表!$B:$B,累计利润调整表!$A47,考核调整事项表!$D:$D,G$3)+SUMIFS(考核调整事项表!$E:$E,考核调整事项表!$B:$B,累计利润调整表!$A47,考核调整事项表!$F:$F,G$3)</f>
        <v>0</v>
      </c>
      <c r="H47" s="207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207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207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205">
        <f t="shared" si="25"/>
        <v>0</v>
      </c>
      <c r="L47" s="207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207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207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207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207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207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207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207">
        <f t="shared" si="14"/>
        <v>0</v>
      </c>
      <c r="T47" s="207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207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207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207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207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207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207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  <c r="AA47" s="207">
        <f>SUMIFS(考核调整事项表!$C:$C,考核调整事项表!$B:$B,累计利润调整表!$A47,考核调整事项表!$D:$D,AA$3)+SUMIFS(考核调整事项表!$E:$E,考核调整事项表!$B:$B,累计利润调整表!$A47,考核调整事项表!$F:$F,AA$3)</f>
        <v>0</v>
      </c>
      <c r="AB47" s="207">
        <f>SUMIFS(考核调整事项表!$C:$C,考核调整事项表!$B:$B,累计利润调整表!$A47,考核调整事项表!$D:$D,AB$3)+SUMIFS(考核调整事项表!$E:$E,考核调整事项表!$B:$B,累计利润调整表!$A47,考核调整事项表!$F:$F,AB$3)</f>
        <v>0</v>
      </c>
    </row>
    <row r="48" spans="1:28" s="171" customFormat="1">
      <c r="A48" s="32" t="s">
        <v>49</v>
      </c>
      <c r="B48" s="205">
        <f t="shared" si="13"/>
        <v>0</v>
      </c>
      <c r="C48" s="207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207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207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207">
        <f t="shared" si="15"/>
        <v>0</v>
      </c>
      <c r="G48" s="207">
        <f>SUMIFS(考核调整事项表!$C:$C,考核调整事项表!$B:$B,累计利润调整表!$A48,考核调整事项表!$D:$D,G$3)+SUMIFS(考核调整事项表!$E:$E,考核调整事项表!$B:$B,累计利润调整表!$A48,考核调整事项表!$F:$F,G$3)</f>
        <v>0</v>
      </c>
      <c r="H48" s="207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207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207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205">
        <f t="shared" si="25"/>
        <v>0</v>
      </c>
      <c r="L48" s="207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207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207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207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207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207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207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207">
        <f t="shared" si="14"/>
        <v>0</v>
      </c>
      <c r="T48" s="207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207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207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207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207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207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207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  <c r="AA48" s="207">
        <f>SUMIFS(考核调整事项表!$C:$C,考核调整事项表!$B:$B,累计利润调整表!$A48,考核调整事项表!$D:$D,AA$3)+SUMIFS(考核调整事项表!$E:$E,考核调整事项表!$B:$B,累计利润调整表!$A48,考核调整事项表!$F:$F,AA$3)</f>
        <v>0</v>
      </c>
      <c r="AB48" s="207">
        <f>SUMIFS(考核调整事项表!$C:$C,考核调整事项表!$B:$B,累计利润调整表!$A48,考核调整事项表!$D:$D,AB$3)+SUMIFS(考核调整事项表!$E:$E,考核调整事项表!$B:$B,累计利润调整表!$A48,考核调整事项表!$F:$F,AB$3)</f>
        <v>0</v>
      </c>
    </row>
    <row r="49" spans="1:28" s="171" customFormat="1">
      <c r="A49" s="34" t="s">
        <v>50</v>
      </c>
      <c r="B49" s="209">
        <f t="shared" si="13"/>
        <v>-165148448.28666669</v>
      </c>
      <c r="C49" s="209">
        <f t="shared" ref="C49:K49" si="26">C33-C44</f>
        <v>-18493610.100000001</v>
      </c>
      <c r="D49" s="209">
        <f t="shared" si="26"/>
        <v>-29806430.049666651</v>
      </c>
      <c r="E49" s="209">
        <f t="shared" si="26"/>
        <v>34555170.822566025</v>
      </c>
      <c r="F49" s="209">
        <f t="shared" si="26"/>
        <v>-195008500.7904906</v>
      </c>
      <c r="G49" s="209">
        <f t="shared" ref="G49" si="27">G33-G44</f>
        <v>-1826753.0404905665</v>
      </c>
      <c r="H49" s="209">
        <f t="shared" ref="H49:J49" si="28">H33-H44</f>
        <v>-184167049.27000001</v>
      </c>
      <c r="I49" s="209">
        <f t="shared" si="28"/>
        <v>-1052436.5366666669</v>
      </c>
      <c r="J49" s="209">
        <f t="shared" si="28"/>
        <v>-7962261.9433333334</v>
      </c>
      <c r="K49" s="209">
        <f t="shared" si="26"/>
        <v>27666122.80425787</v>
      </c>
      <c r="L49" s="209">
        <f t="shared" ref="L49:T49" si="29">L33-L44</f>
        <v>-5486899.6000000006</v>
      </c>
      <c r="M49" s="209">
        <f t="shared" ref="M49" si="30">M33-M44</f>
        <v>4128277.9509245278</v>
      </c>
      <c r="N49" s="209">
        <f t="shared" si="29"/>
        <v>207099.81999999989</v>
      </c>
      <c r="O49" s="209">
        <f t="shared" si="29"/>
        <v>23650722.813333336</v>
      </c>
      <c r="P49" s="209">
        <f t="shared" si="29"/>
        <v>42524.250000000007</v>
      </c>
      <c r="Q49" s="209">
        <f t="shared" si="29"/>
        <v>4140933.5799999991</v>
      </c>
      <c r="R49" s="209">
        <f t="shared" si="29"/>
        <v>924017.1</v>
      </c>
      <c r="S49" s="209">
        <f t="shared" si="14"/>
        <v>17984648.726666667</v>
      </c>
      <c r="T49" s="209">
        <f t="shared" si="29"/>
        <v>-2500394.77</v>
      </c>
      <c r="U49" s="209">
        <f t="shared" ref="U49:AA49" si="31">U33-U44</f>
        <v>17270333.789999999</v>
      </c>
      <c r="V49" s="209">
        <f t="shared" si="31"/>
        <v>3324115.3566666665</v>
      </c>
      <c r="W49" s="209">
        <f t="shared" si="31"/>
        <v>0</v>
      </c>
      <c r="X49" s="209">
        <f t="shared" si="31"/>
        <v>0</v>
      </c>
      <c r="Y49" s="209">
        <f t="shared" si="31"/>
        <v>0</v>
      </c>
      <c r="Z49" s="209">
        <f t="shared" ref="Z49" si="32">Z33-Z44</f>
        <v>-109405.65</v>
      </c>
      <c r="AA49" s="209">
        <f t="shared" si="31"/>
        <v>-2045849.7000000002</v>
      </c>
      <c r="AB49" s="209">
        <f t="shared" ref="AB49" si="33">AB33-AB44</f>
        <v>0</v>
      </c>
    </row>
    <row r="50" spans="1:28" s="171" customFormat="1">
      <c r="A50" s="32" t="s">
        <v>51</v>
      </c>
      <c r="B50" s="205">
        <f t="shared" si="13"/>
        <v>0</v>
      </c>
      <c r="C50" s="205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205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205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207">
        <f t="shared" si="15"/>
        <v>0</v>
      </c>
      <c r="G50" s="205">
        <f>SUMIFS(考核调整事项表!$C:$C,考核调整事项表!$B:$B,累计利润调整表!$A50,考核调整事项表!$D:$D,G$3)+SUMIFS(考核调整事项表!$E:$E,考核调整事项表!$B:$B,累计利润调整表!$A50,考核调整事项表!$F:$F,G$3)</f>
        <v>0</v>
      </c>
      <c r="H50" s="205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205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205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205">
        <f t="shared" ref="K50:K53" si="34">SUM(L50:R50)</f>
        <v>0</v>
      </c>
      <c r="L50" s="205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205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205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205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205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205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205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205">
        <f t="shared" si="14"/>
        <v>0</v>
      </c>
      <c r="T50" s="205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205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205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205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205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205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205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  <c r="AA50" s="205">
        <f>SUMIFS(考核调整事项表!$C:$C,考核调整事项表!$B:$B,累计利润调整表!$A50,考核调整事项表!$D:$D,AA$3)+SUMIFS(考核调整事项表!$E:$E,考核调整事项表!$B:$B,累计利润调整表!$A50,考核调整事项表!$F:$F,AA$3)</f>
        <v>0</v>
      </c>
      <c r="AB50" s="205">
        <f>SUMIFS(考核调整事项表!$C:$C,考核调整事项表!$B:$B,累计利润调整表!$A50,考核调整事项表!$D:$D,AB$3)+SUMIFS(考核调整事项表!$E:$E,考核调整事项表!$B:$B,累计利润调整表!$A50,考核调整事项表!$F:$F,AB$3)</f>
        <v>0</v>
      </c>
    </row>
    <row r="51" spans="1:28" s="171" customFormat="1">
      <c r="A51" s="32" t="s">
        <v>52</v>
      </c>
      <c r="B51" s="205">
        <f t="shared" si="13"/>
        <v>0</v>
      </c>
      <c r="C51" s="205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205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205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207">
        <f t="shared" si="15"/>
        <v>0</v>
      </c>
      <c r="G51" s="205">
        <f>SUMIFS(考核调整事项表!$C:$C,考核调整事项表!$B:$B,累计利润调整表!$A51,考核调整事项表!$D:$D,G$3)+SUMIFS(考核调整事项表!$E:$E,考核调整事项表!$B:$B,累计利润调整表!$A51,考核调整事项表!$F:$F,G$3)</f>
        <v>0</v>
      </c>
      <c r="H51" s="205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205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205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205">
        <f t="shared" si="34"/>
        <v>0</v>
      </c>
      <c r="L51" s="205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205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205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205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205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205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205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205">
        <f t="shared" si="14"/>
        <v>0</v>
      </c>
      <c r="T51" s="205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205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205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205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205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205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205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  <c r="AA51" s="205">
        <f>SUMIFS(考核调整事项表!$C:$C,考核调整事项表!$B:$B,累计利润调整表!$A51,考核调整事项表!$D:$D,AA$3)+SUMIFS(考核调整事项表!$E:$E,考核调整事项表!$B:$B,累计利润调整表!$A51,考核调整事项表!$F:$F,AA$3)</f>
        <v>0</v>
      </c>
      <c r="AB51" s="205">
        <f>SUMIFS(考核调整事项表!$C:$C,考核调整事项表!$B:$B,累计利润调整表!$A51,考核调整事项表!$D:$D,AB$3)+SUMIFS(考核调整事项表!$E:$E,考核调整事项表!$B:$B,累计利润调整表!$A51,考核调整事项表!$F:$F,AB$3)</f>
        <v>0</v>
      </c>
    </row>
    <row r="52" spans="1:28" s="171" customFormat="1">
      <c r="A52" s="34" t="s">
        <v>53</v>
      </c>
      <c r="B52" s="209">
        <f t="shared" si="13"/>
        <v>-165148448.28666669</v>
      </c>
      <c r="C52" s="209">
        <f t="shared" ref="C52:T52" si="35">C49+C50-C51</f>
        <v>-18493610.100000001</v>
      </c>
      <c r="D52" s="209">
        <f t="shared" si="35"/>
        <v>-29806430.049666651</v>
      </c>
      <c r="E52" s="209">
        <f t="shared" si="35"/>
        <v>34555170.822566025</v>
      </c>
      <c r="F52" s="209">
        <f t="shared" si="35"/>
        <v>-195008500.7904906</v>
      </c>
      <c r="G52" s="209">
        <f t="shared" ref="G52" si="36">G49+G50-G51</f>
        <v>-1826753.0404905665</v>
      </c>
      <c r="H52" s="209">
        <f t="shared" ref="H52:J52" si="37">H49+H50-H51</f>
        <v>-184167049.27000001</v>
      </c>
      <c r="I52" s="209">
        <f t="shared" si="37"/>
        <v>-1052436.5366666669</v>
      </c>
      <c r="J52" s="209">
        <f t="shared" si="37"/>
        <v>-7962261.9433333334</v>
      </c>
      <c r="K52" s="209">
        <f t="shared" si="35"/>
        <v>27666122.80425787</v>
      </c>
      <c r="L52" s="209">
        <f t="shared" si="35"/>
        <v>-5486899.6000000006</v>
      </c>
      <c r="M52" s="209">
        <f t="shared" ref="M52" si="38">M49+M50-M51</f>
        <v>4128277.9509245278</v>
      </c>
      <c r="N52" s="209">
        <f t="shared" si="35"/>
        <v>207099.81999999989</v>
      </c>
      <c r="O52" s="209">
        <f t="shared" si="35"/>
        <v>23650722.813333336</v>
      </c>
      <c r="P52" s="209">
        <f t="shared" si="35"/>
        <v>42524.250000000007</v>
      </c>
      <c r="Q52" s="209">
        <f t="shared" si="35"/>
        <v>4140933.5799999991</v>
      </c>
      <c r="R52" s="209">
        <f t="shared" si="35"/>
        <v>924017.1</v>
      </c>
      <c r="S52" s="209">
        <f t="shared" si="14"/>
        <v>17984648.726666667</v>
      </c>
      <c r="T52" s="209">
        <f t="shared" si="35"/>
        <v>-2500394.77</v>
      </c>
      <c r="U52" s="209">
        <f t="shared" ref="U52:AA52" si="39">U49+U50-U51</f>
        <v>17270333.789999999</v>
      </c>
      <c r="V52" s="209">
        <f t="shared" si="39"/>
        <v>3324115.3566666665</v>
      </c>
      <c r="W52" s="209">
        <f t="shared" si="39"/>
        <v>0</v>
      </c>
      <c r="X52" s="209">
        <f t="shared" si="39"/>
        <v>0</v>
      </c>
      <c r="Y52" s="209">
        <f t="shared" si="39"/>
        <v>0</v>
      </c>
      <c r="Z52" s="209">
        <f t="shared" ref="Z52" si="40">Z49+Z50-Z51</f>
        <v>-109405.65</v>
      </c>
      <c r="AA52" s="209">
        <f t="shared" si="39"/>
        <v>-2045849.7000000002</v>
      </c>
      <c r="AB52" s="209">
        <f t="shared" ref="AB52" si="41">AB49+AB50-AB51</f>
        <v>0</v>
      </c>
    </row>
    <row r="53" spans="1:28" s="171" customFormat="1">
      <c r="A53" s="32" t="s">
        <v>54</v>
      </c>
      <c r="B53" s="205">
        <f t="shared" si="13"/>
        <v>0</v>
      </c>
      <c r="C53" s="207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207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207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207">
        <f t="shared" si="15"/>
        <v>0</v>
      </c>
      <c r="G53" s="207">
        <f>SUMIFS(考核调整事项表!$C:$C,考核调整事项表!$B:$B,累计利润调整表!$A53,考核调整事项表!$D:$D,G$3)+SUMIFS(考核调整事项表!$E:$E,考核调整事项表!$B:$B,累计利润调整表!$A53,考核调整事项表!$F:$F,G$3)</f>
        <v>0</v>
      </c>
      <c r="H53" s="207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207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207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205">
        <f t="shared" si="34"/>
        <v>0</v>
      </c>
      <c r="L53" s="207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207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207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207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207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207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207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207">
        <f t="shared" si="14"/>
        <v>0</v>
      </c>
      <c r="T53" s="207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207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207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207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207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207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207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  <c r="AA53" s="207">
        <f>SUMIFS(考核调整事项表!$C:$C,考核调整事项表!$B:$B,累计利润调整表!$A53,考核调整事项表!$D:$D,AA$3)+SUMIFS(考核调整事项表!$E:$E,考核调整事项表!$B:$B,累计利润调整表!$A53,考核调整事项表!$F:$F,AA$3)</f>
        <v>0</v>
      </c>
      <c r="AB53" s="207">
        <f>SUMIFS(考核调整事项表!$C:$C,考核调整事项表!$B:$B,累计利润调整表!$A53,考核调整事项表!$D:$D,AB$3)+SUMIFS(考核调整事项表!$E:$E,考核调整事项表!$B:$B,累计利润调整表!$A53,考核调整事项表!$F:$F,AB$3)</f>
        <v>0</v>
      </c>
    </row>
    <row r="54" spans="1:28" s="171" customFormat="1">
      <c r="A54" s="34" t="s">
        <v>55</v>
      </c>
      <c r="B54" s="209">
        <f t="shared" si="13"/>
        <v>-165148448.28666669</v>
      </c>
      <c r="C54" s="209">
        <f t="shared" ref="C54:K54" si="42">C52-C53</f>
        <v>-18493610.100000001</v>
      </c>
      <c r="D54" s="209">
        <f t="shared" si="42"/>
        <v>-29806430.049666651</v>
      </c>
      <c r="E54" s="209">
        <f t="shared" si="42"/>
        <v>34555170.822566025</v>
      </c>
      <c r="F54" s="209">
        <f t="shared" si="42"/>
        <v>-195008500.7904906</v>
      </c>
      <c r="G54" s="209">
        <f t="shared" ref="G54" si="43">G52-G53</f>
        <v>-1826753.0404905665</v>
      </c>
      <c r="H54" s="209">
        <f t="shared" ref="H54:J54" si="44">H52-H53</f>
        <v>-184167049.27000001</v>
      </c>
      <c r="I54" s="209">
        <f t="shared" si="44"/>
        <v>-1052436.5366666669</v>
      </c>
      <c r="J54" s="209">
        <f t="shared" si="44"/>
        <v>-7962261.9433333334</v>
      </c>
      <c r="K54" s="209">
        <f t="shared" si="42"/>
        <v>27666122.80425787</v>
      </c>
      <c r="L54" s="209">
        <f t="shared" ref="L54:T54" si="45">L52-L53</f>
        <v>-5486899.6000000006</v>
      </c>
      <c r="M54" s="209">
        <f t="shared" ref="M54" si="46">M52-M53</f>
        <v>4128277.9509245278</v>
      </c>
      <c r="N54" s="209">
        <f t="shared" si="45"/>
        <v>207099.81999999989</v>
      </c>
      <c r="O54" s="209">
        <f t="shared" si="45"/>
        <v>23650722.813333336</v>
      </c>
      <c r="P54" s="209">
        <f t="shared" si="45"/>
        <v>42524.250000000007</v>
      </c>
      <c r="Q54" s="209">
        <f t="shared" si="45"/>
        <v>4140933.5799999991</v>
      </c>
      <c r="R54" s="209">
        <f t="shared" si="45"/>
        <v>924017.1</v>
      </c>
      <c r="S54" s="209">
        <f t="shared" si="14"/>
        <v>17984648.726666667</v>
      </c>
      <c r="T54" s="209">
        <f t="shared" si="45"/>
        <v>-2500394.77</v>
      </c>
      <c r="U54" s="209">
        <f t="shared" ref="U54:AA54" si="47">U52-U53</f>
        <v>17270333.789999999</v>
      </c>
      <c r="V54" s="209">
        <f t="shared" si="47"/>
        <v>3324115.3566666665</v>
      </c>
      <c r="W54" s="209">
        <f t="shared" si="47"/>
        <v>0</v>
      </c>
      <c r="X54" s="209">
        <f t="shared" si="47"/>
        <v>0</v>
      </c>
      <c r="Y54" s="209">
        <f t="shared" si="47"/>
        <v>0</v>
      </c>
      <c r="Z54" s="209">
        <f t="shared" ref="Z54" si="48">Z52-Z53</f>
        <v>-109405.65</v>
      </c>
      <c r="AA54" s="209">
        <f t="shared" si="47"/>
        <v>-2045849.7000000002</v>
      </c>
      <c r="AB54" s="209">
        <f t="shared" ref="AB54" si="49">AB52-AB53</f>
        <v>0</v>
      </c>
    </row>
    <row r="55" spans="1:28" s="171" customFormat="1">
      <c r="A55" s="37" t="s">
        <v>56</v>
      </c>
      <c r="B55" s="205">
        <f t="shared" si="13"/>
        <v>123905921.39</v>
      </c>
      <c r="C55" s="207">
        <f t="shared" ref="C55:T55" si="50">-C26</f>
        <v>0</v>
      </c>
      <c r="D55" s="207">
        <f t="shared" si="50"/>
        <v>1.6763806343078613E-8</v>
      </c>
      <c r="E55" s="207">
        <f t="shared" si="50"/>
        <v>-1304148.3</v>
      </c>
      <c r="F55" s="207">
        <f t="shared" ref="F55:F61" si="51">SUM(G55:J55)</f>
        <v>136274443.01999998</v>
      </c>
      <c r="G55" s="207">
        <f>-G26</f>
        <v>-42369307.460000001</v>
      </c>
      <c r="H55" s="207">
        <f t="shared" ref="H55:J55" si="52">-H26</f>
        <v>180220824.5</v>
      </c>
      <c r="I55" s="207">
        <f t="shared" si="52"/>
        <v>-2236426.27</v>
      </c>
      <c r="J55" s="207">
        <f t="shared" si="52"/>
        <v>659352.25</v>
      </c>
      <c r="K55" s="207">
        <f t="shared" si="50"/>
        <v>-11064373.33</v>
      </c>
      <c r="L55" s="207">
        <f t="shared" si="50"/>
        <v>-173094.51</v>
      </c>
      <c r="M55" s="207">
        <f t="shared" si="50"/>
        <v>0</v>
      </c>
      <c r="N55" s="207">
        <f t="shared" si="50"/>
        <v>0</v>
      </c>
      <c r="O55" s="207">
        <f t="shared" si="50"/>
        <v>-10891278.82</v>
      </c>
      <c r="P55" s="207">
        <f t="shared" si="50"/>
        <v>0</v>
      </c>
      <c r="Q55" s="207">
        <f t="shared" si="50"/>
        <v>0</v>
      </c>
      <c r="R55" s="207">
        <f t="shared" si="50"/>
        <v>0</v>
      </c>
      <c r="S55" s="207">
        <f t="shared" si="14"/>
        <v>0</v>
      </c>
      <c r="T55" s="207">
        <f t="shared" si="50"/>
        <v>0</v>
      </c>
      <c r="U55" s="207">
        <f t="shared" ref="U55:AA55" si="53">-U26</f>
        <v>0</v>
      </c>
      <c r="V55" s="207">
        <f t="shared" si="53"/>
        <v>0</v>
      </c>
      <c r="W55" s="207">
        <f t="shared" si="53"/>
        <v>0</v>
      </c>
      <c r="X55" s="207">
        <f t="shared" si="53"/>
        <v>0</v>
      </c>
      <c r="Y55" s="207">
        <f t="shared" si="53"/>
        <v>0</v>
      </c>
      <c r="Z55" s="207">
        <f t="shared" ref="Z55" si="54">-Z26</f>
        <v>0</v>
      </c>
      <c r="AA55" s="207">
        <f t="shared" si="53"/>
        <v>0</v>
      </c>
      <c r="AB55" s="207">
        <f t="shared" ref="AB55" si="55">-AB26</f>
        <v>0</v>
      </c>
    </row>
    <row r="56" spans="1:28" s="171" customFormat="1" ht="14.25" thickBot="1">
      <c r="A56" s="38" t="s">
        <v>57</v>
      </c>
      <c r="B56" s="210">
        <f t="shared" si="13"/>
        <v>-41242526.896666698</v>
      </c>
      <c r="C56" s="210">
        <f t="shared" ref="C56:K56" si="56">C54+C55</f>
        <v>-18493610.100000001</v>
      </c>
      <c r="D56" s="210">
        <f t="shared" si="56"/>
        <v>-29806430.049666636</v>
      </c>
      <c r="E56" s="210">
        <f t="shared" si="56"/>
        <v>33251022.522566024</v>
      </c>
      <c r="F56" s="210">
        <f t="shared" si="56"/>
        <v>-58734057.770490617</v>
      </c>
      <c r="G56" s="210">
        <f t="shared" ref="G56" si="57">G54+G55</f>
        <v>-44196060.500490569</v>
      </c>
      <c r="H56" s="210">
        <f t="shared" ref="H56:J56" si="58">H54+H55</f>
        <v>-3946224.7700000107</v>
      </c>
      <c r="I56" s="210">
        <f t="shared" si="58"/>
        <v>-3288862.8066666666</v>
      </c>
      <c r="J56" s="210">
        <f t="shared" si="58"/>
        <v>-7302909.6933333334</v>
      </c>
      <c r="K56" s="210">
        <f t="shared" si="56"/>
        <v>16601749.47425787</v>
      </c>
      <c r="L56" s="210">
        <f t="shared" ref="L56:T56" si="59">L54+L55</f>
        <v>-5659994.1100000003</v>
      </c>
      <c r="M56" s="210">
        <f t="shared" ref="M56" si="60">M54+M55</f>
        <v>4128277.9509245278</v>
      </c>
      <c r="N56" s="210">
        <f t="shared" si="59"/>
        <v>207099.81999999989</v>
      </c>
      <c r="O56" s="210">
        <f t="shared" si="59"/>
        <v>12759443.993333336</v>
      </c>
      <c r="P56" s="210">
        <f t="shared" si="59"/>
        <v>42524.250000000007</v>
      </c>
      <c r="Q56" s="210">
        <f t="shared" si="59"/>
        <v>4140933.5799999991</v>
      </c>
      <c r="R56" s="210">
        <f t="shared" si="59"/>
        <v>924017.1</v>
      </c>
      <c r="S56" s="210">
        <f t="shared" si="14"/>
        <v>17984648.726666667</v>
      </c>
      <c r="T56" s="210">
        <f t="shared" si="59"/>
        <v>-2500394.77</v>
      </c>
      <c r="U56" s="210">
        <f t="shared" ref="U56:AA56" si="61">U54+U55</f>
        <v>17270333.789999999</v>
      </c>
      <c r="V56" s="210">
        <f t="shared" si="61"/>
        <v>3324115.3566666665</v>
      </c>
      <c r="W56" s="210">
        <f t="shared" si="61"/>
        <v>0</v>
      </c>
      <c r="X56" s="210">
        <f t="shared" si="61"/>
        <v>0</v>
      </c>
      <c r="Y56" s="210">
        <f t="shared" si="61"/>
        <v>0</v>
      </c>
      <c r="Z56" s="210">
        <f t="shared" ref="Z56" si="62">Z54+Z55</f>
        <v>-109405.65</v>
      </c>
      <c r="AA56" s="210">
        <f t="shared" si="61"/>
        <v>-2045849.7000000002</v>
      </c>
      <c r="AB56" s="210">
        <f t="shared" ref="AB56" si="63">AB54+AB55</f>
        <v>0</v>
      </c>
    </row>
    <row r="57" spans="1:28" s="169" customFormat="1">
      <c r="A57" s="169" t="s">
        <v>58</v>
      </c>
      <c r="B57" s="199">
        <f>B58-B41</f>
        <v>-9.9999904632568359E-3</v>
      </c>
      <c r="C57" s="169">
        <f>B55+B26</f>
        <v>0</v>
      </c>
    </row>
    <row r="58" spans="1:28" s="169" customFormat="1">
      <c r="A58" s="42" t="s">
        <v>56</v>
      </c>
      <c r="B58" s="42">
        <f>B26/0.75</f>
        <v>-165207895.18666667</v>
      </c>
      <c r="C58" s="42">
        <f>C26/0.75</f>
        <v>0</v>
      </c>
      <c r="D58" s="42">
        <f>D26/0.75</f>
        <v>-2.2351741790771484E-8</v>
      </c>
      <c r="E58" s="211">
        <f>E26/0.75</f>
        <v>1738864.4000000001</v>
      </c>
      <c r="F58" s="42">
        <f t="shared" ref="F58:AA58" si="64">F26/0.75</f>
        <v>-181699257.35999998</v>
      </c>
      <c r="G58" s="42">
        <f t="shared" si="64"/>
        <v>56492409.946666665</v>
      </c>
      <c r="H58" s="42">
        <f t="shared" ref="H58:J58" si="65">H26/0.75</f>
        <v>-240294432.66666666</v>
      </c>
      <c r="I58" s="42">
        <f t="shared" si="65"/>
        <v>2981901.6933333334</v>
      </c>
      <c r="J58" s="42">
        <f t="shared" si="65"/>
        <v>-879136.33333333337</v>
      </c>
      <c r="K58" s="42">
        <f t="shared" si="64"/>
        <v>14752497.773333333</v>
      </c>
      <c r="L58" s="42">
        <f t="shared" si="64"/>
        <v>230792.68000000002</v>
      </c>
      <c r="M58" s="42">
        <f t="shared" si="64"/>
        <v>0</v>
      </c>
      <c r="N58" s="42">
        <f t="shared" si="64"/>
        <v>0</v>
      </c>
      <c r="O58" s="42">
        <f t="shared" si="64"/>
        <v>14521705.093333334</v>
      </c>
      <c r="P58" s="42">
        <f t="shared" si="64"/>
        <v>0</v>
      </c>
      <c r="Q58" s="42">
        <f t="shared" si="64"/>
        <v>0</v>
      </c>
      <c r="R58" s="42">
        <f t="shared" si="64"/>
        <v>0</v>
      </c>
      <c r="S58" s="42">
        <f t="shared" ref="S58" si="66">S26/0.75</f>
        <v>0</v>
      </c>
      <c r="T58" s="42">
        <f t="shared" si="64"/>
        <v>0</v>
      </c>
      <c r="U58" s="42">
        <f t="shared" si="64"/>
        <v>0</v>
      </c>
      <c r="V58" s="42">
        <f t="shared" si="64"/>
        <v>0</v>
      </c>
      <c r="W58" s="42"/>
      <c r="X58" s="42"/>
      <c r="Y58" s="42"/>
      <c r="Z58" s="42"/>
      <c r="AA58" s="42">
        <f t="shared" si="64"/>
        <v>0</v>
      </c>
      <c r="AB58" s="42">
        <f t="shared" ref="AB58" si="67">AB26/0.75</f>
        <v>0</v>
      </c>
    </row>
    <row r="59" spans="1:28" s="169" customFormat="1">
      <c r="A59" s="42" t="s">
        <v>60</v>
      </c>
      <c r="B59" s="42">
        <f>SUM(C59:F59)+K59+S59</f>
        <v>434583819.50013334</v>
      </c>
      <c r="C59" s="42">
        <f t="shared" ref="C59:G59" si="68">C60*$F$2*$G$2/12</f>
        <v>0</v>
      </c>
      <c r="D59" s="42">
        <f t="shared" ref="D59" si="69">D61*$F$2*$G$2/12</f>
        <v>0</v>
      </c>
      <c r="E59" s="42">
        <f>E60*$F$2*$G$2/12</f>
        <v>234924482</v>
      </c>
      <c r="F59" s="42">
        <f t="shared" si="51"/>
        <v>44089001.227699995</v>
      </c>
      <c r="G59" s="42">
        <f t="shared" si="68"/>
        <v>208561.49903333336</v>
      </c>
      <c r="H59" s="42">
        <f t="shared" ref="H59:J59" si="70">H60*$F$2*$G$2/12</f>
        <v>31282945.728666663</v>
      </c>
      <c r="I59" s="42">
        <f t="shared" si="70"/>
        <v>3175635.6666666665</v>
      </c>
      <c r="J59" s="42">
        <f t="shared" si="70"/>
        <v>9421858.333333334</v>
      </c>
      <c r="K59" s="42">
        <f t="shared" ref="K59:K61" si="71">SUM(L59:R59)</f>
        <v>155525007.61243334</v>
      </c>
      <c r="L59" s="42">
        <f>L60*$F$2*$G$2/12</f>
        <v>34661915.204366662</v>
      </c>
      <c r="M59" s="42">
        <f>M60*$F$2*$G$2/12</f>
        <v>34807512.408066668</v>
      </c>
      <c r="N59" s="42">
        <f t="shared" ref="N59" si="72">N60*$F$2*$G$2/12</f>
        <v>82385.333333333328</v>
      </c>
      <c r="O59" s="42">
        <f t="shared" ref="O59:P59" si="73">O60*$F$2*$G$2/12</f>
        <v>71511483.333333328</v>
      </c>
      <c r="P59" s="42">
        <f t="shared" si="73"/>
        <v>13126221.333333334</v>
      </c>
      <c r="Q59" s="42">
        <f t="shared" ref="Q59" si="74">Q60*$F$2*$G$2/12</f>
        <v>1335490</v>
      </c>
      <c r="R59" s="42">
        <f t="shared" ref="R59:T59" si="75">R60*$F$2*$G$2/12</f>
        <v>0</v>
      </c>
      <c r="S59" s="42">
        <f>SUM(T59:AA59)</f>
        <v>45328.66</v>
      </c>
      <c r="T59" s="42">
        <f t="shared" si="75"/>
        <v>0</v>
      </c>
      <c r="U59" s="42">
        <v>45328.66</v>
      </c>
      <c r="V59" s="42">
        <f t="shared" ref="V59" si="76">V60*$F$2*$G$2/12</f>
        <v>0</v>
      </c>
      <c r="W59" s="42"/>
      <c r="X59" s="42"/>
      <c r="Y59" s="42"/>
      <c r="Z59" s="42"/>
      <c r="AA59" s="42">
        <f t="shared" ref="AA59:AB59" si="77">AA60*$F$2*$G$2/12</f>
        <v>0</v>
      </c>
      <c r="AB59" s="42">
        <f t="shared" si="77"/>
        <v>0</v>
      </c>
    </row>
    <row r="60" spans="1:28" s="169" customFormat="1">
      <c r="A60" s="42" t="s">
        <v>61</v>
      </c>
      <c r="B60" s="42">
        <f t="shared" ref="B60:B61" si="78">SUM(C60:F60)+K60+S60</f>
        <v>10028899215.08</v>
      </c>
      <c r="C60" s="42">
        <f>C61*10000</f>
        <v>0</v>
      </c>
      <c r="D60" s="42">
        <f t="shared" ref="D60:G60" si="79">D61*10000</f>
        <v>0</v>
      </c>
      <c r="E60" s="42">
        <f t="shared" si="79"/>
        <v>5421334200</v>
      </c>
      <c r="F60" s="42">
        <f t="shared" si="51"/>
        <v>1017438489.87</v>
      </c>
      <c r="G60" s="42">
        <f t="shared" si="79"/>
        <v>4812957.67</v>
      </c>
      <c r="H60" s="42">
        <f t="shared" ref="H60" si="80">H61*10000</f>
        <v>721914132.20000005</v>
      </c>
      <c r="I60" s="42">
        <f t="shared" ref="I60:J60" si="81">I61*10000</f>
        <v>73283900</v>
      </c>
      <c r="J60" s="42">
        <f t="shared" si="81"/>
        <v>217427500</v>
      </c>
      <c r="K60" s="42">
        <f t="shared" si="71"/>
        <v>3589038637.21</v>
      </c>
      <c r="L60" s="42">
        <f>L61*10000</f>
        <v>799890350.87</v>
      </c>
      <c r="M60" s="42">
        <f>M61*10000</f>
        <v>803250286.34000003</v>
      </c>
      <c r="N60" s="42">
        <f t="shared" ref="N60" si="82">N61*10000</f>
        <v>1901200</v>
      </c>
      <c r="O60" s="42">
        <f t="shared" ref="O60" si="83">O61*10000</f>
        <v>1650265000</v>
      </c>
      <c r="P60" s="42">
        <f t="shared" ref="P60" si="84">P61*10000</f>
        <v>302912800</v>
      </c>
      <c r="Q60" s="42">
        <f t="shared" ref="Q60" si="85">Q61*10000</f>
        <v>30819000</v>
      </c>
      <c r="R60" s="42">
        <f t="shared" ref="R60:T60" si="86">R61*10000</f>
        <v>0</v>
      </c>
      <c r="S60" s="42">
        <f>SUM(T60:AA60)</f>
        <v>1087888</v>
      </c>
      <c r="T60" s="42">
        <f t="shared" si="86"/>
        <v>0</v>
      </c>
      <c r="U60" s="42">
        <f>U61*10000</f>
        <v>1087888</v>
      </c>
      <c r="V60" s="42">
        <f t="shared" ref="V60" si="87">V61*10000</f>
        <v>0</v>
      </c>
      <c r="W60" s="42"/>
      <c r="X60" s="42"/>
      <c r="Y60" s="42"/>
      <c r="Z60" s="42"/>
      <c r="AA60" s="42">
        <f t="shared" ref="AA60:AB60" si="88">AA61*10000</f>
        <v>0</v>
      </c>
      <c r="AB60" s="42">
        <f t="shared" si="88"/>
        <v>0</v>
      </c>
    </row>
    <row r="61" spans="1:28" s="170" customFormat="1" ht="12">
      <c r="A61" s="42" t="s">
        <v>62</v>
      </c>
      <c r="B61" s="42">
        <f t="shared" si="78"/>
        <v>1002889.921508</v>
      </c>
      <c r="C61" s="42"/>
      <c r="D61" s="42"/>
      <c r="E61" s="42">
        <v>542133.42000000004</v>
      </c>
      <c r="F61" s="42">
        <f t="shared" si="51"/>
        <v>101743.848987</v>
      </c>
      <c r="G61" s="42">
        <v>481.29576700000001</v>
      </c>
      <c r="H61" s="42">
        <v>72191.413220000002</v>
      </c>
      <c r="I61" s="42">
        <v>7328.39</v>
      </c>
      <c r="J61" s="42">
        <v>21742.75</v>
      </c>
      <c r="K61" s="42">
        <f t="shared" si="71"/>
        <v>358903.86372100003</v>
      </c>
      <c r="L61" s="42">
        <f>799890350.87/10000</f>
        <v>79989.035086999997</v>
      </c>
      <c r="M61" s="42">
        <f>803250286.34/10000</f>
        <v>80325.028634000002</v>
      </c>
      <c r="N61" s="42">
        <v>190.12</v>
      </c>
      <c r="O61" s="42">
        <v>165026.5</v>
      </c>
      <c r="P61" s="42">
        <v>30291.279999999999</v>
      </c>
      <c r="Q61" s="42">
        <v>3081.9</v>
      </c>
      <c r="R61" s="42"/>
      <c r="S61" s="42">
        <f>SUM(T61:AA61)</f>
        <v>108.78879999999999</v>
      </c>
      <c r="T61" s="42"/>
      <c r="U61" s="42">
        <v>108.78879999999999</v>
      </c>
      <c r="V61" s="42"/>
      <c r="W61" s="42"/>
      <c r="X61" s="42"/>
      <c r="Y61" s="42"/>
      <c r="Z61" s="42"/>
      <c r="AA61" s="42"/>
      <c r="AB61" s="42"/>
    </row>
    <row r="62" spans="1:28" s="169" customFormat="1"/>
    <row r="63" spans="1:28" s="169" customFormat="1" ht="14.25" thickBot="1">
      <c r="A63" s="201" t="s">
        <v>63</v>
      </c>
      <c r="B63" s="212" t="s">
        <v>64</v>
      </c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</row>
    <row r="64" spans="1:28" s="169" customFormat="1" ht="14.25" customHeight="1">
      <c r="A64" s="19" t="s">
        <v>2</v>
      </c>
      <c r="B64" s="19" t="str">
        <f t="shared" ref="B64:V64" si="89">B3</f>
        <v>合计</v>
      </c>
      <c r="C64" s="19" t="str">
        <f t="shared" si="89"/>
        <v>其他</v>
      </c>
      <c r="D64" s="19" t="str">
        <f t="shared" si="89"/>
        <v>总部中后台</v>
      </c>
      <c r="E64" s="19" t="str">
        <f t="shared" si="89"/>
        <v>经纪业务部</v>
      </c>
      <c r="F64" s="19" t="str">
        <f t="shared" si="89"/>
        <v>资管业务</v>
      </c>
      <c r="G64" s="24" t="str">
        <f t="shared" si="89"/>
        <v>资产管理部</v>
      </c>
      <c r="H64" s="24" t="str">
        <f t="shared" si="89"/>
        <v>权益产品投资部</v>
      </c>
      <c r="I64" s="24" t="str">
        <f t="shared" si="89"/>
        <v>固收产品投资部</v>
      </c>
      <c r="J64" s="24" t="str">
        <f t="shared" si="89"/>
        <v>量化产品投资部</v>
      </c>
      <c r="K64" s="19" t="str">
        <f t="shared" si="89"/>
        <v>深分公司合计</v>
      </c>
      <c r="L64" s="24" t="str">
        <f t="shared" si="89"/>
        <v>固定收益投资部</v>
      </c>
      <c r="M64" s="24" t="str">
        <f t="shared" si="89"/>
        <v>固定收益市场部</v>
      </c>
      <c r="N64" s="24" t="str">
        <f t="shared" si="89"/>
        <v>投顾业务部</v>
      </c>
      <c r="O64" s="24" t="str">
        <f t="shared" si="89"/>
        <v>证券投资部</v>
      </c>
      <c r="P64" s="24" t="str">
        <f t="shared" si="89"/>
        <v>做市业务部</v>
      </c>
      <c r="Q64" s="24" t="str">
        <f t="shared" si="89"/>
        <v>金融衍生品部</v>
      </c>
      <c r="R64" s="24" t="str">
        <f t="shared" si="89"/>
        <v>深圳管理总部</v>
      </c>
      <c r="S64" s="19" t="str">
        <f t="shared" si="89"/>
        <v>投资银行合计</v>
      </c>
      <c r="T64" s="24" t="str">
        <f t="shared" si="89"/>
        <v>投资银行三部</v>
      </c>
      <c r="U64" s="24" t="str">
        <f t="shared" si="89"/>
        <v>投资银行一部</v>
      </c>
      <c r="V64" s="24" t="str">
        <f t="shared" si="89"/>
        <v>投资银行二部</v>
      </c>
      <c r="W64" s="24" t="s">
        <v>24</v>
      </c>
      <c r="X64" s="24" t="s">
        <v>25</v>
      </c>
      <c r="Y64" s="24" t="s">
        <v>26</v>
      </c>
      <c r="Z64" s="24" t="s">
        <v>504</v>
      </c>
      <c r="AA64" s="19" t="s">
        <v>27</v>
      </c>
      <c r="AB64" s="19" t="s">
        <v>499</v>
      </c>
    </row>
    <row r="65" spans="1:28" s="172" customFormat="1">
      <c r="A65" s="203" t="s">
        <v>34</v>
      </c>
      <c r="B65" s="203">
        <f t="shared" ref="B65:AA65" si="90">B4+B33</f>
        <v>823934342.56333327</v>
      </c>
      <c r="C65" s="203">
        <f t="shared" si="90"/>
        <v>-15769324.310000001</v>
      </c>
      <c r="D65" s="203">
        <f t="shared" si="90"/>
        <v>-233676609.47966656</v>
      </c>
      <c r="E65" s="203">
        <f t="shared" si="90"/>
        <v>823905402.42256618</v>
      </c>
      <c r="F65" s="203">
        <f>F4+F33</f>
        <v>-223106970.60049057</v>
      </c>
      <c r="G65" s="203">
        <f t="shared" si="90"/>
        <v>8403172.2395094335</v>
      </c>
      <c r="H65" s="203">
        <f t="shared" si="90"/>
        <v>-236898932.35000002</v>
      </c>
      <c r="I65" s="203">
        <f t="shared" si="90"/>
        <v>9795659.9633333329</v>
      </c>
      <c r="J65" s="203">
        <f t="shared" si="90"/>
        <v>-4406870.4533333331</v>
      </c>
      <c r="K65" s="203">
        <f t="shared" si="90"/>
        <v>204631195.74425787</v>
      </c>
      <c r="L65" s="203">
        <f t="shared" si="90"/>
        <v>57965780.799999997</v>
      </c>
      <c r="M65" s="203">
        <f t="shared" si="90"/>
        <v>33384816.140924528</v>
      </c>
      <c r="N65" s="203">
        <f t="shared" si="90"/>
        <v>4762929.51</v>
      </c>
      <c r="O65" s="203">
        <f t="shared" si="90"/>
        <v>107419980.34333333</v>
      </c>
      <c r="P65" s="203">
        <f t="shared" si="90"/>
        <v>-1948815.3900000001</v>
      </c>
      <c r="Q65" s="203">
        <f t="shared" si="90"/>
        <v>2980204.1199999992</v>
      </c>
      <c r="R65" s="203">
        <f t="shared" si="90"/>
        <v>6853.33</v>
      </c>
      <c r="S65" s="203">
        <f t="shared" si="90"/>
        <v>267950648.78666669</v>
      </c>
      <c r="T65" s="203">
        <f t="shared" si="90"/>
        <v>12834853.57</v>
      </c>
      <c r="U65" s="203">
        <f t="shared" si="90"/>
        <v>226384562.46000001</v>
      </c>
      <c r="V65" s="203">
        <f t="shared" si="90"/>
        <v>27651987.466666665</v>
      </c>
      <c r="W65" s="203">
        <f t="shared" ref="W65:Y65" si="91">W4+W33</f>
        <v>1079245.29</v>
      </c>
      <c r="X65" s="203">
        <f t="shared" si="91"/>
        <v>0</v>
      </c>
      <c r="Y65" s="203">
        <f t="shared" si="91"/>
        <v>0</v>
      </c>
      <c r="Z65" s="203">
        <f t="shared" ref="Z65" si="92">Z4+Z33</f>
        <v>0</v>
      </c>
      <c r="AA65" s="203">
        <f t="shared" si="90"/>
        <v>0</v>
      </c>
      <c r="AB65" s="203">
        <f t="shared" ref="AB65" si="93">AB4+AB33</f>
        <v>0</v>
      </c>
    </row>
    <row r="66" spans="1:28" s="171" customFormat="1">
      <c r="A66" s="31" t="s">
        <v>35</v>
      </c>
      <c r="B66" s="32">
        <f t="shared" ref="B66:AA66" si="94">B5+B34</f>
        <v>691797429.58000004</v>
      </c>
      <c r="C66" s="32">
        <f t="shared" si="94"/>
        <v>230259.44000000041</v>
      </c>
      <c r="D66" s="32">
        <f t="shared" si="94"/>
        <v>-2131577.7199999201</v>
      </c>
      <c r="E66" s="32">
        <f t="shared" si="94"/>
        <v>374706602.38256603</v>
      </c>
      <c r="F66" s="32">
        <f t="shared" si="94"/>
        <v>48822877.269509435</v>
      </c>
      <c r="G66" s="32">
        <f t="shared" si="94"/>
        <v>8163023.719509433</v>
      </c>
      <c r="H66" s="32">
        <f t="shared" si="94"/>
        <v>31792862.859999999</v>
      </c>
      <c r="I66" s="32">
        <f t="shared" si="94"/>
        <v>6825713.0700000003</v>
      </c>
      <c r="J66" s="32">
        <f t="shared" si="94"/>
        <v>2041277.62</v>
      </c>
      <c r="K66" s="32">
        <f t="shared" si="94"/>
        <v>5289678.7679245276</v>
      </c>
      <c r="L66" s="217">
        <f t="shared" si="94"/>
        <v>-83035.520000000004</v>
      </c>
      <c r="M66" s="217">
        <f t="shared" si="94"/>
        <v>905848.08792452817</v>
      </c>
      <c r="N66" s="32">
        <f t="shared" si="94"/>
        <v>4247640.6199999992</v>
      </c>
      <c r="O66" s="32">
        <f t="shared" si="94"/>
        <v>176670.50999999998</v>
      </c>
      <c r="P66" s="32">
        <f t="shared" si="94"/>
        <v>0</v>
      </c>
      <c r="Q66" s="32">
        <f t="shared" si="94"/>
        <v>-14269.82</v>
      </c>
      <c r="R66" s="32">
        <f t="shared" si="94"/>
        <v>-2622</v>
      </c>
      <c r="S66" s="32">
        <f t="shared" si="94"/>
        <v>264879589.43999997</v>
      </c>
      <c r="T66" s="32">
        <f t="shared" si="94"/>
        <v>12881052.040000001</v>
      </c>
      <c r="U66" s="32">
        <f t="shared" si="94"/>
        <v>223427971.31</v>
      </c>
      <c r="V66" s="32">
        <f t="shared" si="94"/>
        <v>27491320.800000001</v>
      </c>
      <c r="W66" s="32">
        <f t="shared" ref="W66:Y66" si="95">W5+W34</f>
        <v>1079245.29</v>
      </c>
      <c r="X66" s="32">
        <f t="shared" si="95"/>
        <v>0</v>
      </c>
      <c r="Y66" s="32">
        <f t="shared" si="95"/>
        <v>0</v>
      </c>
      <c r="Z66" s="32">
        <f t="shared" ref="Z66" si="96">Z5+Z34</f>
        <v>0</v>
      </c>
      <c r="AA66" s="32">
        <f t="shared" si="94"/>
        <v>0</v>
      </c>
      <c r="AB66" s="32">
        <f t="shared" ref="AB66" si="97">AB5+AB34</f>
        <v>0</v>
      </c>
    </row>
    <row r="67" spans="1:28" s="171" customFormat="1">
      <c r="A67" s="206" t="s">
        <v>36</v>
      </c>
      <c r="B67" s="206">
        <f t="shared" ref="B67:AA67" si="98">B6+B35</f>
        <v>367110958.99000001</v>
      </c>
      <c r="C67" s="206">
        <f t="shared" si="98"/>
        <v>-50</v>
      </c>
      <c r="D67" s="206">
        <f t="shared" si="98"/>
        <v>-1701899.2500000144</v>
      </c>
      <c r="E67" s="206">
        <f t="shared" si="98"/>
        <v>366506093.23207551</v>
      </c>
      <c r="F67" s="206">
        <f t="shared" si="98"/>
        <v>944002.95000000007</v>
      </c>
      <c r="G67" s="206">
        <f t="shared" si="98"/>
        <v>413134.2</v>
      </c>
      <c r="H67" s="206">
        <f t="shared" si="98"/>
        <v>0</v>
      </c>
      <c r="I67" s="206">
        <f t="shared" si="98"/>
        <v>0</v>
      </c>
      <c r="J67" s="206">
        <f t="shared" si="98"/>
        <v>530868.75</v>
      </c>
      <c r="K67" s="206">
        <f t="shared" si="98"/>
        <v>1362812.0579245281</v>
      </c>
      <c r="L67" s="218">
        <f t="shared" si="98"/>
        <v>0</v>
      </c>
      <c r="M67" s="218">
        <f t="shared" si="98"/>
        <v>1200411.3679245282</v>
      </c>
      <c r="N67" s="206">
        <f t="shared" si="98"/>
        <v>0</v>
      </c>
      <c r="O67" s="206">
        <f t="shared" si="98"/>
        <v>176670.50999999998</v>
      </c>
      <c r="P67" s="206">
        <f t="shared" si="98"/>
        <v>0</v>
      </c>
      <c r="Q67" s="206">
        <f t="shared" si="98"/>
        <v>-14269.82</v>
      </c>
      <c r="R67" s="206">
        <f t="shared" si="98"/>
        <v>0</v>
      </c>
      <c r="S67" s="206">
        <f t="shared" si="98"/>
        <v>0</v>
      </c>
      <c r="T67" s="206">
        <f t="shared" si="98"/>
        <v>0</v>
      </c>
      <c r="U67" s="206">
        <f t="shared" si="98"/>
        <v>0</v>
      </c>
      <c r="V67" s="206">
        <f t="shared" si="98"/>
        <v>0</v>
      </c>
      <c r="W67" s="206">
        <f t="shared" ref="W67:Y67" si="99">W6+W35</f>
        <v>0</v>
      </c>
      <c r="X67" s="206">
        <f t="shared" si="99"/>
        <v>0</v>
      </c>
      <c r="Y67" s="206">
        <f t="shared" si="99"/>
        <v>0</v>
      </c>
      <c r="Z67" s="206">
        <f t="shared" ref="Z67" si="100">Z6+Z35</f>
        <v>0</v>
      </c>
      <c r="AA67" s="206">
        <f t="shared" si="98"/>
        <v>0</v>
      </c>
      <c r="AB67" s="206">
        <f t="shared" ref="AB67" si="101">AB6+AB35</f>
        <v>0</v>
      </c>
    </row>
    <row r="68" spans="1:28" s="171" customFormat="1">
      <c r="A68" s="206" t="s">
        <v>37</v>
      </c>
      <c r="B68" s="206">
        <f t="shared" ref="B68:AA68" si="102">B7+B36</f>
        <v>267054385.03</v>
      </c>
      <c r="C68" s="206">
        <f t="shared" si="102"/>
        <v>-1345676.1099999996</v>
      </c>
      <c r="D68" s="206">
        <f t="shared" si="102"/>
        <v>1.909211277961731E-8</v>
      </c>
      <c r="E68" s="206">
        <f t="shared" si="102"/>
        <v>3811462.2699999996</v>
      </c>
      <c r="F68" s="206">
        <f t="shared" si="102"/>
        <v>0</v>
      </c>
      <c r="G68" s="206">
        <f t="shared" si="102"/>
        <v>0</v>
      </c>
      <c r="H68" s="206">
        <f t="shared" si="102"/>
        <v>0</v>
      </c>
      <c r="I68" s="206">
        <f t="shared" si="102"/>
        <v>0</v>
      </c>
      <c r="J68" s="206">
        <f t="shared" si="102"/>
        <v>0</v>
      </c>
      <c r="K68" s="206">
        <f t="shared" si="102"/>
        <v>67500</v>
      </c>
      <c r="L68" s="218">
        <f t="shared" si="102"/>
        <v>0</v>
      </c>
      <c r="M68" s="218">
        <f t="shared" si="102"/>
        <v>67500</v>
      </c>
      <c r="N68" s="206">
        <f t="shared" si="102"/>
        <v>0</v>
      </c>
      <c r="O68" s="206">
        <f t="shared" si="102"/>
        <v>0</v>
      </c>
      <c r="P68" s="206">
        <f t="shared" si="102"/>
        <v>0</v>
      </c>
      <c r="Q68" s="206">
        <f t="shared" si="102"/>
        <v>0</v>
      </c>
      <c r="R68" s="206">
        <f t="shared" si="102"/>
        <v>0</v>
      </c>
      <c r="S68" s="206">
        <f t="shared" si="102"/>
        <v>264521098.86999997</v>
      </c>
      <c r="T68" s="206">
        <f t="shared" si="102"/>
        <v>12881052.040000001</v>
      </c>
      <c r="U68" s="206">
        <f t="shared" si="102"/>
        <v>223069480.73999998</v>
      </c>
      <c r="V68" s="206">
        <f t="shared" si="102"/>
        <v>27491320.800000001</v>
      </c>
      <c r="W68" s="206">
        <f t="shared" ref="W68:Y68" si="103">W7+W36</f>
        <v>1079245.29</v>
      </c>
      <c r="X68" s="206">
        <f t="shared" si="103"/>
        <v>0</v>
      </c>
      <c r="Y68" s="206">
        <f t="shared" si="103"/>
        <v>0</v>
      </c>
      <c r="Z68" s="206">
        <f t="shared" ref="Z68" si="104">Z7+Z36</f>
        <v>0</v>
      </c>
      <c r="AA68" s="206">
        <f t="shared" si="102"/>
        <v>0</v>
      </c>
      <c r="AB68" s="206">
        <f t="shared" ref="AB68" si="105">AB7+AB36</f>
        <v>0</v>
      </c>
    </row>
    <row r="69" spans="1:28" s="171" customFormat="1">
      <c r="A69" s="206" t="s">
        <v>38</v>
      </c>
      <c r="B69" s="206">
        <f t="shared" ref="B69:AA69" si="106">B8+B37</f>
        <v>54521071.909999996</v>
      </c>
      <c r="C69" s="206">
        <f t="shared" si="106"/>
        <v>1575985.55</v>
      </c>
      <c r="D69" s="206">
        <f t="shared" si="106"/>
        <v>0</v>
      </c>
      <c r="E69" s="206">
        <f t="shared" si="106"/>
        <v>2520998.9504905664</v>
      </c>
      <c r="F69" s="206">
        <f t="shared" si="106"/>
        <v>47886199.589509428</v>
      </c>
      <c r="G69" s="206">
        <f t="shared" si="106"/>
        <v>7757214.7895094333</v>
      </c>
      <c r="H69" s="206">
        <f t="shared" si="106"/>
        <v>31792862.859999999</v>
      </c>
      <c r="I69" s="206">
        <f t="shared" si="106"/>
        <v>6825713.0700000003</v>
      </c>
      <c r="J69" s="206">
        <f t="shared" si="106"/>
        <v>1510408.87</v>
      </c>
      <c r="K69" s="206">
        <f t="shared" si="106"/>
        <v>2179397.25</v>
      </c>
      <c r="L69" s="218">
        <f t="shared" si="106"/>
        <v>0</v>
      </c>
      <c r="M69" s="218">
        <f t="shared" si="106"/>
        <v>0</v>
      </c>
      <c r="N69" s="206">
        <f t="shared" si="106"/>
        <v>2179397.25</v>
      </c>
      <c r="O69" s="206">
        <f t="shared" si="106"/>
        <v>0</v>
      </c>
      <c r="P69" s="206">
        <f t="shared" si="106"/>
        <v>0</v>
      </c>
      <c r="Q69" s="206">
        <f t="shared" si="106"/>
        <v>0</v>
      </c>
      <c r="R69" s="206">
        <f t="shared" si="106"/>
        <v>0</v>
      </c>
      <c r="S69" s="206">
        <f t="shared" si="106"/>
        <v>358490.57</v>
      </c>
      <c r="T69" s="206">
        <f t="shared" si="106"/>
        <v>0</v>
      </c>
      <c r="U69" s="206">
        <f t="shared" si="106"/>
        <v>358490.57</v>
      </c>
      <c r="V69" s="206">
        <f t="shared" si="106"/>
        <v>0</v>
      </c>
      <c r="W69" s="206">
        <f t="shared" ref="W69:Y69" si="107">W8+W37</f>
        <v>0</v>
      </c>
      <c r="X69" s="206">
        <f t="shared" si="107"/>
        <v>0</v>
      </c>
      <c r="Y69" s="206">
        <f t="shared" si="107"/>
        <v>0</v>
      </c>
      <c r="Z69" s="206">
        <f t="shared" ref="Z69" si="108">Z8+Z37</f>
        <v>0</v>
      </c>
      <c r="AA69" s="206">
        <f t="shared" si="106"/>
        <v>0</v>
      </c>
      <c r="AB69" s="206">
        <f t="shared" ref="AB69" si="109">AB8+AB37</f>
        <v>0</v>
      </c>
    </row>
    <row r="70" spans="1:28" s="172" customFormat="1">
      <c r="A70" s="31" t="s">
        <v>39</v>
      </c>
      <c r="B70" s="31">
        <f t="shared" ref="B70:AA70" si="110">B9+B38</f>
        <v>227512719.02000001</v>
      </c>
      <c r="C70" s="31">
        <f t="shared" si="110"/>
        <v>2777980.53</v>
      </c>
      <c r="D70" s="31">
        <f t="shared" si="110"/>
        <v>-237823727.55666664</v>
      </c>
      <c r="E70" s="31">
        <f t="shared" si="110"/>
        <v>435388210.75</v>
      </c>
      <c r="F70" s="31">
        <f t="shared" si="110"/>
        <v>2668914.7000000002</v>
      </c>
      <c r="G70" s="31">
        <f t="shared" si="110"/>
        <v>263845.09000000003</v>
      </c>
      <c r="H70" s="31">
        <f t="shared" si="110"/>
        <v>74748.649999999994</v>
      </c>
      <c r="I70" s="31">
        <f t="shared" si="110"/>
        <v>0</v>
      </c>
      <c r="J70" s="31">
        <f t="shared" si="110"/>
        <v>2330320.96</v>
      </c>
      <c r="K70" s="31">
        <f t="shared" si="110"/>
        <v>21384082.780000001</v>
      </c>
      <c r="L70" s="219">
        <f t="shared" si="110"/>
        <v>-87487.57</v>
      </c>
      <c r="M70" s="219">
        <f t="shared" si="110"/>
        <v>1054113.83</v>
      </c>
      <c r="N70" s="31">
        <f t="shared" si="110"/>
        <v>0</v>
      </c>
      <c r="O70" s="31">
        <f t="shared" si="110"/>
        <v>20113263.27</v>
      </c>
      <c r="P70" s="31">
        <f t="shared" si="110"/>
        <v>0</v>
      </c>
      <c r="Q70" s="31">
        <f t="shared" si="110"/>
        <v>294717.92000000004</v>
      </c>
      <c r="R70" s="31">
        <f t="shared" si="110"/>
        <v>9475.33</v>
      </c>
      <c r="S70" s="31">
        <f t="shared" si="110"/>
        <v>3117257.8166666664</v>
      </c>
      <c r="T70" s="31">
        <f t="shared" si="110"/>
        <v>0</v>
      </c>
      <c r="U70" s="31">
        <f t="shared" si="110"/>
        <v>2956591.15</v>
      </c>
      <c r="V70" s="31">
        <f t="shared" si="110"/>
        <v>160666.66666666669</v>
      </c>
      <c r="W70" s="31">
        <f t="shared" ref="W70:Y70" si="111">W9+W38</f>
        <v>0</v>
      </c>
      <c r="X70" s="31">
        <f t="shared" si="111"/>
        <v>0</v>
      </c>
      <c r="Y70" s="31">
        <f t="shared" si="111"/>
        <v>0</v>
      </c>
      <c r="Z70" s="31">
        <f t="shared" ref="Z70" si="112">Z9+Z38</f>
        <v>0</v>
      </c>
      <c r="AA70" s="31">
        <f t="shared" si="110"/>
        <v>0</v>
      </c>
      <c r="AB70" s="31">
        <f t="shared" ref="AB70" si="113">AB9+AB38</f>
        <v>0</v>
      </c>
    </row>
    <row r="71" spans="1:28" s="172" customFormat="1">
      <c r="A71" s="31" t="s">
        <v>40</v>
      </c>
      <c r="B71" s="31">
        <f t="shared" ref="B71:AA71" si="114">B10+B39</f>
        <v>-758942.65999999968</v>
      </c>
      <c r="C71" s="31">
        <f t="shared" si="114"/>
        <v>-25488122.219999999</v>
      </c>
      <c r="D71" s="31">
        <f t="shared" si="114"/>
        <v>6202530.1570000052</v>
      </c>
      <c r="E71" s="31">
        <f t="shared" si="114"/>
        <v>170142.06</v>
      </c>
      <c r="F71" s="31">
        <f t="shared" si="114"/>
        <v>-89698637.400000006</v>
      </c>
      <c r="G71" s="31">
        <f t="shared" si="114"/>
        <v>157225.87000000011</v>
      </c>
      <c r="H71" s="31">
        <f t="shared" si="114"/>
        <v>-84624194.590000004</v>
      </c>
      <c r="I71" s="31">
        <f t="shared" si="114"/>
        <v>21477.11</v>
      </c>
      <c r="J71" s="31">
        <f t="shared" si="114"/>
        <v>-5253145.79</v>
      </c>
      <c r="K71" s="31">
        <f t="shared" si="114"/>
        <v>108129831.56299999</v>
      </c>
      <c r="L71" s="219">
        <f t="shared" si="114"/>
        <v>60141971.140000001</v>
      </c>
      <c r="M71" s="219">
        <f t="shared" si="114"/>
        <v>56488448.192999996</v>
      </c>
      <c r="N71" s="31">
        <f t="shared" si="114"/>
        <v>1762767.88</v>
      </c>
      <c r="O71" s="31">
        <f t="shared" si="114"/>
        <v>-29337606.159999996</v>
      </c>
      <c r="P71" s="31">
        <f t="shared" si="114"/>
        <v>11958948.93</v>
      </c>
      <c r="Q71" s="31">
        <f t="shared" si="114"/>
        <v>7115301.5800000001</v>
      </c>
      <c r="R71" s="31">
        <f t="shared" si="114"/>
        <v>0</v>
      </c>
      <c r="S71" s="31">
        <f t="shared" si="114"/>
        <v>-74686.820000000007</v>
      </c>
      <c r="T71" s="31">
        <f t="shared" si="114"/>
        <v>-74686.820000000007</v>
      </c>
      <c r="U71" s="31">
        <f t="shared" si="114"/>
        <v>0</v>
      </c>
      <c r="V71" s="31">
        <f t="shared" si="114"/>
        <v>0</v>
      </c>
      <c r="W71" s="31">
        <f t="shared" ref="W71:Y71" si="115">W10+W39</f>
        <v>0</v>
      </c>
      <c r="X71" s="31">
        <f t="shared" si="115"/>
        <v>0</v>
      </c>
      <c r="Y71" s="31">
        <f t="shared" si="115"/>
        <v>0</v>
      </c>
      <c r="Z71" s="31">
        <f t="shared" ref="Z71" si="116">Z10+Z39</f>
        <v>0</v>
      </c>
      <c r="AA71" s="31">
        <f t="shared" si="114"/>
        <v>0</v>
      </c>
      <c r="AB71" s="31">
        <f t="shared" ref="AB71" si="117">AB10+AB39</f>
        <v>0</v>
      </c>
    </row>
    <row r="72" spans="1:28" s="172" customFormat="1" ht="16.5" customHeight="1">
      <c r="A72" s="31" t="s">
        <v>41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19"/>
      <c r="M72" s="219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s="172" customFormat="1">
      <c r="A73" s="31" t="s">
        <v>42</v>
      </c>
      <c r="B73" s="31">
        <f t="shared" ref="B73:AA73" si="118">B12+B41</f>
        <v>-103292508.81666668</v>
      </c>
      <c r="C73" s="31">
        <f t="shared" si="118"/>
        <v>10012660.969999999</v>
      </c>
      <c r="D73" s="31">
        <f t="shared" si="118"/>
        <v>0</v>
      </c>
      <c r="E73" s="31">
        <f t="shared" si="118"/>
        <v>1738864.4000000001</v>
      </c>
      <c r="F73" s="31">
        <f t="shared" si="118"/>
        <v>-184900125.17000002</v>
      </c>
      <c r="G73" s="31">
        <f t="shared" si="118"/>
        <v>-180922.44</v>
      </c>
      <c r="H73" s="31">
        <f t="shared" si="118"/>
        <v>-184142349.27000001</v>
      </c>
      <c r="I73" s="31">
        <f t="shared" si="118"/>
        <v>2948469.7833333332</v>
      </c>
      <c r="J73" s="31">
        <f t="shared" si="118"/>
        <v>-3525323.2433333336</v>
      </c>
      <c r="K73" s="31">
        <f t="shared" si="118"/>
        <v>69827602.63333334</v>
      </c>
      <c r="L73" s="219">
        <f t="shared" si="118"/>
        <v>-2005667.25</v>
      </c>
      <c r="M73" s="219">
        <f t="shared" si="118"/>
        <v>-25063593.969999999</v>
      </c>
      <c r="N73" s="31">
        <f t="shared" si="118"/>
        <v>-1247478.99</v>
      </c>
      <c r="O73" s="31">
        <f t="shared" si="118"/>
        <v>116467652.72333333</v>
      </c>
      <c r="P73" s="31">
        <f t="shared" si="118"/>
        <v>-13907764.32</v>
      </c>
      <c r="Q73" s="31">
        <f t="shared" si="118"/>
        <v>-4415545.5599999996</v>
      </c>
      <c r="R73" s="31">
        <f t="shared" si="118"/>
        <v>0</v>
      </c>
      <c r="S73" s="31">
        <f t="shared" si="118"/>
        <v>28488.35</v>
      </c>
      <c r="T73" s="31">
        <f t="shared" si="118"/>
        <v>28488.35</v>
      </c>
      <c r="U73" s="31">
        <f t="shared" si="118"/>
        <v>0</v>
      </c>
      <c r="V73" s="31">
        <f t="shared" si="118"/>
        <v>0</v>
      </c>
      <c r="W73" s="31">
        <f t="shared" ref="W73:Y73" si="119">W12+W41</f>
        <v>0</v>
      </c>
      <c r="X73" s="31">
        <f t="shared" si="119"/>
        <v>0</v>
      </c>
      <c r="Y73" s="31">
        <f t="shared" si="119"/>
        <v>0</v>
      </c>
      <c r="Z73" s="31">
        <f t="shared" ref="Z73" si="120">Z12+Z41</f>
        <v>0</v>
      </c>
      <c r="AA73" s="31">
        <f t="shared" si="118"/>
        <v>0</v>
      </c>
      <c r="AB73" s="31">
        <f t="shared" ref="AB73" si="121">AB12+AB41</f>
        <v>0</v>
      </c>
    </row>
    <row r="74" spans="1:28" s="172" customFormat="1">
      <c r="A74" s="31" t="s">
        <v>43</v>
      </c>
      <c r="B74" s="31">
        <f t="shared" ref="B74:AA74" si="122">B13+B42</f>
        <v>-653418.38</v>
      </c>
      <c r="C74" s="31">
        <f t="shared" si="122"/>
        <v>0</v>
      </c>
      <c r="D74" s="31">
        <f t="shared" si="122"/>
        <v>76165.640000000014</v>
      </c>
      <c r="E74" s="31">
        <f t="shared" si="122"/>
        <v>-729584.02</v>
      </c>
      <c r="F74" s="31">
        <f t="shared" si="122"/>
        <v>0</v>
      </c>
      <c r="G74" s="31">
        <f t="shared" si="122"/>
        <v>0</v>
      </c>
      <c r="H74" s="31">
        <f t="shared" si="122"/>
        <v>0</v>
      </c>
      <c r="I74" s="31">
        <f t="shared" si="122"/>
        <v>0</v>
      </c>
      <c r="J74" s="31">
        <f t="shared" si="122"/>
        <v>0</v>
      </c>
      <c r="K74" s="31">
        <f t="shared" si="122"/>
        <v>0</v>
      </c>
      <c r="L74" s="31">
        <f t="shared" si="122"/>
        <v>0</v>
      </c>
      <c r="M74" s="31">
        <f t="shared" si="122"/>
        <v>0</v>
      </c>
      <c r="N74" s="31">
        <f t="shared" si="122"/>
        <v>0</v>
      </c>
      <c r="O74" s="31">
        <f t="shared" si="122"/>
        <v>0</v>
      </c>
      <c r="P74" s="31">
        <f t="shared" si="122"/>
        <v>0</v>
      </c>
      <c r="Q74" s="31">
        <f t="shared" si="122"/>
        <v>0</v>
      </c>
      <c r="R74" s="31">
        <f t="shared" si="122"/>
        <v>0</v>
      </c>
      <c r="S74" s="31">
        <f t="shared" si="122"/>
        <v>0</v>
      </c>
      <c r="T74" s="31">
        <f t="shared" si="122"/>
        <v>0</v>
      </c>
      <c r="U74" s="31">
        <f t="shared" si="122"/>
        <v>0</v>
      </c>
      <c r="V74" s="31">
        <f t="shared" si="122"/>
        <v>0</v>
      </c>
      <c r="W74" s="31">
        <f t="shared" ref="W74:Y74" si="123">W13+W42</f>
        <v>0</v>
      </c>
      <c r="X74" s="31">
        <f t="shared" si="123"/>
        <v>0</v>
      </c>
      <c r="Y74" s="31">
        <f t="shared" si="123"/>
        <v>0</v>
      </c>
      <c r="Z74" s="31">
        <f t="shared" ref="Z74" si="124">Z13+Z42</f>
        <v>0</v>
      </c>
      <c r="AA74" s="31">
        <f t="shared" si="122"/>
        <v>0</v>
      </c>
      <c r="AB74" s="31">
        <f t="shared" ref="AB74" si="125">AB13+AB42</f>
        <v>0</v>
      </c>
    </row>
    <row r="75" spans="1:28" s="172" customFormat="1">
      <c r="A75" s="31" t="s">
        <v>44</v>
      </c>
      <c r="B75" s="31">
        <f t="shared" ref="B75:AA75" si="126">B14+B43</f>
        <v>9329063.8200000003</v>
      </c>
      <c r="C75" s="31">
        <f t="shared" si="126"/>
        <v>-3302103.0300000003</v>
      </c>
      <c r="D75" s="31">
        <f t="shared" si="126"/>
        <v>0</v>
      </c>
      <c r="E75" s="31">
        <f t="shared" si="126"/>
        <v>12631166.850000001</v>
      </c>
      <c r="F75" s="31">
        <f t="shared" si="126"/>
        <v>0</v>
      </c>
      <c r="G75" s="31">
        <f t="shared" si="126"/>
        <v>0</v>
      </c>
      <c r="H75" s="31">
        <f t="shared" si="126"/>
        <v>0</v>
      </c>
      <c r="I75" s="31">
        <f t="shared" si="126"/>
        <v>0</v>
      </c>
      <c r="J75" s="31">
        <f t="shared" si="126"/>
        <v>0</v>
      </c>
      <c r="K75" s="31">
        <f t="shared" si="126"/>
        <v>0</v>
      </c>
      <c r="L75" s="31">
        <f t="shared" si="126"/>
        <v>0</v>
      </c>
      <c r="M75" s="31">
        <f t="shared" si="126"/>
        <v>0</v>
      </c>
      <c r="N75" s="31">
        <f t="shared" si="126"/>
        <v>0</v>
      </c>
      <c r="O75" s="31">
        <f t="shared" si="126"/>
        <v>0</v>
      </c>
      <c r="P75" s="31">
        <f t="shared" si="126"/>
        <v>0</v>
      </c>
      <c r="Q75" s="31">
        <f t="shared" si="126"/>
        <v>0</v>
      </c>
      <c r="R75" s="31">
        <f t="shared" si="126"/>
        <v>0</v>
      </c>
      <c r="S75" s="31">
        <f t="shared" si="126"/>
        <v>0</v>
      </c>
      <c r="T75" s="31">
        <f t="shared" si="126"/>
        <v>0</v>
      </c>
      <c r="U75" s="31">
        <f t="shared" si="126"/>
        <v>0</v>
      </c>
      <c r="V75" s="31">
        <f t="shared" si="126"/>
        <v>0</v>
      </c>
      <c r="W75" s="31">
        <f t="shared" ref="W75:Y75" si="127">W14+W43</f>
        <v>0</v>
      </c>
      <c r="X75" s="31">
        <f t="shared" si="127"/>
        <v>0</v>
      </c>
      <c r="Y75" s="31">
        <f t="shared" si="127"/>
        <v>0</v>
      </c>
      <c r="Z75" s="31">
        <f t="shared" ref="Z75" si="128">Z14+Z43</f>
        <v>0</v>
      </c>
      <c r="AA75" s="31">
        <f t="shared" si="126"/>
        <v>0</v>
      </c>
      <c r="AB75" s="31">
        <f t="shared" ref="AB75" si="129">AB14+AB43</f>
        <v>0</v>
      </c>
    </row>
    <row r="76" spans="1:28" s="171" customFormat="1">
      <c r="A76" s="34" t="s">
        <v>45</v>
      </c>
      <c r="B76" s="35">
        <f t="shared" ref="B76:AA76" si="130">B15+B44</f>
        <v>594575306.05999994</v>
      </c>
      <c r="C76" s="35">
        <f t="shared" si="130"/>
        <v>-7783.640000000225</v>
      </c>
      <c r="D76" s="35">
        <f t="shared" si="130"/>
        <v>139563824.02999994</v>
      </c>
      <c r="E76" s="35">
        <f t="shared" si="130"/>
        <v>291149218.67999995</v>
      </c>
      <c r="F76" s="35">
        <f t="shared" si="130"/>
        <v>15855003.189999999</v>
      </c>
      <c r="G76" s="35">
        <f t="shared" si="130"/>
        <v>4022321.46</v>
      </c>
      <c r="H76" s="35">
        <f t="shared" si="130"/>
        <v>2683007.54</v>
      </c>
      <c r="I76" s="35">
        <f t="shared" si="130"/>
        <v>3641467.83</v>
      </c>
      <c r="J76" s="35">
        <f t="shared" si="130"/>
        <v>5508206.3599999994</v>
      </c>
      <c r="K76" s="35">
        <f t="shared" si="130"/>
        <v>28515077.91</v>
      </c>
      <c r="L76" s="35">
        <f t="shared" si="130"/>
        <v>4231232.5600000005</v>
      </c>
      <c r="M76" s="35">
        <f t="shared" si="130"/>
        <v>3833336.83</v>
      </c>
      <c r="N76" s="35">
        <f t="shared" si="130"/>
        <v>1472081.82</v>
      </c>
      <c r="O76" s="35">
        <f t="shared" si="130"/>
        <v>6320259.8200000003</v>
      </c>
      <c r="P76" s="35">
        <f t="shared" si="130"/>
        <v>2873635.22</v>
      </c>
      <c r="Q76" s="35">
        <f t="shared" si="130"/>
        <v>3401647.8499999996</v>
      </c>
      <c r="R76" s="35">
        <f t="shared" si="130"/>
        <v>6382883.8100000005</v>
      </c>
      <c r="S76" s="35">
        <f t="shared" si="130"/>
        <v>107321871.81999999</v>
      </c>
      <c r="T76" s="35">
        <f t="shared" si="130"/>
        <v>10910729.729999999</v>
      </c>
      <c r="U76" s="35">
        <f t="shared" si="130"/>
        <v>74352365.060000002</v>
      </c>
      <c r="V76" s="35">
        <f t="shared" si="130"/>
        <v>19965164.710000001</v>
      </c>
      <c r="W76" s="35">
        <f t="shared" ref="W76:Y76" si="131">W15+W44</f>
        <v>441940.49</v>
      </c>
      <c r="X76" s="35">
        <f t="shared" si="131"/>
        <v>1281452.6100000001</v>
      </c>
      <c r="Y76" s="35">
        <f t="shared" si="131"/>
        <v>260813.57</v>
      </c>
      <c r="Z76" s="35">
        <f t="shared" ref="Z76" si="132">Z15+Z44</f>
        <v>109405.65</v>
      </c>
      <c r="AA76" s="35">
        <f t="shared" si="130"/>
        <v>6284480.7599999998</v>
      </c>
      <c r="AB76" s="35">
        <f t="shared" ref="AB76" si="133">AB15+AB44</f>
        <v>5893613.3099999996</v>
      </c>
    </row>
    <row r="77" spans="1:28" s="171" customFormat="1">
      <c r="A77" s="32" t="s">
        <v>46</v>
      </c>
      <c r="B77" s="32">
        <f t="shared" ref="B77:AA77" si="134">B16+B45</f>
        <v>8503379.9600000009</v>
      </c>
      <c r="C77" s="32">
        <f t="shared" si="134"/>
        <v>-181856.25</v>
      </c>
      <c r="D77" s="32">
        <f t="shared" si="134"/>
        <v>-1010927.279999999</v>
      </c>
      <c r="E77" s="32">
        <f t="shared" si="134"/>
        <v>5461012.4099999992</v>
      </c>
      <c r="F77" s="32">
        <f t="shared" si="134"/>
        <v>311989.44999999995</v>
      </c>
      <c r="G77" s="32">
        <f t="shared" si="134"/>
        <v>69347.570000000007</v>
      </c>
      <c r="H77" s="32">
        <f t="shared" si="134"/>
        <v>228381.87</v>
      </c>
      <c r="I77" s="32">
        <f t="shared" si="134"/>
        <v>49074.94</v>
      </c>
      <c r="J77" s="32">
        <f t="shared" si="134"/>
        <v>-34814.93</v>
      </c>
      <c r="K77" s="32">
        <f t="shared" si="134"/>
        <v>2035214.25</v>
      </c>
      <c r="L77" s="32">
        <f t="shared" si="134"/>
        <v>1584967.63</v>
      </c>
      <c r="M77" s="32">
        <f t="shared" si="134"/>
        <v>568362.68999999994</v>
      </c>
      <c r="N77" s="32">
        <f t="shared" si="134"/>
        <v>40047.86</v>
      </c>
      <c r="O77" s="32">
        <f t="shared" si="134"/>
        <v>-274380.62</v>
      </c>
      <c r="P77" s="32">
        <f t="shared" si="134"/>
        <v>65943.959999999992</v>
      </c>
      <c r="Q77" s="32">
        <f t="shared" si="134"/>
        <v>50272.73</v>
      </c>
      <c r="R77" s="32">
        <f t="shared" si="134"/>
        <v>0</v>
      </c>
      <c r="S77" s="32">
        <f t="shared" si="134"/>
        <v>1896034.0400000003</v>
      </c>
      <c r="T77" s="32">
        <f t="shared" si="134"/>
        <v>91831.290000000008</v>
      </c>
      <c r="U77" s="32">
        <f t="shared" si="134"/>
        <v>1600668.79</v>
      </c>
      <c r="V77" s="32">
        <f t="shared" si="134"/>
        <v>195989.13</v>
      </c>
      <c r="W77" s="32">
        <f t="shared" ref="W77:Y77" si="135">W16+W45</f>
        <v>7714.37</v>
      </c>
      <c r="X77" s="32">
        <f t="shared" si="135"/>
        <v>-96.4</v>
      </c>
      <c r="Y77" s="32">
        <f t="shared" si="135"/>
        <v>-73.14</v>
      </c>
      <c r="Z77" s="32">
        <f t="shared" ref="Z77" si="136">Z16+Z45</f>
        <v>0</v>
      </c>
      <c r="AA77" s="32">
        <f t="shared" si="134"/>
        <v>-7341.75</v>
      </c>
      <c r="AB77" s="32">
        <f t="shared" ref="AB77" si="137">AB16+AB45</f>
        <v>-744.91</v>
      </c>
    </row>
    <row r="78" spans="1:28" s="171" customFormat="1">
      <c r="A78" s="32" t="s">
        <v>47</v>
      </c>
      <c r="B78" s="32">
        <f t="shared" ref="B78:AA78" si="138">B17+B46</f>
        <v>582663696.08000004</v>
      </c>
      <c r="C78" s="32">
        <f>C17+C46</f>
        <v>174072.60999999978</v>
      </c>
      <c r="D78" s="32">
        <f t="shared" si="138"/>
        <v>140574751.31</v>
      </c>
      <c r="E78" s="32">
        <f t="shared" si="138"/>
        <v>282279976.25</v>
      </c>
      <c r="F78" s="32">
        <f t="shared" si="138"/>
        <v>15543013.739999998</v>
      </c>
      <c r="G78" s="32">
        <f t="shared" si="138"/>
        <v>3952973.8899999997</v>
      </c>
      <c r="H78" s="32">
        <f t="shared" si="138"/>
        <v>2454625.67</v>
      </c>
      <c r="I78" s="32">
        <f t="shared" si="138"/>
        <v>3592392.8899999997</v>
      </c>
      <c r="J78" s="32">
        <f t="shared" si="138"/>
        <v>5543021.29</v>
      </c>
      <c r="K78" s="32">
        <f t="shared" si="138"/>
        <v>26479863.66</v>
      </c>
      <c r="L78" s="32">
        <f t="shared" si="138"/>
        <v>2646264.9300000002</v>
      </c>
      <c r="M78" s="32">
        <f t="shared" si="138"/>
        <v>3264974.14</v>
      </c>
      <c r="N78" s="32">
        <f t="shared" si="138"/>
        <v>1432033.96</v>
      </c>
      <c r="O78" s="32">
        <f t="shared" si="138"/>
        <v>6594640.4399999995</v>
      </c>
      <c r="P78" s="32">
        <f t="shared" si="138"/>
        <v>2807691.2600000002</v>
      </c>
      <c r="Q78" s="32">
        <f t="shared" si="138"/>
        <v>3351375.12</v>
      </c>
      <c r="R78" s="32">
        <f t="shared" si="138"/>
        <v>6382883.8100000005</v>
      </c>
      <c r="S78" s="32">
        <f t="shared" si="138"/>
        <v>105425837.78</v>
      </c>
      <c r="T78" s="32">
        <f t="shared" si="138"/>
        <v>10818898.439999999</v>
      </c>
      <c r="U78" s="32">
        <f t="shared" si="138"/>
        <v>72751696.269999996</v>
      </c>
      <c r="V78" s="32">
        <f t="shared" si="138"/>
        <v>19769175.580000002</v>
      </c>
      <c r="W78" s="32">
        <f t="shared" ref="W78:Y78" si="139">W17+W46</f>
        <v>434226.12</v>
      </c>
      <c r="X78" s="32">
        <f t="shared" si="139"/>
        <v>1281549.01</v>
      </c>
      <c r="Y78" s="32">
        <f t="shared" si="139"/>
        <v>260886.71</v>
      </c>
      <c r="Z78" s="32">
        <f t="shared" ref="Z78" si="140">Z17+Z46</f>
        <v>109405.65</v>
      </c>
      <c r="AA78" s="32">
        <f t="shared" si="138"/>
        <v>6291822.5100000007</v>
      </c>
      <c r="AB78" s="32">
        <f t="shared" ref="AB78" si="141">AB17+AB46</f>
        <v>5894358.2199999997</v>
      </c>
    </row>
    <row r="79" spans="1:28" s="171" customFormat="1">
      <c r="A79" s="32" t="s">
        <v>48</v>
      </c>
      <c r="B79" s="32">
        <f t="shared" ref="B79:AA79" si="142">B18+B47</f>
        <v>0</v>
      </c>
      <c r="C79" s="32">
        <f t="shared" si="142"/>
        <v>0</v>
      </c>
      <c r="D79" s="32">
        <f t="shared" si="142"/>
        <v>0</v>
      </c>
      <c r="E79" s="32">
        <f t="shared" si="142"/>
        <v>0</v>
      </c>
      <c r="F79" s="32">
        <f t="shared" si="142"/>
        <v>0</v>
      </c>
      <c r="G79" s="32">
        <f t="shared" si="142"/>
        <v>0</v>
      </c>
      <c r="H79" s="32">
        <f t="shared" si="142"/>
        <v>0</v>
      </c>
      <c r="I79" s="32">
        <f t="shared" si="142"/>
        <v>0</v>
      </c>
      <c r="J79" s="32">
        <f t="shared" si="142"/>
        <v>0</v>
      </c>
      <c r="K79" s="32">
        <f t="shared" si="142"/>
        <v>0</v>
      </c>
      <c r="L79" s="32">
        <f t="shared" si="142"/>
        <v>0</v>
      </c>
      <c r="M79" s="32">
        <f t="shared" si="142"/>
        <v>0</v>
      </c>
      <c r="N79" s="32">
        <f t="shared" si="142"/>
        <v>0</v>
      </c>
      <c r="O79" s="32">
        <f t="shared" si="142"/>
        <v>0</v>
      </c>
      <c r="P79" s="32">
        <f t="shared" si="142"/>
        <v>0</v>
      </c>
      <c r="Q79" s="32">
        <f t="shared" si="142"/>
        <v>0</v>
      </c>
      <c r="R79" s="32">
        <f t="shared" si="142"/>
        <v>0</v>
      </c>
      <c r="S79" s="32">
        <f t="shared" si="142"/>
        <v>0</v>
      </c>
      <c r="T79" s="32">
        <f t="shared" si="142"/>
        <v>0</v>
      </c>
      <c r="U79" s="32">
        <f t="shared" si="142"/>
        <v>0</v>
      </c>
      <c r="V79" s="32">
        <f t="shared" si="142"/>
        <v>0</v>
      </c>
      <c r="W79" s="32">
        <f t="shared" ref="W79:Y79" si="143">W18+W47</f>
        <v>0</v>
      </c>
      <c r="X79" s="32">
        <f t="shared" si="143"/>
        <v>0</v>
      </c>
      <c r="Y79" s="32">
        <f t="shared" si="143"/>
        <v>0</v>
      </c>
      <c r="Z79" s="32">
        <f t="shared" ref="Z79" si="144">Z18+Z47</f>
        <v>0</v>
      </c>
      <c r="AA79" s="32">
        <f t="shared" si="142"/>
        <v>0</v>
      </c>
      <c r="AB79" s="32">
        <f t="shared" ref="AB79" si="145">AB18+AB47</f>
        <v>0</v>
      </c>
    </row>
    <row r="80" spans="1:28" s="171" customFormat="1">
      <c r="A80" s="32" t="s">
        <v>49</v>
      </c>
      <c r="B80" s="32">
        <f t="shared" ref="B80:AA80" si="146">B19+B48</f>
        <v>3408230.02</v>
      </c>
      <c r="C80" s="32">
        <f t="shared" si="146"/>
        <v>0</v>
      </c>
      <c r="D80" s="32">
        <f t="shared" si="146"/>
        <v>0</v>
      </c>
      <c r="E80" s="32">
        <f t="shared" si="146"/>
        <v>3408230.02</v>
      </c>
      <c r="F80" s="32">
        <f t="shared" si="146"/>
        <v>0</v>
      </c>
      <c r="G80" s="32">
        <f t="shared" si="146"/>
        <v>0</v>
      </c>
      <c r="H80" s="32">
        <f t="shared" si="146"/>
        <v>0</v>
      </c>
      <c r="I80" s="32">
        <f t="shared" si="146"/>
        <v>0</v>
      </c>
      <c r="J80" s="32">
        <f t="shared" si="146"/>
        <v>0</v>
      </c>
      <c r="K80" s="32">
        <f t="shared" si="146"/>
        <v>0</v>
      </c>
      <c r="L80" s="32">
        <f t="shared" si="146"/>
        <v>0</v>
      </c>
      <c r="M80" s="32">
        <f t="shared" si="146"/>
        <v>0</v>
      </c>
      <c r="N80" s="32">
        <f t="shared" si="146"/>
        <v>0</v>
      </c>
      <c r="O80" s="32">
        <f t="shared" si="146"/>
        <v>0</v>
      </c>
      <c r="P80" s="32">
        <f t="shared" si="146"/>
        <v>0</v>
      </c>
      <c r="Q80" s="32">
        <f t="shared" si="146"/>
        <v>0</v>
      </c>
      <c r="R80" s="32">
        <f t="shared" si="146"/>
        <v>0</v>
      </c>
      <c r="S80" s="32">
        <f t="shared" si="146"/>
        <v>0</v>
      </c>
      <c r="T80" s="32">
        <f t="shared" si="146"/>
        <v>0</v>
      </c>
      <c r="U80" s="32">
        <f t="shared" si="146"/>
        <v>0</v>
      </c>
      <c r="V80" s="32">
        <f t="shared" si="146"/>
        <v>0</v>
      </c>
      <c r="W80" s="32">
        <f t="shared" ref="W80:Y80" si="147">W19+W48</f>
        <v>0</v>
      </c>
      <c r="X80" s="32">
        <f t="shared" si="147"/>
        <v>0</v>
      </c>
      <c r="Y80" s="32">
        <f t="shared" si="147"/>
        <v>0</v>
      </c>
      <c r="Z80" s="32">
        <f t="shared" ref="Z80" si="148">Z19+Z48</f>
        <v>0</v>
      </c>
      <c r="AA80" s="32">
        <f t="shared" si="146"/>
        <v>0</v>
      </c>
      <c r="AB80" s="32">
        <f t="shared" ref="AB80" si="149">AB19+AB48</f>
        <v>0</v>
      </c>
    </row>
    <row r="81" spans="1:28" s="171" customFormat="1">
      <c r="A81" s="34" t="s">
        <v>50</v>
      </c>
      <c r="B81" s="35">
        <f t="shared" ref="B81:AA81" si="150">B20+B49</f>
        <v>229359036.50333333</v>
      </c>
      <c r="C81" s="35">
        <f t="shared" si="150"/>
        <v>-15761540.670000002</v>
      </c>
      <c r="D81" s="35">
        <f t="shared" si="150"/>
        <v>-373240433.50966668</v>
      </c>
      <c r="E81" s="35">
        <f t="shared" si="150"/>
        <v>532756183.74256605</v>
      </c>
      <c r="F81" s="35">
        <f t="shared" si="150"/>
        <v>-238961973.7904906</v>
      </c>
      <c r="G81" s="35">
        <f t="shared" si="150"/>
        <v>4380850.7795094335</v>
      </c>
      <c r="H81" s="35">
        <f t="shared" si="150"/>
        <v>-239581939.89000002</v>
      </c>
      <c r="I81" s="35">
        <f t="shared" si="150"/>
        <v>6154192.1333333328</v>
      </c>
      <c r="J81" s="35">
        <f t="shared" si="150"/>
        <v>-9915076.8133333325</v>
      </c>
      <c r="K81" s="35">
        <f t="shared" si="150"/>
        <v>176116117.83425787</v>
      </c>
      <c r="L81" s="35">
        <f t="shared" si="150"/>
        <v>53734548.240000002</v>
      </c>
      <c r="M81" s="35">
        <f t="shared" si="150"/>
        <v>29551479.310924526</v>
      </c>
      <c r="N81" s="35">
        <f t="shared" si="150"/>
        <v>3290847.69</v>
      </c>
      <c r="O81" s="35">
        <f t="shared" si="150"/>
        <v>101099720.52333333</v>
      </c>
      <c r="P81" s="35">
        <f t="shared" si="150"/>
        <v>-4822450.6100000003</v>
      </c>
      <c r="Q81" s="35">
        <f t="shared" si="150"/>
        <v>-421443.73000000045</v>
      </c>
      <c r="R81" s="35">
        <f t="shared" si="150"/>
        <v>-6376030.4800000004</v>
      </c>
      <c r="S81" s="35">
        <f t="shared" si="150"/>
        <v>160628776.9666667</v>
      </c>
      <c r="T81" s="35">
        <f t="shared" si="150"/>
        <v>1924123.8400000003</v>
      </c>
      <c r="U81" s="35">
        <f t="shared" si="150"/>
        <v>152032197.40000001</v>
      </c>
      <c r="V81" s="35">
        <f t="shared" si="150"/>
        <v>7686822.7566666668</v>
      </c>
      <c r="W81" s="35">
        <f t="shared" ref="W81:Y81" si="151">W20+W49</f>
        <v>637304.80000000005</v>
      </c>
      <c r="X81" s="35">
        <f t="shared" si="151"/>
        <v>-1281452.6100000001</v>
      </c>
      <c r="Y81" s="35">
        <f t="shared" si="151"/>
        <v>-260813.57</v>
      </c>
      <c r="Z81" s="35">
        <f t="shared" ref="Z81" si="152">Z20+Z49</f>
        <v>-109405.65</v>
      </c>
      <c r="AA81" s="35">
        <f t="shared" si="150"/>
        <v>-6284480.7599999998</v>
      </c>
      <c r="AB81" s="35">
        <f t="shared" ref="AB81" si="153">AB20+AB49</f>
        <v>-5893613.3099999996</v>
      </c>
    </row>
    <row r="82" spans="1:28" s="171" customFormat="1">
      <c r="A82" s="32" t="s">
        <v>51</v>
      </c>
      <c r="B82" s="32">
        <f t="shared" ref="B82:AA82" si="154">B21+B50</f>
        <v>2127297.98</v>
      </c>
      <c r="C82" s="32">
        <f t="shared" si="154"/>
        <v>666421.88</v>
      </c>
      <c r="D82" s="32">
        <f t="shared" si="154"/>
        <v>1045785.48</v>
      </c>
      <c r="E82" s="32">
        <f t="shared" si="154"/>
        <v>404799.66000000003</v>
      </c>
      <c r="F82" s="32">
        <f t="shared" si="154"/>
        <v>10290.959999999999</v>
      </c>
      <c r="G82" s="32">
        <f t="shared" si="154"/>
        <v>10290.959999999999</v>
      </c>
      <c r="H82" s="32">
        <f t="shared" si="154"/>
        <v>0</v>
      </c>
      <c r="I82" s="32">
        <f t="shared" si="154"/>
        <v>0</v>
      </c>
      <c r="J82" s="32">
        <f t="shared" si="154"/>
        <v>0</v>
      </c>
      <c r="K82" s="32">
        <f t="shared" si="154"/>
        <v>0</v>
      </c>
      <c r="L82" s="32">
        <f t="shared" si="154"/>
        <v>0</v>
      </c>
      <c r="M82" s="32">
        <f t="shared" si="154"/>
        <v>0</v>
      </c>
      <c r="N82" s="32">
        <f t="shared" si="154"/>
        <v>0</v>
      </c>
      <c r="O82" s="32">
        <f t="shared" si="154"/>
        <v>0</v>
      </c>
      <c r="P82" s="32">
        <f t="shared" si="154"/>
        <v>0</v>
      </c>
      <c r="Q82" s="32">
        <f t="shared" si="154"/>
        <v>0</v>
      </c>
      <c r="R82" s="32">
        <f t="shared" si="154"/>
        <v>0</v>
      </c>
      <c r="S82" s="32">
        <f t="shared" si="154"/>
        <v>0</v>
      </c>
      <c r="T82" s="32">
        <f t="shared" si="154"/>
        <v>0</v>
      </c>
      <c r="U82" s="32">
        <f t="shared" si="154"/>
        <v>0</v>
      </c>
      <c r="V82" s="32">
        <f t="shared" si="154"/>
        <v>0</v>
      </c>
      <c r="W82" s="32">
        <f t="shared" ref="W82:Y82" si="155">W21+W50</f>
        <v>0</v>
      </c>
      <c r="X82" s="32">
        <f t="shared" si="155"/>
        <v>0</v>
      </c>
      <c r="Y82" s="32">
        <f t="shared" si="155"/>
        <v>0</v>
      </c>
      <c r="Z82" s="32">
        <f t="shared" ref="Z82" si="156">Z21+Z50</f>
        <v>0</v>
      </c>
      <c r="AA82" s="32">
        <f t="shared" si="154"/>
        <v>0</v>
      </c>
      <c r="AB82" s="32">
        <f t="shared" ref="AB82" si="157">AB21+AB50</f>
        <v>0</v>
      </c>
    </row>
    <row r="83" spans="1:28" s="171" customFormat="1">
      <c r="A83" s="32" t="s">
        <v>52</v>
      </c>
      <c r="B83" s="32">
        <f t="shared" ref="B83:AA83" si="158">B22+B51</f>
        <v>1829246.27</v>
      </c>
      <c r="C83" s="32">
        <f t="shared" si="158"/>
        <v>0</v>
      </c>
      <c r="D83" s="32">
        <f t="shared" si="158"/>
        <v>1298872.54</v>
      </c>
      <c r="E83" s="32">
        <f t="shared" si="158"/>
        <v>527944.05999999994</v>
      </c>
      <c r="F83" s="32">
        <f t="shared" si="158"/>
        <v>837.5</v>
      </c>
      <c r="G83" s="32">
        <f t="shared" si="158"/>
        <v>0</v>
      </c>
      <c r="H83" s="32">
        <f t="shared" si="158"/>
        <v>0</v>
      </c>
      <c r="I83" s="32">
        <f t="shared" si="158"/>
        <v>0</v>
      </c>
      <c r="J83" s="32">
        <f t="shared" si="158"/>
        <v>837.5</v>
      </c>
      <c r="K83" s="32">
        <f t="shared" si="158"/>
        <v>1592.17</v>
      </c>
      <c r="L83" s="32">
        <f t="shared" si="158"/>
        <v>0</v>
      </c>
      <c r="M83" s="32">
        <f t="shared" si="158"/>
        <v>0</v>
      </c>
      <c r="N83" s="32">
        <f t="shared" si="158"/>
        <v>0</v>
      </c>
      <c r="O83" s="32">
        <f t="shared" si="158"/>
        <v>0</v>
      </c>
      <c r="P83" s="32">
        <f t="shared" si="158"/>
        <v>0</v>
      </c>
      <c r="Q83" s="32">
        <f t="shared" si="158"/>
        <v>0</v>
      </c>
      <c r="R83" s="32">
        <f t="shared" si="158"/>
        <v>1592.17</v>
      </c>
      <c r="S83" s="32">
        <f t="shared" si="158"/>
        <v>0</v>
      </c>
      <c r="T83" s="32">
        <f t="shared" si="158"/>
        <v>0</v>
      </c>
      <c r="U83" s="32">
        <f t="shared" si="158"/>
        <v>0</v>
      </c>
      <c r="V83" s="32">
        <f t="shared" si="158"/>
        <v>0</v>
      </c>
      <c r="W83" s="32">
        <f t="shared" ref="W83:Y83" si="159">W22+W51</f>
        <v>0</v>
      </c>
      <c r="X83" s="32">
        <f t="shared" si="159"/>
        <v>0</v>
      </c>
      <c r="Y83" s="32">
        <f t="shared" si="159"/>
        <v>0</v>
      </c>
      <c r="Z83" s="32">
        <f t="shared" ref="Z83" si="160">Z22+Z51</f>
        <v>0</v>
      </c>
      <c r="AA83" s="32">
        <f t="shared" si="158"/>
        <v>0</v>
      </c>
      <c r="AB83" s="32">
        <f t="shared" ref="AB83" si="161">AB22+AB51</f>
        <v>0</v>
      </c>
    </row>
    <row r="84" spans="1:28" s="171" customFormat="1">
      <c r="A84" s="34" t="s">
        <v>53</v>
      </c>
      <c r="B84" s="35">
        <f t="shared" ref="B84:AA84" si="162">B23+B52</f>
        <v>229657088.21333331</v>
      </c>
      <c r="C84" s="35">
        <f t="shared" si="162"/>
        <v>-15095118.790000001</v>
      </c>
      <c r="D84" s="35">
        <f t="shared" si="162"/>
        <v>-373493520.56966674</v>
      </c>
      <c r="E84" s="35">
        <f t="shared" si="162"/>
        <v>532633039.34256607</v>
      </c>
      <c r="F84" s="35">
        <f t="shared" si="162"/>
        <v>-238952520.33049059</v>
      </c>
      <c r="G84" s="35">
        <f t="shared" si="162"/>
        <v>4391141.7395094335</v>
      </c>
      <c r="H84" s="35">
        <f t="shared" si="162"/>
        <v>-239581939.89000002</v>
      </c>
      <c r="I84" s="35">
        <f t="shared" si="162"/>
        <v>6154192.1333333328</v>
      </c>
      <c r="J84" s="35">
        <f t="shared" si="162"/>
        <v>-9915914.3133333325</v>
      </c>
      <c r="K84" s="35">
        <f t="shared" si="162"/>
        <v>176114525.66425788</v>
      </c>
      <c r="L84" s="35">
        <f t="shared" si="162"/>
        <v>53734548.240000002</v>
      </c>
      <c r="M84" s="35">
        <f t="shared" si="162"/>
        <v>29551479.310924526</v>
      </c>
      <c r="N84" s="35">
        <f t="shared" si="162"/>
        <v>3290847.69</v>
      </c>
      <c r="O84" s="35">
        <f t="shared" si="162"/>
        <v>101099720.52333333</v>
      </c>
      <c r="P84" s="35">
        <f t="shared" si="162"/>
        <v>-4822450.6100000003</v>
      </c>
      <c r="Q84" s="35">
        <f t="shared" si="162"/>
        <v>-421443.73000000045</v>
      </c>
      <c r="R84" s="35">
        <f t="shared" si="162"/>
        <v>-6377622.6500000004</v>
      </c>
      <c r="S84" s="35">
        <f t="shared" si="162"/>
        <v>160628776.9666667</v>
      </c>
      <c r="T84" s="35">
        <f t="shared" si="162"/>
        <v>1924123.8400000003</v>
      </c>
      <c r="U84" s="35">
        <f t="shared" si="162"/>
        <v>152032197.40000001</v>
      </c>
      <c r="V84" s="35">
        <f t="shared" si="162"/>
        <v>7686822.7566666668</v>
      </c>
      <c r="W84" s="35">
        <f t="shared" ref="W84:Y84" si="163">W23+W52</f>
        <v>637304.80000000005</v>
      </c>
      <c r="X84" s="35">
        <f t="shared" si="163"/>
        <v>-1281452.6100000001</v>
      </c>
      <c r="Y84" s="35">
        <f t="shared" si="163"/>
        <v>-260813.57</v>
      </c>
      <c r="Z84" s="35">
        <f t="shared" ref="Z84" si="164">Z23+Z52</f>
        <v>-109405.65</v>
      </c>
      <c r="AA84" s="35">
        <f t="shared" si="162"/>
        <v>-6284480.7599999998</v>
      </c>
      <c r="AB84" s="35">
        <f t="shared" ref="AB84" si="165">AB23+AB52</f>
        <v>-5893613.3099999996</v>
      </c>
    </row>
    <row r="85" spans="1:28" s="171" customFormat="1">
      <c r="A85" s="32" t="s">
        <v>54</v>
      </c>
      <c r="B85" s="32">
        <f t="shared" ref="B85:AA85" si="166">B24+B53</f>
        <v>97499333.159999996</v>
      </c>
      <c r="C85" s="32">
        <f t="shared" si="166"/>
        <v>0</v>
      </c>
      <c r="D85" s="32">
        <f t="shared" si="166"/>
        <v>97498539.25999999</v>
      </c>
      <c r="E85" s="32">
        <f t="shared" si="166"/>
        <v>793.9</v>
      </c>
      <c r="F85" s="32">
        <f t="shared" si="166"/>
        <v>0</v>
      </c>
      <c r="G85" s="32">
        <f t="shared" si="166"/>
        <v>0</v>
      </c>
      <c r="H85" s="32">
        <f t="shared" si="166"/>
        <v>0</v>
      </c>
      <c r="I85" s="32">
        <f t="shared" si="166"/>
        <v>0</v>
      </c>
      <c r="J85" s="32">
        <f t="shared" si="166"/>
        <v>0</v>
      </c>
      <c r="K85" s="32">
        <f t="shared" si="166"/>
        <v>0</v>
      </c>
      <c r="L85" s="32">
        <f t="shared" si="166"/>
        <v>0</v>
      </c>
      <c r="M85" s="32">
        <f t="shared" si="166"/>
        <v>0</v>
      </c>
      <c r="N85" s="32">
        <f t="shared" si="166"/>
        <v>0</v>
      </c>
      <c r="O85" s="32">
        <f t="shared" si="166"/>
        <v>0</v>
      </c>
      <c r="P85" s="32">
        <f t="shared" si="166"/>
        <v>0</v>
      </c>
      <c r="Q85" s="32">
        <f t="shared" si="166"/>
        <v>0</v>
      </c>
      <c r="R85" s="32">
        <f t="shared" si="166"/>
        <v>0</v>
      </c>
      <c r="S85" s="32">
        <f t="shared" si="166"/>
        <v>0</v>
      </c>
      <c r="T85" s="32">
        <f t="shared" si="166"/>
        <v>0</v>
      </c>
      <c r="U85" s="32">
        <f t="shared" si="166"/>
        <v>0</v>
      </c>
      <c r="V85" s="32">
        <f t="shared" si="166"/>
        <v>0</v>
      </c>
      <c r="W85" s="32">
        <f t="shared" ref="W85:Y85" si="167">W24+W53</f>
        <v>0</v>
      </c>
      <c r="X85" s="32">
        <f t="shared" si="167"/>
        <v>0</v>
      </c>
      <c r="Y85" s="32">
        <f t="shared" si="167"/>
        <v>0</v>
      </c>
      <c r="Z85" s="32">
        <f t="shared" ref="Z85" si="168">Z24+Z53</f>
        <v>0</v>
      </c>
      <c r="AA85" s="32">
        <f t="shared" si="166"/>
        <v>0</v>
      </c>
      <c r="AB85" s="32">
        <f t="shared" ref="AB85" si="169">AB24+AB53</f>
        <v>0</v>
      </c>
    </row>
    <row r="86" spans="1:28" s="171" customFormat="1">
      <c r="A86" s="34" t="s">
        <v>55</v>
      </c>
      <c r="B86" s="35">
        <f t="shared" ref="B86:AA86" si="170">B25+B54</f>
        <v>132157755.05333328</v>
      </c>
      <c r="C86" s="35">
        <f t="shared" si="170"/>
        <v>-15095118.790000001</v>
      </c>
      <c r="D86" s="35">
        <f t="shared" si="170"/>
        <v>-470992059.82966673</v>
      </c>
      <c r="E86" s="35">
        <f t="shared" si="170"/>
        <v>532632245.44256604</v>
      </c>
      <c r="F86" s="35">
        <f t="shared" si="170"/>
        <v>-238952520.33049059</v>
      </c>
      <c r="G86" s="35">
        <f t="shared" si="170"/>
        <v>4391141.7395094335</v>
      </c>
      <c r="H86" s="35">
        <f t="shared" si="170"/>
        <v>-239581939.89000002</v>
      </c>
      <c r="I86" s="35">
        <f t="shared" si="170"/>
        <v>6154192.1333333328</v>
      </c>
      <c r="J86" s="35">
        <f t="shared" si="170"/>
        <v>-9915914.3133333325</v>
      </c>
      <c r="K86" s="35">
        <f t="shared" si="170"/>
        <v>176114525.66425788</v>
      </c>
      <c r="L86" s="35">
        <f t="shared" si="170"/>
        <v>53734548.240000002</v>
      </c>
      <c r="M86" s="35">
        <f t="shared" si="170"/>
        <v>29551479.310924526</v>
      </c>
      <c r="N86" s="35">
        <f t="shared" si="170"/>
        <v>3290847.69</v>
      </c>
      <c r="O86" s="35">
        <f t="shared" si="170"/>
        <v>101099720.52333333</v>
      </c>
      <c r="P86" s="35">
        <f t="shared" si="170"/>
        <v>-4822450.6100000003</v>
      </c>
      <c r="Q86" s="35">
        <f t="shared" si="170"/>
        <v>-421443.73000000045</v>
      </c>
      <c r="R86" s="35">
        <f t="shared" si="170"/>
        <v>-6377622.6500000004</v>
      </c>
      <c r="S86" s="35">
        <f t="shared" si="170"/>
        <v>160628776.9666667</v>
      </c>
      <c r="T86" s="35">
        <f t="shared" si="170"/>
        <v>1924123.8400000003</v>
      </c>
      <c r="U86" s="35">
        <f t="shared" si="170"/>
        <v>152032197.40000001</v>
      </c>
      <c r="V86" s="35">
        <f t="shared" si="170"/>
        <v>7686822.7566666668</v>
      </c>
      <c r="W86" s="35">
        <f t="shared" ref="W86:Y86" si="171">W25+W54</f>
        <v>637304.80000000005</v>
      </c>
      <c r="X86" s="35">
        <f t="shared" si="171"/>
        <v>-1281452.6100000001</v>
      </c>
      <c r="Y86" s="35">
        <f t="shared" si="171"/>
        <v>-260813.57</v>
      </c>
      <c r="Z86" s="35">
        <f t="shared" ref="Z86" si="172">Z25+Z54</f>
        <v>-109405.65</v>
      </c>
      <c r="AA86" s="35">
        <f t="shared" si="170"/>
        <v>-6284480.7599999998</v>
      </c>
      <c r="AB86" s="35">
        <f t="shared" ref="AB86" si="173">AB25+AB54</f>
        <v>-5893613.3099999996</v>
      </c>
    </row>
    <row r="87" spans="1:28" s="171" customFormat="1">
      <c r="A87" s="36" t="s">
        <v>56</v>
      </c>
      <c r="B87" s="37">
        <f t="shared" ref="B87:AA87" si="174">B26+B55</f>
        <v>0</v>
      </c>
      <c r="C87" s="37">
        <f t="shared" si="174"/>
        <v>0</v>
      </c>
      <c r="D87" s="37">
        <f t="shared" si="174"/>
        <v>0</v>
      </c>
      <c r="E87" s="37"/>
      <c r="F87" s="37">
        <f t="shared" si="174"/>
        <v>0</v>
      </c>
      <c r="G87" s="37">
        <f t="shared" si="174"/>
        <v>0</v>
      </c>
      <c r="H87" s="37">
        <f t="shared" si="174"/>
        <v>0</v>
      </c>
      <c r="I87" s="37">
        <f t="shared" si="174"/>
        <v>0</v>
      </c>
      <c r="J87" s="37">
        <f t="shared" si="174"/>
        <v>0</v>
      </c>
      <c r="K87" s="37">
        <f t="shared" si="174"/>
        <v>0</v>
      </c>
      <c r="L87" s="37">
        <f t="shared" si="174"/>
        <v>0</v>
      </c>
      <c r="M87" s="37">
        <f t="shared" si="174"/>
        <v>0</v>
      </c>
      <c r="N87" s="37">
        <f t="shared" si="174"/>
        <v>0</v>
      </c>
      <c r="O87" s="37">
        <f t="shared" si="174"/>
        <v>0</v>
      </c>
      <c r="P87" s="37">
        <f t="shared" si="174"/>
        <v>0</v>
      </c>
      <c r="Q87" s="37">
        <f t="shared" si="174"/>
        <v>0</v>
      </c>
      <c r="R87" s="37">
        <f t="shared" si="174"/>
        <v>0</v>
      </c>
      <c r="S87" s="37">
        <f t="shared" si="174"/>
        <v>0</v>
      </c>
      <c r="T87" s="37">
        <f t="shared" si="174"/>
        <v>0</v>
      </c>
      <c r="U87" s="37">
        <f t="shared" si="174"/>
        <v>0</v>
      </c>
      <c r="V87" s="37">
        <f t="shared" si="174"/>
        <v>0</v>
      </c>
      <c r="W87" s="37">
        <f t="shared" ref="W87:Y87" si="175">W26+W55</f>
        <v>0</v>
      </c>
      <c r="X87" s="37">
        <f t="shared" si="175"/>
        <v>0</v>
      </c>
      <c r="Y87" s="37">
        <f t="shared" si="175"/>
        <v>0</v>
      </c>
      <c r="Z87" s="37">
        <f t="shared" ref="Z87" si="176">Z26+Z55</f>
        <v>0</v>
      </c>
      <c r="AA87" s="37">
        <f t="shared" si="174"/>
        <v>0</v>
      </c>
      <c r="AB87" s="37">
        <f t="shared" ref="AB87" si="177">AB26+AB55</f>
        <v>0</v>
      </c>
    </row>
    <row r="88" spans="1:28" s="171" customFormat="1" ht="15" customHeight="1" thickBot="1">
      <c r="A88" s="38" t="s">
        <v>57</v>
      </c>
      <c r="B88" s="39">
        <f t="shared" ref="B88:AA88" si="178">B27+B56</f>
        <v>132157755.05333328</v>
      </c>
      <c r="C88" s="39">
        <f t="shared" si="178"/>
        <v>-15095118.790000001</v>
      </c>
      <c r="D88" s="39">
        <f t="shared" si="178"/>
        <v>-470992059.82966673</v>
      </c>
      <c r="E88" s="39">
        <f t="shared" si="178"/>
        <v>532632245.44256604</v>
      </c>
      <c r="F88" s="39">
        <f t="shared" si="178"/>
        <v>-238952520.33049062</v>
      </c>
      <c r="G88" s="39">
        <f t="shared" si="178"/>
        <v>4391141.7395094335</v>
      </c>
      <c r="H88" s="39">
        <f t="shared" si="178"/>
        <v>-239581939.89000002</v>
      </c>
      <c r="I88" s="39">
        <f t="shared" si="178"/>
        <v>6154192.1333333328</v>
      </c>
      <c r="J88" s="39">
        <f t="shared" si="178"/>
        <v>-9915914.3133333325</v>
      </c>
      <c r="K88" s="39">
        <f t="shared" si="178"/>
        <v>176114525.66425788</v>
      </c>
      <c r="L88" s="39">
        <f t="shared" si="178"/>
        <v>53734548.240000002</v>
      </c>
      <c r="M88" s="39">
        <f t="shared" si="178"/>
        <v>29551479.310924526</v>
      </c>
      <c r="N88" s="39">
        <f t="shared" si="178"/>
        <v>3290847.69</v>
      </c>
      <c r="O88" s="39">
        <f t="shared" si="178"/>
        <v>101099720.52333334</v>
      </c>
      <c r="P88" s="39">
        <f t="shared" si="178"/>
        <v>-4822450.6100000003</v>
      </c>
      <c r="Q88" s="39">
        <f t="shared" si="178"/>
        <v>-421443.73000000045</v>
      </c>
      <c r="R88" s="39">
        <f t="shared" si="178"/>
        <v>-6377622.6500000004</v>
      </c>
      <c r="S88" s="39">
        <f t="shared" si="178"/>
        <v>160628776.9666667</v>
      </c>
      <c r="T88" s="39">
        <f t="shared" si="178"/>
        <v>1924123.8400000003</v>
      </c>
      <c r="U88" s="39">
        <f t="shared" si="178"/>
        <v>152032197.40000001</v>
      </c>
      <c r="V88" s="39">
        <f t="shared" si="178"/>
        <v>7686822.7566666668</v>
      </c>
      <c r="W88" s="39">
        <f t="shared" ref="W88:Y88" si="179">W27+W56</f>
        <v>637304.80000000005</v>
      </c>
      <c r="X88" s="39">
        <f t="shared" si="179"/>
        <v>-1281452.6100000001</v>
      </c>
      <c r="Y88" s="39">
        <f t="shared" si="179"/>
        <v>-260813.57</v>
      </c>
      <c r="Z88" s="39">
        <f t="shared" ref="Z88" si="180">Z27+Z56</f>
        <v>-109405.65</v>
      </c>
      <c r="AA88" s="39">
        <f t="shared" si="178"/>
        <v>-6284480.7599999998</v>
      </c>
      <c r="AB88" s="39">
        <f t="shared" ref="AB88" si="181">AB27+AB56</f>
        <v>-5893613.3099999996</v>
      </c>
    </row>
    <row r="89" spans="1:28" s="169" customFormat="1"/>
    <row r="90" spans="1:28" s="169" customFormat="1">
      <c r="A90" s="42" t="s">
        <v>60</v>
      </c>
      <c r="B90" s="43">
        <f t="shared" ref="B90:AA90" si="182">B59</f>
        <v>434583819.50013334</v>
      </c>
      <c r="C90" s="43">
        <f t="shared" si="182"/>
        <v>0</v>
      </c>
      <c r="D90" s="43">
        <f t="shared" si="182"/>
        <v>0</v>
      </c>
      <c r="E90" s="43">
        <f>E59</f>
        <v>234924482</v>
      </c>
      <c r="F90" s="43">
        <f t="shared" si="182"/>
        <v>44089001.227699995</v>
      </c>
      <c r="G90" s="43">
        <f t="shared" si="182"/>
        <v>208561.49903333336</v>
      </c>
      <c r="H90" s="43">
        <f t="shared" si="182"/>
        <v>31282945.728666663</v>
      </c>
      <c r="I90" s="43">
        <f t="shared" si="182"/>
        <v>3175635.6666666665</v>
      </c>
      <c r="J90" s="43">
        <f t="shared" si="182"/>
        <v>9421858.333333334</v>
      </c>
      <c r="K90" s="43">
        <f t="shared" si="182"/>
        <v>155525007.61243334</v>
      </c>
      <c r="L90" s="43">
        <f t="shared" si="182"/>
        <v>34661915.204366662</v>
      </c>
      <c r="M90" s="43">
        <f t="shared" si="182"/>
        <v>34807512.408066668</v>
      </c>
      <c r="N90" s="43">
        <f t="shared" si="182"/>
        <v>82385.333333333328</v>
      </c>
      <c r="O90" s="43">
        <f t="shared" si="182"/>
        <v>71511483.333333328</v>
      </c>
      <c r="P90" s="43">
        <f t="shared" si="182"/>
        <v>13126221.333333334</v>
      </c>
      <c r="Q90" s="43">
        <f t="shared" si="182"/>
        <v>1335490</v>
      </c>
      <c r="R90" s="43">
        <f t="shared" si="182"/>
        <v>0</v>
      </c>
      <c r="S90" s="43">
        <f t="shared" si="182"/>
        <v>45328.66</v>
      </c>
      <c r="T90" s="43">
        <f t="shared" si="182"/>
        <v>0</v>
      </c>
      <c r="U90" s="43">
        <f>U59</f>
        <v>45328.66</v>
      </c>
      <c r="V90" s="43">
        <f t="shared" si="182"/>
        <v>0</v>
      </c>
      <c r="W90" s="43">
        <f t="shared" ref="W90:Y90" si="183">W59</f>
        <v>0</v>
      </c>
      <c r="X90" s="43">
        <f t="shared" si="183"/>
        <v>0</v>
      </c>
      <c r="Y90" s="43">
        <f t="shared" si="183"/>
        <v>0</v>
      </c>
      <c r="Z90" s="43">
        <f t="shared" ref="Z90" si="184">Z59</f>
        <v>0</v>
      </c>
      <c r="AA90" s="43">
        <f t="shared" si="182"/>
        <v>0</v>
      </c>
      <c r="AB90" s="43">
        <f t="shared" ref="AB90" si="185">AB59</f>
        <v>0</v>
      </c>
    </row>
    <row r="91" spans="1:28" s="169" customFormat="1" ht="14.25" thickBot="1">
      <c r="A91" s="44" t="s">
        <v>65</v>
      </c>
      <c r="B91" s="45">
        <f>B88</f>
        <v>132157755.05333328</v>
      </c>
      <c r="C91" s="45">
        <f>C88-C90</f>
        <v>-15095118.790000001</v>
      </c>
      <c r="D91" s="45">
        <f t="shared" ref="D91:AA91" si="186">D88-D90</f>
        <v>-470992059.82966673</v>
      </c>
      <c r="E91" s="45">
        <f t="shared" si="186"/>
        <v>297707763.44256604</v>
      </c>
      <c r="F91" s="45">
        <f t="shared" si="186"/>
        <v>-283041521.55819058</v>
      </c>
      <c r="G91" s="45">
        <f t="shared" ref="G91" si="187">G88-G90</f>
        <v>4182580.2404761002</v>
      </c>
      <c r="H91" s="45">
        <f t="shared" ref="H91:J91" si="188">H88-H90</f>
        <v>-270864885.61866665</v>
      </c>
      <c r="I91" s="45">
        <f t="shared" si="188"/>
        <v>2978556.4666666663</v>
      </c>
      <c r="J91" s="45">
        <f t="shared" si="188"/>
        <v>-19337772.646666668</v>
      </c>
      <c r="K91" s="45">
        <f t="shared" si="186"/>
        <v>20589518.05182454</v>
      </c>
      <c r="L91" s="45">
        <f t="shared" si="186"/>
        <v>19072633.03563334</v>
      </c>
      <c r="M91" s="45">
        <f t="shared" si="186"/>
        <v>-5256033.0971421413</v>
      </c>
      <c r="N91" s="45">
        <f t="shared" si="186"/>
        <v>3208462.3566666665</v>
      </c>
      <c r="O91" s="45">
        <f t="shared" si="186"/>
        <v>29588237.190000013</v>
      </c>
      <c r="P91" s="45">
        <f t="shared" si="186"/>
        <v>-17948671.943333335</v>
      </c>
      <c r="Q91" s="45">
        <f t="shared" si="186"/>
        <v>-1756933.7300000004</v>
      </c>
      <c r="R91" s="45">
        <f t="shared" si="186"/>
        <v>-6377622.6500000004</v>
      </c>
      <c r="S91" s="45">
        <f t="shared" ref="S91" si="189">S88-S90</f>
        <v>160583448.3066667</v>
      </c>
      <c r="T91" s="45">
        <f t="shared" si="186"/>
        <v>1924123.8400000003</v>
      </c>
      <c r="U91" s="45">
        <f>U88-U90</f>
        <v>151986868.74000001</v>
      </c>
      <c r="V91" s="45">
        <f t="shared" si="186"/>
        <v>7686822.7566666668</v>
      </c>
      <c r="W91" s="45">
        <f t="shared" ref="W91:Y91" si="190">W88-W90</f>
        <v>637304.80000000005</v>
      </c>
      <c r="X91" s="45">
        <f t="shared" si="190"/>
        <v>-1281452.6100000001</v>
      </c>
      <c r="Y91" s="45">
        <f t="shared" si="190"/>
        <v>-260813.57</v>
      </c>
      <c r="Z91" s="45">
        <f t="shared" ref="Z91" si="191">Z88-Z90</f>
        <v>-109405.65</v>
      </c>
      <c r="AA91" s="45">
        <f t="shared" si="186"/>
        <v>-6284480.7599999998</v>
      </c>
      <c r="AB91" s="45">
        <f t="shared" ref="AB91" si="192">AB88-AB90</f>
        <v>-5893613.3099999996</v>
      </c>
    </row>
    <row r="92" spans="1:28" s="169" customFormat="1">
      <c r="A92" s="213"/>
      <c r="B92" s="214"/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</row>
    <row r="93" spans="1:28" s="173" customFormat="1">
      <c r="A93" s="173" t="s">
        <v>66</v>
      </c>
      <c r="B93" s="215">
        <f>B65/10000</f>
        <v>82393.434256333334</v>
      </c>
      <c r="C93" s="215">
        <f t="shared" ref="C93:R93" si="193">C65/10000</f>
        <v>-1576.932431</v>
      </c>
      <c r="D93" s="215">
        <f t="shared" si="193"/>
        <v>-23367.660947966655</v>
      </c>
      <c r="E93" s="215">
        <f t="shared" si="193"/>
        <v>82390.540242256611</v>
      </c>
      <c r="F93" s="215">
        <f t="shared" si="193"/>
        <v>-22310.697060049057</v>
      </c>
      <c r="G93" s="215">
        <f t="shared" si="193"/>
        <v>840.31722395094334</v>
      </c>
      <c r="H93" s="215">
        <f t="shared" si="193"/>
        <v>-23689.893235000003</v>
      </c>
      <c r="I93" s="215">
        <f t="shared" si="193"/>
        <v>979.56599633333326</v>
      </c>
      <c r="J93" s="215">
        <f t="shared" si="193"/>
        <v>-440.68704533333329</v>
      </c>
      <c r="K93" s="215">
        <f t="shared" si="193"/>
        <v>20463.119574425786</v>
      </c>
      <c r="L93" s="215">
        <f t="shared" si="193"/>
        <v>5796.5780799999993</v>
      </c>
      <c r="M93" s="215">
        <f t="shared" si="193"/>
        <v>3338.4816140924527</v>
      </c>
      <c r="N93" s="215">
        <f t="shared" si="193"/>
        <v>476.29295099999996</v>
      </c>
      <c r="O93" s="215">
        <f t="shared" si="193"/>
        <v>10741.998034333334</v>
      </c>
      <c r="P93" s="215">
        <f t="shared" si="193"/>
        <v>-194.881539</v>
      </c>
      <c r="Q93" s="215">
        <f t="shared" si="193"/>
        <v>298.02041199999991</v>
      </c>
      <c r="R93" s="215">
        <f t="shared" si="193"/>
        <v>0.68533299999999997</v>
      </c>
      <c r="S93" s="215">
        <f t="shared" ref="S93:AA93" si="194">S65/10000</f>
        <v>26795.064878666668</v>
      </c>
      <c r="T93" s="215">
        <f t="shared" si="194"/>
        <v>1283.485357</v>
      </c>
      <c r="U93" s="215">
        <f>U65/10000</f>
        <v>22638.456246000002</v>
      </c>
      <c r="V93" s="215">
        <f t="shared" si="194"/>
        <v>2765.1987466666665</v>
      </c>
      <c r="W93" s="215">
        <f t="shared" ref="W93:Y93" si="195">W65/10000</f>
        <v>107.92452900000001</v>
      </c>
      <c r="X93" s="215">
        <f t="shared" si="195"/>
        <v>0</v>
      </c>
      <c r="Y93" s="215">
        <f t="shared" si="195"/>
        <v>0</v>
      </c>
      <c r="Z93" s="215">
        <f t="shared" ref="Z93" si="196">Z65/10000</f>
        <v>0</v>
      </c>
      <c r="AA93" s="215">
        <f t="shared" si="194"/>
        <v>0</v>
      </c>
      <c r="AB93" s="215">
        <f t="shared" ref="AB93" si="197">AB65/10000</f>
        <v>0</v>
      </c>
    </row>
    <row r="94" spans="1:28" s="174" customFormat="1">
      <c r="A94" s="174" t="s">
        <v>56</v>
      </c>
      <c r="B94" s="216">
        <f t="shared" ref="B94:AA94" si="198">B91/10000</f>
        <v>13215.775505333328</v>
      </c>
      <c r="C94" s="216">
        <f t="shared" si="198"/>
        <v>-1509.5118790000001</v>
      </c>
      <c r="D94" s="216">
        <f t="shared" si="198"/>
        <v>-47099.205982966676</v>
      </c>
      <c r="E94" s="216">
        <f t="shared" si="198"/>
        <v>29770.776344256603</v>
      </c>
      <c r="F94" s="216">
        <f t="shared" si="198"/>
        <v>-28304.152155819058</v>
      </c>
      <c r="G94" s="216">
        <f t="shared" si="198"/>
        <v>418.25802404761004</v>
      </c>
      <c r="H94" s="216">
        <f t="shared" si="198"/>
        <v>-27086.488561866663</v>
      </c>
      <c r="I94" s="216">
        <f t="shared" si="198"/>
        <v>297.85564666666664</v>
      </c>
      <c r="J94" s="216">
        <f t="shared" si="198"/>
        <v>-1933.7772646666667</v>
      </c>
      <c r="K94" s="216">
        <f t="shared" si="198"/>
        <v>2058.9518051824539</v>
      </c>
      <c r="L94" s="216">
        <f t="shared" si="198"/>
        <v>1907.2633035633341</v>
      </c>
      <c r="M94" s="216">
        <f t="shared" si="198"/>
        <v>-525.60330971421411</v>
      </c>
      <c r="N94" s="216">
        <f t="shared" si="198"/>
        <v>320.84623566666664</v>
      </c>
      <c r="O94" s="216">
        <f t="shared" si="198"/>
        <v>2958.8237190000013</v>
      </c>
      <c r="P94" s="216">
        <f t="shared" si="198"/>
        <v>-1794.8671943333336</v>
      </c>
      <c r="Q94" s="216">
        <f>Q91/10000</f>
        <v>-175.69337300000004</v>
      </c>
      <c r="R94" s="216">
        <f t="shared" si="198"/>
        <v>-637.76226500000007</v>
      </c>
      <c r="S94" s="216">
        <f t="shared" si="198"/>
        <v>16058.344830666671</v>
      </c>
      <c r="T94" s="216">
        <f t="shared" si="198"/>
        <v>192.41238400000003</v>
      </c>
      <c r="U94" s="216">
        <f>U91/10000</f>
        <v>15198.686874000001</v>
      </c>
      <c r="V94" s="216">
        <f t="shared" si="198"/>
        <v>768.68227566666667</v>
      </c>
      <c r="W94" s="216">
        <f t="shared" ref="W94:Y94" si="199">W91/10000</f>
        <v>63.730480000000007</v>
      </c>
      <c r="X94" s="216">
        <f t="shared" si="199"/>
        <v>-128.145261</v>
      </c>
      <c r="Y94" s="216">
        <f t="shared" si="199"/>
        <v>-26.081357000000001</v>
      </c>
      <c r="Z94" s="216">
        <f t="shared" ref="Z94" si="200">Z91/10000</f>
        <v>-10.940564999999999</v>
      </c>
      <c r="AA94" s="216">
        <f t="shared" si="198"/>
        <v>-628.44807600000001</v>
      </c>
      <c r="AB94" s="216">
        <f t="shared" ref="AB94" si="201">AB91/10000</f>
        <v>-589.36133099999995</v>
      </c>
    </row>
    <row r="95" spans="1:28">
      <c r="L95" s="220"/>
      <c r="M95" s="220"/>
      <c r="N95" s="220"/>
      <c r="O95" s="220"/>
      <c r="P95" s="220"/>
      <c r="Q95" s="220"/>
      <c r="R95" s="220"/>
    </row>
    <row r="96" spans="1:28" s="175" customFormat="1" hidden="1">
      <c r="A96" s="19" t="s">
        <v>2</v>
      </c>
      <c r="B96" s="19" t="s">
        <v>3</v>
      </c>
      <c r="C96" s="19" t="s">
        <v>4</v>
      </c>
      <c r="D96" s="19" t="s">
        <v>5</v>
      </c>
      <c r="E96" s="19" t="s">
        <v>6</v>
      </c>
      <c r="F96" s="19" t="s">
        <v>8</v>
      </c>
      <c r="G96" s="19"/>
      <c r="H96" s="19"/>
      <c r="I96" s="19"/>
      <c r="J96" s="19"/>
      <c r="K96" s="19" t="s">
        <v>12</v>
      </c>
      <c r="L96" s="24" t="s">
        <v>67</v>
      </c>
      <c r="M96" s="24"/>
      <c r="N96" s="24" t="s">
        <v>16</v>
      </c>
      <c r="O96" s="24" t="s">
        <v>18</v>
      </c>
      <c r="P96" s="24" t="s">
        <v>68</v>
      </c>
      <c r="Q96" s="24" t="s">
        <v>19</v>
      </c>
      <c r="R96" s="19" t="s">
        <v>69</v>
      </c>
      <c r="S96" s="24" t="s">
        <v>70</v>
      </c>
      <c r="T96" s="24" t="s">
        <v>71</v>
      </c>
      <c r="U96" s="24" t="s">
        <v>72</v>
      </c>
      <c r="V96" s="19" t="s">
        <v>28</v>
      </c>
      <c r="W96" s="19"/>
      <c r="X96" s="19"/>
      <c r="Y96" s="19"/>
      <c r="Z96" s="19"/>
      <c r="AA96" s="24" t="s">
        <v>29</v>
      </c>
    </row>
    <row r="97" spans="1:27" s="175" customFormat="1" hidden="1">
      <c r="A97" s="19" t="s">
        <v>2</v>
      </c>
      <c r="B97" s="19" t="s">
        <v>3</v>
      </c>
      <c r="C97" s="19" t="s">
        <v>4</v>
      </c>
      <c r="D97" s="19" t="s">
        <v>5</v>
      </c>
      <c r="E97" s="19" t="s">
        <v>6</v>
      </c>
      <c r="F97" s="19" t="s">
        <v>8</v>
      </c>
      <c r="G97" s="19"/>
      <c r="H97" s="19"/>
      <c r="I97" s="19"/>
      <c r="J97" s="19"/>
      <c r="K97" s="19" t="s">
        <v>12</v>
      </c>
      <c r="L97" s="24" t="s">
        <v>67</v>
      </c>
      <c r="M97" s="24"/>
      <c r="N97" s="24" t="s">
        <v>16</v>
      </c>
      <c r="O97" s="24" t="s">
        <v>18</v>
      </c>
      <c r="P97" s="24" t="s">
        <v>68</v>
      </c>
      <c r="Q97" s="24" t="s">
        <v>19</v>
      </c>
      <c r="R97" s="19" t="s">
        <v>69</v>
      </c>
      <c r="S97" s="24" t="s">
        <v>70</v>
      </c>
      <c r="T97" s="24" t="s">
        <v>71</v>
      </c>
      <c r="U97" s="24" t="s">
        <v>72</v>
      </c>
      <c r="V97" s="19" t="s">
        <v>28</v>
      </c>
      <c r="W97" s="19"/>
      <c r="X97" s="19"/>
      <c r="Y97" s="19"/>
      <c r="Z97" s="19"/>
      <c r="AA97" s="24" t="s">
        <v>29</v>
      </c>
    </row>
    <row r="98" spans="1:27" hidden="1">
      <c r="A98" s="203" t="s">
        <v>34</v>
      </c>
      <c r="B98" s="169">
        <f t="shared" ref="B98:L98" si="202">B65</f>
        <v>823934342.56333327</v>
      </c>
      <c r="C98" s="169" t="e">
        <f>C65+#REF!</f>
        <v>#REF!</v>
      </c>
      <c r="D98" s="169">
        <f t="shared" si="202"/>
        <v>-233676609.47966656</v>
      </c>
      <c r="E98" s="169">
        <f t="shared" si="202"/>
        <v>823905402.42256618</v>
      </c>
      <c r="F98" s="169">
        <f t="shared" si="202"/>
        <v>-223106970.60049057</v>
      </c>
      <c r="G98" s="169"/>
      <c r="H98" s="169"/>
      <c r="I98" s="169"/>
      <c r="J98" s="169"/>
      <c r="K98" s="169">
        <f t="shared" si="202"/>
        <v>204631195.74425787</v>
      </c>
      <c r="L98" s="169">
        <f t="shared" si="202"/>
        <v>57965780.799999997</v>
      </c>
      <c r="M98" s="169"/>
      <c r="N98" s="169">
        <f>O65+P65</f>
        <v>105471164.95333333</v>
      </c>
      <c r="O98" s="221">
        <f t="shared" ref="O98:O124" si="203">Q65</f>
        <v>2980204.1199999992</v>
      </c>
      <c r="P98" s="221" t="e">
        <f>#REF!</f>
        <v>#REF!</v>
      </c>
      <c r="Q98" s="169">
        <f t="shared" ref="Q98:Q124" si="204">R65</f>
        <v>6853.33</v>
      </c>
      <c r="R98" s="169">
        <f>T65</f>
        <v>12834853.57</v>
      </c>
      <c r="S98" s="169">
        <f>T65</f>
        <v>12834853.57</v>
      </c>
      <c r="T98" s="169" t="e">
        <f>#REF!</f>
        <v>#REF!</v>
      </c>
      <c r="U98" s="169">
        <f>AA65</f>
        <v>0</v>
      </c>
      <c r="V98" s="169" t="e">
        <f>#REF!</f>
        <v>#REF!</v>
      </c>
      <c r="W98" s="169"/>
      <c r="X98" s="169"/>
      <c r="Y98" s="169"/>
      <c r="Z98" s="169"/>
      <c r="AA98" s="169" t="e">
        <f>#REF!</f>
        <v>#REF!</v>
      </c>
    </row>
    <row r="99" spans="1:27" hidden="1">
      <c r="A99" s="31" t="s">
        <v>73</v>
      </c>
      <c r="B99" s="169">
        <f t="shared" ref="B99:L99" si="205">B66</f>
        <v>691797429.58000004</v>
      </c>
      <c r="C99" s="169" t="e">
        <f>C66+#REF!</f>
        <v>#REF!</v>
      </c>
      <c r="D99" s="169">
        <f t="shared" si="205"/>
        <v>-2131577.7199999201</v>
      </c>
      <c r="E99" s="169">
        <f t="shared" si="205"/>
        <v>374706602.38256603</v>
      </c>
      <c r="F99" s="169">
        <f t="shared" si="205"/>
        <v>48822877.269509435</v>
      </c>
      <c r="G99" s="169"/>
      <c r="H99" s="169"/>
      <c r="I99" s="169"/>
      <c r="J99" s="169"/>
      <c r="K99" s="169">
        <f t="shared" si="205"/>
        <v>5289678.7679245276</v>
      </c>
      <c r="L99" s="169">
        <f t="shared" si="205"/>
        <v>-83035.520000000004</v>
      </c>
      <c r="M99" s="169"/>
      <c r="N99" s="169">
        <f t="shared" ref="N99:N124" si="206">O66+P66</f>
        <v>176670.50999999998</v>
      </c>
      <c r="O99" s="221">
        <f t="shared" si="203"/>
        <v>-14269.82</v>
      </c>
      <c r="P99" s="221" t="e">
        <f>#REF!</f>
        <v>#REF!</v>
      </c>
      <c r="Q99" s="169">
        <f t="shared" si="204"/>
        <v>-2622</v>
      </c>
      <c r="R99" s="169">
        <f t="shared" ref="R99:R124" si="207">T66</f>
        <v>12881052.040000001</v>
      </c>
      <c r="S99" s="169">
        <f t="shared" ref="S99:S124" si="208">T66</f>
        <v>12881052.040000001</v>
      </c>
      <c r="T99" s="169" t="e">
        <f>#REF!</f>
        <v>#REF!</v>
      </c>
      <c r="U99" s="169">
        <f t="shared" ref="U99:U114" si="209">AA66</f>
        <v>0</v>
      </c>
      <c r="V99" s="169" t="e">
        <f>#REF!</f>
        <v>#REF!</v>
      </c>
      <c r="W99" s="169"/>
      <c r="X99" s="169"/>
      <c r="Y99" s="169"/>
      <c r="Z99" s="169"/>
      <c r="AA99" s="169" t="e">
        <f>#REF!</f>
        <v>#REF!</v>
      </c>
    </row>
    <row r="100" spans="1:27" hidden="1">
      <c r="A100" s="206" t="s">
        <v>36</v>
      </c>
      <c r="B100" s="169">
        <f t="shared" ref="B100:L100" si="210">B67</f>
        <v>367110958.99000001</v>
      </c>
      <c r="C100" s="169" t="e">
        <f>C67+#REF!</f>
        <v>#REF!</v>
      </c>
      <c r="D100" s="169">
        <f t="shared" si="210"/>
        <v>-1701899.2500000144</v>
      </c>
      <c r="E100" s="169">
        <f t="shared" si="210"/>
        <v>366506093.23207551</v>
      </c>
      <c r="F100" s="169">
        <f t="shared" si="210"/>
        <v>944002.95000000007</v>
      </c>
      <c r="G100" s="169"/>
      <c r="H100" s="169"/>
      <c r="I100" s="169"/>
      <c r="J100" s="169"/>
      <c r="K100" s="169">
        <f t="shared" si="210"/>
        <v>1362812.0579245281</v>
      </c>
      <c r="L100" s="169">
        <f t="shared" si="210"/>
        <v>0</v>
      </c>
      <c r="M100" s="169"/>
      <c r="N100" s="169">
        <f t="shared" si="206"/>
        <v>176670.50999999998</v>
      </c>
      <c r="O100" s="221">
        <f t="shared" si="203"/>
        <v>-14269.82</v>
      </c>
      <c r="P100" s="221" t="e">
        <f>#REF!</f>
        <v>#REF!</v>
      </c>
      <c r="Q100" s="169">
        <f t="shared" si="204"/>
        <v>0</v>
      </c>
      <c r="R100" s="169">
        <f t="shared" si="207"/>
        <v>0</v>
      </c>
      <c r="S100" s="169">
        <f t="shared" si="208"/>
        <v>0</v>
      </c>
      <c r="T100" s="169" t="e">
        <f>#REF!</f>
        <v>#REF!</v>
      </c>
      <c r="U100" s="169">
        <f t="shared" si="209"/>
        <v>0</v>
      </c>
      <c r="V100" s="169" t="e">
        <f>#REF!</f>
        <v>#REF!</v>
      </c>
      <c r="W100" s="169"/>
      <c r="X100" s="169"/>
      <c r="Y100" s="169"/>
      <c r="Z100" s="169"/>
      <c r="AA100" s="169" t="e">
        <f>#REF!</f>
        <v>#REF!</v>
      </c>
    </row>
    <row r="101" spans="1:27" hidden="1">
      <c r="A101" s="206" t="s">
        <v>37</v>
      </c>
      <c r="B101" s="169">
        <f t="shared" ref="B101:L101" si="211">B68</f>
        <v>267054385.03</v>
      </c>
      <c r="C101" s="169" t="e">
        <f>C68+#REF!</f>
        <v>#REF!</v>
      </c>
      <c r="D101" s="169">
        <f t="shared" si="211"/>
        <v>1.909211277961731E-8</v>
      </c>
      <c r="E101" s="169">
        <f t="shared" si="211"/>
        <v>3811462.2699999996</v>
      </c>
      <c r="F101" s="169">
        <f t="shared" si="211"/>
        <v>0</v>
      </c>
      <c r="G101" s="169"/>
      <c r="H101" s="169"/>
      <c r="I101" s="169"/>
      <c r="J101" s="169"/>
      <c r="K101" s="169">
        <f t="shared" si="211"/>
        <v>67500</v>
      </c>
      <c r="L101" s="169">
        <f t="shared" si="211"/>
        <v>0</v>
      </c>
      <c r="M101" s="169"/>
      <c r="N101" s="169">
        <f t="shared" si="206"/>
        <v>0</v>
      </c>
      <c r="O101" s="221">
        <f t="shared" si="203"/>
        <v>0</v>
      </c>
      <c r="P101" s="221" t="e">
        <f>#REF!</f>
        <v>#REF!</v>
      </c>
      <c r="Q101" s="169">
        <f t="shared" si="204"/>
        <v>0</v>
      </c>
      <c r="R101" s="169">
        <f t="shared" si="207"/>
        <v>12881052.040000001</v>
      </c>
      <c r="S101" s="169">
        <f t="shared" si="208"/>
        <v>12881052.040000001</v>
      </c>
      <c r="T101" s="169" t="e">
        <f>#REF!</f>
        <v>#REF!</v>
      </c>
      <c r="U101" s="169">
        <f t="shared" si="209"/>
        <v>0</v>
      </c>
      <c r="V101" s="169" t="e">
        <f>#REF!</f>
        <v>#REF!</v>
      </c>
      <c r="W101" s="169"/>
      <c r="X101" s="169"/>
      <c r="Y101" s="169"/>
      <c r="Z101" s="169"/>
      <c r="AA101" s="169" t="e">
        <f>#REF!</f>
        <v>#REF!</v>
      </c>
    </row>
    <row r="102" spans="1:27" hidden="1">
      <c r="A102" s="206" t="s">
        <v>38</v>
      </c>
      <c r="B102" s="169">
        <f t="shared" ref="B102:L102" si="212">B69</f>
        <v>54521071.909999996</v>
      </c>
      <c r="C102" s="169" t="e">
        <f>C69+#REF!</f>
        <v>#REF!</v>
      </c>
      <c r="D102" s="169">
        <f t="shared" si="212"/>
        <v>0</v>
      </c>
      <c r="E102" s="169">
        <f t="shared" si="212"/>
        <v>2520998.9504905664</v>
      </c>
      <c r="F102" s="169">
        <f t="shared" si="212"/>
        <v>47886199.589509428</v>
      </c>
      <c r="G102" s="169"/>
      <c r="H102" s="169"/>
      <c r="I102" s="169"/>
      <c r="J102" s="169"/>
      <c r="K102" s="169">
        <f t="shared" si="212"/>
        <v>2179397.25</v>
      </c>
      <c r="L102" s="169">
        <f t="shared" si="212"/>
        <v>0</v>
      </c>
      <c r="M102" s="169"/>
      <c r="N102" s="169">
        <f t="shared" si="206"/>
        <v>0</v>
      </c>
      <c r="O102" s="221">
        <f t="shared" si="203"/>
        <v>0</v>
      </c>
      <c r="P102" s="221" t="e">
        <f>#REF!</f>
        <v>#REF!</v>
      </c>
      <c r="Q102" s="169">
        <f t="shared" si="204"/>
        <v>0</v>
      </c>
      <c r="R102" s="169">
        <f t="shared" si="207"/>
        <v>0</v>
      </c>
      <c r="S102" s="169">
        <f t="shared" si="208"/>
        <v>0</v>
      </c>
      <c r="T102" s="169" t="e">
        <f>#REF!</f>
        <v>#REF!</v>
      </c>
      <c r="U102" s="169">
        <f t="shared" si="209"/>
        <v>0</v>
      </c>
      <c r="V102" s="169" t="e">
        <f>#REF!</f>
        <v>#REF!</v>
      </c>
      <c r="W102" s="169"/>
      <c r="X102" s="169"/>
      <c r="Y102" s="169"/>
      <c r="Z102" s="169"/>
      <c r="AA102" s="169" t="e">
        <f>#REF!</f>
        <v>#REF!</v>
      </c>
    </row>
    <row r="103" spans="1:27" hidden="1">
      <c r="A103" s="31" t="s">
        <v>74</v>
      </c>
      <c r="B103" s="169">
        <f t="shared" ref="B103:L103" si="213">B70</f>
        <v>227512719.02000001</v>
      </c>
      <c r="C103" s="169" t="e">
        <f>C70+#REF!</f>
        <v>#REF!</v>
      </c>
      <c r="D103" s="169">
        <f t="shared" si="213"/>
        <v>-237823727.55666664</v>
      </c>
      <c r="E103" s="169">
        <f t="shared" si="213"/>
        <v>435388210.75</v>
      </c>
      <c r="F103" s="169">
        <f t="shared" si="213"/>
        <v>2668914.7000000002</v>
      </c>
      <c r="G103" s="169"/>
      <c r="H103" s="169"/>
      <c r="I103" s="169"/>
      <c r="J103" s="169"/>
      <c r="K103" s="169">
        <f t="shared" si="213"/>
        <v>21384082.780000001</v>
      </c>
      <c r="L103" s="169">
        <f t="shared" si="213"/>
        <v>-87487.57</v>
      </c>
      <c r="M103" s="169"/>
      <c r="N103" s="169">
        <f t="shared" si="206"/>
        <v>20113263.27</v>
      </c>
      <c r="O103" s="221">
        <f t="shared" si="203"/>
        <v>294717.92000000004</v>
      </c>
      <c r="P103" s="221" t="e">
        <f>#REF!</f>
        <v>#REF!</v>
      </c>
      <c r="Q103" s="169">
        <f t="shared" si="204"/>
        <v>9475.33</v>
      </c>
      <c r="R103" s="169">
        <f t="shared" si="207"/>
        <v>0</v>
      </c>
      <c r="S103" s="169">
        <f t="shared" si="208"/>
        <v>0</v>
      </c>
      <c r="T103" s="169" t="e">
        <f>#REF!</f>
        <v>#REF!</v>
      </c>
      <c r="U103" s="169">
        <f t="shared" si="209"/>
        <v>0</v>
      </c>
      <c r="V103" s="169" t="e">
        <f>#REF!</f>
        <v>#REF!</v>
      </c>
      <c r="W103" s="169"/>
      <c r="X103" s="169"/>
      <c r="Y103" s="169"/>
      <c r="Z103" s="169"/>
      <c r="AA103" s="169" t="e">
        <f>#REF!</f>
        <v>#REF!</v>
      </c>
    </row>
    <row r="104" spans="1:27" hidden="1">
      <c r="A104" s="31" t="s">
        <v>40</v>
      </c>
      <c r="B104" s="169">
        <f t="shared" ref="B104:L104" si="214">B71</f>
        <v>-758942.65999999968</v>
      </c>
      <c r="C104" s="169" t="e">
        <f>C71+#REF!</f>
        <v>#REF!</v>
      </c>
      <c r="D104" s="169">
        <f t="shared" si="214"/>
        <v>6202530.1570000052</v>
      </c>
      <c r="E104" s="169">
        <f t="shared" si="214"/>
        <v>170142.06</v>
      </c>
      <c r="F104" s="169">
        <f t="shared" si="214"/>
        <v>-89698637.400000006</v>
      </c>
      <c r="G104" s="169"/>
      <c r="H104" s="169"/>
      <c r="I104" s="169"/>
      <c r="J104" s="169"/>
      <c r="K104" s="169">
        <f t="shared" si="214"/>
        <v>108129831.56299999</v>
      </c>
      <c r="L104" s="169">
        <f t="shared" si="214"/>
        <v>60141971.140000001</v>
      </c>
      <c r="M104" s="169"/>
      <c r="N104" s="169">
        <f t="shared" si="206"/>
        <v>-17378657.229999997</v>
      </c>
      <c r="O104" s="221">
        <f t="shared" si="203"/>
        <v>7115301.5800000001</v>
      </c>
      <c r="P104" s="221" t="e">
        <f>#REF!</f>
        <v>#REF!</v>
      </c>
      <c r="Q104" s="169">
        <f t="shared" si="204"/>
        <v>0</v>
      </c>
      <c r="R104" s="169">
        <f t="shared" si="207"/>
        <v>-74686.820000000007</v>
      </c>
      <c r="S104" s="169">
        <f t="shared" si="208"/>
        <v>-74686.820000000007</v>
      </c>
      <c r="T104" s="169" t="e">
        <f>#REF!</f>
        <v>#REF!</v>
      </c>
      <c r="U104" s="169">
        <f t="shared" si="209"/>
        <v>0</v>
      </c>
      <c r="V104" s="169" t="e">
        <f>#REF!</f>
        <v>#REF!</v>
      </c>
      <c r="W104" s="169"/>
      <c r="X104" s="169"/>
      <c r="Y104" s="169"/>
      <c r="Z104" s="169"/>
      <c r="AA104" s="169" t="e">
        <f>#REF!</f>
        <v>#REF!</v>
      </c>
    </row>
    <row r="105" spans="1:27" hidden="1">
      <c r="A105" s="31" t="s">
        <v>75</v>
      </c>
      <c r="B105" s="169">
        <f t="shared" ref="B105:L105" si="215">B72</f>
        <v>0</v>
      </c>
      <c r="C105" s="169" t="e">
        <f>C72+#REF!</f>
        <v>#REF!</v>
      </c>
      <c r="D105" s="169">
        <f t="shared" si="215"/>
        <v>0</v>
      </c>
      <c r="E105" s="169">
        <f t="shared" si="215"/>
        <v>0</v>
      </c>
      <c r="F105" s="169">
        <f t="shared" si="215"/>
        <v>0</v>
      </c>
      <c r="G105" s="169"/>
      <c r="H105" s="169"/>
      <c r="I105" s="169"/>
      <c r="J105" s="169"/>
      <c r="K105" s="169">
        <f t="shared" si="215"/>
        <v>0</v>
      </c>
      <c r="L105" s="169">
        <f t="shared" si="215"/>
        <v>0</v>
      </c>
      <c r="M105" s="169"/>
      <c r="N105" s="169">
        <f t="shared" si="206"/>
        <v>0</v>
      </c>
      <c r="O105" s="221">
        <f t="shared" si="203"/>
        <v>0</v>
      </c>
      <c r="P105" s="221" t="e">
        <f>#REF!</f>
        <v>#REF!</v>
      </c>
      <c r="Q105" s="169">
        <f t="shared" si="204"/>
        <v>0</v>
      </c>
      <c r="R105" s="169">
        <f t="shared" si="207"/>
        <v>0</v>
      </c>
      <c r="S105" s="169">
        <f t="shared" si="208"/>
        <v>0</v>
      </c>
      <c r="T105" s="169" t="e">
        <f>#REF!</f>
        <v>#REF!</v>
      </c>
      <c r="U105" s="169">
        <f t="shared" si="209"/>
        <v>0</v>
      </c>
      <c r="V105" s="169" t="e">
        <f>#REF!</f>
        <v>#REF!</v>
      </c>
      <c r="W105" s="169"/>
      <c r="X105" s="169"/>
      <c r="Y105" s="169"/>
      <c r="Z105" s="169"/>
      <c r="AA105" s="169" t="e">
        <f>#REF!</f>
        <v>#REF!</v>
      </c>
    </row>
    <row r="106" spans="1:27" hidden="1">
      <c r="A106" s="31" t="s">
        <v>42</v>
      </c>
      <c r="B106" s="169">
        <f t="shared" ref="B106:L106" si="216">B73</f>
        <v>-103292508.81666668</v>
      </c>
      <c r="C106" s="169" t="e">
        <f>C73+#REF!</f>
        <v>#REF!</v>
      </c>
      <c r="D106" s="169">
        <f t="shared" si="216"/>
        <v>0</v>
      </c>
      <c r="E106" s="169">
        <f t="shared" si="216"/>
        <v>1738864.4000000001</v>
      </c>
      <c r="F106" s="169">
        <f t="shared" si="216"/>
        <v>-184900125.17000002</v>
      </c>
      <c r="G106" s="169"/>
      <c r="H106" s="169"/>
      <c r="I106" s="169"/>
      <c r="J106" s="169"/>
      <c r="K106" s="169">
        <f t="shared" si="216"/>
        <v>69827602.63333334</v>
      </c>
      <c r="L106" s="169">
        <f t="shared" si="216"/>
        <v>-2005667.25</v>
      </c>
      <c r="M106" s="169"/>
      <c r="N106" s="169">
        <f t="shared" si="206"/>
        <v>102559888.40333334</v>
      </c>
      <c r="O106" s="221">
        <f t="shared" si="203"/>
        <v>-4415545.5599999996</v>
      </c>
      <c r="P106" s="221" t="e">
        <f>#REF!</f>
        <v>#REF!</v>
      </c>
      <c r="Q106" s="169">
        <f t="shared" si="204"/>
        <v>0</v>
      </c>
      <c r="R106" s="169">
        <f t="shared" si="207"/>
        <v>28488.35</v>
      </c>
      <c r="S106" s="169">
        <f t="shared" si="208"/>
        <v>28488.35</v>
      </c>
      <c r="T106" s="169" t="e">
        <f>#REF!</f>
        <v>#REF!</v>
      </c>
      <c r="U106" s="169">
        <f t="shared" si="209"/>
        <v>0</v>
      </c>
      <c r="V106" s="169" t="e">
        <f>#REF!</f>
        <v>#REF!</v>
      </c>
      <c r="W106" s="169"/>
      <c r="X106" s="169"/>
      <c r="Y106" s="169"/>
      <c r="Z106" s="169"/>
      <c r="AA106" s="169" t="e">
        <f>#REF!</f>
        <v>#REF!</v>
      </c>
    </row>
    <row r="107" spans="1:27" hidden="1">
      <c r="A107" s="31" t="s">
        <v>76</v>
      </c>
      <c r="B107" s="169">
        <f t="shared" ref="B107:L107" si="217">B74</f>
        <v>-653418.38</v>
      </c>
      <c r="C107" s="169" t="e">
        <f>C74+#REF!</f>
        <v>#REF!</v>
      </c>
      <c r="D107" s="169">
        <f t="shared" si="217"/>
        <v>76165.640000000014</v>
      </c>
      <c r="E107" s="169">
        <f t="shared" si="217"/>
        <v>-729584.02</v>
      </c>
      <c r="F107" s="169">
        <f t="shared" si="217"/>
        <v>0</v>
      </c>
      <c r="G107" s="169"/>
      <c r="H107" s="169"/>
      <c r="I107" s="169"/>
      <c r="J107" s="169"/>
      <c r="K107" s="169">
        <f t="shared" si="217"/>
        <v>0</v>
      </c>
      <c r="L107" s="169">
        <f t="shared" si="217"/>
        <v>0</v>
      </c>
      <c r="M107" s="169"/>
      <c r="N107" s="169">
        <f t="shared" si="206"/>
        <v>0</v>
      </c>
      <c r="O107" s="221">
        <f t="shared" si="203"/>
        <v>0</v>
      </c>
      <c r="P107" s="221" t="e">
        <f>#REF!</f>
        <v>#REF!</v>
      </c>
      <c r="Q107" s="169">
        <f t="shared" si="204"/>
        <v>0</v>
      </c>
      <c r="R107" s="169">
        <f t="shared" si="207"/>
        <v>0</v>
      </c>
      <c r="S107" s="169">
        <f t="shared" si="208"/>
        <v>0</v>
      </c>
      <c r="T107" s="169" t="e">
        <f>#REF!</f>
        <v>#REF!</v>
      </c>
      <c r="U107" s="169">
        <f t="shared" si="209"/>
        <v>0</v>
      </c>
      <c r="V107" s="169" t="e">
        <f>#REF!</f>
        <v>#REF!</v>
      </c>
      <c r="W107" s="169"/>
      <c r="X107" s="169"/>
      <c r="Y107" s="169"/>
      <c r="Z107" s="169"/>
      <c r="AA107" s="169" t="e">
        <f>#REF!</f>
        <v>#REF!</v>
      </c>
    </row>
    <row r="108" spans="1:27" hidden="1">
      <c r="A108" s="31" t="s">
        <v>77</v>
      </c>
      <c r="B108" s="169">
        <f t="shared" ref="B108:L108" si="218">B75</f>
        <v>9329063.8200000003</v>
      </c>
      <c r="C108" s="169" t="e">
        <f>C75+#REF!</f>
        <v>#REF!</v>
      </c>
      <c r="D108" s="169">
        <f t="shared" si="218"/>
        <v>0</v>
      </c>
      <c r="E108" s="169">
        <f t="shared" si="218"/>
        <v>12631166.850000001</v>
      </c>
      <c r="F108" s="169">
        <f t="shared" si="218"/>
        <v>0</v>
      </c>
      <c r="G108" s="169"/>
      <c r="H108" s="169"/>
      <c r="I108" s="169"/>
      <c r="J108" s="169"/>
      <c r="K108" s="169">
        <f t="shared" si="218"/>
        <v>0</v>
      </c>
      <c r="L108" s="169">
        <f t="shared" si="218"/>
        <v>0</v>
      </c>
      <c r="M108" s="169"/>
      <c r="N108" s="169">
        <f t="shared" si="206"/>
        <v>0</v>
      </c>
      <c r="O108" s="221">
        <f t="shared" si="203"/>
        <v>0</v>
      </c>
      <c r="P108" s="221" t="e">
        <f>#REF!</f>
        <v>#REF!</v>
      </c>
      <c r="Q108" s="169">
        <f t="shared" si="204"/>
        <v>0</v>
      </c>
      <c r="R108" s="169">
        <f t="shared" si="207"/>
        <v>0</v>
      </c>
      <c r="S108" s="169">
        <f t="shared" si="208"/>
        <v>0</v>
      </c>
      <c r="T108" s="169" t="e">
        <f>#REF!</f>
        <v>#REF!</v>
      </c>
      <c r="U108" s="169">
        <f t="shared" si="209"/>
        <v>0</v>
      </c>
      <c r="V108" s="169" t="e">
        <f>#REF!</f>
        <v>#REF!</v>
      </c>
      <c r="W108" s="169"/>
      <c r="X108" s="169"/>
      <c r="Y108" s="169"/>
      <c r="Z108" s="169"/>
      <c r="AA108" s="169" t="e">
        <f>#REF!</f>
        <v>#REF!</v>
      </c>
    </row>
    <row r="109" spans="1:27" hidden="1">
      <c r="A109" s="34" t="s">
        <v>45</v>
      </c>
      <c r="B109" s="169">
        <f t="shared" ref="B109:L109" si="219">B76</f>
        <v>594575306.05999994</v>
      </c>
      <c r="C109" s="169" t="e">
        <f>C76+#REF!</f>
        <v>#REF!</v>
      </c>
      <c r="D109" s="169">
        <f t="shared" si="219"/>
        <v>139563824.02999994</v>
      </c>
      <c r="E109" s="169">
        <f t="shared" si="219"/>
        <v>291149218.67999995</v>
      </c>
      <c r="F109" s="169">
        <f t="shared" si="219"/>
        <v>15855003.189999999</v>
      </c>
      <c r="G109" s="169"/>
      <c r="H109" s="169"/>
      <c r="I109" s="169"/>
      <c r="J109" s="169"/>
      <c r="K109" s="169">
        <f t="shared" si="219"/>
        <v>28515077.91</v>
      </c>
      <c r="L109" s="169">
        <f t="shared" si="219"/>
        <v>4231232.5600000005</v>
      </c>
      <c r="M109" s="169"/>
      <c r="N109" s="169">
        <f t="shared" si="206"/>
        <v>9193895.040000001</v>
      </c>
      <c r="O109" s="221">
        <f t="shared" si="203"/>
        <v>3401647.8499999996</v>
      </c>
      <c r="P109" s="221" t="e">
        <f>#REF!</f>
        <v>#REF!</v>
      </c>
      <c r="Q109" s="169">
        <f t="shared" si="204"/>
        <v>6382883.8100000005</v>
      </c>
      <c r="R109" s="169">
        <f t="shared" si="207"/>
        <v>10910729.729999999</v>
      </c>
      <c r="S109" s="169">
        <f t="shared" si="208"/>
        <v>10910729.729999999</v>
      </c>
      <c r="T109" s="169" t="e">
        <f>#REF!</f>
        <v>#REF!</v>
      </c>
      <c r="U109" s="169">
        <f t="shared" si="209"/>
        <v>6284480.7599999998</v>
      </c>
      <c r="V109" s="169" t="e">
        <f>#REF!</f>
        <v>#REF!</v>
      </c>
      <c r="W109" s="169"/>
      <c r="X109" s="169"/>
      <c r="Y109" s="169"/>
      <c r="Z109" s="169"/>
      <c r="AA109" s="169" t="e">
        <f>#REF!</f>
        <v>#REF!</v>
      </c>
    </row>
    <row r="110" spans="1:27" hidden="1">
      <c r="A110" s="32" t="s">
        <v>78</v>
      </c>
      <c r="B110" s="169">
        <f t="shared" ref="B110:L110" si="220">B77</f>
        <v>8503379.9600000009</v>
      </c>
      <c r="C110" s="169" t="e">
        <f>C77+#REF!</f>
        <v>#REF!</v>
      </c>
      <c r="D110" s="169">
        <f t="shared" si="220"/>
        <v>-1010927.279999999</v>
      </c>
      <c r="E110" s="169">
        <f t="shared" si="220"/>
        <v>5461012.4099999992</v>
      </c>
      <c r="F110" s="169">
        <f t="shared" si="220"/>
        <v>311989.44999999995</v>
      </c>
      <c r="G110" s="169"/>
      <c r="H110" s="169"/>
      <c r="I110" s="169"/>
      <c r="J110" s="169"/>
      <c r="K110" s="169">
        <f t="shared" si="220"/>
        <v>2035214.25</v>
      </c>
      <c r="L110" s="169">
        <f t="shared" si="220"/>
        <v>1584967.63</v>
      </c>
      <c r="M110" s="169"/>
      <c r="N110" s="169">
        <f t="shared" si="206"/>
        <v>-208436.66</v>
      </c>
      <c r="O110" s="221">
        <f t="shared" si="203"/>
        <v>50272.73</v>
      </c>
      <c r="P110" s="221" t="e">
        <f>#REF!</f>
        <v>#REF!</v>
      </c>
      <c r="Q110" s="169">
        <f t="shared" si="204"/>
        <v>0</v>
      </c>
      <c r="R110" s="169">
        <f t="shared" si="207"/>
        <v>91831.290000000008</v>
      </c>
      <c r="S110" s="169">
        <f t="shared" si="208"/>
        <v>91831.290000000008</v>
      </c>
      <c r="T110" s="169" t="e">
        <f>#REF!</f>
        <v>#REF!</v>
      </c>
      <c r="U110" s="169">
        <f t="shared" si="209"/>
        <v>-7341.75</v>
      </c>
      <c r="V110" s="169" t="e">
        <f>#REF!</f>
        <v>#REF!</v>
      </c>
      <c r="W110" s="169"/>
      <c r="X110" s="169"/>
      <c r="Y110" s="169"/>
      <c r="Z110" s="169"/>
      <c r="AA110" s="169" t="e">
        <f>#REF!</f>
        <v>#REF!</v>
      </c>
    </row>
    <row r="111" spans="1:27" hidden="1">
      <c r="A111" s="32" t="s">
        <v>79</v>
      </c>
      <c r="B111" s="169">
        <f t="shared" ref="B111:L111" si="221">B78</f>
        <v>582663696.08000004</v>
      </c>
      <c r="C111" s="169" t="e">
        <f>C78+#REF!</f>
        <v>#REF!</v>
      </c>
      <c r="D111" s="169">
        <f t="shared" si="221"/>
        <v>140574751.31</v>
      </c>
      <c r="E111" s="169">
        <f t="shared" si="221"/>
        <v>282279976.25</v>
      </c>
      <c r="F111" s="169">
        <f t="shared" si="221"/>
        <v>15543013.739999998</v>
      </c>
      <c r="G111" s="169"/>
      <c r="H111" s="169"/>
      <c r="I111" s="169"/>
      <c r="J111" s="169"/>
      <c r="K111" s="169">
        <f t="shared" si="221"/>
        <v>26479863.66</v>
      </c>
      <c r="L111" s="169">
        <f t="shared" si="221"/>
        <v>2646264.9300000002</v>
      </c>
      <c r="M111" s="169"/>
      <c r="N111" s="169">
        <f t="shared" si="206"/>
        <v>9402331.6999999993</v>
      </c>
      <c r="O111" s="221">
        <f t="shared" si="203"/>
        <v>3351375.12</v>
      </c>
      <c r="P111" s="221" t="e">
        <f>#REF!</f>
        <v>#REF!</v>
      </c>
      <c r="Q111" s="169">
        <f t="shared" si="204"/>
        <v>6382883.8100000005</v>
      </c>
      <c r="R111" s="169">
        <f t="shared" si="207"/>
        <v>10818898.439999999</v>
      </c>
      <c r="S111" s="169">
        <f t="shared" si="208"/>
        <v>10818898.439999999</v>
      </c>
      <c r="T111" s="169" t="e">
        <f>#REF!</f>
        <v>#REF!</v>
      </c>
      <c r="U111" s="169">
        <f t="shared" si="209"/>
        <v>6291822.5100000007</v>
      </c>
      <c r="V111" s="169" t="e">
        <f>#REF!</f>
        <v>#REF!</v>
      </c>
      <c r="W111" s="169"/>
      <c r="X111" s="169"/>
      <c r="Y111" s="169"/>
      <c r="Z111" s="169"/>
      <c r="AA111" s="169" t="e">
        <f>#REF!</f>
        <v>#REF!</v>
      </c>
    </row>
    <row r="112" spans="1:27" hidden="1">
      <c r="A112" s="32" t="s">
        <v>80</v>
      </c>
      <c r="B112" s="169">
        <f t="shared" ref="B112:L112" si="222">B79</f>
        <v>0</v>
      </c>
      <c r="C112" s="169" t="e">
        <f>C79+#REF!</f>
        <v>#REF!</v>
      </c>
      <c r="D112" s="169">
        <f t="shared" si="222"/>
        <v>0</v>
      </c>
      <c r="E112" s="169">
        <f t="shared" si="222"/>
        <v>0</v>
      </c>
      <c r="F112" s="169">
        <f t="shared" si="222"/>
        <v>0</v>
      </c>
      <c r="G112" s="169"/>
      <c r="H112" s="169"/>
      <c r="I112" s="169"/>
      <c r="J112" s="169"/>
      <c r="K112" s="169">
        <f t="shared" si="222"/>
        <v>0</v>
      </c>
      <c r="L112" s="169">
        <f t="shared" si="222"/>
        <v>0</v>
      </c>
      <c r="M112" s="169"/>
      <c r="N112" s="169">
        <f t="shared" si="206"/>
        <v>0</v>
      </c>
      <c r="O112" s="221">
        <f t="shared" si="203"/>
        <v>0</v>
      </c>
      <c r="P112" s="221" t="e">
        <f>#REF!</f>
        <v>#REF!</v>
      </c>
      <c r="Q112" s="169">
        <f t="shared" si="204"/>
        <v>0</v>
      </c>
      <c r="R112" s="169">
        <f t="shared" si="207"/>
        <v>0</v>
      </c>
      <c r="S112" s="169">
        <f t="shared" si="208"/>
        <v>0</v>
      </c>
      <c r="T112" s="169" t="e">
        <f>#REF!</f>
        <v>#REF!</v>
      </c>
      <c r="U112" s="169">
        <f t="shared" si="209"/>
        <v>0</v>
      </c>
      <c r="V112" s="169" t="e">
        <f>#REF!</f>
        <v>#REF!</v>
      </c>
      <c r="W112" s="169"/>
      <c r="X112" s="169"/>
      <c r="Y112" s="169"/>
      <c r="Z112" s="169"/>
      <c r="AA112" s="169" t="e">
        <f>#REF!</f>
        <v>#REF!</v>
      </c>
    </row>
    <row r="113" spans="1:27" hidden="1">
      <c r="A113" s="32" t="s">
        <v>81</v>
      </c>
      <c r="B113" s="169">
        <f t="shared" ref="B113:L113" si="223">B80</f>
        <v>3408230.02</v>
      </c>
      <c r="C113" s="169" t="e">
        <f>C80+#REF!</f>
        <v>#REF!</v>
      </c>
      <c r="D113" s="169">
        <f t="shared" si="223"/>
        <v>0</v>
      </c>
      <c r="E113" s="169">
        <f t="shared" si="223"/>
        <v>3408230.02</v>
      </c>
      <c r="F113" s="169">
        <f t="shared" si="223"/>
        <v>0</v>
      </c>
      <c r="G113" s="169"/>
      <c r="H113" s="169"/>
      <c r="I113" s="169"/>
      <c r="J113" s="169"/>
      <c r="K113" s="169">
        <f t="shared" si="223"/>
        <v>0</v>
      </c>
      <c r="L113" s="169">
        <f t="shared" si="223"/>
        <v>0</v>
      </c>
      <c r="M113" s="169"/>
      <c r="N113" s="169">
        <f t="shared" si="206"/>
        <v>0</v>
      </c>
      <c r="O113" s="221">
        <f t="shared" si="203"/>
        <v>0</v>
      </c>
      <c r="P113" s="221" t="e">
        <f>#REF!</f>
        <v>#REF!</v>
      </c>
      <c r="Q113" s="169">
        <f t="shared" si="204"/>
        <v>0</v>
      </c>
      <c r="R113" s="169">
        <f t="shared" si="207"/>
        <v>0</v>
      </c>
      <c r="S113" s="169">
        <f t="shared" si="208"/>
        <v>0</v>
      </c>
      <c r="T113" s="169" t="e">
        <f>#REF!</f>
        <v>#REF!</v>
      </c>
      <c r="U113" s="169">
        <f t="shared" si="209"/>
        <v>0</v>
      </c>
      <c r="V113" s="169" t="e">
        <f>#REF!</f>
        <v>#REF!</v>
      </c>
      <c r="W113" s="169"/>
      <c r="X113" s="169"/>
      <c r="Y113" s="169"/>
      <c r="Z113" s="169"/>
      <c r="AA113" s="169" t="e">
        <f>#REF!</f>
        <v>#REF!</v>
      </c>
    </row>
    <row r="114" spans="1:27" hidden="1">
      <c r="A114" s="34" t="s">
        <v>50</v>
      </c>
      <c r="B114" s="169">
        <f t="shared" ref="B114:L114" si="224">B81</f>
        <v>229359036.50333333</v>
      </c>
      <c r="C114" s="169" t="e">
        <f>C81+#REF!</f>
        <v>#REF!</v>
      </c>
      <c r="D114" s="169">
        <f t="shared" si="224"/>
        <v>-373240433.50966668</v>
      </c>
      <c r="E114" s="169">
        <f t="shared" si="224"/>
        <v>532756183.74256605</v>
      </c>
      <c r="F114" s="169">
        <f t="shared" si="224"/>
        <v>-238961973.7904906</v>
      </c>
      <c r="G114" s="169"/>
      <c r="H114" s="169"/>
      <c r="I114" s="169"/>
      <c r="J114" s="169"/>
      <c r="K114" s="169">
        <f t="shared" si="224"/>
        <v>176116117.83425787</v>
      </c>
      <c r="L114" s="169">
        <f t="shared" si="224"/>
        <v>53734548.240000002</v>
      </c>
      <c r="M114" s="169"/>
      <c r="N114" s="169">
        <f t="shared" si="206"/>
        <v>96277269.913333327</v>
      </c>
      <c r="O114" s="221">
        <f t="shared" si="203"/>
        <v>-421443.73000000045</v>
      </c>
      <c r="P114" s="221" t="e">
        <f>#REF!</f>
        <v>#REF!</v>
      </c>
      <c r="Q114" s="169">
        <f t="shared" si="204"/>
        <v>-6376030.4800000004</v>
      </c>
      <c r="R114" s="169">
        <f t="shared" si="207"/>
        <v>1924123.8400000003</v>
      </c>
      <c r="S114" s="169">
        <f t="shared" si="208"/>
        <v>1924123.8400000003</v>
      </c>
      <c r="T114" s="169" t="e">
        <f>#REF!</f>
        <v>#REF!</v>
      </c>
      <c r="U114" s="169">
        <f t="shared" si="209"/>
        <v>-6284480.7599999998</v>
      </c>
      <c r="V114" s="169" t="e">
        <f>#REF!</f>
        <v>#REF!</v>
      </c>
      <c r="W114" s="169"/>
      <c r="X114" s="169"/>
      <c r="Y114" s="169"/>
      <c r="Z114" s="169"/>
      <c r="AA114" s="169" t="e">
        <f>#REF!</f>
        <v>#REF!</v>
      </c>
    </row>
    <row r="115" spans="1:27" hidden="1">
      <c r="A115" s="32" t="s">
        <v>82</v>
      </c>
      <c r="B115" s="169">
        <f t="shared" ref="B115:L115" si="225">B82</f>
        <v>2127297.98</v>
      </c>
      <c r="C115" s="169" t="e">
        <f>C82+#REF!</f>
        <v>#REF!</v>
      </c>
      <c r="D115" s="169">
        <f t="shared" si="225"/>
        <v>1045785.48</v>
      </c>
      <c r="E115" s="169">
        <f t="shared" si="225"/>
        <v>404799.66000000003</v>
      </c>
      <c r="F115" s="169">
        <f t="shared" si="225"/>
        <v>10290.959999999999</v>
      </c>
      <c r="G115" s="169"/>
      <c r="H115" s="169"/>
      <c r="I115" s="169"/>
      <c r="J115" s="169"/>
      <c r="K115" s="169">
        <f t="shared" si="225"/>
        <v>0</v>
      </c>
      <c r="L115" s="169">
        <f t="shared" si="225"/>
        <v>0</v>
      </c>
      <c r="M115" s="169"/>
      <c r="N115" s="169">
        <f t="shared" si="206"/>
        <v>0</v>
      </c>
      <c r="O115" s="221">
        <f t="shared" si="203"/>
        <v>0</v>
      </c>
      <c r="P115" s="221" t="e">
        <f>#REF!</f>
        <v>#REF!</v>
      </c>
      <c r="Q115" s="169">
        <f t="shared" si="204"/>
        <v>0</v>
      </c>
      <c r="R115" s="169">
        <f t="shared" si="207"/>
        <v>0</v>
      </c>
      <c r="S115" s="169">
        <f t="shared" si="208"/>
        <v>0</v>
      </c>
      <c r="T115" s="169" t="e">
        <f>#REF!</f>
        <v>#REF!</v>
      </c>
      <c r="U115" s="169">
        <f t="shared" ref="U115:U124" si="226">AA82</f>
        <v>0</v>
      </c>
      <c r="V115" s="169" t="e">
        <f>#REF!</f>
        <v>#REF!</v>
      </c>
      <c r="W115" s="169"/>
      <c r="X115" s="169"/>
      <c r="Y115" s="169"/>
      <c r="Z115" s="169"/>
      <c r="AA115" s="169" t="e">
        <f>#REF!</f>
        <v>#REF!</v>
      </c>
    </row>
    <row r="116" spans="1:27" hidden="1">
      <c r="A116" s="32" t="s">
        <v>83</v>
      </c>
      <c r="B116" s="169">
        <f t="shared" ref="B116:L116" si="227">B83</f>
        <v>1829246.27</v>
      </c>
      <c r="C116" s="169" t="e">
        <f>C83+#REF!</f>
        <v>#REF!</v>
      </c>
      <c r="D116" s="169">
        <f t="shared" si="227"/>
        <v>1298872.54</v>
      </c>
      <c r="E116" s="169">
        <f t="shared" si="227"/>
        <v>527944.05999999994</v>
      </c>
      <c r="F116" s="169">
        <f t="shared" si="227"/>
        <v>837.5</v>
      </c>
      <c r="G116" s="169"/>
      <c r="H116" s="169"/>
      <c r="I116" s="169"/>
      <c r="J116" s="169"/>
      <c r="K116" s="169">
        <f t="shared" si="227"/>
        <v>1592.17</v>
      </c>
      <c r="L116" s="169">
        <f t="shared" si="227"/>
        <v>0</v>
      </c>
      <c r="M116" s="169"/>
      <c r="N116" s="169">
        <f t="shared" si="206"/>
        <v>0</v>
      </c>
      <c r="O116" s="221">
        <f t="shared" si="203"/>
        <v>0</v>
      </c>
      <c r="P116" s="221" t="e">
        <f>#REF!</f>
        <v>#REF!</v>
      </c>
      <c r="Q116" s="169">
        <f t="shared" si="204"/>
        <v>1592.17</v>
      </c>
      <c r="R116" s="169">
        <f t="shared" si="207"/>
        <v>0</v>
      </c>
      <c r="S116" s="169">
        <f t="shared" si="208"/>
        <v>0</v>
      </c>
      <c r="T116" s="169" t="e">
        <f>#REF!</f>
        <v>#REF!</v>
      </c>
      <c r="U116" s="169">
        <f t="shared" si="226"/>
        <v>0</v>
      </c>
      <c r="V116" s="169" t="e">
        <f>#REF!</f>
        <v>#REF!</v>
      </c>
      <c r="W116" s="169"/>
      <c r="X116" s="169"/>
      <c r="Y116" s="169"/>
      <c r="Z116" s="169"/>
      <c r="AA116" s="169" t="e">
        <f>#REF!</f>
        <v>#REF!</v>
      </c>
    </row>
    <row r="117" spans="1:27" hidden="1">
      <c r="A117" s="34" t="s">
        <v>53</v>
      </c>
      <c r="B117" s="169">
        <f t="shared" ref="B117:L117" si="228">B84</f>
        <v>229657088.21333331</v>
      </c>
      <c r="C117" s="169" t="e">
        <f>C84+#REF!</f>
        <v>#REF!</v>
      </c>
      <c r="D117" s="169">
        <f t="shared" si="228"/>
        <v>-373493520.56966674</v>
      </c>
      <c r="E117" s="169">
        <f t="shared" si="228"/>
        <v>532633039.34256607</v>
      </c>
      <c r="F117" s="169">
        <f t="shared" si="228"/>
        <v>-238952520.33049059</v>
      </c>
      <c r="G117" s="169"/>
      <c r="H117" s="169"/>
      <c r="I117" s="169"/>
      <c r="J117" s="169"/>
      <c r="K117" s="169">
        <f t="shared" si="228"/>
        <v>176114525.66425788</v>
      </c>
      <c r="L117" s="169">
        <f t="shared" si="228"/>
        <v>53734548.240000002</v>
      </c>
      <c r="M117" s="169"/>
      <c r="N117" s="169">
        <f t="shared" si="206"/>
        <v>96277269.913333327</v>
      </c>
      <c r="O117" s="221">
        <f t="shared" si="203"/>
        <v>-421443.73000000045</v>
      </c>
      <c r="P117" s="221" t="e">
        <f>#REF!</f>
        <v>#REF!</v>
      </c>
      <c r="Q117" s="169">
        <f t="shared" si="204"/>
        <v>-6377622.6500000004</v>
      </c>
      <c r="R117" s="169">
        <f t="shared" si="207"/>
        <v>1924123.8400000003</v>
      </c>
      <c r="S117" s="169">
        <f t="shared" si="208"/>
        <v>1924123.8400000003</v>
      </c>
      <c r="T117" s="169" t="e">
        <f>#REF!</f>
        <v>#REF!</v>
      </c>
      <c r="U117" s="169">
        <f t="shared" si="226"/>
        <v>-6284480.7599999998</v>
      </c>
      <c r="V117" s="169" t="e">
        <f>#REF!</f>
        <v>#REF!</v>
      </c>
      <c r="W117" s="169"/>
      <c r="X117" s="169"/>
      <c r="Y117" s="169"/>
      <c r="Z117" s="169"/>
      <c r="AA117" s="169" t="e">
        <f>#REF!</f>
        <v>#REF!</v>
      </c>
    </row>
    <row r="118" spans="1:27" hidden="1">
      <c r="A118" s="32" t="s">
        <v>84</v>
      </c>
      <c r="B118" s="169">
        <f t="shared" ref="B118:L118" si="229">B85</f>
        <v>97499333.159999996</v>
      </c>
      <c r="C118" s="169" t="e">
        <f>C85+#REF!</f>
        <v>#REF!</v>
      </c>
      <c r="D118" s="169">
        <f t="shared" si="229"/>
        <v>97498539.25999999</v>
      </c>
      <c r="E118" s="169">
        <f t="shared" si="229"/>
        <v>793.9</v>
      </c>
      <c r="F118" s="169">
        <f t="shared" si="229"/>
        <v>0</v>
      </c>
      <c r="G118" s="169"/>
      <c r="H118" s="169"/>
      <c r="I118" s="169"/>
      <c r="J118" s="169"/>
      <c r="K118" s="169">
        <f t="shared" si="229"/>
        <v>0</v>
      </c>
      <c r="L118" s="169">
        <f t="shared" si="229"/>
        <v>0</v>
      </c>
      <c r="M118" s="169"/>
      <c r="N118" s="169">
        <f t="shared" si="206"/>
        <v>0</v>
      </c>
      <c r="O118" s="221">
        <f t="shared" si="203"/>
        <v>0</v>
      </c>
      <c r="P118" s="221" t="e">
        <f>#REF!</f>
        <v>#REF!</v>
      </c>
      <c r="Q118" s="169">
        <f t="shared" si="204"/>
        <v>0</v>
      </c>
      <c r="R118" s="169">
        <f t="shared" si="207"/>
        <v>0</v>
      </c>
      <c r="S118" s="169">
        <f t="shared" si="208"/>
        <v>0</v>
      </c>
      <c r="T118" s="169" t="e">
        <f>#REF!</f>
        <v>#REF!</v>
      </c>
      <c r="U118" s="169">
        <f t="shared" si="226"/>
        <v>0</v>
      </c>
      <c r="V118" s="169" t="e">
        <f>#REF!</f>
        <v>#REF!</v>
      </c>
      <c r="W118" s="169"/>
      <c r="X118" s="169"/>
      <c r="Y118" s="169"/>
      <c r="Z118" s="169"/>
      <c r="AA118" s="169" t="e">
        <f>#REF!</f>
        <v>#REF!</v>
      </c>
    </row>
    <row r="119" spans="1:27" hidden="1">
      <c r="A119" s="34" t="s">
        <v>55</v>
      </c>
      <c r="B119" s="169">
        <f t="shared" ref="B119:L119" si="230">B86</f>
        <v>132157755.05333328</v>
      </c>
      <c r="C119" s="169" t="e">
        <f>C86+#REF!</f>
        <v>#REF!</v>
      </c>
      <c r="D119" s="169">
        <f t="shared" si="230"/>
        <v>-470992059.82966673</v>
      </c>
      <c r="E119" s="169">
        <f t="shared" si="230"/>
        <v>532632245.44256604</v>
      </c>
      <c r="F119" s="169">
        <f t="shared" si="230"/>
        <v>-238952520.33049059</v>
      </c>
      <c r="G119" s="169"/>
      <c r="H119" s="169"/>
      <c r="I119" s="169"/>
      <c r="J119" s="169"/>
      <c r="K119" s="169">
        <f t="shared" si="230"/>
        <v>176114525.66425788</v>
      </c>
      <c r="L119" s="169">
        <f t="shared" si="230"/>
        <v>53734548.240000002</v>
      </c>
      <c r="M119" s="169"/>
      <c r="N119" s="169">
        <f t="shared" si="206"/>
        <v>96277269.913333327</v>
      </c>
      <c r="O119" s="221">
        <f t="shared" si="203"/>
        <v>-421443.73000000045</v>
      </c>
      <c r="P119" s="221" t="e">
        <f>#REF!</f>
        <v>#REF!</v>
      </c>
      <c r="Q119" s="169">
        <f t="shared" si="204"/>
        <v>-6377622.6500000004</v>
      </c>
      <c r="R119" s="169">
        <f t="shared" si="207"/>
        <v>1924123.8400000003</v>
      </c>
      <c r="S119" s="169">
        <f t="shared" si="208"/>
        <v>1924123.8400000003</v>
      </c>
      <c r="T119" s="169" t="e">
        <f>#REF!</f>
        <v>#REF!</v>
      </c>
      <c r="U119" s="169">
        <f t="shared" si="226"/>
        <v>-6284480.7599999998</v>
      </c>
      <c r="V119" s="169" t="e">
        <f>#REF!</f>
        <v>#REF!</v>
      </c>
      <c r="W119" s="169"/>
      <c r="X119" s="169"/>
      <c r="Y119" s="169"/>
      <c r="Z119" s="169"/>
      <c r="AA119" s="169" t="e">
        <f>#REF!</f>
        <v>#REF!</v>
      </c>
    </row>
    <row r="120" spans="1:27" hidden="1">
      <c r="A120" s="36" t="s">
        <v>56</v>
      </c>
      <c r="B120" s="169">
        <f t="shared" ref="B120:L120" si="231">B87</f>
        <v>0</v>
      </c>
      <c r="C120" s="169" t="e">
        <f>C87+#REF!</f>
        <v>#REF!</v>
      </c>
      <c r="D120" s="169">
        <f t="shared" si="231"/>
        <v>0</v>
      </c>
      <c r="E120" s="169">
        <f t="shared" si="231"/>
        <v>0</v>
      </c>
      <c r="F120" s="169">
        <f t="shared" si="231"/>
        <v>0</v>
      </c>
      <c r="G120" s="169"/>
      <c r="H120" s="169"/>
      <c r="I120" s="169"/>
      <c r="J120" s="169"/>
      <c r="K120" s="169">
        <f t="shared" si="231"/>
        <v>0</v>
      </c>
      <c r="L120" s="169">
        <f t="shared" si="231"/>
        <v>0</v>
      </c>
      <c r="M120" s="169"/>
      <c r="N120" s="169">
        <f t="shared" si="206"/>
        <v>0</v>
      </c>
      <c r="O120" s="221">
        <f t="shared" si="203"/>
        <v>0</v>
      </c>
      <c r="P120" s="221" t="e">
        <f>#REF!</f>
        <v>#REF!</v>
      </c>
      <c r="Q120" s="169">
        <f t="shared" si="204"/>
        <v>0</v>
      </c>
      <c r="R120" s="169">
        <f t="shared" si="207"/>
        <v>0</v>
      </c>
      <c r="S120" s="169">
        <f t="shared" si="208"/>
        <v>0</v>
      </c>
      <c r="T120" s="169" t="e">
        <f>#REF!</f>
        <v>#REF!</v>
      </c>
      <c r="U120" s="169">
        <f t="shared" si="226"/>
        <v>0</v>
      </c>
      <c r="V120" s="169" t="e">
        <f>#REF!</f>
        <v>#REF!</v>
      </c>
      <c r="W120" s="169"/>
      <c r="X120" s="169"/>
      <c r="Y120" s="169"/>
      <c r="Z120" s="169"/>
      <c r="AA120" s="169" t="e">
        <f>#REF!</f>
        <v>#REF!</v>
      </c>
    </row>
    <row r="121" spans="1:27" ht="14.25" hidden="1" thickBot="1">
      <c r="A121" s="38" t="s">
        <v>57</v>
      </c>
      <c r="B121" s="169">
        <f t="shared" ref="B121:L121" si="232">B88</f>
        <v>132157755.05333328</v>
      </c>
      <c r="C121" s="169" t="e">
        <f>C88+#REF!</f>
        <v>#REF!</v>
      </c>
      <c r="D121" s="169">
        <f t="shared" si="232"/>
        <v>-470992059.82966673</v>
      </c>
      <c r="E121" s="169">
        <f t="shared" si="232"/>
        <v>532632245.44256604</v>
      </c>
      <c r="F121" s="169">
        <f t="shared" si="232"/>
        <v>-238952520.33049062</v>
      </c>
      <c r="G121" s="169"/>
      <c r="H121" s="169"/>
      <c r="I121" s="169"/>
      <c r="J121" s="169"/>
      <c r="K121" s="169">
        <f t="shared" si="232"/>
        <v>176114525.66425788</v>
      </c>
      <c r="L121" s="169">
        <f t="shared" si="232"/>
        <v>53734548.240000002</v>
      </c>
      <c r="M121" s="169"/>
      <c r="N121" s="169">
        <f t="shared" si="206"/>
        <v>96277269.913333341</v>
      </c>
      <c r="O121" s="221">
        <f t="shared" si="203"/>
        <v>-421443.73000000045</v>
      </c>
      <c r="P121" s="221" t="e">
        <f>#REF!</f>
        <v>#REF!</v>
      </c>
      <c r="Q121" s="169">
        <f t="shared" si="204"/>
        <v>-6377622.6500000004</v>
      </c>
      <c r="R121" s="169">
        <f t="shared" si="207"/>
        <v>1924123.8400000003</v>
      </c>
      <c r="S121" s="169">
        <f t="shared" si="208"/>
        <v>1924123.8400000003</v>
      </c>
      <c r="T121" s="169" t="e">
        <f>#REF!</f>
        <v>#REF!</v>
      </c>
      <c r="U121" s="169">
        <f t="shared" si="226"/>
        <v>-6284480.7599999998</v>
      </c>
      <c r="V121" s="169" t="e">
        <f>#REF!</f>
        <v>#REF!</v>
      </c>
      <c r="W121" s="169"/>
      <c r="X121" s="169"/>
      <c r="Y121" s="169"/>
      <c r="Z121" s="169"/>
      <c r="AA121" s="169" t="e">
        <f>#REF!</f>
        <v>#REF!</v>
      </c>
    </row>
    <row r="122" spans="1:27" hidden="1">
      <c r="A122" s="169"/>
      <c r="B122" s="169">
        <f t="shared" ref="B122:L122" si="233">B89</f>
        <v>0</v>
      </c>
      <c r="C122" s="169" t="e">
        <f>C89+#REF!</f>
        <v>#REF!</v>
      </c>
      <c r="D122" s="169">
        <f t="shared" si="233"/>
        <v>0</v>
      </c>
      <c r="E122" s="169">
        <f t="shared" si="233"/>
        <v>0</v>
      </c>
      <c r="F122" s="169">
        <f t="shared" si="233"/>
        <v>0</v>
      </c>
      <c r="G122" s="169"/>
      <c r="H122" s="169"/>
      <c r="I122" s="169"/>
      <c r="J122" s="169"/>
      <c r="K122" s="169">
        <f t="shared" si="233"/>
        <v>0</v>
      </c>
      <c r="L122" s="169">
        <f t="shared" si="233"/>
        <v>0</v>
      </c>
      <c r="M122" s="169"/>
      <c r="N122" s="169">
        <f t="shared" si="206"/>
        <v>0</v>
      </c>
      <c r="O122" s="221">
        <f t="shared" si="203"/>
        <v>0</v>
      </c>
      <c r="P122" s="221" t="e">
        <f>#REF!</f>
        <v>#REF!</v>
      </c>
      <c r="Q122" s="169">
        <f t="shared" si="204"/>
        <v>0</v>
      </c>
      <c r="R122" s="169">
        <f t="shared" si="207"/>
        <v>0</v>
      </c>
      <c r="S122" s="169">
        <f t="shared" si="208"/>
        <v>0</v>
      </c>
      <c r="T122" s="169" t="e">
        <f>#REF!</f>
        <v>#REF!</v>
      </c>
      <c r="U122" s="169">
        <f t="shared" si="226"/>
        <v>0</v>
      </c>
      <c r="V122" s="169" t="e">
        <f>#REF!</f>
        <v>#REF!</v>
      </c>
      <c r="W122" s="169"/>
      <c r="X122" s="169"/>
      <c r="Y122" s="169"/>
      <c r="Z122" s="169"/>
      <c r="AA122" s="169" t="e">
        <f>#REF!</f>
        <v>#REF!</v>
      </c>
    </row>
    <row r="123" spans="1:27" hidden="1">
      <c r="A123" s="42" t="s">
        <v>60</v>
      </c>
      <c r="B123" s="169">
        <f t="shared" ref="B123:L124" si="234">B90</f>
        <v>434583819.50013334</v>
      </c>
      <c r="C123" s="169" t="e">
        <f>C90+#REF!</f>
        <v>#REF!</v>
      </c>
      <c r="D123" s="169">
        <f t="shared" si="234"/>
        <v>0</v>
      </c>
      <c r="E123" s="169">
        <f t="shared" si="234"/>
        <v>234924482</v>
      </c>
      <c r="F123" s="169">
        <f t="shared" si="234"/>
        <v>44089001.227699995</v>
      </c>
      <c r="G123" s="169"/>
      <c r="H123" s="169"/>
      <c r="I123" s="169"/>
      <c r="J123" s="169"/>
      <c r="K123" s="169">
        <f t="shared" si="234"/>
        <v>155525007.61243334</v>
      </c>
      <c r="L123" s="169">
        <f t="shared" si="234"/>
        <v>34661915.204366662</v>
      </c>
      <c r="M123" s="169"/>
      <c r="N123" s="169">
        <f t="shared" si="206"/>
        <v>84637704.666666657</v>
      </c>
      <c r="O123" s="221">
        <f t="shared" si="203"/>
        <v>1335490</v>
      </c>
      <c r="P123" s="221" t="e">
        <f>#REF!</f>
        <v>#REF!</v>
      </c>
      <c r="Q123" s="169">
        <f t="shared" si="204"/>
        <v>0</v>
      </c>
      <c r="R123" s="169">
        <f t="shared" si="207"/>
        <v>0</v>
      </c>
      <c r="S123" s="169">
        <f t="shared" si="208"/>
        <v>0</v>
      </c>
      <c r="T123" s="169" t="e">
        <f>#REF!</f>
        <v>#REF!</v>
      </c>
      <c r="U123" s="169">
        <f t="shared" si="226"/>
        <v>0</v>
      </c>
      <c r="V123" s="169" t="e">
        <f>#REF!</f>
        <v>#REF!</v>
      </c>
      <c r="W123" s="169"/>
      <c r="X123" s="169"/>
      <c r="Y123" s="169"/>
      <c r="Z123" s="169"/>
      <c r="AA123" s="169" t="e">
        <f>#REF!</f>
        <v>#REF!</v>
      </c>
    </row>
    <row r="124" spans="1:27" ht="14.25" hidden="1" thickBot="1">
      <c r="A124" s="44" t="s">
        <v>65</v>
      </c>
      <c r="B124" s="169">
        <f>B91</f>
        <v>132157755.05333328</v>
      </c>
      <c r="C124" s="169" t="e">
        <f>C91+#REF!</f>
        <v>#REF!</v>
      </c>
      <c r="D124" s="169">
        <f t="shared" si="234"/>
        <v>-470992059.82966673</v>
      </c>
      <c r="E124" s="169">
        <f t="shared" si="234"/>
        <v>297707763.44256604</v>
      </c>
      <c r="F124" s="169">
        <f t="shared" si="234"/>
        <v>-283041521.55819058</v>
      </c>
      <c r="G124" s="169"/>
      <c r="H124" s="169"/>
      <c r="I124" s="169"/>
      <c r="J124" s="169"/>
      <c r="K124" s="169">
        <f t="shared" si="234"/>
        <v>20589518.05182454</v>
      </c>
      <c r="L124" s="169">
        <f t="shared" si="234"/>
        <v>19072633.03563334</v>
      </c>
      <c r="M124" s="169"/>
      <c r="N124" s="169">
        <f t="shared" si="206"/>
        <v>11639565.246666677</v>
      </c>
      <c r="O124" s="221">
        <f t="shared" si="203"/>
        <v>-1756933.7300000004</v>
      </c>
      <c r="P124" s="221" t="e">
        <f>#REF!</f>
        <v>#REF!</v>
      </c>
      <c r="Q124" s="169">
        <f t="shared" si="204"/>
        <v>-6377622.6500000004</v>
      </c>
      <c r="R124" s="169">
        <f t="shared" si="207"/>
        <v>1924123.8400000003</v>
      </c>
      <c r="S124" s="169">
        <f t="shared" si="208"/>
        <v>1924123.8400000003</v>
      </c>
      <c r="T124" s="169" t="e">
        <f>#REF!</f>
        <v>#REF!</v>
      </c>
      <c r="U124" s="169">
        <f t="shared" si="226"/>
        <v>-6284480.7599999998</v>
      </c>
      <c r="V124" s="169" t="e">
        <f>#REF!</f>
        <v>#REF!</v>
      </c>
      <c r="W124" s="169"/>
      <c r="X124" s="169"/>
      <c r="Y124" s="169"/>
      <c r="Z124" s="169"/>
      <c r="AA124" s="169" t="e">
        <f>#REF!</f>
        <v>#REF!</v>
      </c>
    </row>
    <row r="125" spans="1:27">
      <c r="L125" s="169"/>
      <c r="U125" s="169">
        <f>U91-[3]累计利润调整表!$R$90</f>
        <v>349635.85897690058</v>
      </c>
    </row>
    <row r="126" spans="1:27">
      <c r="B126" s="169"/>
      <c r="L126" s="169"/>
    </row>
    <row r="128" spans="1:27">
      <c r="L128" s="169"/>
    </row>
    <row r="129" spans="12:12">
      <c r="L129" s="169"/>
    </row>
  </sheetData>
  <mergeCells count="1">
    <mergeCell ref="A1:AA1"/>
  </mergeCells>
  <phoneticPr fontId="3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0"/>
  <sheetViews>
    <sheetView workbookViewId="0">
      <pane xSplit="3" ySplit="4" topLeftCell="D134" activePane="bottomRight" state="frozen"/>
      <selection pane="topRight"/>
      <selection pane="bottomLeft"/>
      <selection pane="bottomRight" activeCell="C4" sqref="C4:AC52"/>
    </sheetView>
  </sheetViews>
  <sheetFormatPr defaultColWidth="9" defaultRowHeight="13.5"/>
  <cols>
    <col min="1" max="1" width="6" style="147" customWidth="1"/>
    <col min="2" max="2" width="17.375" style="147" customWidth="1"/>
    <col min="3" max="3" width="18" style="147" customWidth="1"/>
    <col min="4" max="4" width="16.375" style="147" customWidth="1"/>
    <col min="5" max="5" width="19.25" style="147" customWidth="1"/>
    <col min="6" max="6" width="18.375" style="147" customWidth="1"/>
    <col min="7" max="7" width="17.25" style="147" customWidth="1"/>
    <col min="8" max="11" width="14.625" style="147" customWidth="1"/>
    <col min="12" max="12" width="17.75" style="147" customWidth="1"/>
    <col min="13" max="14" width="16.75" style="147" customWidth="1"/>
    <col min="15" max="15" width="16.125" style="147" customWidth="1"/>
    <col min="16" max="16" width="15.5" style="147" customWidth="1"/>
    <col min="17" max="17" width="16.125" style="147" customWidth="1"/>
    <col min="18" max="18" width="17.5" style="147" customWidth="1"/>
    <col min="19" max="19" width="15.25" style="147" customWidth="1"/>
    <col min="20" max="20" width="17.25" style="148" customWidth="1"/>
    <col min="21" max="21" width="18.625" style="148" customWidth="1"/>
    <col min="22" max="27" width="17.25" style="148" customWidth="1"/>
    <col min="28" max="28" width="16.125" style="147" customWidth="1"/>
    <col min="29" max="29" width="16.25" style="147" customWidth="1"/>
    <col min="30" max="16384" width="9" style="147"/>
  </cols>
  <sheetData>
    <row r="1" spans="1:30" s="145" customFormat="1" ht="21" customHeight="1">
      <c r="A1" s="149" t="s">
        <v>489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</row>
    <row r="2" spans="1:30" ht="14.25" thickBot="1">
      <c r="A2" s="151"/>
      <c r="B2" s="152" t="s">
        <v>85</v>
      </c>
      <c r="C2" s="153" t="s">
        <v>1</v>
      </c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62"/>
      <c r="P2" s="162"/>
      <c r="Q2" s="162"/>
      <c r="R2" s="151"/>
      <c r="S2" s="151"/>
      <c r="T2" s="163"/>
      <c r="U2" s="163"/>
      <c r="V2" s="163"/>
      <c r="W2" s="163"/>
      <c r="X2" s="163"/>
      <c r="Y2" s="163"/>
      <c r="Z2" s="163"/>
      <c r="AA2" s="163"/>
      <c r="AB2" s="151"/>
      <c r="AC2" s="151"/>
    </row>
    <row r="3" spans="1:30">
      <c r="A3" s="17" t="s">
        <v>86</v>
      </c>
      <c r="B3" s="18" t="s">
        <v>87</v>
      </c>
      <c r="C3" s="18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19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414</v>
      </c>
      <c r="S3" s="24" t="s">
        <v>411</v>
      </c>
      <c r="T3" s="18" t="s">
        <v>20</v>
      </c>
      <c r="U3" s="24" t="s">
        <v>21</v>
      </c>
      <c r="V3" s="24" t="s">
        <v>22</v>
      </c>
      <c r="W3" s="24" t="s">
        <v>23</v>
      </c>
      <c r="X3" s="24" t="s">
        <v>24</v>
      </c>
      <c r="Y3" s="24" t="s">
        <v>25</v>
      </c>
      <c r="Z3" s="24" t="s">
        <v>26</v>
      </c>
      <c r="AA3" s="24" t="s">
        <v>505</v>
      </c>
      <c r="AB3" s="19" t="s">
        <v>27</v>
      </c>
      <c r="AC3" s="19" t="s">
        <v>499</v>
      </c>
    </row>
    <row r="4" spans="1:30" ht="13.5" customHeight="1">
      <c r="A4" s="257" t="s">
        <v>88</v>
      </c>
      <c r="B4" s="222" t="s">
        <v>89</v>
      </c>
      <c r="C4" s="154">
        <v>178639573.28</v>
      </c>
      <c r="D4" s="154">
        <v>0</v>
      </c>
      <c r="E4" s="154">
        <v>43193866.829999991</v>
      </c>
      <c r="F4" s="154">
        <v>88561244.750000015</v>
      </c>
      <c r="G4" s="154">
        <v>8228077.5499999989</v>
      </c>
      <c r="H4" s="154">
        <v>2301080.9499999993</v>
      </c>
      <c r="I4" s="154">
        <v>1899277.54</v>
      </c>
      <c r="J4" s="154">
        <v>1392119.2</v>
      </c>
      <c r="K4" s="154">
        <v>2635599.86</v>
      </c>
      <c r="L4" s="154">
        <v>11369397.950000001</v>
      </c>
      <c r="M4" s="154">
        <v>802647.28</v>
      </c>
      <c r="N4" s="154">
        <v>1535575.0700000003</v>
      </c>
      <c r="O4" s="154">
        <v>578530.90000000014</v>
      </c>
      <c r="P4" s="154">
        <v>3314726.26</v>
      </c>
      <c r="Q4" s="154">
        <v>1729592.11</v>
      </c>
      <c r="R4" s="154">
        <v>1909214.5299999998</v>
      </c>
      <c r="S4" s="154">
        <v>1499111.8000000003</v>
      </c>
      <c r="T4" s="154">
        <v>21364017.190000001</v>
      </c>
      <c r="U4" s="154">
        <v>4969968.25</v>
      </c>
      <c r="V4" s="154">
        <v>6857196.9400000004</v>
      </c>
      <c r="W4" s="154">
        <v>8866469.629999999</v>
      </c>
      <c r="X4" s="154">
        <v>221732</v>
      </c>
      <c r="Y4" s="154">
        <v>322283.14</v>
      </c>
      <c r="Z4" s="154">
        <v>126367.23</v>
      </c>
      <c r="AA4" s="154">
        <v>0</v>
      </c>
      <c r="AB4" s="154">
        <v>2633528.4099999997</v>
      </c>
      <c r="AC4" s="154">
        <v>3289440.5999999996</v>
      </c>
      <c r="AD4" s="154"/>
    </row>
    <row r="5" spans="1:30">
      <c r="A5" s="258"/>
      <c r="B5" s="222" t="s">
        <v>90</v>
      </c>
      <c r="C5" s="154">
        <v>2862787.3</v>
      </c>
      <c r="D5" s="154">
        <v>0</v>
      </c>
      <c r="E5" s="154">
        <v>917075.84999999986</v>
      </c>
      <c r="F5" s="154">
        <v>1136759.1199999999</v>
      </c>
      <c r="G5" s="154">
        <v>140135.92000000001</v>
      </c>
      <c r="H5" s="154">
        <v>80690.739999999991</v>
      </c>
      <c r="I5" s="154">
        <v>49877.08</v>
      </c>
      <c r="J5" s="154">
        <v>4305.68</v>
      </c>
      <c r="K5" s="154">
        <v>5262.42</v>
      </c>
      <c r="L5" s="154">
        <v>50284.36</v>
      </c>
      <c r="M5" s="154">
        <v>6530</v>
      </c>
      <c r="N5" s="154">
        <v>3395</v>
      </c>
      <c r="O5" s="154">
        <v>1630</v>
      </c>
      <c r="P5" s="154">
        <v>19727.599999999999</v>
      </c>
      <c r="Q5" s="154">
        <v>12040</v>
      </c>
      <c r="R5" s="154">
        <v>3150.86</v>
      </c>
      <c r="S5" s="154">
        <v>3810.9</v>
      </c>
      <c r="T5" s="154">
        <v>382024.25</v>
      </c>
      <c r="U5" s="154">
        <v>103500.62</v>
      </c>
      <c r="V5" s="154">
        <v>189069.51</v>
      </c>
      <c r="W5" s="154">
        <v>89209.12</v>
      </c>
      <c r="X5" s="154">
        <v>245</v>
      </c>
      <c r="Y5" s="154">
        <v>0</v>
      </c>
      <c r="Z5" s="154">
        <v>0</v>
      </c>
      <c r="AA5" s="154">
        <v>0</v>
      </c>
      <c r="AB5" s="154">
        <v>132302.79999999999</v>
      </c>
      <c r="AC5" s="154">
        <v>104205</v>
      </c>
    </row>
    <row r="6" spans="1:30">
      <c r="A6" s="258"/>
      <c r="B6" s="222" t="s">
        <v>91</v>
      </c>
      <c r="C6" s="154">
        <v>5847150.0499999998</v>
      </c>
      <c r="D6" s="154">
        <v>0</v>
      </c>
      <c r="E6" s="154">
        <v>535967.05999999982</v>
      </c>
      <c r="F6" s="154">
        <v>2991776.19</v>
      </c>
      <c r="G6" s="154">
        <v>187385.12</v>
      </c>
      <c r="H6" s="154">
        <v>56834.979999999996</v>
      </c>
      <c r="I6" s="154">
        <v>38237.960000000006</v>
      </c>
      <c r="J6" s="154">
        <v>28343.179999999997</v>
      </c>
      <c r="K6" s="154">
        <v>63968.999999999993</v>
      </c>
      <c r="L6" s="154">
        <v>230431.57</v>
      </c>
      <c r="M6" s="154">
        <v>15839.72</v>
      </c>
      <c r="N6" s="154">
        <v>31435.11</v>
      </c>
      <c r="O6" s="154">
        <v>11763.81</v>
      </c>
      <c r="P6" s="154">
        <v>67209.33</v>
      </c>
      <c r="Q6" s="154">
        <v>35087.43</v>
      </c>
      <c r="R6" s="154">
        <v>38769.490000000005</v>
      </c>
      <c r="S6" s="154">
        <v>30326.68</v>
      </c>
      <c r="T6" s="154">
        <v>1781586.2000000002</v>
      </c>
      <c r="U6" s="154">
        <v>128661.03000000001</v>
      </c>
      <c r="V6" s="154">
        <v>1352961.9500000002</v>
      </c>
      <c r="W6" s="154">
        <v>286555.58</v>
      </c>
      <c r="X6" s="154">
        <v>4434.6400000000003</v>
      </c>
      <c r="Y6" s="154">
        <v>6445.66</v>
      </c>
      <c r="Z6" s="154">
        <v>2527.34</v>
      </c>
      <c r="AA6" s="154">
        <v>0</v>
      </c>
      <c r="AB6" s="154">
        <v>52670.569999999992</v>
      </c>
      <c r="AC6" s="154">
        <v>67333.34</v>
      </c>
    </row>
    <row r="7" spans="1:30">
      <c r="A7" s="258"/>
      <c r="B7" s="222" t="s">
        <v>92</v>
      </c>
      <c r="C7" s="154">
        <v>4390523.2700000005</v>
      </c>
      <c r="D7" s="154">
        <v>0</v>
      </c>
      <c r="E7" s="154">
        <v>1620117.8900000006</v>
      </c>
      <c r="F7" s="154">
        <v>1734085.73</v>
      </c>
      <c r="G7" s="154">
        <v>112370.73000000001</v>
      </c>
      <c r="H7" s="154">
        <v>47330.610000000008</v>
      </c>
      <c r="I7" s="154">
        <v>15555.99</v>
      </c>
      <c r="J7" s="154">
        <v>18873.52</v>
      </c>
      <c r="K7" s="154">
        <v>30610.61</v>
      </c>
      <c r="L7" s="154">
        <v>164470.88000000003</v>
      </c>
      <c r="M7" s="154">
        <v>21940.5</v>
      </c>
      <c r="N7" s="154">
        <v>37498.99</v>
      </c>
      <c r="O7" s="154">
        <v>15033.65</v>
      </c>
      <c r="P7" s="154">
        <v>29990.65</v>
      </c>
      <c r="Q7" s="154">
        <v>18390.82</v>
      </c>
      <c r="R7" s="154">
        <v>26324.42</v>
      </c>
      <c r="S7" s="154">
        <v>15291.85</v>
      </c>
      <c r="T7" s="154">
        <v>670849.35</v>
      </c>
      <c r="U7" s="154">
        <v>77881.8</v>
      </c>
      <c r="V7" s="154">
        <v>402417.86</v>
      </c>
      <c r="W7" s="154">
        <v>190549.69</v>
      </c>
      <c r="X7" s="154">
        <v>0</v>
      </c>
      <c r="Y7" s="154">
        <v>0</v>
      </c>
      <c r="Z7" s="154">
        <v>0</v>
      </c>
      <c r="AA7" s="154">
        <v>0</v>
      </c>
      <c r="AB7" s="154">
        <v>46603.010000000009</v>
      </c>
      <c r="AC7" s="154">
        <v>42025.679999999993</v>
      </c>
    </row>
    <row r="8" spans="1:30">
      <c r="A8" s="258"/>
      <c r="B8" s="222" t="s">
        <v>93</v>
      </c>
      <c r="C8" s="154">
        <v>46424434.559999995</v>
      </c>
      <c r="D8" s="154">
        <v>0</v>
      </c>
      <c r="E8" s="154">
        <v>10013326.789999995</v>
      </c>
      <c r="F8" s="154">
        <v>24876863.120000001</v>
      </c>
      <c r="G8" s="154">
        <v>2112946.88</v>
      </c>
      <c r="H8" s="154">
        <v>635284.84</v>
      </c>
      <c r="I8" s="154">
        <v>586895.29999999993</v>
      </c>
      <c r="J8" s="154">
        <v>340721.5</v>
      </c>
      <c r="K8" s="154">
        <v>550045.24</v>
      </c>
      <c r="L8" s="154">
        <v>2403856.34</v>
      </c>
      <c r="M8" s="154">
        <v>118492.68</v>
      </c>
      <c r="N8" s="154">
        <v>348288.22</v>
      </c>
      <c r="O8" s="154">
        <v>100498.79999999999</v>
      </c>
      <c r="P8" s="154">
        <v>780342.91999999993</v>
      </c>
      <c r="Q8" s="154">
        <v>355181.51999999996</v>
      </c>
      <c r="R8" s="154">
        <v>354808.29000000004</v>
      </c>
      <c r="S8" s="154">
        <v>346243.91</v>
      </c>
      <c r="T8" s="154">
        <v>5199765.72</v>
      </c>
      <c r="U8" s="154">
        <v>1482968.81</v>
      </c>
      <c r="V8" s="154">
        <v>1856378.7200000002</v>
      </c>
      <c r="W8" s="154">
        <v>1599021.4799999997</v>
      </c>
      <c r="X8" s="154">
        <v>35016</v>
      </c>
      <c r="Y8" s="154">
        <v>159947.40999999997</v>
      </c>
      <c r="Z8" s="154">
        <v>66433.3</v>
      </c>
      <c r="AA8" s="154">
        <v>0</v>
      </c>
      <c r="AB8" s="154">
        <v>712504.40999999992</v>
      </c>
      <c r="AC8" s="154">
        <v>1105171.2999999998</v>
      </c>
    </row>
    <row r="9" spans="1:30">
      <c r="A9" s="258"/>
      <c r="B9" s="222" t="s">
        <v>94</v>
      </c>
      <c r="C9" s="154">
        <v>359744.37</v>
      </c>
      <c r="D9" s="154">
        <v>0</v>
      </c>
      <c r="E9" s="154">
        <v>200000</v>
      </c>
      <c r="F9" s="154">
        <v>112749</v>
      </c>
      <c r="G9" s="154">
        <v>46995.37</v>
      </c>
      <c r="H9" s="154">
        <v>0</v>
      </c>
      <c r="I9" s="154">
        <v>0</v>
      </c>
      <c r="J9" s="154">
        <v>0</v>
      </c>
      <c r="K9" s="154">
        <v>46995.37</v>
      </c>
      <c r="L9" s="154">
        <v>0</v>
      </c>
      <c r="M9" s="154">
        <v>0</v>
      </c>
      <c r="N9" s="154">
        <v>0</v>
      </c>
      <c r="O9" s="154">
        <v>0</v>
      </c>
      <c r="P9" s="154">
        <v>0</v>
      </c>
      <c r="Q9" s="154">
        <v>0</v>
      </c>
      <c r="R9" s="154">
        <v>0</v>
      </c>
      <c r="S9" s="154">
        <v>0</v>
      </c>
      <c r="T9" s="154">
        <v>0</v>
      </c>
      <c r="U9" s="154">
        <v>0</v>
      </c>
      <c r="V9" s="154">
        <v>0</v>
      </c>
      <c r="W9" s="154">
        <v>0</v>
      </c>
      <c r="X9" s="154">
        <v>0</v>
      </c>
      <c r="Y9" s="154">
        <v>0</v>
      </c>
      <c r="Z9" s="154">
        <v>0</v>
      </c>
      <c r="AA9" s="154">
        <v>0</v>
      </c>
      <c r="AB9" s="154">
        <v>0</v>
      </c>
      <c r="AC9" s="154">
        <v>0</v>
      </c>
    </row>
    <row r="10" spans="1:30">
      <c r="A10" s="258"/>
      <c r="B10" s="222" t="s">
        <v>95</v>
      </c>
      <c r="C10" s="154">
        <v>2717786.3699999996</v>
      </c>
      <c r="D10" s="154">
        <v>0</v>
      </c>
      <c r="E10" s="154">
        <v>2571462.1899999995</v>
      </c>
      <c r="F10" s="154">
        <v>141491.78</v>
      </c>
      <c r="G10" s="154">
        <v>12734.400000000001</v>
      </c>
      <c r="H10" s="154">
        <v>14625</v>
      </c>
      <c r="I10" s="154">
        <v>-945.3</v>
      </c>
      <c r="J10" s="154">
        <v>0</v>
      </c>
      <c r="K10" s="154">
        <v>-945.3</v>
      </c>
      <c r="L10" s="154">
        <v>-945.3</v>
      </c>
      <c r="M10" s="154">
        <v>0</v>
      </c>
      <c r="N10" s="154">
        <v>0</v>
      </c>
      <c r="O10" s="154">
        <v>0</v>
      </c>
      <c r="P10" s="154">
        <v>0</v>
      </c>
      <c r="Q10" s="154">
        <v>0</v>
      </c>
      <c r="R10" s="154">
        <v>0</v>
      </c>
      <c r="S10" s="154">
        <v>-945.3</v>
      </c>
      <c r="T10" s="154">
        <v>-3950.9999999999995</v>
      </c>
      <c r="U10" s="154">
        <v>-1115.0999999999999</v>
      </c>
      <c r="V10" s="154">
        <v>-945.3</v>
      </c>
      <c r="W10" s="154">
        <v>-1890.6</v>
      </c>
      <c r="X10" s="154">
        <v>0</v>
      </c>
      <c r="Y10" s="154">
        <v>0</v>
      </c>
      <c r="Z10" s="154">
        <v>0</v>
      </c>
      <c r="AA10" s="154">
        <v>0</v>
      </c>
      <c r="AB10" s="154">
        <v>-945.3</v>
      </c>
      <c r="AC10" s="154">
        <v>-2060.3999999999996</v>
      </c>
    </row>
    <row r="11" spans="1:30">
      <c r="A11" s="258"/>
      <c r="B11" s="222" t="s">
        <v>96</v>
      </c>
      <c r="C11" s="154">
        <v>2325714.4899999998</v>
      </c>
      <c r="D11" s="154">
        <v>0</v>
      </c>
      <c r="E11" s="154">
        <v>437599.99999999953</v>
      </c>
      <c r="F11" s="154">
        <v>1558166.2100000002</v>
      </c>
      <c r="G11" s="154">
        <v>103940</v>
      </c>
      <c r="H11" s="154">
        <v>26120</v>
      </c>
      <c r="I11" s="154">
        <v>12620</v>
      </c>
      <c r="J11" s="154">
        <v>25040</v>
      </c>
      <c r="K11" s="154">
        <v>40160</v>
      </c>
      <c r="L11" s="154">
        <v>148780</v>
      </c>
      <c r="M11" s="154">
        <v>-10660</v>
      </c>
      <c r="N11" s="154">
        <v>36180</v>
      </c>
      <c r="O11" s="154">
        <v>9660</v>
      </c>
      <c r="P11" s="154">
        <v>45740</v>
      </c>
      <c r="Q11" s="154">
        <v>24780</v>
      </c>
      <c r="R11" s="154">
        <v>25860</v>
      </c>
      <c r="S11" s="154">
        <v>17220</v>
      </c>
      <c r="T11" s="154">
        <v>0</v>
      </c>
      <c r="U11" s="154">
        <v>0</v>
      </c>
      <c r="V11" s="154">
        <v>0</v>
      </c>
      <c r="W11" s="154">
        <v>0</v>
      </c>
      <c r="X11" s="154">
        <v>0</v>
      </c>
      <c r="Y11" s="154">
        <v>0</v>
      </c>
      <c r="Z11" s="154">
        <v>0</v>
      </c>
      <c r="AA11" s="154">
        <v>0</v>
      </c>
      <c r="AB11" s="154">
        <v>0</v>
      </c>
      <c r="AC11" s="154">
        <v>77228.28</v>
      </c>
    </row>
    <row r="12" spans="1:30">
      <c r="A12" s="258"/>
      <c r="B12" s="222" t="s">
        <v>97</v>
      </c>
      <c r="C12" s="154">
        <v>3398813.2</v>
      </c>
      <c r="D12" s="154">
        <v>0</v>
      </c>
      <c r="E12" s="154">
        <v>1261860.1500000004</v>
      </c>
      <c r="F12" s="154">
        <v>906097.62</v>
      </c>
      <c r="G12" s="154">
        <v>0</v>
      </c>
      <c r="H12" s="154">
        <v>0</v>
      </c>
      <c r="I12" s="154">
        <v>0</v>
      </c>
      <c r="J12" s="154">
        <v>0</v>
      </c>
      <c r="K12" s="154">
        <v>0</v>
      </c>
      <c r="L12" s="154">
        <v>347920.97</v>
      </c>
      <c r="M12" s="154">
        <v>0</v>
      </c>
      <c r="N12" s="154">
        <v>0</v>
      </c>
      <c r="O12" s="154">
        <v>0</v>
      </c>
      <c r="P12" s="154">
        <v>0</v>
      </c>
      <c r="Q12" s="154">
        <v>0</v>
      </c>
      <c r="R12" s="154">
        <v>0</v>
      </c>
      <c r="S12" s="154">
        <v>347920.97</v>
      </c>
      <c r="T12" s="154">
        <v>0</v>
      </c>
      <c r="U12" s="154">
        <v>0</v>
      </c>
      <c r="V12" s="154">
        <v>0</v>
      </c>
      <c r="W12" s="154">
        <v>0</v>
      </c>
      <c r="X12" s="154">
        <v>0</v>
      </c>
      <c r="Y12" s="154">
        <v>0</v>
      </c>
      <c r="Z12" s="154">
        <v>0</v>
      </c>
      <c r="AA12" s="154">
        <v>0</v>
      </c>
      <c r="AB12" s="154">
        <v>108940.67999999998</v>
      </c>
      <c r="AC12" s="154">
        <v>773993.78</v>
      </c>
    </row>
    <row r="13" spans="1:30">
      <c r="A13" s="258"/>
      <c r="B13" s="222" t="s">
        <v>98</v>
      </c>
      <c r="C13" s="154">
        <v>17500000</v>
      </c>
      <c r="D13" s="154">
        <v>0</v>
      </c>
      <c r="E13" s="154">
        <v>17500000</v>
      </c>
      <c r="F13" s="154">
        <v>0</v>
      </c>
      <c r="G13" s="154">
        <v>0</v>
      </c>
      <c r="H13" s="154">
        <v>0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0</v>
      </c>
      <c r="P13" s="154">
        <v>0</v>
      </c>
      <c r="Q13" s="154">
        <v>0</v>
      </c>
      <c r="R13" s="154">
        <v>0</v>
      </c>
      <c r="S13" s="154">
        <v>0</v>
      </c>
      <c r="T13" s="154">
        <v>0</v>
      </c>
      <c r="U13" s="154">
        <v>0</v>
      </c>
      <c r="V13" s="154">
        <v>0</v>
      </c>
      <c r="W13" s="154">
        <v>0</v>
      </c>
      <c r="X13" s="154">
        <v>0</v>
      </c>
      <c r="Y13" s="154">
        <v>0</v>
      </c>
      <c r="Z13" s="154">
        <v>0</v>
      </c>
      <c r="AA13" s="154">
        <v>0</v>
      </c>
      <c r="AB13" s="154">
        <v>0</v>
      </c>
      <c r="AC13" s="154">
        <v>0</v>
      </c>
    </row>
    <row r="14" spans="1:30">
      <c r="A14" s="259"/>
      <c r="B14" s="223" t="s">
        <v>99</v>
      </c>
      <c r="C14" s="155">
        <v>264466526.88999999</v>
      </c>
      <c r="D14" s="155">
        <v>0</v>
      </c>
      <c r="E14" s="155">
        <v>68718615.209999993</v>
      </c>
      <c r="F14" s="155">
        <v>122019233.52000003</v>
      </c>
      <c r="G14" s="155">
        <v>10944585.969999999</v>
      </c>
      <c r="H14" s="155">
        <v>3161967.12</v>
      </c>
      <c r="I14" s="155">
        <v>2601518.5699999998</v>
      </c>
      <c r="J14" s="155">
        <v>1809403.08</v>
      </c>
      <c r="K14" s="155">
        <v>3371697.2</v>
      </c>
      <c r="L14" s="155">
        <v>10129193.43</v>
      </c>
      <c r="M14" s="155">
        <v>3161967.12</v>
      </c>
      <c r="N14" s="155">
        <v>1992372.3900000004</v>
      </c>
      <c r="O14" s="155">
        <v>717117.16000000015</v>
      </c>
      <c r="P14" s="155">
        <v>4257736.76</v>
      </c>
      <c r="Q14" s="155">
        <v>2175071.88</v>
      </c>
      <c r="R14" s="155">
        <v>2358127.59</v>
      </c>
      <c r="S14" s="155">
        <v>2258980.81</v>
      </c>
      <c r="T14" s="155">
        <v>29394291.710000001</v>
      </c>
      <c r="U14" s="155">
        <v>6761865.4099999992</v>
      </c>
      <c r="V14" s="155">
        <v>10657079.68</v>
      </c>
      <c r="W14" s="155">
        <v>11029914.899999999</v>
      </c>
      <c r="X14" s="155">
        <v>261427.64</v>
      </c>
      <c r="Y14" s="155">
        <v>488676.21000000008</v>
      </c>
      <c r="Z14" s="155">
        <v>195327.87</v>
      </c>
      <c r="AA14" s="155">
        <v>0</v>
      </c>
      <c r="AB14" s="155">
        <v>3685604.5799999991</v>
      </c>
      <c r="AC14" s="155">
        <v>5457337.5799999991</v>
      </c>
    </row>
    <row r="15" spans="1:30" ht="13.5" customHeight="1">
      <c r="A15" s="254" t="s">
        <v>100</v>
      </c>
      <c r="B15" s="222" t="s">
        <v>101</v>
      </c>
      <c r="C15" s="154">
        <v>91529612.999999985</v>
      </c>
      <c r="D15" s="154">
        <v>0</v>
      </c>
      <c r="E15" s="154">
        <v>-1.4901161193847656E-8</v>
      </c>
      <c r="F15" s="154">
        <v>23296374.280000001</v>
      </c>
      <c r="G15" s="154">
        <v>514548</v>
      </c>
      <c r="H15" s="154">
        <v>514548</v>
      </c>
      <c r="I15" s="154">
        <v>0</v>
      </c>
      <c r="J15" s="154">
        <v>0</v>
      </c>
      <c r="K15" s="154">
        <v>0</v>
      </c>
      <c r="L15" s="154">
        <v>3400</v>
      </c>
      <c r="M15" s="154">
        <v>0</v>
      </c>
      <c r="N15" s="154">
        <v>0</v>
      </c>
      <c r="O15" s="154">
        <v>0</v>
      </c>
      <c r="P15" s="154">
        <v>0</v>
      </c>
      <c r="Q15" s="154">
        <v>0</v>
      </c>
      <c r="R15" s="154">
        <v>3400</v>
      </c>
      <c r="S15" s="154">
        <v>0</v>
      </c>
      <c r="T15" s="154">
        <v>67715290.719999999</v>
      </c>
      <c r="U15" s="154">
        <v>1463083</v>
      </c>
      <c r="V15" s="154">
        <v>60790900</v>
      </c>
      <c r="W15" s="154">
        <v>5461307.7199999997</v>
      </c>
      <c r="X15" s="154">
        <v>0</v>
      </c>
      <c r="Y15" s="154">
        <v>0</v>
      </c>
      <c r="Z15" s="154">
        <v>0</v>
      </c>
      <c r="AA15" s="154">
        <v>0</v>
      </c>
      <c r="AB15" s="154">
        <v>0</v>
      </c>
      <c r="AC15" s="154">
        <v>0</v>
      </c>
    </row>
    <row r="16" spans="1:30">
      <c r="A16" s="255"/>
      <c r="B16" s="222" t="s">
        <v>102</v>
      </c>
      <c r="C16" s="154">
        <v>61972909.859999999</v>
      </c>
      <c r="D16" s="154">
        <v>0</v>
      </c>
      <c r="E16" s="154">
        <v>-5.9426383813843131E-9</v>
      </c>
      <c r="F16" s="154">
        <v>58260273.260000005</v>
      </c>
      <c r="G16" s="154">
        <v>0</v>
      </c>
      <c r="H16" s="154">
        <v>0</v>
      </c>
      <c r="I16" s="154">
        <v>0</v>
      </c>
      <c r="J16" s="154">
        <v>0</v>
      </c>
      <c r="K16" s="154">
        <v>0</v>
      </c>
      <c r="L16" s="154">
        <v>0</v>
      </c>
      <c r="M16" s="154">
        <v>0</v>
      </c>
      <c r="N16" s="154">
        <v>0</v>
      </c>
      <c r="O16" s="154">
        <v>0</v>
      </c>
      <c r="P16" s="154">
        <v>0</v>
      </c>
      <c r="Q16" s="154">
        <v>0</v>
      </c>
      <c r="R16" s="154">
        <v>0</v>
      </c>
      <c r="S16" s="154">
        <v>0</v>
      </c>
      <c r="T16" s="154">
        <v>3699399.73</v>
      </c>
      <c r="U16" s="154">
        <v>333035.45</v>
      </c>
      <c r="V16" s="154">
        <v>634659.42999999993</v>
      </c>
      <c r="W16" s="154">
        <v>2731704.85</v>
      </c>
      <c r="X16" s="154">
        <v>0</v>
      </c>
      <c r="Y16" s="154">
        <v>0</v>
      </c>
      <c r="Z16" s="154">
        <v>0</v>
      </c>
      <c r="AA16" s="154">
        <v>0</v>
      </c>
      <c r="AB16" s="154">
        <v>0</v>
      </c>
      <c r="AC16" s="154">
        <v>13236.87</v>
      </c>
    </row>
    <row r="17" spans="1:29">
      <c r="A17" s="255"/>
      <c r="B17" s="222" t="s">
        <v>103</v>
      </c>
      <c r="C17" s="154">
        <v>16772946.85</v>
      </c>
      <c r="D17" s="154">
        <v>45861.1</v>
      </c>
      <c r="E17" s="154">
        <v>-3241004.42</v>
      </c>
      <c r="F17" s="154">
        <v>13105102.15</v>
      </c>
      <c r="G17" s="154">
        <v>-473790.28</v>
      </c>
      <c r="H17" s="154">
        <v>178624.68000000002</v>
      </c>
      <c r="I17" s="154">
        <v>-870981.32000000007</v>
      </c>
      <c r="J17" s="154">
        <v>159656.46</v>
      </c>
      <c r="K17" s="154">
        <v>58909.9</v>
      </c>
      <c r="L17" s="154">
        <v>2929179</v>
      </c>
      <c r="M17" s="154">
        <v>1049371.6100000001</v>
      </c>
      <c r="N17" s="154">
        <v>479955.27</v>
      </c>
      <c r="O17" s="154">
        <v>74975.97</v>
      </c>
      <c r="P17" s="154">
        <v>1379382.8399999999</v>
      </c>
      <c r="Q17" s="154">
        <v>-32936.529999999992</v>
      </c>
      <c r="R17" s="154">
        <v>-21684</v>
      </c>
      <c r="S17" s="154">
        <v>113.84000000000002</v>
      </c>
      <c r="T17" s="154">
        <v>4398254.34</v>
      </c>
      <c r="U17" s="154">
        <v>252588.87000000002</v>
      </c>
      <c r="V17" s="154">
        <v>3673202.8499999996</v>
      </c>
      <c r="W17" s="154">
        <v>454644.89</v>
      </c>
      <c r="X17" s="154">
        <v>17817.73</v>
      </c>
      <c r="Y17" s="154">
        <v>0</v>
      </c>
      <c r="Z17" s="154">
        <v>0</v>
      </c>
      <c r="AA17" s="154">
        <v>0</v>
      </c>
      <c r="AB17" s="154">
        <v>9344.9599999999991</v>
      </c>
      <c r="AC17" s="154">
        <v>0</v>
      </c>
    </row>
    <row r="18" spans="1:29">
      <c r="A18" s="255"/>
      <c r="B18" s="222" t="s">
        <v>104</v>
      </c>
      <c r="C18" s="154">
        <v>560481.71</v>
      </c>
      <c r="D18" s="154">
        <v>0</v>
      </c>
      <c r="E18" s="154">
        <v>304499.99999999994</v>
      </c>
      <c r="F18" s="154">
        <v>242294.54000000004</v>
      </c>
      <c r="G18" s="154">
        <v>0</v>
      </c>
      <c r="H18" s="154">
        <v>0</v>
      </c>
      <c r="I18" s="154">
        <v>0</v>
      </c>
      <c r="J18" s="154">
        <v>0</v>
      </c>
      <c r="K18" s="154">
        <v>0</v>
      </c>
      <c r="L18" s="154">
        <v>13687.17</v>
      </c>
      <c r="M18" s="154">
        <v>0</v>
      </c>
      <c r="N18" s="154">
        <v>0</v>
      </c>
      <c r="O18" s="154">
        <v>0</v>
      </c>
      <c r="P18" s="154">
        <v>0</v>
      </c>
      <c r="Q18" s="154">
        <v>0</v>
      </c>
      <c r="R18" s="154">
        <v>0</v>
      </c>
      <c r="S18" s="154">
        <v>13687.17</v>
      </c>
      <c r="T18" s="154">
        <v>0</v>
      </c>
      <c r="U18" s="154">
        <v>0</v>
      </c>
      <c r="V18" s="154">
        <v>0</v>
      </c>
      <c r="W18" s="154">
        <v>0</v>
      </c>
      <c r="X18" s="154">
        <v>0</v>
      </c>
      <c r="Y18" s="154">
        <v>0</v>
      </c>
      <c r="Z18" s="154">
        <v>0</v>
      </c>
      <c r="AA18" s="154">
        <v>0</v>
      </c>
      <c r="AB18" s="154">
        <v>0</v>
      </c>
      <c r="AC18" s="154">
        <v>0</v>
      </c>
    </row>
    <row r="19" spans="1:29">
      <c r="A19" s="255"/>
      <c r="B19" s="222" t="s">
        <v>105</v>
      </c>
      <c r="C19" s="154">
        <v>111603.77</v>
      </c>
      <c r="D19" s="154">
        <v>0</v>
      </c>
      <c r="E19" s="154">
        <v>0</v>
      </c>
      <c r="F19" s="154">
        <v>0</v>
      </c>
      <c r="G19" s="154">
        <v>0</v>
      </c>
      <c r="H19" s="154">
        <v>0</v>
      </c>
      <c r="I19" s="154">
        <v>0</v>
      </c>
      <c r="J19" s="154">
        <v>0</v>
      </c>
      <c r="K19" s="154">
        <v>0</v>
      </c>
      <c r="L19" s="154">
        <v>111603.77</v>
      </c>
      <c r="M19" s="154">
        <v>48333.34</v>
      </c>
      <c r="N19" s="154">
        <v>44937.1</v>
      </c>
      <c r="O19" s="154">
        <v>18333.330000000002</v>
      </c>
      <c r="P19" s="154">
        <v>0</v>
      </c>
      <c r="Q19" s="154">
        <v>0</v>
      </c>
      <c r="R19" s="154">
        <v>0</v>
      </c>
      <c r="S19" s="154">
        <v>0</v>
      </c>
      <c r="T19" s="154">
        <v>0</v>
      </c>
      <c r="U19" s="154">
        <v>0</v>
      </c>
      <c r="V19" s="154">
        <v>0</v>
      </c>
      <c r="W19" s="154">
        <v>0</v>
      </c>
      <c r="X19" s="154">
        <v>0</v>
      </c>
      <c r="Y19" s="154">
        <v>0</v>
      </c>
      <c r="Z19" s="154">
        <v>0</v>
      </c>
      <c r="AA19" s="154">
        <v>0</v>
      </c>
      <c r="AB19" s="154">
        <v>0</v>
      </c>
      <c r="AC19" s="154">
        <v>0</v>
      </c>
    </row>
    <row r="20" spans="1:29">
      <c r="A20" s="256"/>
      <c r="B20" s="223" t="s">
        <v>99</v>
      </c>
      <c r="C20" s="155">
        <v>170947555.18999997</v>
      </c>
      <c r="D20" s="155">
        <v>45861.1</v>
      </c>
      <c r="E20" s="155">
        <v>-2232387.71000002</v>
      </c>
      <c r="F20" s="155">
        <v>94904044.230000004</v>
      </c>
      <c r="G20" s="155">
        <v>40757.720000000096</v>
      </c>
      <c r="H20" s="155">
        <v>693172.68000000017</v>
      </c>
      <c r="I20" s="155">
        <v>-870981.32000000007</v>
      </c>
      <c r="J20" s="155">
        <v>159656.46</v>
      </c>
      <c r="K20" s="155">
        <v>58909.9</v>
      </c>
      <c r="L20" s="155">
        <v>2690757.1900000004</v>
      </c>
      <c r="M20" s="155">
        <v>693172.68000000017</v>
      </c>
      <c r="N20" s="155">
        <v>524892.37</v>
      </c>
      <c r="O20" s="155">
        <v>93309.299999999988</v>
      </c>
      <c r="P20" s="155">
        <v>1379382.8399999999</v>
      </c>
      <c r="Q20" s="155">
        <v>-32936.529999999992</v>
      </c>
      <c r="R20" s="155">
        <v>-18284.000000000004</v>
      </c>
      <c r="S20" s="155">
        <v>13801.010000000002</v>
      </c>
      <c r="T20" s="155">
        <v>75812944.789999992</v>
      </c>
      <c r="U20" s="155">
        <v>2048707.3200000003</v>
      </c>
      <c r="V20" s="155">
        <v>65098762.280000001</v>
      </c>
      <c r="W20" s="155">
        <v>8647657.459999999</v>
      </c>
      <c r="X20" s="155">
        <v>17817.73</v>
      </c>
      <c r="Y20" s="155">
        <v>0</v>
      </c>
      <c r="Z20" s="155">
        <v>0</v>
      </c>
      <c r="AA20" s="155">
        <v>0</v>
      </c>
      <c r="AB20" s="155">
        <v>9344.9599999999991</v>
      </c>
      <c r="AC20" s="155">
        <v>13236.87</v>
      </c>
    </row>
    <row r="21" spans="1:29" ht="13.5" customHeight="1">
      <c r="A21" s="251" t="s">
        <v>106</v>
      </c>
      <c r="B21" s="222" t="s">
        <v>107</v>
      </c>
      <c r="C21" s="154">
        <v>21863788.77</v>
      </c>
      <c r="D21" s="154">
        <v>0</v>
      </c>
      <c r="E21" s="154">
        <v>2535829.6099999971</v>
      </c>
      <c r="F21" s="154">
        <v>11046015.610000001</v>
      </c>
      <c r="G21" s="154">
        <v>830722.48</v>
      </c>
      <c r="H21" s="154">
        <v>224526.81</v>
      </c>
      <c r="I21" s="154">
        <v>289586.40999999997</v>
      </c>
      <c r="J21" s="154">
        <v>73678.06</v>
      </c>
      <c r="K21" s="154">
        <v>242931.20000000001</v>
      </c>
      <c r="L21" s="154">
        <v>1087616.8299999998</v>
      </c>
      <c r="M21" s="154">
        <v>126303.4</v>
      </c>
      <c r="N21" s="154">
        <v>151873.19999999998</v>
      </c>
      <c r="O21" s="154">
        <v>142150.9</v>
      </c>
      <c r="P21" s="154">
        <v>163261.94</v>
      </c>
      <c r="Q21" s="154">
        <v>159860.25</v>
      </c>
      <c r="R21" s="154">
        <v>158537.84</v>
      </c>
      <c r="S21" s="154">
        <v>185629.3</v>
      </c>
      <c r="T21" s="154">
        <v>5900205.7300000004</v>
      </c>
      <c r="U21" s="154">
        <v>555016.22</v>
      </c>
      <c r="V21" s="154">
        <v>3820369.1799999992</v>
      </c>
      <c r="W21" s="154">
        <v>1202619.0100000002</v>
      </c>
      <c r="X21" s="154">
        <v>74311.289999999994</v>
      </c>
      <c r="Y21" s="154">
        <v>233890.03</v>
      </c>
      <c r="Z21" s="154">
        <v>14000</v>
      </c>
      <c r="AA21" s="154">
        <v>0</v>
      </c>
      <c r="AB21" s="154">
        <v>308799.40999999997</v>
      </c>
      <c r="AC21" s="154">
        <v>154599.1</v>
      </c>
    </row>
    <row r="22" spans="1:29">
      <c r="A22" s="252"/>
      <c r="B22" s="222" t="s">
        <v>108</v>
      </c>
      <c r="C22" s="154">
        <v>13370911.699999999</v>
      </c>
      <c r="D22" s="154">
        <v>0</v>
      </c>
      <c r="E22" s="154">
        <v>1745742.4799999993</v>
      </c>
      <c r="F22" s="154">
        <v>2637038.5499999998</v>
      </c>
      <c r="G22" s="154">
        <v>593834.98</v>
      </c>
      <c r="H22" s="154">
        <v>126854.04</v>
      </c>
      <c r="I22" s="154">
        <v>183697.5</v>
      </c>
      <c r="J22" s="154">
        <v>62875.869999999995</v>
      </c>
      <c r="K22" s="154">
        <v>220407.56999999998</v>
      </c>
      <c r="L22" s="154">
        <v>948356.45000000019</v>
      </c>
      <c r="M22" s="154">
        <v>97717.969999999987</v>
      </c>
      <c r="N22" s="154">
        <v>91273.680000000008</v>
      </c>
      <c r="O22" s="154">
        <v>114856.18000000001</v>
      </c>
      <c r="P22" s="154">
        <v>122189.73999999999</v>
      </c>
      <c r="Q22" s="154">
        <v>185193.53000000003</v>
      </c>
      <c r="R22" s="154">
        <v>161471.17000000001</v>
      </c>
      <c r="S22" s="154">
        <v>175654.18000000002</v>
      </c>
      <c r="T22" s="154">
        <v>6983483.3999999994</v>
      </c>
      <c r="U22" s="154">
        <v>823162</v>
      </c>
      <c r="V22" s="154">
        <v>4226819.1399999997</v>
      </c>
      <c r="W22" s="154">
        <v>1266346.2599999998</v>
      </c>
      <c r="X22" s="154">
        <v>75941.88</v>
      </c>
      <c r="Y22" s="154">
        <v>544536.93000000005</v>
      </c>
      <c r="Z22" s="154">
        <v>46677.19</v>
      </c>
      <c r="AA22" s="154">
        <v>0</v>
      </c>
      <c r="AB22" s="154">
        <v>414009.74</v>
      </c>
      <c r="AC22" s="154">
        <v>48446.1</v>
      </c>
    </row>
    <row r="23" spans="1:29">
      <c r="A23" s="252"/>
      <c r="B23" s="222" t="s">
        <v>109</v>
      </c>
      <c r="C23" s="154">
        <v>4720176.07</v>
      </c>
      <c r="D23" s="154">
        <v>0</v>
      </c>
      <c r="E23" s="154">
        <v>1353188.6000000006</v>
      </c>
      <c r="F23" s="154">
        <v>1880318.81</v>
      </c>
      <c r="G23" s="154">
        <v>207428.05000000002</v>
      </c>
      <c r="H23" s="154">
        <v>99448.430000000008</v>
      </c>
      <c r="I23" s="154">
        <v>92590</v>
      </c>
      <c r="J23" s="154">
        <v>6469.42</v>
      </c>
      <c r="K23" s="154">
        <v>8920.2000000000007</v>
      </c>
      <c r="L23" s="154">
        <v>68596.17</v>
      </c>
      <c r="M23" s="154">
        <v>5444.9800000000005</v>
      </c>
      <c r="N23" s="154">
        <v>10162.57</v>
      </c>
      <c r="O23" s="154">
        <v>4304.9699999999993</v>
      </c>
      <c r="P23" s="154">
        <v>14859.980000000001</v>
      </c>
      <c r="Q23" s="154">
        <v>8815.1</v>
      </c>
      <c r="R23" s="154">
        <v>24455.559999999998</v>
      </c>
      <c r="S23" s="154">
        <v>553.00999999999931</v>
      </c>
      <c r="T23" s="154">
        <v>1100536.07</v>
      </c>
      <c r="U23" s="154">
        <v>161754.25000000003</v>
      </c>
      <c r="V23" s="154">
        <v>695949.72</v>
      </c>
      <c r="W23" s="154">
        <v>236804.59</v>
      </c>
      <c r="X23" s="154">
        <v>0</v>
      </c>
      <c r="Y23" s="154">
        <v>5417.1100000000006</v>
      </c>
      <c r="Z23" s="154">
        <v>610.4</v>
      </c>
      <c r="AA23" s="154">
        <v>0</v>
      </c>
      <c r="AB23" s="154">
        <v>89410.15</v>
      </c>
      <c r="AC23" s="154">
        <v>20698.22</v>
      </c>
    </row>
    <row r="24" spans="1:29">
      <c r="A24" s="252"/>
      <c r="B24" s="222" t="s">
        <v>110</v>
      </c>
      <c r="C24" s="154">
        <v>2073649.5399999998</v>
      </c>
      <c r="D24" s="154">
        <v>0</v>
      </c>
      <c r="E24" s="154">
        <v>382511.06999999966</v>
      </c>
      <c r="F24" s="154">
        <v>1021583.2599999999</v>
      </c>
      <c r="G24" s="154">
        <v>82762.75</v>
      </c>
      <c r="H24" s="154">
        <v>59321.570000000007</v>
      </c>
      <c r="I24" s="154">
        <v>13033.37</v>
      </c>
      <c r="J24" s="154">
        <v>6127.01</v>
      </c>
      <c r="K24" s="154">
        <v>4280.7999999999993</v>
      </c>
      <c r="L24" s="154">
        <v>23942.170000000002</v>
      </c>
      <c r="M24" s="154">
        <v>2466.3100000000004</v>
      </c>
      <c r="N24" s="154">
        <v>4265.32</v>
      </c>
      <c r="O24" s="154">
        <v>2466.3199999999997</v>
      </c>
      <c r="P24" s="154">
        <v>327.45</v>
      </c>
      <c r="Q24" s="154">
        <v>719.76</v>
      </c>
      <c r="R24" s="154">
        <v>6019.6500000000005</v>
      </c>
      <c r="S24" s="154">
        <v>7677.36</v>
      </c>
      <c r="T24" s="154">
        <v>508638.25000000012</v>
      </c>
      <c r="U24" s="154">
        <v>55195.069999999992</v>
      </c>
      <c r="V24" s="154">
        <v>314552.01000000007</v>
      </c>
      <c r="W24" s="154">
        <v>138891.17000000001</v>
      </c>
      <c r="X24" s="154">
        <v>0</v>
      </c>
      <c r="Y24" s="154">
        <v>0</v>
      </c>
      <c r="Z24" s="154">
        <v>0</v>
      </c>
      <c r="AA24" s="154">
        <v>0</v>
      </c>
      <c r="AB24" s="154">
        <v>39456.479999999996</v>
      </c>
      <c r="AC24" s="154">
        <v>14755.56</v>
      </c>
    </row>
    <row r="25" spans="1:29">
      <c r="A25" s="252"/>
      <c r="B25" s="222" t="s">
        <v>111</v>
      </c>
      <c r="C25" s="154">
        <v>4016824.0199999996</v>
      </c>
      <c r="D25" s="154">
        <v>0</v>
      </c>
      <c r="E25" s="154">
        <v>2149136.2600000002</v>
      </c>
      <c r="F25" s="154">
        <v>1864926.9899999998</v>
      </c>
      <c r="G25" s="154">
        <v>113.21</v>
      </c>
      <c r="H25" s="154">
        <v>113.21</v>
      </c>
      <c r="I25" s="154">
        <v>0</v>
      </c>
      <c r="J25" s="154">
        <v>0</v>
      </c>
      <c r="K25" s="154">
        <v>0</v>
      </c>
      <c r="L25" s="154">
        <v>1139.6299999999999</v>
      </c>
      <c r="M25" s="154">
        <v>0</v>
      </c>
      <c r="N25" s="154">
        <v>0</v>
      </c>
      <c r="O25" s="154">
        <v>0</v>
      </c>
      <c r="P25" s="154">
        <v>7.55</v>
      </c>
      <c r="Q25" s="154">
        <v>0</v>
      </c>
      <c r="R25" s="154">
        <v>0</v>
      </c>
      <c r="S25" s="154">
        <v>1132.08</v>
      </c>
      <c r="T25" s="154">
        <v>1011.3199999999999</v>
      </c>
      <c r="U25" s="154">
        <v>339.62</v>
      </c>
      <c r="V25" s="154">
        <v>384.91</v>
      </c>
      <c r="W25" s="154">
        <v>286.79000000000002</v>
      </c>
      <c r="X25" s="154">
        <v>0</v>
      </c>
      <c r="Y25" s="154">
        <v>0</v>
      </c>
      <c r="Z25" s="154">
        <v>0</v>
      </c>
      <c r="AA25" s="154">
        <v>0</v>
      </c>
      <c r="AB25" s="154">
        <v>113.21</v>
      </c>
      <c r="AC25" s="154">
        <v>383.4</v>
      </c>
    </row>
    <row r="26" spans="1:29">
      <c r="A26" s="252"/>
      <c r="B26" s="222" t="s">
        <v>112</v>
      </c>
      <c r="C26" s="154">
        <v>3366527.84</v>
      </c>
      <c r="D26" s="154">
        <v>0</v>
      </c>
      <c r="E26" s="154">
        <v>976776.97</v>
      </c>
      <c r="F26" s="154">
        <v>1092548.5</v>
      </c>
      <c r="G26" s="154">
        <v>955741.21</v>
      </c>
      <c r="H26" s="154">
        <v>76969.039999999994</v>
      </c>
      <c r="I26" s="154">
        <v>32579.02</v>
      </c>
      <c r="J26" s="154">
        <v>0</v>
      </c>
      <c r="K26" s="154">
        <v>846193.15</v>
      </c>
      <c r="L26" s="154">
        <v>122847.96</v>
      </c>
      <c r="M26" s="154">
        <v>29175.73</v>
      </c>
      <c r="N26" s="154">
        <v>29175.739999999998</v>
      </c>
      <c r="O26" s="154">
        <v>14583.74</v>
      </c>
      <c r="P26" s="154">
        <v>30515.919999999998</v>
      </c>
      <c r="Q26" s="154">
        <v>11044.23</v>
      </c>
      <c r="R26" s="154">
        <v>4704.6000000000004</v>
      </c>
      <c r="S26" s="154">
        <v>3648</v>
      </c>
      <c r="T26" s="154">
        <v>211317.2</v>
      </c>
      <c r="U26" s="154">
        <v>196725.2</v>
      </c>
      <c r="V26" s="154">
        <v>7296</v>
      </c>
      <c r="W26" s="154">
        <v>7296</v>
      </c>
      <c r="X26" s="154">
        <v>0</v>
      </c>
      <c r="Y26" s="154">
        <v>0</v>
      </c>
      <c r="Z26" s="154">
        <v>0</v>
      </c>
      <c r="AA26" s="154">
        <v>0</v>
      </c>
      <c r="AB26" s="154">
        <v>7296</v>
      </c>
      <c r="AC26" s="154">
        <v>0</v>
      </c>
    </row>
    <row r="27" spans="1:29">
      <c r="A27" s="252"/>
      <c r="B27" s="222" t="s">
        <v>113</v>
      </c>
      <c r="C27" s="154">
        <v>2331526.5499999998</v>
      </c>
      <c r="D27" s="154">
        <v>0</v>
      </c>
      <c r="E27" s="154">
        <v>1243736.3299999998</v>
      </c>
      <c r="F27" s="154">
        <v>703872.2300000001</v>
      </c>
      <c r="G27" s="154">
        <v>0</v>
      </c>
      <c r="H27" s="154">
        <v>0</v>
      </c>
      <c r="I27" s="154">
        <v>0</v>
      </c>
      <c r="J27" s="154">
        <v>0</v>
      </c>
      <c r="K27" s="154">
        <v>0</v>
      </c>
      <c r="L27" s="154">
        <v>32038.839999999997</v>
      </c>
      <c r="M27" s="154">
        <v>9708.74</v>
      </c>
      <c r="N27" s="154">
        <v>19730.099999999999</v>
      </c>
      <c r="O27" s="154">
        <v>2600</v>
      </c>
      <c r="P27" s="154">
        <v>0</v>
      </c>
      <c r="Q27" s="154">
        <v>0</v>
      </c>
      <c r="R27" s="154">
        <v>0</v>
      </c>
      <c r="S27" s="154">
        <v>0</v>
      </c>
      <c r="T27" s="154">
        <v>314574.14</v>
      </c>
      <c r="U27" s="154">
        <v>71177.94</v>
      </c>
      <c r="V27" s="154">
        <v>178079.35999999999</v>
      </c>
      <c r="W27" s="154">
        <v>65316.840000000004</v>
      </c>
      <c r="X27" s="154">
        <v>0</v>
      </c>
      <c r="Y27" s="154">
        <v>0</v>
      </c>
      <c r="Z27" s="154">
        <v>0</v>
      </c>
      <c r="AA27" s="154">
        <v>0</v>
      </c>
      <c r="AB27" s="154">
        <v>34773.51</v>
      </c>
      <c r="AC27" s="154">
        <v>2531.5</v>
      </c>
    </row>
    <row r="28" spans="1:29">
      <c r="A28" s="252"/>
      <c r="B28" s="222" t="s">
        <v>114</v>
      </c>
      <c r="C28" s="154">
        <v>881700.83</v>
      </c>
      <c r="D28" s="154">
        <v>0</v>
      </c>
      <c r="E28" s="154">
        <v>117825.04999999997</v>
      </c>
      <c r="F28" s="154">
        <v>407927.49000000005</v>
      </c>
      <c r="G28" s="154">
        <v>20125.599999999999</v>
      </c>
      <c r="H28" s="154">
        <v>15793.5</v>
      </c>
      <c r="I28" s="154">
        <v>1130.0999999999999</v>
      </c>
      <c r="J28" s="154">
        <v>453</v>
      </c>
      <c r="K28" s="154">
        <v>2749</v>
      </c>
      <c r="L28" s="154">
        <v>18398.489999999998</v>
      </c>
      <c r="M28" s="154">
        <v>1694.3400000000001</v>
      </c>
      <c r="N28" s="154">
        <v>2460.33</v>
      </c>
      <c r="O28" s="154">
        <v>1563.33</v>
      </c>
      <c r="P28" s="154">
        <v>2305.08</v>
      </c>
      <c r="Q28" s="154">
        <v>1643</v>
      </c>
      <c r="R28" s="154">
        <v>1386</v>
      </c>
      <c r="S28" s="154">
        <v>7346.41</v>
      </c>
      <c r="T28" s="154">
        <v>281700.89999999997</v>
      </c>
      <c r="U28" s="154">
        <v>14953.050000000001</v>
      </c>
      <c r="V28" s="154">
        <v>201103.34</v>
      </c>
      <c r="W28" s="154">
        <v>55868.1</v>
      </c>
      <c r="X28" s="154">
        <v>818</v>
      </c>
      <c r="Y28" s="154">
        <v>6621.16</v>
      </c>
      <c r="Z28" s="154">
        <v>2337.25</v>
      </c>
      <c r="AA28" s="154">
        <v>0</v>
      </c>
      <c r="AB28" s="154">
        <v>33987.379999999997</v>
      </c>
      <c r="AC28" s="154">
        <v>1735.9199999999998</v>
      </c>
    </row>
    <row r="29" spans="1:29">
      <c r="A29" s="252"/>
      <c r="B29" s="222" t="s">
        <v>115</v>
      </c>
      <c r="C29" s="154">
        <v>208044.32</v>
      </c>
      <c r="D29" s="154">
        <v>0</v>
      </c>
      <c r="E29" s="154">
        <v>32240.900000000016</v>
      </c>
      <c r="F29" s="154">
        <v>154610.93</v>
      </c>
      <c r="G29" s="154">
        <v>4677.4400000000005</v>
      </c>
      <c r="H29" s="154">
        <v>1705.25</v>
      </c>
      <c r="I29" s="154">
        <v>1166.75</v>
      </c>
      <c r="J29" s="154">
        <v>798</v>
      </c>
      <c r="K29" s="154">
        <v>1007.44</v>
      </c>
      <c r="L29" s="154">
        <v>7206.38</v>
      </c>
      <c r="M29" s="154">
        <v>290.65999999999997</v>
      </c>
      <c r="N29" s="154">
        <v>290.67</v>
      </c>
      <c r="O29" s="154">
        <v>290.67</v>
      </c>
      <c r="P29" s="154">
        <v>1930.8</v>
      </c>
      <c r="Q29" s="154">
        <v>390.5</v>
      </c>
      <c r="R29" s="154">
        <v>132.4</v>
      </c>
      <c r="S29" s="154">
        <v>3880.68</v>
      </c>
      <c r="T29" s="154">
        <v>7028.6699999999992</v>
      </c>
      <c r="U29" s="154">
        <v>663.15</v>
      </c>
      <c r="V29" s="154">
        <v>3740</v>
      </c>
      <c r="W29" s="154">
        <v>1696.82</v>
      </c>
      <c r="X29" s="154">
        <v>398</v>
      </c>
      <c r="Y29" s="154">
        <v>530.70000000000005</v>
      </c>
      <c r="Z29" s="154">
        <v>0</v>
      </c>
      <c r="AA29" s="154">
        <v>0</v>
      </c>
      <c r="AB29" s="154">
        <v>840</v>
      </c>
      <c r="AC29" s="154">
        <v>1440</v>
      </c>
    </row>
    <row r="30" spans="1:29">
      <c r="A30" s="252"/>
      <c r="B30" s="222" t="s">
        <v>116</v>
      </c>
      <c r="C30" s="154">
        <v>715746.5199999999</v>
      </c>
      <c r="D30" s="154">
        <v>0</v>
      </c>
      <c r="E30" s="154">
        <v>170655.43999999992</v>
      </c>
      <c r="F30" s="154">
        <v>305636.5</v>
      </c>
      <c r="G30" s="154">
        <v>41060.42</v>
      </c>
      <c r="H30" s="154">
        <v>9189.4399999999987</v>
      </c>
      <c r="I30" s="154">
        <v>2435.29</v>
      </c>
      <c r="J30" s="154">
        <v>1836.2599999999998</v>
      </c>
      <c r="K30" s="154">
        <v>27599.43</v>
      </c>
      <c r="L30" s="154">
        <v>60344.149999999987</v>
      </c>
      <c r="M30" s="154">
        <v>2671.12</v>
      </c>
      <c r="N30" s="154">
        <v>3945.89</v>
      </c>
      <c r="O30" s="154">
        <v>3539.16</v>
      </c>
      <c r="P30" s="154">
        <v>3712.6099999999997</v>
      </c>
      <c r="Q30" s="154">
        <v>5698.4</v>
      </c>
      <c r="R30" s="154">
        <v>31129.949999999993</v>
      </c>
      <c r="S30" s="154">
        <v>9647.0199999999986</v>
      </c>
      <c r="T30" s="154">
        <v>124798.39</v>
      </c>
      <c r="U30" s="154">
        <v>55715.66</v>
      </c>
      <c r="V30" s="154">
        <v>36723.270000000004</v>
      </c>
      <c r="W30" s="154">
        <v>27082.879999999997</v>
      </c>
      <c r="X30" s="154">
        <v>3471.58</v>
      </c>
      <c r="Y30" s="154">
        <v>0</v>
      </c>
      <c r="Z30" s="154">
        <v>1805</v>
      </c>
      <c r="AA30" s="154">
        <v>0</v>
      </c>
      <c r="AB30" s="154">
        <v>11011.64</v>
      </c>
      <c r="AC30" s="154">
        <v>2239.98</v>
      </c>
    </row>
    <row r="31" spans="1:29">
      <c r="A31" s="252"/>
      <c r="B31" s="222" t="s">
        <v>117</v>
      </c>
      <c r="C31" s="154">
        <v>2260658.0999999996</v>
      </c>
      <c r="D31" s="154">
        <v>0</v>
      </c>
      <c r="E31" s="154">
        <v>795235.68999999959</v>
      </c>
      <c r="F31" s="154">
        <v>1227852.42</v>
      </c>
      <c r="G31" s="154">
        <v>52241.63</v>
      </c>
      <c r="H31" s="154">
        <v>15934</v>
      </c>
      <c r="I31" s="154">
        <v>31193</v>
      </c>
      <c r="J31" s="154">
        <v>5114.63</v>
      </c>
      <c r="K31" s="154">
        <v>0</v>
      </c>
      <c r="L31" s="154">
        <v>156451.68000000002</v>
      </c>
      <c r="M31" s="154">
        <v>5114.63</v>
      </c>
      <c r="N31" s="154">
        <v>15703.630000000001</v>
      </c>
      <c r="O31" s="154">
        <v>5114.63</v>
      </c>
      <c r="P31" s="154">
        <v>0</v>
      </c>
      <c r="Q31" s="154">
        <v>0</v>
      </c>
      <c r="R31" s="154">
        <v>0</v>
      </c>
      <c r="S31" s="154">
        <v>130518.79000000001</v>
      </c>
      <c r="T31" s="154">
        <v>5711</v>
      </c>
      <c r="U31" s="154">
        <v>0</v>
      </c>
      <c r="V31" s="154">
        <v>1857</v>
      </c>
      <c r="W31" s="154">
        <v>3854</v>
      </c>
      <c r="X31" s="154">
        <v>0</v>
      </c>
      <c r="Y31" s="154">
        <v>0</v>
      </c>
      <c r="Z31" s="154">
        <v>0</v>
      </c>
      <c r="AA31" s="154">
        <v>0</v>
      </c>
      <c r="AB31" s="154">
        <v>23165.68</v>
      </c>
      <c r="AC31" s="154">
        <v>0</v>
      </c>
    </row>
    <row r="32" spans="1:29">
      <c r="A32" s="252"/>
      <c r="B32" s="222" t="s">
        <v>118</v>
      </c>
      <c r="C32" s="154">
        <v>3184880.2900000005</v>
      </c>
      <c r="D32" s="154">
        <v>0</v>
      </c>
      <c r="E32" s="154">
        <v>0</v>
      </c>
      <c r="F32" s="154">
        <v>3184880.2900000005</v>
      </c>
      <c r="G32" s="154">
        <v>0</v>
      </c>
      <c r="H32" s="154">
        <v>0</v>
      </c>
      <c r="I32" s="154">
        <v>0</v>
      </c>
      <c r="J32" s="154">
        <v>0</v>
      </c>
      <c r="K32" s="154">
        <v>0</v>
      </c>
      <c r="L32" s="154">
        <v>0</v>
      </c>
      <c r="M32" s="154">
        <v>0</v>
      </c>
      <c r="N32" s="154">
        <v>0</v>
      </c>
      <c r="O32" s="154">
        <v>0</v>
      </c>
      <c r="P32" s="154">
        <v>0</v>
      </c>
      <c r="Q32" s="154">
        <v>0</v>
      </c>
      <c r="R32" s="154">
        <v>0</v>
      </c>
      <c r="S32" s="154">
        <v>0</v>
      </c>
      <c r="T32" s="154">
        <v>0</v>
      </c>
      <c r="U32" s="154">
        <v>0</v>
      </c>
      <c r="V32" s="154">
        <v>0</v>
      </c>
      <c r="W32" s="154">
        <v>0</v>
      </c>
      <c r="X32" s="154">
        <v>0</v>
      </c>
      <c r="Y32" s="154">
        <v>0</v>
      </c>
      <c r="Z32" s="154">
        <v>0</v>
      </c>
      <c r="AA32" s="154">
        <v>0</v>
      </c>
      <c r="AB32" s="154">
        <v>0</v>
      </c>
      <c r="AC32" s="154">
        <v>0</v>
      </c>
    </row>
    <row r="33" spans="1:29">
      <c r="A33" s="252"/>
      <c r="B33" s="222" t="s">
        <v>119</v>
      </c>
      <c r="C33" s="154">
        <v>57542.5</v>
      </c>
      <c r="D33" s="154">
        <v>0</v>
      </c>
      <c r="E33" s="154">
        <v>0</v>
      </c>
      <c r="F33" s="154">
        <v>50420</v>
      </c>
      <c r="G33" s="154">
        <v>0</v>
      </c>
      <c r="H33" s="154">
        <v>0</v>
      </c>
      <c r="I33" s="154">
        <v>0</v>
      </c>
      <c r="J33" s="154">
        <v>0</v>
      </c>
      <c r="K33" s="154">
        <v>0</v>
      </c>
      <c r="L33" s="154">
        <v>400</v>
      </c>
      <c r="M33" s="154">
        <v>0</v>
      </c>
      <c r="N33" s="154">
        <v>0</v>
      </c>
      <c r="O33" s="154">
        <v>0</v>
      </c>
      <c r="P33" s="154">
        <v>0</v>
      </c>
      <c r="Q33" s="154">
        <v>0</v>
      </c>
      <c r="R33" s="154">
        <v>0</v>
      </c>
      <c r="S33" s="154">
        <v>400</v>
      </c>
      <c r="T33" s="154">
        <v>0</v>
      </c>
      <c r="U33" s="154">
        <v>0</v>
      </c>
      <c r="V33" s="154">
        <v>0</v>
      </c>
      <c r="W33" s="154">
        <v>0</v>
      </c>
      <c r="X33" s="154">
        <v>0</v>
      </c>
      <c r="Y33" s="154">
        <v>0</v>
      </c>
      <c r="Z33" s="154">
        <v>0</v>
      </c>
      <c r="AA33" s="154">
        <v>0</v>
      </c>
      <c r="AB33" s="154">
        <v>0</v>
      </c>
      <c r="AC33" s="154">
        <v>6722.5</v>
      </c>
    </row>
    <row r="34" spans="1:29">
      <c r="A34" s="253"/>
      <c r="B34" s="223" t="s">
        <v>99</v>
      </c>
      <c r="C34" s="155">
        <v>59051977.050000012</v>
      </c>
      <c r="D34" s="155">
        <v>0</v>
      </c>
      <c r="E34" s="155">
        <v>10332631.98</v>
      </c>
      <c r="F34" s="155">
        <v>25577631.579999998</v>
      </c>
      <c r="G34" s="155">
        <v>2788707.77</v>
      </c>
      <c r="H34" s="155">
        <v>629855.29</v>
      </c>
      <c r="I34" s="155">
        <v>647411.43999999994</v>
      </c>
      <c r="J34" s="155">
        <v>157352.25</v>
      </c>
      <c r="K34" s="155">
        <v>1354088.79</v>
      </c>
      <c r="L34" s="155">
        <v>1589317.3899999997</v>
      </c>
      <c r="M34" s="155">
        <v>629855.29</v>
      </c>
      <c r="N34" s="155">
        <v>328881.12999999995</v>
      </c>
      <c r="O34" s="155">
        <v>291469.89999999997</v>
      </c>
      <c r="P34" s="155">
        <v>339111.06999999995</v>
      </c>
      <c r="Q34" s="155">
        <v>373364.77</v>
      </c>
      <c r="R34" s="155">
        <v>387837.17</v>
      </c>
      <c r="S34" s="155">
        <v>526086.82999999996</v>
      </c>
      <c r="T34" s="155">
        <v>15439005.069999998</v>
      </c>
      <c r="U34" s="155">
        <v>1934702.1600000001</v>
      </c>
      <c r="V34" s="155">
        <v>9486873.9299999997</v>
      </c>
      <c r="W34" s="155">
        <v>3006062.4599999995</v>
      </c>
      <c r="X34" s="155">
        <v>154940.75</v>
      </c>
      <c r="Y34" s="155">
        <v>790995.93</v>
      </c>
      <c r="Z34" s="155">
        <v>65429.84</v>
      </c>
      <c r="AA34" s="155">
        <v>0</v>
      </c>
      <c r="AB34" s="155">
        <v>962863.20000000007</v>
      </c>
      <c r="AC34" s="155">
        <v>253552.28</v>
      </c>
    </row>
    <row r="35" spans="1:29" ht="18.75" customHeight="1">
      <c r="A35" s="251" t="s">
        <v>120</v>
      </c>
      <c r="B35" s="222" t="s">
        <v>121</v>
      </c>
      <c r="C35" s="154">
        <v>3600526.9899999998</v>
      </c>
      <c r="D35" s="154">
        <v>0</v>
      </c>
      <c r="E35" s="154">
        <v>976389.35999999929</v>
      </c>
      <c r="F35" s="154">
        <v>2353016.2300000004</v>
      </c>
      <c r="G35" s="154">
        <v>38924.850000000006</v>
      </c>
      <c r="H35" s="154">
        <v>0</v>
      </c>
      <c r="I35" s="154">
        <v>0</v>
      </c>
      <c r="J35" s="154">
        <v>16315.54</v>
      </c>
      <c r="K35" s="154">
        <v>22609.31</v>
      </c>
      <c r="L35" s="154">
        <v>147561.94999999998</v>
      </c>
      <c r="M35" s="154">
        <v>18205.55</v>
      </c>
      <c r="N35" s="154">
        <v>18205.55</v>
      </c>
      <c r="O35" s="154">
        <v>18205.55</v>
      </c>
      <c r="P35" s="154">
        <v>21693.31</v>
      </c>
      <c r="Q35" s="154">
        <v>18351.560000000001</v>
      </c>
      <c r="R35" s="154">
        <v>21657.31</v>
      </c>
      <c r="S35" s="154">
        <v>31243.120000000003</v>
      </c>
      <c r="T35" s="154">
        <v>71883.41</v>
      </c>
      <c r="U35" s="154">
        <v>0</v>
      </c>
      <c r="V35" s="154">
        <v>44405.17</v>
      </c>
      <c r="W35" s="154">
        <v>27478.239999999998</v>
      </c>
      <c r="X35" s="154">
        <v>0</v>
      </c>
      <c r="Y35" s="154">
        <v>0</v>
      </c>
      <c r="Z35" s="154">
        <v>0</v>
      </c>
      <c r="AA35" s="154">
        <v>0</v>
      </c>
      <c r="AB35" s="154">
        <v>12751.19</v>
      </c>
      <c r="AC35" s="154">
        <v>0</v>
      </c>
    </row>
    <row r="36" spans="1:29">
      <c r="A36" s="252"/>
      <c r="B36" s="222" t="s">
        <v>122</v>
      </c>
      <c r="C36" s="154">
        <v>2308065.4899999998</v>
      </c>
      <c r="D36" s="154">
        <v>0</v>
      </c>
      <c r="E36" s="154">
        <v>449544.42999999982</v>
      </c>
      <c r="F36" s="154">
        <v>1467781.8399999999</v>
      </c>
      <c r="G36" s="154">
        <v>63420</v>
      </c>
      <c r="H36" s="154">
        <v>17894.539999999997</v>
      </c>
      <c r="I36" s="154">
        <v>6274.2999999999993</v>
      </c>
      <c r="J36" s="154">
        <v>7060.9400000000005</v>
      </c>
      <c r="K36" s="154">
        <v>32190.22</v>
      </c>
      <c r="L36" s="154">
        <v>238816.83000000002</v>
      </c>
      <c r="M36" s="154">
        <v>16984.230000000003</v>
      </c>
      <c r="N36" s="154">
        <v>18961.129999999997</v>
      </c>
      <c r="O36" s="154">
        <v>15414.650000000001</v>
      </c>
      <c r="P36" s="154">
        <v>16029.189999999999</v>
      </c>
      <c r="Q36" s="154">
        <v>7227.16</v>
      </c>
      <c r="R36" s="154">
        <v>15591.380000000001</v>
      </c>
      <c r="S36" s="154">
        <v>148609.09</v>
      </c>
      <c r="T36" s="154">
        <v>44338.51</v>
      </c>
      <c r="U36" s="154">
        <v>17205.02</v>
      </c>
      <c r="V36" s="154">
        <v>18351.850000000002</v>
      </c>
      <c r="W36" s="154">
        <v>6819.77</v>
      </c>
      <c r="X36" s="154">
        <v>40</v>
      </c>
      <c r="Y36" s="154">
        <v>1792.87</v>
      </c>
      <c r="Z36" s="154">
        <v>129</v>
      </c>
      <c r="AA36" s="154">
        <v>0</v>
      </c>
      <c r="AB36" s="154">
        <v>12772.31</v>
      </c>
      <c r="AC36" s="154">
        <v>31391.57</v>
      </c>
    </row>
    <row r="37" spans="1:29">
      <c r="A37" s="252"/>
      <c r="B37" s="222" t="s">
        <v>123</v>
      </c>
      <c r="C37" s="154">
        <v>2167616.5300000003</v>
      </c>
      <c r="D37" s="154">
        <v>0</v>
      </c>
      <c r="E37" s="154">
        <v>1922058.7300000002</v>
      </c>
      <c r="F37" s="154">
        <v>0</v>
      </c>
      <c r="G37" s="154">
        <v>0</v>
      </c>
      <c r="H37" s="154">
        <v>0</v>
      </c>
      <c r="I37" s="154">
        <v>0</v>
      </c>
      <c r="J37" s="154">
        <v>0</v>
      </c>
      <c r="K37" s="154">
        <v>0</v>
      </c>
      <c r="L37" s="154">
        <v>0</v>
      </c>
      <c r="M37" s="154">
        <v>0</v>
      </c>
      <c r="N37" s="154">
        <v>0</v>
      </c>
      <c r="O37" s="154">
        <v>0</v>
      </c>
      <c r="P37" s="154">
        <v>0</v>
      </c>
      <c r="Q37" s="154">
        <v>0</v>
      </c>
      <c r="R37" s="154">
        <v>0</v>
      </c>
      <c r="S37" s="154">
        <v>0</v>
      </c>
      <c r="T37" s="154">
        <v>245557.8</v>
      </c>
      <c r="U37" s="154">
        <v>0</v>
      </c>
      <c r="V37" s="154">
        <v>245557.8</v>
      </c>
      <c r="W37" s="154">
        <v>0</v>
      </c>
      <c r="X37" s="154">
        <v>0</v>
      </c>
      <c r="Y37" s="154">
        <v>0</v>
      </c>
      <c r="Z37" s="154">
        <v>0</v>
      </c>
      <c r="AA37" s="154">
        <v>0</v>
      </c>
      <c r="AB37" s="154">
        <v>0</v>
      </c>
      <c r="AC37" s="154">
        <v>0</v>
      </c>
    </row>
    <row r="38" spans="1:29">
      <c r="A38" s="252"/>
      <c r="B38" s="222" t="s">
        <v>124</v>
      </c>
      <c r="C38" s="154">
        <v>2097035.6400000001</v>
      </c>
      <c r="D38" s="154">
        <v>0</v>
      </c>
      <c r="E38" s="154">
        <v>265887.28000000026</v>
      </c>
      <c r="F38" s="154">
        <v>1717934.5699999998</v>
      </c>
      <c r="G38" s="154">
        <v>21089.57</v>
      </c>
      <c r="H38" s="154">
        <v>0</v>
      </c>
      <c r="I38" s="154">
        <v>0</v>
      </c>
      <c r="J38" s="154">
        <v>8056.6899999999987</v>
      </c>
      <c r="K38" s="154">
        <v>13032.88</v>
      </c>
      <c r="L38" s="154">
        <v>78434.22</v>
      </c>
      <c r="M38" s="154">
        <v>9833.909999999998</v>
      </c>
      <c r="N38" s="154">
        <v>9833.9</v>
      </c>
      <c r="O38" s="154">
        <v>9833.9</v>
      </c>
      <c r="P38" s="154">
        <v>13032.88</v>
      </c>
      <c r="Q38" s="154">
        <v>9833.91</v>
      </c>
      <c r="R38" s="154">
        <v>13032.88</v>
      </c>
      <c r="S38" s="154">
        <v>13032.839999999998</v>
      </c>
      <c r="T38" s="154">
        <v>0</v>
      </c>
      <c r="U38" s="154">
        <v>0</v>
      </c>
      <c r="V38" s="154">
        <v>0</v>
      </c>
      <c r="W38" s="154">
        <v>0</v>
      </c>
      <c r="X38" s="154">
        <v>0</v>
      </c>
      <c r="Y38" s="154">
        <v>0</v>
      </c>
      <c r="Z38" s="154">
        <v>0</v>
      </c>
      <c r="AA38" s="154">
        <v>0</v>
      </c>
      <c r="AB38" s="154">
        <v>0</v>
      </c>
      <c r="AC38" s="154">
        <v>13690</v>
      </c>
    </row>
    <row r="39" spans="1:29">
      <c r="A39" s="252"/>
      <c r="B39" s="222" t="s">
        <v>125</v>
      </c>
      <c r="C39" s="154">
        <v>237658.46999999997</v>
      </c>
      <c r="D39" s="154">
        <v>0</v>
      </c>
      <c r="E39" s="154">
        <v>237658.46999999997</v>
      </c>
      <c r="F39" s="154">
        <v>0</v>
      </c>
      <c r="G39" s="154">
        <v>0</v>
      </c>
      <c r="H39" s="154">
        <v>0</v>
      </c>
      <c r="I39" s="154">
        <v>0</v>
      </c>
      <c r="J39" s="154">
        <v>0</v>
      </c>
      <c r="K39" s="154">
        <v>0</v>
      </c>
      <c r="L39" s="154">
        <v>0</v>
      </c>
      <c r="M39" s="154">
        <v>0</v>
      </c>
      <c r="N39" s="154">
        <v>0</v>
      </c>
      <c r="O39" s="154">
        <v>0</v>
      </c>
      <c r="P39" s="154">
        <v>0</v>
      </c>
      <c r="Q39" s="154">
        <v>0</v>
      </c>
      <c r="R39" s="154">
        <v>0</v>
      </c>
      <c r="S39" s="154">
        <v>0</v>
      </c>
      <c r="T39" s="154">
        <v>0</v>
      </c>
      <c r="U39" s="154">
        <v>0</v>
      </c>
      <c r="V39" s="154">
        <v>0</v>
      </c>
      <c r="W39" s="154">
        <v>0</v>
      </c>
      <c r="X39" s="154">
        <v>0</v>
      </c>
      <c r="Y39" s="154">
        <v>0</v>
      </c>
      <c r="Z39" s="154">
        <v>0</v>
      </c>
      <c r="AA39" s="154">
        <v>0</v>
      </c>
      <c r="AB39" s="154">
        <v>0</v>
      </c>
      <c r="AC39" s="154">
        <v>0</v>
      </c>
    </row>
    <row r="40" spans="1:29">
      <c r="A40" s="252"/>
      <c r="B40" s="222" t="s">
        <v>126</v>
      </c>
      <c r="C40" s="154">
        <v>558734.31000000006</v>
      </c>
      <c r="D40" s="154">
        <v>0</v>
      </c>
      <c r="E40" s="154">
        <v>279017.89</v>
      </c>
      <c r="F40" s="154">
        <v>258827.22000000003</v>
      </c>
      <c r="G40" s="154">
        <v>400</v>
      </c>
      <c r="H40" s="154">
        <v>0</v>
      </c>
      <c r="I40" s="154">
        <v>0</v>
      </c>
      <c r="J40" s="154">
        <v>0</v>
      </c>
      <c r="K40" s="154">
        <v>400</v>
      </c>
      <c r="L40" s="154">
        <v>12412.939999999999</v>
      </c>
      <c r="M40" s="154">
        <v>0</v>
      </c>
      <c r="N40" s="154">
        <v>0</v>
      </c>
      <c r="O40" s="154">
        <v>0</v>
      </c>
      <c r="P40" s="154">
        <v>6020.49</v>
      </c>
      <c r="Q40" s="154">
        <v>0</v>
      </c>
      <c r="R40" s="154">
        <v>0</v>
      </c>
      <c r="S40" s="154">
        <v>6392.45</v>
      </c>
      <c r="T40" s="154">
        <v>1646.26</v>
      </c>
      <c r="U40" s="154">
        <v>0</v>
      </c>
      <c r="V40" s="154">
        <v>741.6</v>
      </c>
      <c r="W40" s="154">
        <v>904.66</v>
      </c>
      <c r="X40" s="154">
        <v>0</v>
      </c>
      <c r="Y40" s="154">
        <v>0</v>
      </c>
      <c r="Z40" s="154">
        <v>0</v>
      </c>
      <c r="AA40" s="154">
        <v>0</v>
      </c>
      <c r="AB40" s="154">
        <v>6100</v>
      </c>
      <c r="AC40" s="154">
        <v>330</v>
      </c>
    </row>
    <row r="41" spans="1:29">
      <c r="A41" s="252"/>
      <c r="B41" s="222" t="s">
        <v>127</v>
      </c>
      <c r="C41" s="154">
        <v>989630</v>
      </c>
      <c r="D41" s="154">
        <v>0</v>
      </c>
      <c r="E41" s="154">
        <v>460000</v>
      </c>
      <c r="F41" s="154">
        <v>521630</v>
      </c>
      <c r="G41" s="154">
        <v>0</v>
      </c>
      <c r="H41" s="154">
        <v>0</v>
      </c>
      <c r="I41" s="154">
        <v>0</v>
      </c>
      <c r="J41" s="154">
        <v>0</v>
      </c>
      <c r="K41" s="154">
        <v>0</v>
      </c>
      <c r="L41" s="154">
        <v>8000</v>
      </c>
      <c r="M41" s="154">
        <v>0</v>
      </c>
      <c r="N41" s="154">
        <v>0</v>
      </c>
      <c r="O41" s="154">
        <v>0</v>
      </c>
      <c r="P41" s="154">
        <v>0</v>
      </c>
      <c r="Q41" s="154">
        <v>0</v>
      </c>
      <c r="R41" s="154">
        <v>0</v>
      </c>
      <c r="S41" s="154">
        <v>8000</v>
      </c>
      <c r="T41" s="154">
        <v>0</v>
      </c>
      <c r="U41" s="154">
        <v>0</v>
      </c>
      <c r="V41" s="154">
        <v>0</v>
      </c>
      <c r="W41" s="154">
        <v>0</v>
      </c>
      <c r="X41" s="154">
        <v>0</v>
      </c>
      <c r="Y41" s="154">
        <v>0</v>
      </c>
      <c r="Z41" s="154">
        <v>0</v>
      </c>
      <c r="AA41" s="154">
        <v>0</v>
      </c>
      <c r="AB41" s="154">
        <v>0</v>
      </c>
      <c r="AC41" s="154">
        <v>0</v>
      </c>
    </row>
    <row r="42" spans="1:29">
      <c r="A42" s="252"/>
      <c r="B42" s="222" t="s">
        <v>128</v>
      </c>
      <c r="C42" s="154">
        <v>769405.54999999993</v>
      </c>
      <c r="D42" s="154">
        <v>0</v>
      </c>
      <c r="E42" s="154">
        <v>431999.04999999993</v>
      </c>
      <c r="F42" s="154">
        <v>81590.42</v>
      </c>
      <c r="G42" s="154">
        <v>0</v>
      </c>
      <c r="H42" s="154">
        <v>0</v>
      </c>
      <c r="I42" s="154">
        <v>0</v>
      </c>
      <c r="J42" s="154">
        <v>0</v>
      </c>
      <c r="K42" s="154">
        <v>0</v>
      </c>
      <c r="L42" s="154">
        <v>0</v>
      </c>
      <c r="M42" s="154">
        <v>0</v>
      </c>
      <c r="N42" s="154">
        <v>0</v>
      </c>
      <c r="O42" s="154">
        <v>0</v>
      </c>
      <c r="P42" s="154">
        <v>0</v>
      </c>
      <c r="Q42" s="154">
        <v>0</v>
      </c>
      <c r="R42" s="154">
        <v>0</v>
      </c>
      <c r="S42" s="154">
        <v>0</v>
      </c>
      <c r="T42" s="154">
        <v>255816.08</v>
      </c>
      <c r="U42" s="154">
        <v>0</v>
      </c>
      <c r="V42" s="154">
        <v>226964.63999999998</v>
      </c>
      <c r="W42" s="154">
        <v>28851.440000000002</v>
      </c>
      <c r="X42" s="154">
        <v>0</v>
      </c>
      <c r="Y42" s="154">
        <v>0</v>
      </c>
      <c r="Z42" s="154">
        <v>0</v>
      </c>
      <c r="AA42" s="154">
        <v>0</v>
      </c>
      <c r="AB42" s="154">
        <v>0</v>
      </c>
      <c r="AC42" s="154">
        <v>0</v>
      </c>
    </row>
    <row r="43" spans="1:29">
      <c r="A43" s="252"/>
      <c r="B43" s="222" t="s">
        <v>129</v>
      </c>
      <c r="C43" s="154">
        <v>0</v>
      </c>
      <c r="D43" s="154">
        <v>0</v>
      </c>
      <c r="E43" s="154">
        <v>0</v>
      </c>
      <c r="F43" s="154">
        <v>0</v>
      </c>
      <c r="G43" s="154">
        <v>0</v>
      </c>
      <c r="H43" s="154">
        <v>0</v>
      </c>
      <c r="I43" s="154">
        <v>0</v>
      </c>
      <c r="J43" s="154">
        <v>0</v>
      </c>
      <c r="K43" s="154">
        <v>0</v>
      </c>
      <c r="L43" s="154">
        <v>0</v>
      </c>
      <c r="M43" s="154">
        <v>0</v>
      </c>
      <c r="N43" s="154">
        <v>0</v>
      </c>
      <c r="O43" s="154">
        <v>0</v>
      </c>
      <c r="P43" s="154">
        <v>0</v>
      </c>
      <c r="Q43" s="154">
        <v>0</v>
      </c>
      <c r="R43" s="154">
        <v>0</v>
      </c>
      <c r="S43" s="154">
        <v>0</v>
      </c>
      <c r="T43" s="154">
        <v>0</v>
      </c>
      <c r="U43" s="154">
        <v>0</v>
      </c>
      <c r="V43" s="154">
        <v>0</v>
      </c>
      <c r="W43" s="154">
        <v>0</v>
      </c>
      <c r="X43" s="154">
        <v>0</v>
      </c>
      <c r="Y43" s="154">
        <v>0</v>
      </c>
      <c r="Z43" s="154">
        <v>0</v>
      </c>
      <c r="AA43" s="154">
        <v>0</v>
      </c>
      <c r="AB43" s="154">
        <v>0</v>
      </c>
      <c r="AC43" s="154">
        <v>0</v>
      </c>
    </row>
    <row r="44" spans="1:29">
      <c r="A44" s="252"/>
      <c r="B44" s="222" t="s">
        <v>130</v>
      </c>
      <c r="C44" s="154">
        <v>13021373.189999999</v>
      </c>
      <c r="D44" s="154">
        <v>0</v>
      </c>
      <c r="E44" s="154">
        <v>8110199.0600000005</v>
      </c>
      <c r="F44" s="154">
        <v>4638192.9799999986</v>
      </c>
      <c r="G44" s="154">
        <v>154827.78</v>
      </c>
      <c r="H44" s="154">
        <v>0</v>
      </c>
      <c r="I44" s="154">
        <v>13181.72</v>
      </c>
      <c r="J44" s="154">
        <v>13181.72</v>
      </c>
      <c r="K44" s="154">
        <v>128464.34</v>
      </c>
      <c r="L44" s="154">
        <v>118153.37</v>
      </c>
      <c r="M44" s="154">
        <v>33959.019999999997</v>
      </c>
      <c r="N44" s="154">
        <v>15068.3</v>
      </c>
      <c r="O44" s="154">
        <v>6146.91</v>
      </c>
      <c r="P44" s="154">
        <v>26363.439999999999</v>
      </c>
      <c r="Q44" s="154">
        <v>0</v>
      </c>
      <c r="R44" s="154">
        <v>26363.439999999999</v>
      </c>
      <c r="S44" s="154">
        <v>10252.26</v>
      </c>
      <c r="T44" s="154">
        <v>0</v>
      </c>
      <c r="U44" s="154">
        <v>0</v>
      </c>
      <c r="V44" s="154">
        <v>0</v>
      </c>
      <c r="W44" s="154">
        <v>0</v>
      </c>
      <c r="X44" s="154">
        <v>0</v>
      </c>
      <c r="Y44" s="154">
        <v>0</v>
      </c>
      <c r="Z44" s="154">
        <v>0</v>
      </c>
      <c r="AA44" s="154">
        <v>0</v>
      </c>
      <c r="AB44" s="154">
        <v>0</v>
      </c>
      <c r="AC44" s="154">
        <v>0</v>
      </c>
    </row>
    <row r="45" spans="1:29">
      <c r="A45" s="252"/>
      <c r="B45" s="224" t="s">
        <v>131</v>
      </c>
      <c r="C45" s="156">
        <v>3260180.3599999994</v>
      </c>
      <c r="D45" s="156">
        <v>0</v>
      </c>
      <c r="E45" s="154">
        <v>950708.36999999953</v>
      </c>
      <c r="F45" s="154">
        <v>1985075.39</v>
      </c>
      <c r="G45" s="156">
        <v>251774.63</v>
      </c>
      <c r="H45" s="156">
        <v>0</v>
      </c>
      <c r="I45" s="156">
        <v>29750.7</v>
      </c>
      <c r="J45" s="156">
        <v>30882.77</v>
      </c>
      <c r="K45" s="156">
        <v>191141.16</v>
      </c>
      <c r="L45" s="156">
        <v>60779.320000000007</v>
      </c>
      <c r="M45" s="156">
        <v>5397.64</v>
      </c>
      <c r="N45" s="156">
        <v>5397.64</v>
      </c>
      <c r="O45" s="156">
        <v>7533.96</v>
      </c>
      <c r="P45" s="156">
        <v>13315.560000000001</v>
      </c>
      <c r="Q45" s="156">
        <v>14258.960000000001</v>
      </c>
      <c r="R45" s="156">
        <v>13315.560000000001</v>
      </c>
      <c r="S45" s="156">
        <v>1560</v>
      </c>
      <c r="T45" s="156">
        <v>4106.79</v>
      </c>
      <c r="U45" s="156">
        <v>2886.79</v>
      </c>
      <c r="V45" s="156">
        <v>1220</v>
      </c>
      <c r="W45" s="156">
        <v>0</v>
      </c>
      <c r="X45" s="156">
        <v>0</v>
      </c>
      <c r="Y45" s="156">
        <v>0</v>
      </c>
      <c r="Z45" s="156">
        <v>0</v>
      </c>
      <c r="AA45" s="156">
        <v>0</v>
      </c>
      <c r="AB45" s="156">
        <v>5471.7</v>
      </c>
      <c r="AC45" s="156">
        <v>2264.16</v>
      </c>
    </row>
    <row r="46" spans="1:29" ht="13.5" customHeight="1">
      <c r="A46" s="252"/>
      <c r="B46" s="222" t="s">
        <v>132</v>
      </c>
      <c r="C46" s="154">
        <v>30191584.470000003</v>
      </c>
      <c r="D46" s="154">
        <v>0</v>
      </c>
      <c r="E46" s="154">
        <v>1746539.1600000067</v>
      </c>
      <c r="F46" s="154">
        <v>21996526.499999996</v>
      </c>
      <c r="G46" s="154">
        <v>423113.83999999997</v>
      </c>
      <c r="H46" s="154">
        <v>1895</v>
      </c>
      <c r="I46" s="154">
        <v>0</v>
      </c>
      <c r="J46" s="154">
        <v>160386.4</v>
      </c>
      <c r="K46" s="154">
        <v>260832.44</v>
      </c>
      <c r="L46" s="154">
        <v>5220857.79</v>
      </c>
      <c r="M46" s="154">
        <v>211476.12999999998</v>
      </c>
      <c r="N46" s="154">
        <v>212194</v>
      </c>
      <c r="O46" s="154">
        <v>211223.13</v>
      </c>
      <c r="P46" s="154">
        <v>271512.05</v>
      </c>
      <c r="Q46" s="154">
        <v>216724.71999999997</v>
      </c>
      <c r="R46" s="154">
        <v>260832.44</v>
      </c>
      <c r="S46" s="154">
        <v>3836895.32</v>
      </c>
      <c r="T46" s="154">
        <v>571480.04999999993</v>
      </c>
      <c r="U46" s="154">
        <v>0</v>
      </c>
      <c r="V46" s="154">
        <v>353745.81999999995</v>
      </c>
      <c r="W46" s="154">
        <v>217650.22999999998</v>
      </c>
      <c r="X46" s="154">
        <v>0</v>
      </c>
      <c r="Y46" s="154">
        <v>84</v>
      </c>
      <c r="Z46" s="154">
        <v>0</v>
      </c>
      <c r="AA46" s="154">
        <v>0</v>
      </c>
      <c r="AB46" s="154">
        <v>113027.13</v>
      </c>
      <c r="AC46" s="154">
        <v>120040</v>
      </c>
    </row>
    <row r="47" spans="1:29">
      <c r="A47" s="252"/>
      <c r="B47" s="222" t="s">
        <v>133</v>
      </c>
      <c r="C47" s="154">
        <v>14636156.489999998</v>
      </c>
      <c r="D47" s="154">
        <v>0</v>
      </c>
      <c r="E47" s="154">
        <v>11089783.979999999</v>
      </c>
      <c r="F47" s="154">
        <v>3015497.5100000002</v>
      </c>
      <c r="G47" s="154">
        <v>6711.29</v>
      </c>
      <c r="H47" s="154">
        <v>0</v>
      </c>
      <c r="I47" s="154">
        <v>0</v>
      </c>
      <c r="J47" s="154">
        <v>1852.93</v>
      </c>
      <c r="K47" s="154">
        <v>4858.3599999999997</v>
      </c>
      <c r="L47" s="154">
        <v>524163.71</v>
      </c>
      <c r="M47" s="154">
        <v>21600.03</v>
      </c>
      <c r="N47" s="154">
        <v>21600.04</v>
      </c>
      <c r="O47" s="154">
        <v>21984.560000000001</v>
      </c>
      <c r="P47" s="154">
        <v>22031.129999999997</v>
      </c>
      <c r="Q47" s="154">
        <v>2983.84</v>
      </c>
      <c r="R47" s="154">
        <v>10145.719999999999</v>
      </c>
      <c r="S47" s="154">
        <v>423818.39</v>
      </c>
      <c r="T47" s="154">
        <v>0</v>
      </c>
      <c r="U47" s="154">
        <v>0</v>
      </c>
      <c r="V47" s="154">
        <v>0</v>
      </c>
      <c r="W47" s="154">
        <v>0</v>
      </c>
      <c r="X47" s="154">
        <v>0</v>
      </c>
      <c r="Y47" s="154">
        <v>0</v>
      </c>
      <c r="Z47" s="154">
        <v>0</v>
      </c>
      <c r="AA47" s="154">
        <v>0</v>
      </c>
      <c r="AB47" s="154">
        <v>0</v>
      </c>
      <c r="AC47" s="154">
        <v>0</v>
      </c>
    </row>
    <row r="48" spans="1:29">
      <c r="A48" s="252"/>
      <c r="B48" s="222" t="s">
        <v>134</v>
      </c>
      <c r="C48" s="154">
        <v>6974094.7000000011</v>
      </c>
      <c r="D48" s="154">
        <v>0</v>
      </c>
      <c r="E48" s="154">
        <v>6350392.8200000012</v>
      </c>
      <c r="F48" s="154">
        <v>528315.28000000014</v>
      </c>
      <c r="G48" s="154">
        <v>0</v>
      </c>
      <c r="H48" s="154">
        <v>0</v>
      </c>
      <c r="I48" s="154">
        <v>0</v>
      </c>
      <c r="J48" s="154">
        <v>0</v>
      </c>
      <c r="K48" s="154">
        <v>0</v>
      </c>
      <c r="L48" s="154">
        <v>92870.840000000011</v>
      </c>
      <c r="M48" s="154">
        <v>71438.3</v>
      </c>
      <c r="N48" s="154">
        <v>10716.27</v>
      </c>
      <c r="O48" s="154">
        <v>10716.27</v>
      </c>
      <c r="P48" s="154">
        <v>0</v>
      </c>
      <c r="Q48" s="154">
        <v>0</v>
      </c>
      <c r="R48" s="154">
        <v>0</v>
      </c>
      <c r="S48" s="154">
        <v>0</v>
      </c>
      <c r="T48" s="154">
        <v>0</v>
      </c>
      <c r="U48" s="154">
        <v>0</v>
      </c>
      <c r="V48" s="154">
        <v>0</v>
      </c>
      <c r="W48" s="154">
        <v>0</v>
      </c>
      <c r="X48" s="154">
        <v>0</v>
      </c>
      <c r="Y48" s="154">
        <v>0</v>
      </c>
      <c r="Z48" s="154">
        <v>0</v>
      </c>
      <c r="AA48" s="154">
        <v>0</v>
      </c>
      <c r="AB48" s="154">
        <v>0</v>
      </c>
      <c r="AC48" s="154">
        <v>2515.7600000000002</v>
      </c>
    </row>
    <row r="49" spans="1:29">
      <c r="A49" s="252"/>
      <c r="B49" s="222" t="s">
        <v>135</v>
      </c>
      <c r="C49" s="154">
        <v>6675432.9299999997</v>
      </c>
      <c r="D49" s="154">
        <v>0</v>
      </c>
      <c r="E49" s="154">
        <v>1657360.15</v>
      </c>
      <c r="F49" s="154">
        <v>4676078.26</v>
      </c>
      <c r="G49" s="154">
        <v>108062.06</v>
      </c>
      <c r="H49" s="154">
        <v>8608.2400000000016</v>
      </c>
      <c r="I49" s="154">
        <v>1670.26</v>
      </c>
      <c r="J49" s="154">
        <v>28938.45</v>
      </c>
      <c r="K49" s="154">
        <v>68845.11</v>
      </c>
      <c r="L49" s="154">
        <v>218250.46</v>
      </c>
      <c r="M49" s="154">
        <v>25698.719999999998</v>
      </c>
      <c r="N49" s="154">
        <v>25034.710000000003</v>
      </c>
      <c r="O49" s="154">
        <v>25226.97</v>
      </c>
      <c r="P49" s="154">
        <v>59747.590000000011</v>
      </c>
      <c r="Q49" s="154">
        <v>19674.52</v>
      </c>
      <c r="R49" s="154">
        <v>34639.160000000003</v>
      </c>
      <c r="S49" s="154">
        <v>28228.790000000005</v>
      </c>
      <c r="T49" s="154">
        <v>15682.000000000004</v>
      </c>
      <c r="U49" s="154">
        <v>0</v>
      </c>
      <c r="V49" s="154">
        <v>1566.7</v>
      </c>
      <c r="W49" s="154">
        <v>14115.300000000003</v>
      </c>
      <c r="X49" s="154">
        <v>0</v>
      </c>
      <c r="Y49" s="154">
        <v>0</v>
      </c>
      <c r="Z49" s="154">
        <v>0</v>
      </c>
      <c r="AA49" s="154">
        <v>0</v>
      </c>
      <c r="AB49" s="154">
        <v>0</v>
      </c>
      <c r="AC49" s="154">
        <v>0</v>
      </c>
    </row>
    <row r="50" spans="1:29">
      <c r="A50" s="252"/>
      <c r="B50" s="222" t="s">
        <v>136</v>
      </c>
      <c r="C50" s="154">
        <v>710141.83000000007</v>
      </c>
      <c r="D50" s="154">
        <v>0</v>
      </c>
      <c r="E50" s="154">
        <v>132641.52000000011</v>
      </c>
      <c r="F50" s="154">
        <v>437515.91</v>
      </c>
      <c r="G50" s="154">
        <v>15712.56</v>
      </c>
      <c r="H50" s="154">
        <v>13112.56</v>
      </c>
      <c r="I50" s="154">
        <v>1100</v>
      </c>
      <c r="J50" s="154">
        <v>1500</v>
      </c>
      <c r="K50" s="154">
        <v>0</v>
      </c>
      <c r="L50" s="154">
        <v>124271.84</v>
      </c>
      <c r="M50" s="154">
        <v>0</v>
      </c>
      <c r="N50" s="154">
        <v>0</v>
      </c>
      <c r="O50" s="154">
        <v>0</v>
      </c>
      <c r="P50" s="154">
        <v>0</v>
      </c>
      <c r="Q50" s="154">
        <v>0</v>
      </c>
      <c r="R50" s="154">
        <v>124271.84</v>
      </c>
      <c r="S50" s="154">
        <v>0</v>
      </c>
      <c r="T50" s="154">
        <v>0</v>
      </c>
      <c r="U50" s="154">
        <v>0</v>
      </c>
      <c r="V50" s="154">
        <v>0</v>
      </c>
      <c r="W50" s="154">
        <v>0</v>
      </c>
      <c r="X50" s="154">
        <v>0</v>
      </c>
      <c r="Y50" s="154">
        <v>0</v>
      </c>
      <c r="Z50" s="154">
        <v>0</v>
      </c>
      <c r="AA50" s="154">
        <v>0</v>
      </c>
      <c r="AB50" s="154">
        <v>0</v>
      </c>
      <c r="AC50" s="154">
        <v>0</v>
      </c>
    </row>
    <row r="51" spans="1:29">
      <c r="A51" s="253"/>
      <c r="B51" s="225" t="s">
        <v>99</v>
      </c>
      <c r="C51" s="157">
        <v>88197636.950000003</v>
      </c>
      <c r="D51" s="157">
        <v>0</v>
      </c>
      <c r="E51" s="157">
        <v>23762646.25</v>
      </c>
      <c r="F51" s="157">
        <v>43677982.110000007</v>
      </c>
      <c r="G51" s="157">
        <v>1084036.58</v>
      </c>
      <c r="H51" s="157">
        <v>41510.339999999997</v>
      </c>
      <c r="I51" s="157">
        <v>51976.98</v>
      </c>
      <c r="J51" s="157">
        <v>268175.43999999994</v>
      </c>
      <c r="K51" s="157">
        <v>722373.82000000007</v>
      </c>
      <c r="L51" s="157">
        <v>1154553.42</v>
      </c>
      <c r="M51" s="157">
        <v>41510.339999999997</v>
      </c>
      <c r="N51" s="157">
        <v>337011.54</v>
      </c>
      <c r="O51" s="157">
        <v>326285.90000000002</v>
      </c>
      <c r="P51" s="157">
        <v>449745.63999999996</v>
      </c>
      <c r="Q51" s="157">
        <v>289054.67000000004</v>
      </c>
      <c r="R51" s="157">
        <v>519849.73</v>
      </c>
      <c r="S51" s="157">
        <v>4508032.26</v>
      </c>
      <c r="T51" s="157">
        <v>1210510.8999999999</v>
      </c>
      <c r="U51" s="157">
        <v>20091.810000000001</v>
      </c>
      <c r="V51" s="157">
        <v>892553.57999999984</v>
      </c>
      <c r="W51" s="157">
        <v>295819.64</v>
      </c>
      <c r="X51" s="157">
        <v>40</v>
      </c>
      <c r="Y51" s="157">
        <v>1876.87</v>
      </c>
      <c r="Z51" s="157">
        <v>129</v>
      </c>
      <c r="AA51" s="157">
        <v>0</v>
      </c>
      <c r="AB51" s="157">
        <v>150122.32999999999</v>
      </c>
      <c r="AC51" s="157">
        <v>170231.49</v>
      </c>
    </row>
    <row r="52" spans="1:29" ht="14.25" thickBot="1">
      <c r="A52" s="14"/>
      <c r="B52" s="226" t="s">
        <v>3</v>
      </c>
      <c r="C52" s="158">
        <v>582663696.07999992</v>
      </c>
      <c r="D52" s="158">
        <v>45861.1</v>
      </c>
      <c r="E52" s="158">
        <v>100581505.72999997</v>
      </c>
      <c r="F52" s="158">
        <v>286178891.44000006</v>
      </c>
      <c r="G52" s="158">
        <v>14858088.039999999</v>
      </c>
      <c r="H52" s="158">
        <v>4526505.43</v>
      </c>
      <c r="I52" s="158">
        <v>2429925.67</v>
      </c>
      <c r="J52" s="158">
        <v>2394587.23</v>
      </c>
      <c r="K52" s="158">
        <v>5507069.7100000009</v>
      </c>
      <c r="L52" s="158">
        <v>15563821.43</v>
      </c>
      <c r="M52" s="158">
        <v>4526505.43</v>
      </c>
      <c r="N52" s="158">
        <v>3183157.4300000006</v>
      </c>
      <c r="O52" s="158">
        <v>1428182.2600000002</v>
      </c>
      <c r="P52" s="158">
        <v>6425976.3099999996</v>
      </c>
      <c r="Q52" s="158">
        <v>2804554.79</v>
      </c>
      <c r="R52" s="158">
        <v>3247530.4899999998</v>
      </c>
      <c r="S52" s="158">
        <v>7306900.9100000001</v>
      </c>
      <c r="T52" s="158">
        <v>121856752.47</v>
      </c>
      <c r="U52" s="158">
        <v>10765366.699999999</v>
      </c>
      <c r="V52" s="158">
        <v>86135269.469999999</v>
      </c>
      <c r="W52" s="158">
        <v>22979454.459999997</v>
      </c>
      <c r="X52" s="158">
        <v>434226.12</v>
      </c>
      <c r="Y52" s="158">
        <v>1281549.0100000002</v>
      </c>
      <c r="Z52" s="158">
        <v>260886.71</v>
      </c>
      <c r="AA52" s="158">
        <v>0</v>
      </c>
      <c r="AB52" s="158">
        <v>4807935.0699999994</v>
      </c>
      <c r="AC52" s="158">
        <v>5894358.2199999988</v>
      </c>
    </row>
    <row r="53" spans="1:29">
      <c r="A53" s="17"/>
      <c r="B53" s="18" t="s">
        <v>58</v>
      </c>
      <c r="C53" s="159">
        <v>-4.19095158576965E-8</v>
      </c>
      <c r="D53" s="19"/>
      <c r="E53" s="19"/>
      <c r="F53" s="19"/>
      <c r="G53" s="19"/>
      <c r="H53" s="19"/>
      <c r="I53" s="19"/>
      <c r="J53" s="19"/>
      <c r="K53" s="19"/>
      <c r="L53" s="19"/>
      <c r="M53" s="24"/>
      <c r="N53" s="24"/>
      <c r="O53" s="24"/>
      <c r="P53" s="24"/>
      <c r="Q53" s="24"/>
      <c r="R53" s="24"/>
      <c r="S53" s="24"/>
      <c r="T53" s="19"/>
      <c r="U53" s="19"/>
      <c r="V53" s="24"/>
      <c r="W53" s="24"/>
      <c r="X53" s="24"/>
      <c r="Y53" s="24"/>
      <c r="Z53" s="24"/>
      <c r="AA53" s="24"/>
      <c r="AB53" s="24"/>
      <c r="AC53" s="19"/>
    </row>
    <row r="54" spans="1:29" ht="14.25" thickBot="1">
      <c r="B54" s="160" t="s">
        <v>137</v>
      </c>
      <c r="E54" s="147">
        <v>0</v>
      </c>
    </row>
    <row r="55" spans="1:29">
      <c r="A55" s="17" t="s">
        <v>86</v>
      </c>
      <c r="B55" s="18" t="s">
        <v>87</v>
      </c>
      <c r="C55" s="19" t="s">
        <v>3</v>
      </c>
      <c r="D55" s="19" t="s">
        <v>4</v>
      </c>
      <c r="E55" s="19" t="s">
        <v>5</v>
      </c>
      <c r="F55" s="19" t="s">
        <v>6</v>
      </c>
      <c r="G55" s="19" t="s">
        <v>7</v>
      </c>
      <c r="H55" s="24" t="s">
        <v>8</v>
      </c>
      <c r="I55" s="24" t="s">
        <v>9</v>
      </c>
      <c r="J55" s="24" t="s">
        <v>10</v>
      </c>
      <c r="K55" s="24" t="s">
        <v>11</v>
      </c>
      <c r="L55" s="19" t="s">
        <v>12</v>
      </c>
      <c r="M55" s="24" t="s">
        <v>13</v>
      </c>
      <c r="N55" s="24" t="s">
        <v>14</v>
      </c>
      <c r="O55" s="24" t="s">
        <v>15</v>
      </c>
      <c r="P55" s="24" t="s">
        <v>16</v>
      </c>
      <c r="Q55" s="24" t="s">
        <v>17</v>
      </c>
      <c r="R55" s="24" t="s">
        <v>414</v>
      </c>
      <c r="S55" s="24" t="s">
        <v>411</v>
      </c>
      <c r="T55" s="19" t="s">
        <v>20</v>
      </c>
      <c r="U55" s="24" t="s">
        <v>21</v>
      </c>
      <c r="V55" s="24" t="s">
        <v>22</v>
      </c>
      <c r="W55" s="24" t="s">
        <v>23</v>
      </c>
      <c r="X55" s="24" t="s">
        <v>24</v>
      </c>
      <c r="Y55" s="24" t="s">
        <v>25</v>
      </c>
      <c r="Z55" s="24" t="s">
        <v>26</v>
      </c>
      <c r="AA55" s="24" t="s">
        <v>505</v>
      </c>
      <c r="AB55" s="19" t="s">
        <v>488</v>
      </c>
      <c r="AC55" s="19" t="s">
        <v>487</v>
      </c>
    </row>
    <row r="56" spans="1:29" ht="13.5" customHeight="1">
      <c r="A56" s="257" t="s">
        <v>88</v>
      </c>
      <c r="B56" s="47" t="s">
        <v>89</v>
      </c>
      <c r="C56" s="9">
        <f>SUM(D56:G56)+L56+T56+AC56+AB56</f>
        <v>0</v>
      </c>
      <c r="D56" s="161">
        <f>SUMIFS(考核调整事项表!$C:$C,考核调整事项表!$G:$G,累计考核费用!$B56,考核调整事项表!$D:$D,累计考核费用!D$55)+SUMIFS(考核调整事项表!$E:$E,考核调整事项表!$G:$G,累计考核费用!$B56,考核调整事项表!$F:$F,累计考核费用!D$55)</f>
        <v>0</v>
      </c>
      <c r="E56" s="161">
        <f>SUMIFS(考核调整事项表!$C:$C,考核调整事项表!$G:$G,累计考核费用!$B56,考核调整事项表!$D:$D,累计考核费用!E$55)+SUMIFS(考核调整事项表!$E:$E,考核调整事项表!$G:$G,累计考核费用!$B56,考核调整事项表!$F:$F,累计考核费用!E$55)</f>
        <v>3413669.12</v>
      </c>
      <c r="F56" s="161">
        <f>SUMIFS(考核调整事项表!$C:$C,考核调整事项表!$G:$G,累计考核费用!$B56,考核调整事项表!$D:$D,累计考核费用!F$55)+SUMIFS(考核调整事项表!$E:$E,考核调整事项表!$G:$G,累计考核费用!$B56,考核调整事项表!$F:$F,累计考核费用!F$55)</f>
        <v>-3413669.12</v>
      </c>
      <c r="G56" s="161">
        <f>SUM(H56:K56)</f>
        <v>0</v>
      </c>
      <c r="H56" s="161">
        <f>SUMIFS(考核调整事项表!$C:$C,考核调整事项表!$G:$G,累计考核费用!$B56,考核调整事项表!$D:$D,累计考核费用!H$55)+SUMIFS(考核调整事项表!$E:$E,考核调整事项表!$G:$G,累计考核费用!$B56,考核调整事项表!$F:$F,累计考核费用!H$55)</f>
        <v>0</v>
      </c>
      <c r="I56" s="161">
        <f>SUMIFS(考核调整事项表!$C:$C,考核调整事项表!$G:$G,累计考核费用!$B56,考核调整事项表!$D:$D,累计考核费用!I$55)+SUMIFS(考核调整事项表!$E:$E,考核调整事项表!$G:$G,累计考核费用!$B56,考核调整事项表!$F:$F,累计考核费用!I$55)</f>
        <v>0</v>
      </c>
      <c r="J56" s="161">
        <f>SUMIFS(考核调整事项表!$C:$C,考核调整事项表!$G:$G,累计考核费用!$B56,考核调整事项表!$D:$D,累计考核费用!J$55)+SUMIFS(考核调整事项表!$E:$E,考核调整事项表!$G:$G,累计考核费用!$B56,考核调整事项表!$F:$F,累计考核费用!J$55)</f>
        <v>0</v>
      </c>
      <c r="K56" s="161">
        <f>SUMIFS(考核调整事项表!$C:$C,考核调整事项表!$G:$G,累计考核费用!$B56,考核调整事项表!$D:$D,累计考核费用!K$55)+SUMIFS(考核调整事项表!$E:$E,考核调整事项表!$G:$G,累计考核费用!$B56,考核调整事项表!$F:$F,累计考核费用!K$55)</f>
        <v>0</v>
      </c>
      <c r="L56" s="161">
        <f>SUM(M56:S56)</f>
        <v>0</v>
      </c>
      <c r="M56" s="161">
        <f>SUMIFS(考核调整事项表!$C:$C,考核调整事项表!$G:$G,累计考核费用!$B56,考核调整事项表!$D:$D,累计考核费用!M$55)+SUMIFS(考核调整事项表!$E:$E,考核调整事项表!$G:$G,累计考核费用!$B56,考核调整事项表!$F:$F,累计考核费用!M$55)</f>
        <v>0</v>
      </c>
      <c r="N56" s="161">
        <f>SUMIFS(考核调整事项表!$C:$C,考核调整事项表!$G:$G,累计考核费用!$B56,考核调整事项表!$D:$D,累计考核费用!N$55)+SUMIFS(考核调整事项表!$E:$E,考核调整事项表!$G:$G,累计考核费用!$B56,考核调整事项表!$F:$F,累计考核费用!N$55)</f>
        <v>0</v>
      </c>
      <c r="O56" s="161">
        <f>SUMIFS(考核调整事项表!$C:$C,考核调整事项表!$G:$G,累计考核费用!$B56,考核调整事项表!$D:$D,累计考核费用!O$55)+SUMIFS(考核调整事项表!$E:$E,考核调整事项表!$G:$G,累计考核费用!$B56,考核调整事项表!$F:$F,累计考核费用!O$55)</f>
        <v>0</v>
      </c>
      <c r="P56" s="161">
        <f>SUMIFS(考核调整事项表!$C:$C,考核调整事项表!$G:$G,累计考核费用!$B56,考核调整事项表!$D:$D,累计考核费用!P$55)+SUMIFS(考核调整事项表!$E:$E,考核调整事项表!$G:$G,累计考核费用!$B56,考核调整事项表!$F:$F,累计考核费用!P$55)</f>
        <v>0</v>
      </c>
      <c r="Q56" s="161">
        <f>SUMIFS(考核调整事项表!$C:$C,考核调整事项表!$G:$G,累计考核费用!$B56,考核调整事项表!$D:$D,累计考核费用!Q$55)+SUMIFS(考核调整事项表!$E:$E,考核调整事项表!$G:$G,累计考核费用!$B56,考核调整事项表!$F:$F,累计考核费用!Q$55)</f>
        <v>0</v>
      </c>
      <c r="R56" s="161">
        <f>SUMIFS(考核调整事项表!$C:$C,考核调整事项表!$G:$G,累计考核费用!$B56,考核调整事项表!$D:$D,累计考核费用!R$55)+SUMIFS(考核调整事项表!$E:$E,考核调整事项表!$G:$G,累计考核费用!$B56,考核调整事项表!$F:$F,累计考核费用!R$55)</f>
        <v>0</v>
      </c>
      <c r="S56" s="161">
        <f>SUMIFS(考核调整事项表!$C:$C,考核调整事项表!$G:$G,累计考核费用!$B56,考核调整事项表!$D:$D,累计考核费用!S$55)+SUMIFS(考核调整事项表!$E:$E,考核调整事项表!$G:$G,累计考核费用!$B56,考核调整事项表!$F:$F,累计考核费用!S$55)</f>
        <v>0</v>
      </c>
      <c r="T56" s="164">
        <f>SUM(U56:AA56)</f>
        <v>-1493793.1</v>
      </c>
      <c r="U56" s="161">
        <f>SUMIFS(考核调整事项表!$C:$C,考核调整事项表!$G:$G,累计考核费用!$B56,考核调整事项表!$D:$D,累计考核费用!U$55)+SUMIFS(考核调整事项表!$E:$E,考核调整事项表!$G:$G,累计考核费用!$B56,考核调整事项表!$F:$F,累计考核费用!U$55)</f>
        <v>0</v>
      </c>
      <c r="V56" s="161">
        <f>SUMIFS(考核调整事项表!$C:$C,考核调整事项表!$G:$G,累计考核费用!$B56,考核调整事项表!$D:$D,累计考核费用!V$55)+SUMIFS(考核调整事项表!$E:$E,考核调整事项表!$G:$G,累计考核费用!$B56,考核调整事项表!$F:$F,累计考核费用!V$55)</f>
        <v>0</v>
      </c>
      <c r="W56" s="161">
        <f>SUMIFS(考核调整事项表!$C:$C,考核调整事项表!$G:$G,累计考核费用!$B56,考核调整事项表!$D:$D,累计考核费用!W$55)+SUMIFS(考核调整事项表!$E:$E,考核调整事项表!$G:$G,累计考核费用!$B56,考核调整事项表!$F:$F,累计考核费用!W$55)</f>
        <v>-1493793.1</v>
      </c>
      <c r="X56" s="161">
        <f>SUMIFS(考核调整事项表!$C:$C,考核调整事项表!$G:$G,累计考核费用!$B56,考核调整事项表!$D:$D,累计考核费用!X$55)+SUMIFS(考核调整事项表!$E:$E,考核调整事项表!$G:$G,累计考核费用!$B56,考核调整事项表!$F:$F,累计考核费用!X$55)</f>
        <v>0</v>
      </c>
      <c r="Y56" s="161">
        <f>SUMIFS(考核调整事项表!$C:$C,考核调整事项表!$G:$G,累计考核费用!$B56,考核调整事项表!$D:$D,累计考核费用!Y$55)+SUMIFS(考核调整事项表!$E:$E,考核调整事项表!$G:$G,累计考核费用!$B56,考核调整事项表!$F:$F,累计考核费用!Y$55)</f>
        <v>0</v>
      </c>
      <c r="Z56" s="161">
        <f>SUMIFS(考核调整事项表!$C:$C,考核调整事项表!$G:$G,累计考核费用!$B56,考核调整事项表!$D:$D,累计考核费用!Z$55)+SUMIFS(考核调整事项表!$E:$E,考核调整事项表!$G:$G,累计考核费用!$B56,考核调整事项表!$F:$F,累计考核费用!Z$55)</f>
        <v>0</v>
      </c>
      <c r="AA56" s="161">
        <f>SUMIFS(考核调整事项表!$C:$C,考核调整事项表!$G:$G,累计考核费用!$B56,考核调整事项表!$D:$D,累计考核费用!AA$55)+SUMIFS(考核调整事项表!$E:$E,考核调整事项表!$G:$G,累计考核费用!$B56,考核调整事项表!$F:$F,累计考核费用!AA$55)</f>
        <v>0</v>
      </c>
      <c r="AB56" s="161">
        <f>SUMIFS(考核调整事项表!$C:$C,考核调整事项表!$G:$G,累计考核费用!$B56,考核调整事项表!$D:$D,累计考核费用!AB$55)+SUMIFS(考核调整事项表!$E:$E,考核调整事项表!$G:$G,累计考核费用!$B56,考核调整事项表!$F:$F,累计考核费用!AB$55)</f>
        <v>1493793.1</v>
      </c>
      <c r="AC56" s="161">
        <f>SUMIFS(考核调整事项表!$C:$C,考核调整事项表!$G:$G,累计考核费用!$B56,考核调整事项表!$D:$D,累计考核费用!AC$55)+SUMIFS(考核调整事项表!$E:$E,考核调整事项表!$G:$G,累计考核费用!$B56,考核调整事项表!$F:$F,累计考核费用!AC$55)</f>
        <v>0</v>
      </c>
    </row>
    <row r="57" spans="1:29">
      <c r="A57" s="258"/>
      <c r="B57" s="47" t="s">
        <v>90</v>
      </c>
      <c r="C57" s="9">
        <f t="shared" ref="C57:C65" si="0">SUM(D57:G57)+L57+T57+AC57+AB57</f>
        <v>0</v>
      </c>
      <c r="D57" s="161">
        <f>SUMIFS(考核调整事项表!$C:$C,考核调整事项表!$G:$G,累计考核费用!$B57,考核调整事项表!$D:$D,累计考核费用!D$55)+SUMIFS(考核调整事项表!$E:$E,考核调整事项表!$G:$G,累计考核费用!$B57,考核调整事项表!$F:$F,累计考核费用!D$55)</f>
        <v>0</v>
      </c>
      <c r="E57" s="161">
        <f>SUMIFS(考核调整事项表!$C:$C,考核调整事项表!$G:$G,累计考核费用!$B57,考核调整事项表!$D:$D,累计考核费用!E$55)+SUMIFS(考核调整事项表!$E:$E,考核调整事项表!$G:$G,累计考核费用!$B57,考核调整事项表!$F:$F,累计考核费用!E$55)</f>
        <v>0</v>
      </c>
      <c r="F57" s="161">
        <f>SUMIFS(考核调整事项表!$C:$C,考核调整事项表!$G:$G,累计考核费用!$B57,考核调整事项表!$D:$D,累计考核费用!F$55)+SUMIFS(考核调整事项表!$E:$E,考核调整事项表!$G:$G,累计考核费用!$B57,考核调整事项表!$F:$F,累计考核费用!F$55)</f>
        <v>0</v>
      </c>
      <c r="G57" s="161">
        <f t="shared" ref="G57:G102" si="1">SUM(H57:K57)</f>
        <v>0</v>
      </c>
      <c r="H57" s="161">
        <f>SUMIFS(考核调整事项表!$C:$C,考核调整事项表!$G:$G,累计考核费用!$B57,考核调整事项表!$D:$D,累计考核费用!H$55)+SUMIFS(考核调整事项表!$E:$E,考核调整事项表!$G:$G,累计考核费用!$B57,考核调整事项表!$F:$F,累计考核费用!H$55)</f>
        <v>0</v>
      </c>
      <c r="I57" s="161">
        <f>SUMIFS(考核调整事项表!$C:$C,考核调整事项表!$G:$G,累计考核费用!$B57,考核调整事项表!$D:$D,累计考核费用!I$55)+SUMIFS(考核调整事项表!$E:$E,考核调整事项表!$G:$G,累计考核费用!$B57,考核调整事项表!$F:$F,累计考核费用!I$55)</f>
        <v>0</v>
      </c>
      <c r="J57" s="161">
        <f>SUMIFS(考核调整事项表!$C:$C,考核调整事项表!$G:$G,累计考核费用!$B57,考核调整事项表!$D:$D,累计考核费用!J$55)+SUMIFS(考核调整事项表!$E:$E,考核调整事项表!$G:$G,累计考核费用!$B57,考核调整事项表!$F:$F,累计考核费用!J$55)</f>
        <v>0</v>
      </c>
      <c r="K57" s="161">
        <f>SUMIFS(考核调整事项表!$C:$C,考核调整事项表!$G:$G,累计考核费用!$B57,考核调整事项表!$D:$D,累计考核费用!K$55)+SUMIFS(考核调整事项表!$E:$E,考核调整事项表!$G:$G,累计考核费用!$B57,考核调整事项表!$F:$F,累计考核费用!K$55)</f>
        <v>0</v>
      </c>
      <c r="L57" s="161">
        <f t="shared" ref="L57:L102" si="2">SUM(M57:S57)</f>
        <v>0</v>
      </c>
      <c r="M57" s="161">
        <f>SUMIFS(考核调整事项表!$C:$C,考核调整事项表!$G:$G,累计考核费用!$B57,考核调整事项表!$D:$D,累计考核费用!M$55)+SUMIFS(考核调整事项表!$E:$E,考核调整事项表!$G:$G,累计考核费用!$B57,考核调整事项表!$F:$F,累计考核费用!M$55)</f>
        <v>0</v>
      </c>
      <c r="N57" s="161">
        <f>SUMIFS(考核调整事项表!$C:$C,考核调整事项表!$G:$G,累计考核费用!$B57,考核调整事项表!$D:$D,累计考核费用!N$55)+SUMIFS(考核调整事项表!$E:$E,考核调整事项表!$G:$G,累计考核费用!$B57,考核调整事项表!$F:$F,累计考核费用!N$55)</f>
        <v>0</v>
      </c>
      <c r="O57" s="161">
        <f>SUMIFS(考核调整事项表!$C:$C,考核调整事项表!$G:$G,累计考核费用!$B57,考核调整事项表!$D:$D,累计考核费用!O$55)+SUMIFS(考核调整事项表!$E:$E,考核调整事项表!$G:$G,累计考核费用!$B57,考核调整事项表!$F:$F,累计考核费用!O$55)</f>
        <v>0</v>
      </c>
      <c r="P57" s="161">
        <f>SUMIFS(考核调整事项表!$C:$C,考核调整事项表!$G:$G,累计考核费用!$B57,考核调整事项表!$D:$D,累计考核费用!P$55)+SUMIFS(考核调整事项表!$E:$E,考核调整事项表!$G:$G,累计考核费用!$B57,考核调整事项表!$F:$F,累计考核费用!P$55)</f>
        <v>0</v>
      </c>
      <c r="Q57" s="161">
        <f>SUMIFS(考核调整事项表!$C:$C,考核调整事项表!$G:$G,累计考核费用!$B57,考核调整事项表!$D:$D,累计考核费用!Q$55)+SUMIFS(考核调整事项表!$E:$E,考核调整事项表!$G:$G,累计考核费用!$B57,考核调整事项表!$F:$F,累计考核费用!Q$55)</f>
        <v>0</v>
      </c>
      <c r="R57" s="161">
        <f>SUMIFS(考核调整事项表!$C:$C,考核调整事项表!$G:$G,累计考核费用!$B57,考核调整事项表!$D:$D,累计考核费用!R$55)+SUMIFS(考核调整事项表!$E:$E,考核调整事项表!$G:$G,累计考核费用!$B57,考核调整事项表!$F:$F,累计考核费用!R$55)</f>
        <v>0</v>
      </c>
      <c r="S57" s="161">
        <f>SUMIFS(考核调整事项表!$C:$C,考核调整事项表!$G:$G,累计考核费用!$B57,考核调整事项表!$D:$D,累计考核费用!S$55)+SUMIFS(考核调整事项表!$E:$E,考核调整事项表!$G:$G,累计考核费用!$B57,考核调整事项表!$F:$F,累计考核费用!S$55)</f>
        <v>0</v>
      </c>
      <c r="T57" s="164">
        <f t="shared" ref="T57:T71" si="3">SUM(U57:AA57)</f>
        <v>0</v>
      </c>
      <c r="U57" s="161">
        <f>SUMIFS(考核调整事项表!$C:$C,考核调整事项表!$G:$G,累计考核费用!$B57,考核调整事项表!$D:$D,累计考核费用!U$55)+SUMIFS(考核调整事项表!$E:$E,考核调整事项表!$G:$G,累计考核费用!$B57,考核调整事项表!$F:$F,累计考核费用!U$55)</f>
        <v>0</v>
      </c>
      <c r="V57" s="161">
        <f>SUMIFS(考核调整事项表!$C:$C,考核调整事项表!$G:$G,累计考核费用!$B57,考核调整事项表!$D:$D,累计考核费用!V$55)+SUMIFS(考核调整事项表!$E:$E,考核调整事项表!$G:$G,累计考核费用!$B57,考核调整事项表!$F:$F,累计考核费用!V$55)</f>
        <v>0</v>
      </c>
      <c r="W57" s="161">
        <f>SUMIFS(考核调整事项表!$C:$C,考核调整事项表!$G:$G,累计考核费用!$B57,考核调整事项表!$D:$D,累计考核费用!W$55)+SUMIFS(考核调整事项表!$E:$E,考核调整事项表!$G:$G,累计考核费用!$B57,考核调整事项表!$F:$F,累计考核费用!W$55)</f>
        <v>0</v>
      </c>
      <c r="X57" s="161">
        <f>SUMIFS(考核调整事项表!$C:$C,考核调整事项表!$G:$G,累计考核费用!$B57,考核调整事项表!$D:$D,累计考核费用!X$55)+SUMIFS(考核调整事项表!$E:$E,考核调整事项表!$G:$G,累计考核费用!$B57,考核调整事项表!$F:$F,累计考核费用!X$55)</f>
        <v>0</v>
      </c>
      <c r="Y57" s="161">
        <f>SUMIFS(考核调整事项表!$C:$C,考核调整事项表!$G:$G,累计考核费用!$B57,考核调整事项表!$D:$D,累计考核费用!Y$55)+SUMIFS(考核调整事项表!$E:$E,考核调整事项表!$G:$G,累计考核费用!$B57,考核调整事项表!$F:$F,累计考核费用!Y$55)</f>
        <v>0</v>
      </c>
      <c r="Z57" s="161">
        <f>SUMIFS(考核调整事项表!$C:$C,考核调整事项表!$G:$G,累计考核费用!$B57,考核调整事项表!$D:$D,累计考核费用!Z$55)+SUMIFS(考核调整事项表!$E:$E,考核调整事项表!$G:$G,累计考核费用!$B57,考核调整事项表!$F:$F,累计考核费用!Z$55)</f>
        <v>0</v>
      </c>
      <c r="AA57" s="161">
        <f>SUMIFS(考核调整事项表!$C:$C,考核调整事项表!$G:$G,累计考核费用!$B57,考核调整事项表!$D:$D,累计考核费用!AA$55)+SUMIFS(考核调整事项表!$E:$E,考核调整事项表!$G:$G,累计考核费用!$B57,考核调整事项表!$F:$F,累计考核费用!AA$55)</f>
        <v>0</v>
      </c>
      <c r="AB57" s="161">
        <f>SUMIFS(考核调整事项表!$C:$C,考核调整事项表!$G:$G,累计考核费用!$B57,考核调整事项表!$D:$D,累计考核费用!AB$55)+SUMIFS(考核调整事项表!$E:$E,考核调整事项表!$G:$G,累计考核费用!$B57,考核调整事项表!$F:$F,累计考核费用!AB$55)</f>
        <v>0</v>
      </c>
      <c r="AC57" s="161">
        <f>SUMIFS(考核调整事项表!$C:$C,考核调整事项表!$G:$G,累计考核费用!$B57,考核调整事项表!$D:$D,累计考核费用!AC$55)+SUMIFS(考核调整事项表!$E:$E,考核调整事项表!$G:$G,累计考核费用!$B57,考核调整事项表!$F:$F,累计考核费用!AC$55)</f>
        <v>0</v>
      </c>
    </row>
    <row r="58" spans="1:29">
      <c r="A58" s="258"/>
      <c r="B58" s="47" t="s">
        <v>91</v>
      </c>
      <c r="C58" s="9">
        <f t="shared" si="0"/>
        <v>0</v>
      </c>
      <c r="D58" s="161">
        <f>SUMIFS(考核调整事项表!$C:$C,考核调整事项表!$G:$G,累计考核费用!$B58,考核调整事项表!$D:$D,累计考核费用!D$55)+SUMIFS(考核调整事项表!$E:$E,考核调整事项表!$G:$G,累计考核费用!$B58,考核调整事项表!$F:$F,累计考核费用!D$55)</f>
        <v>0</v>
      </c>
      <c r="E58" s="161">
        <f>SUMIFS(考核调整事项表!$C:$C,考核调整事项表!$G:$G,累计考核费用!$B58,考核调整事项表!$D:$D,累计考核费用!E$55)+SUMIFS(考核调整事项表!$E:$E,考核调整事项表!$G:$G,累计考核费用!$B58,考核调整事项表!$F:$F,累计考核费用!E$55)</f>
        <v>0</v>
      </c>
      <c r="F58" s="161">
        <f>SUMIFS(考核调整事项表!$C:$C,考核调整事项表!$G:$G,累计考核费用!$B58,考核调整事项表!$D:$D,累计考核费用!F$55)+SUMIFS(考核调整事项表!$E:$E,考核调整事项表!$G:$G,累计考核费用!$B58,考核调整事项表!$F:$F,累计考核费用!F$55)</f>
        <v>0</v>
      </c>
      <c r="G58" s="161">
        <f t="shared" si="1"/>
        <v>0</v>
      </c>
      <c r="H58" s="161">
        <f>SUMIFS(考核调整事项表!$C:$C,考核调整事项表!$G:$G,累计考核费用!$B58,考核调整事项表!$D:$D,累计考核费用!H$55)+SUMIFS(考核调整事项表!$E:$E,考核调整事项表!$G:$G,累计考核费用!$B58,考核调整事项表!$F:$F,累计考核费用!H$55)</f>
        <v>0</v>
      </c>
      <c r="I58" s="161">
        <f>SUMIFS(考核调整事项表!$C:$C,考核调整事项表!$G:$G,累计考核费用!$B58,考核调整事项表!$D:$D,累计考核费用!I$55)+SUMIFS(考核调整事项表!$E:$E,考核调整事项表!$G:$G,累计考核费用!$B58,考核调整事项表!$F:$F,累计考核费用!I$55)</f>
        <v>0</v>
      </c>
      <c r="J58" s="161">
        <f>SUMIFS(考核调整事项表!$C:$C,考核调整事项表!$G:$G,累计考核费用!$B58,考核调整事项表!$D:$D,累计考核费用!J$55)+SUMIFS(考核调整事项表!$E:$E,考核调整事项表!$G:$G,累计考核费用!$B58,考核调整事项表!$F:$F,累计考核费用!J$55)</f>
        <v>0</v>
      </c>
      <c r="K58" s="161">
        <f>SUMIFS(考核调整事项表!$C:$C,考核调整事项表!$G:$G,累计考核费用!$B58,考核调整事项表!$D:$D,累计考核费用!K$55)+SUMIFS(考核调整事项表!$E:$E,考核调整事项表!$G:$G,累计考核费用!$B58,考核调整事项表!$F:$F,累计考核费用!K$55)</f>
        <v>0</v>
      </c>
      <c r="L58" s="161">
        <f t="shared" si="2"/>
        <v>0</v>
      </c>
      <c r="M58" s="161">
        <f>SUMIFS(考核调整事项表!$C:$C,考核调整事项表!$G:$G,累计考核费用!$B58,考核调整事项表!$D:$D,累计考核费用!M$55)+SUMIFS(考核调整事项表!$E:$E,考核调整事项表!$G:$G,累计考核费用!$B58,考核调整事项表!$F:$F,累计考核费用!M$55)</f>
        <v>0</v>
      </c>
      <c r="N58" s="161">
        <f>SUMIFS(考核调整事项表!$C:$C,考核调整事项表!$G:$G,累计考核费用!$B58,考核调整事项表!$D:$D,累计考核费用!N$55)+SUMIFS(考核调整事项表!$E:$E,考核调整事项表!$G:$G,累计考核费用!$B58,考核调整事项表!$F:$F,累计考核费用!N$55)</f>
        <v>0</v>
      </c>
      <c r="O58" s="161">
        <f>SUMIFS(考核调整事项表!$C:$C,考核调整事项表!$G:$G,累计考核费用!$B58,考核调整事项表!$D:$D,累计考核费用!O$55)+SUMIFS(考核调整事项表!$E:$E,考核调整事项表!$G:$G,累计考核费用!$B58,考核调整事项表!$F:$F,累计考核费用!O$55)</f>
        <v>0</v>
      </c>
      <c r="P58" s="161">
        <f>SUMIFS(考核调整事项表!$C:$C,考核调整事项表!$G:$G,累计考核费用!$B58,考核调整事项表!$D:$D,累计考核费用!P$55)+SUMIFS(考核调整事项表!$E:$E,考核调整事项表!$G:$G,累计考核费用!$B58,考核调整事项表!$F:$F,累计考核费用!P$55)</f>
        <v>0</v>
      </c>
      <c r="Q58" s="161">
        <f>SUMIFS(考核调整事项表!$C:$C,考核调整事项表!$G:$G,累计考核费用!$B58,考核调整事项表!$D:$D,累计考核费用!Q$55)+SUMIFS(考核调整事项表!$E:$E,考核调整事项表!$G:$G,累计考核费用!$B58,考核调整事项表!$F:$F,累计考核费用!Q$55)</f>
        <v>0</v>
      </c>
      <c r="R58" s="161">
        <f>SUMIFS(考核调整事项表!$C:$C,考核调整事项表!$G:$G,累计考核费用!$B58,考核调整事项表!$D:$D,累计考核费用!R$55)+SUMIFS(考核调整事项表!$E:$E,考核调整事项表!$G:$G,累计考核费用!$B58,考核调整事项表!$F:$F,累计考核费用!R$55)</f>
        <v>0</v>
      </c>
      <c r="S58" s="161">
        <f>SUMIFS(考核调整事项表!$C:$C,考核调整事项表!$G:$G,累计考核费用!$B58,考核调整事项表!$D:$D,累计考核费用!S$55)+SUMIFS(考核调整事项表!$E:$E,考核调整事项表!$G:$G,累计考核费用!$B58,考核调整事项表!$F:$F,累计考核费用!S$55)</f>
        <v>0</v>
      </c>
      <c r="T58" s="164">
        <f t="shared" si="3"/>
        <v>0</v>
      </c>
      <c r="U58" s="161">
        <f>SUMIFS(考核调整事项表!$C:$C,考核调整事项表!$G:$G,累计考核费用!$B58,考核调整事项表!$D:$D,累计考核费用!U$55)+SUMIFS(考核调整事项表!$E:$E,考核调整事项表!$G:$G,累计考核费用!$B58,考核调整事项表!$F:$F,累计考核费用!U$55)</f>
        <v>0</v>
      </c>
      <c r="V58" s="161">
        <f>SUMIFS(考核调整事项表!$C:$C,考核调整事项表!$G:$G,累计考核费用!$B58,考核调整事项表!$D:$D,累计考核费用!V$55)+SUMIFS(考核调整事项表!$E:$E,考核调整事项表!$G:$G,累计考核费用!$B58,考核调整事项表!$F:$F,累计考核费用!V$55)</f>
        <v>0</v>
      </c>
      <c r="W58" s="161">
        <f>SUMIFS(考核调整事项表!$C:$C,考核调整事项表!$G:$G,累计考核费用!$B58,考核调整事项表!$D:$D,累计考核费用!W$55)+SUMIFS(考核调整事项表!$E:$E,考核调整事项表!$G:$G,累计考核费用!$B58,考核调整事项表!$F:$F,累计考核费用!W$55)</f>
        <v>0</v>
      </c>
      <c r="X58" s="161">
        <f>SUMIFS(考核调整事项表!$C:$C,考核调整事项表!$G:$G,累计考核费用!$B58,考核调整事项表!$D:$D,累计考核费用!X$55)+SUMIFS(考核调整事项表!$E:$E,考核调整事项表!$G:$G,累计考核费用!$B58,考核调整事项表!$F:$F,累计考核费用!X$55)</f>
        <v>0</v>
      </c>
      <c r="Y58" s="161">
        <f>SUMIFS(考核调整事项表!$C:$C,考核调整事项表!$G:$G,累计考核费用!$B58,考核调整事项表!$D:$D,累计考核费用!Y$55)+SUMIFS(考核调整事项表!$E:$E,考核调整事项表!$G:$G,累计考核费用!$B58,考核调整事项表!$F:$F,累计考核费用!Y$55)</f>
        <v>0</v>
      </c>
      <c r="Z58" s="161">
        <f>SUMIFS(考核调整事项表!$C:$C,考核调整事项表!$G:$G,累计考核费用!$B58,考核调整事项表!$D:$D,累计考核费用!Z$55)+SUMIFS(考核调整事项表!$E:$E,考核调整事项表!$G:$G,累计考核费用!$B58,考核调整事项表!$F:$F,累计考核费用!Z$55)</f>
        <v>0</v>
      </c>
      <c r="AA58" s="161">
        <f>SUMIFS(考核调整事项表!$C:$C,考核调整事项表!$G:$G,累计考核费用!$B58,考核调整事项表!$D:$D,累计考核费用!AA$55)+SUMIFS(考核调整事项表!$E:$E,考核调整事项表!$G:$G,累计考核费用!$B58,考核调整事项表!$F:$F,累计考核费用!AA$55)</f>
        <v>0</v>
      </c>
      <c r="AB58" s="161">
        <f>SUMIFS(考核调整事项表!$C:$C,考核调整事项表!$G:$G,累计考核费用!$B58,考核调整事项表!$D:$D,累计考核费用!AB$55)+SUMIFS(考核调整事项表!$E:$E,考核调整事项表!$G:$G,累计考核费用!$B58,考核调整事项表!$F:$F,累计考核费用!AB$55)</f>
        <v>0</v>
      </c>
      <c r="AC58" s="161">
        <f>SUMIFS(考核调整事项表!$C:$C,考核调整事项表!$G:$G,累计考核费用!$B58,考核调整事项表!$D:$D,累计考核费用!AC$55)+SUMIFS(考核调整事项表!$E:$E,考核调整事项表!$G:$G,累计考核费用!$B58,考核调整事项表!$F:$F,累计考核费用!AC$55)</f>
        <v>0</v>
      </c>
    </row>
    <row r="59" spans="1:29">
      <c r="A59" s="258"/>
      <c r="B59" s="47" t="s">
        <v>92</v>
      </c>
      <c r="C59" s="9">
        <f t="shared" si="0"/>
        <v>0</v>
      </c>
      <c r="D59" s="161">
        <f>SUMIFS(考核调整事项表!$C:$C,考核调整事项表!$G:$G,累计考核费用!$B59,考核调整事项表!$D:$D,累计考核费用!D$55)+SUMIFS(考核调整事项表!$E:$E,考核调整事项表!$G:$G,累计考核费用!$B59,考核调整事项表!$F:$F,累计考核费用!D$55)</f>
        <v>0</v>
      </c>
      <c r="E59" s="161">
        <f>SUMIFS(考核调整事项表!$C:$C,考核调整事项表!$G:$G,累计考核费用!$B59,考核调整事项表!$D:$D,累计考核费用!E$55)+SUMIFS(考核调整事项表!$E:$E,考核调整事项表!$G:$G,累计考核费用!$B59,考核调整事项表!$F:$F,累计考核费用!E$55)</f>
        <v>0</v>
      </c>
      <c r="F59" s="161">
        <f>SUMIFS(考核调整事项表!$C:$C,考核调整事项表!$G:$G,累计考核费用!$B59,考核调整事项表!$D:$D,累计考核费用!F$55)+SUMIFS(考核调整事项表!$E:$E,考核调整事项表!$G:$G,累计考核费用!$B59,考核调整事项表!$F:$F,累计考核费用!F$55)</f>
        <v>0</v>
      </c>
      <c r="G59" s="161">
        <f t="shared" si="1"/>
        <v>0</v>
      </c>
      <c r="H59" s="161">
        <f>SUMIFS(考核调整事项表!$C:$C,考核调整事项表!$G:$G,累计考核费用!$B59,考核调整事项表!$D:$D,累计考核费用!H$55)+SUMIFS(考核调整事项表!$E:$E,考核调整事项表!$G:$G,累计考核费用!$B59,考核调整事项表!$F:$F,累计考核费用!H$55)</f>
        <v>0</v>
      </c>
      <c r="I59" s="161">
        <f>SUMIFS(考核调整事项表!$C:$C,考核调整事项表!$G:$G,累计考核费用!$B59,考核调整事项表!$D:$D,累计考核费用!I$55)+SUMIFS(考核调整事项表!$E:$E,考核调整事项表!$G:$G,累计考核费用!$B59,考核调整事项表!$F:$F,累计考核费用!I$55)</f>
        <v>0</v>
      </c>
      <c r="J59" s="161">
        <f>SUMIFS(考核调整事项表!$C:$C,考核调整事项表!$G:$G,累计考核费用!$B59,考核调整事项表!$D:$D,累计考核费用!J$55)+SUMIFS(考核调整事项表!$E:$E,考核调整事项表!$G:$G,累计考核费用!$B59,考核调整事项表!$F:$F,累计考核费用!J$55)</f>
        <v>0</v>
      </c>
      <c r="K59" s="161">
        <f>SUMIFS(考核调整事项表!$C:$C,考核调整事项表!$G:$G,累计考核费用!$B59,考核调整事项表!$D:$D,累计考核费用!K$55)+SUMIFS(考核调整事项表!$E:$E,考核调整事项表!$G:$G,累计考核费用!$B59,考核调整事项表!$F:$F,累计考核费用!K$55)</f>
        <v>0</v>
      </c>
      <c r="L59" s="161">
        <f t="shared" si="2"/>
        <v>0</v>
      </c>
      <c r="M59" s="161">
        <f>SUMIFS(考核调整事项表!$C:$C,考核调整事项表!$G:$G,累计考核费用!$B59,考核调整事项表!$D:$D,累计考核费用!M$55)+SUMIFS(考核调整事项表!$E:$E,考核调整事项表!$G:$G,累计考核费用!$B59,考核调整事项表!$F:$F,累计考核费用!M$55)</f>
        <v>0</v>
      </c>
      <c r="N59" s="161">
        <f>SUMIFS(考核调整事项表!$C:$C,考核调整事项表!$G:$G,累计考核费用!$B59,考核调整事项表!$D:$D,累计考核费用!N$55)+SUMIFS(考核调整事项表!$E:$E,考核调整事项表!$G:$G,累计考核费用!$B59,考核调整事项表!$F:$F,累计考核费用!N$55)</f>
        <v>0</v>
      </c>
      <c r="O59" s="161">
        <f>SUMIFS(考核调整事项表!$C:$C,考核调整事项表!$G:$G,累计考核费用!$B59,考核调整事项表!$D:$D,累计考核费用!O$55)+SUMIFS(考核调整事项表!$E:$E,考核调整事项表!$G:$G,累计考核费用!$B59,考核调整事项表!$F:$F,累计考核费用!O$55)</f>
        <v>0</v>
      </c>
      <c r="P59" s="161">
        <f>SUMIFS(考核调整事项表!$C:$C,考核调整事项表!$G:$G,累计考核费用!$B59,考核调整事项表!$D:$D,累计考核费用!P$55)+SUMIFS(考核调整事项表!$E:$E,考核调整事项表!$G:$G,累计考核费用!$B59,考核调整事项表!$F:$F,累计考核费用!P$55)</f>
        <v>0</v>
      </c>
      <c r="Q59" s="161">
        <f>SUMIFS(考核调整事项表!$C:$C,考核调整事项表!$G:$G,累计考核费用!$B59,考核调整事项表!$D:$D,累计考核费用!Q$55)+SUMIFS(考核调整事项表!$E:$E,考核调整事项表!$G:$G,累计考核费用!$B59,考核调整事项表!$F:$F,累计考核费用!Q$55)</f>
        <v>0</v>
      </c>
      <c r="R59" s="161">
        <f>SUMIFS(考核调整事项表!$C:$C,考核调整事项表!$G:$G,累计考核费用!$B59,考核调整事项表!$D:$D,累计考核费用!R$55)+SUMIFS(考核调整事项表!$E:$E,考核调整事项表!$G:$G,累计考核费用!$B59,考核调整事项表!$F:$F,累计考核费用!R$55)</f>
        <v>0</v>
      </c>
      <c r="S59" s="161">
        <f>SUMIFS(考核调整事项表!$C:$C,考核调整事项表!$G:$G,累计考核费用!$B59,考核调整事项表!$D:$D,累计考核费用!S$55)+SUMIFS(考核调整事项表!$E:$E,考核调整事项表!$G:$G,累计考核费用!$B59,考核调整事项表!$F:$F,累计考核费用!S$55)</f>
        <v>0</v>
      </c>
      <c r="T59" s="164">
        <f t="shared" si="3"/>
        <v>0</v>
      </c>
      <c r="U59" s="161">
        <f>SUMIFS(考核调整事项表!$C:$C,考核调整事项表!$G:$G,累计考核费用!$B59,考核调整事项表!$D:$D,累计考核费用!U$55)+SUMIFS(考核调整事项表!$E:$E,考核调整事项表!$G:$G,累计考核费用!$B59,考核调整事项表!$F:$F,累计考核费用!U$55)</f>
        <v>0</v>
      </c>
      <c r="V59" s="161">
        <f>SUMIFS(考核调整事项表!$C:$C,考核调整事项表!$G:$G,累计考核费用!$B59,考核调整事项表!$D:$D,累计考核费用!V$55)+SUMIFS(考核调整事项表!$E:$E,考核调整事项表!$G:$G,累计考核费用!$B59,考核调整事项表!$F:$F,累计考核费用!V$55)</f>
        <v>0</v>
      </c>
      <c r="W59" s="161">
        <f>SUMIFS(考核调整事项表!$C:$C,考核调整事项表!$G:$G,累计考核费用!$B59,考核调整事项表!$D:$D,累计考核费用!W$55)+SUMIFS(考核调整事项表!$E:$E,考核调整事项表!$G:$G,累计考核费用!$B59,考核调整事项表!$F:$F,累计考核费用!W$55)</f>
        <v>-3584.9</v>
      </c>
      <c r="X59" s="161">
        <f>SUMIFS(考核调整事项表!$C:$C,考核调整事项表!$G:$G,累计考核费用!$B59,考核调整事项表!$D:$D,累计考核费用!X$55)+SUMIFS(考核调整事项表!$E:$E,考核调整事项表!$G:$G,累计考核费用!$B59,考核调整事项表!$F:$F,累计考核费用!X$55)</f>
        <v>0</v>
      </c>
      <c r="Y59" s="161">
        <f>SUMIFS(考核调整事项表!$C:$C,考核调整事项表!$G:$G,累计考核费用!$B59,考核调整事项表!$D:$D,累计考核费用!Y$55)+SUMIFS(考核调整事项表!$E:$E,考核调整事项表!$G:$G,累计考核费用!$B59,考核调整事项表!$F:$F,累计考核费用!Y$55)</f>
        <v>0</v>
      </c>
      <c r="Z59" s="161">
        <f>SUMIFS(考核调整事项表!$C:$C,考核调整事项表!$G:$G,累计考核费用!$B59,考核调整事项表!$D:$D,累计考核费用!Z$55)+SUMIFS(考核调整事项表!$E:$E,考核调整事项表!$G:$G,累计考核费用!$B59,考核调整事项表!$F:$F,累计考核费用!Z$55)</f>
        <v>0</v>
      </c>
      <c r="AA59" s="161">
        <f>SUMIFS(考核调整事项表!$C:$C,考核调整事项表!$G:$G,累计考核费用!$B59,考核调整事项表!$D:$D,累计考核费用!AA$55)+SUMIFS(考核调整事项表!$E:$E,考核调整事项表!$G:$G,累计考核费用!$B59,考核调整事项表!$F:$F,累计考核费用!AA$55)</f>
        <v>3584.9</v>
      </c>
      <c r="AB59" s="161">
        <f>SUMIFS(考核调整事项表!$C:$C,考核调整事项表!$G:$G,累计考核费用!$B59,考核调整事项表!$D:$D,累计考核费用!AB$55)+SUMIFS(考核调整事项表!$E:$E,考核调整事项表!$G:$G,累计考核费用!$B59,考核调整事项表!$F:$F,累计考核费用!AB$55)</f>
        <v>0</v>
      </c>
      <c r="AC59" s="161">
        <f>SUMIFS(考核调整事项表!$C:$C,考核调整事项表!$G:$G,累计考核费用!$B59,考核调整事项表!$D:$D,累计考核费用!AC$55)+SUMIFS(考核调整事项表!$E:$E,考核调整事项表!$G:$G,累计考核费用!$B59,考核调整事项表!$F:$F,累计考核费用!AC$55)</f>
        <v>0</v>
      </c>
    </row>
    <row r="60" spans="1:29">
      <c r="A60" s="258"/>
      <c r="B60" s="47" t="s">
        <v>93</v>
      </c>
      <c r="C60" s="9">
        <f t="shared" si="0"/>
        <v>0</v>
      </c>
      <c r="D60" s="161">
        <f>SUMIFS(考核调整事项表!$C:$C,考核调整事项表!$G:$G,累计考核费用!$B60,考核调整事项表!$D:$D,累计考核费用!D$55)+SUMIFS(考核调整事项表!$E:$E,考核调整事项表!$G:$G,累计考核费用!$B60,考核调整事项表!$F:$F,累计考核费用!D$55)</f>
        <v>0</v>
      </c>
      <c r="E60" s="161">
        <f>SUMIFS(考核调整事项表!$C:$C,考核调整事项表!$G:$G,累计考核费用!$B60,考核调整事项表!$D:$D,累计考核费用!E$55)+SUMIFS(考核调整事项表!$E:$E,考核调整事项表!$G:$G,累计考核费用!$B60,考核调整事项表!$F:$F,累计考核费用!E$55)</f>
        <v>0</v>
      </c>
      <c r="F60" s="161">
        <f>SUMIFS(考核调整事项表!$C:$C,考核调整事项表!$G:$G,累计考核费用!$B60,考核调整事项表!$D:$D,累计考核费用!F$55)+SUMIFS(考核调整事项表!$E:$E,考核调整事项表!$G:$G,累计考核费用!$B60,考核调整事项表!$F:$F,累计考核费用!F$55)</f>
        <v>0</v>
      </c>
      <c r="G60" s="161">
        <f t="shared" si="1"/>
        <v>0</v>
      </c>
      <c r="H60" s="161">
        <f>SUMIFS(考核调整事项表!$C:$C,考核调整事项表!$G:$G,累计考核费用!$B60,考核调整事项表!$D:$D,累计考核费用!H$55)+SUMIFS(考核调整事项表!$E:$E,考核调整事项表!$G:$G,累计考核费用!$B60,考核调整事项表!$F:$F,累计考核费用!H$55)</f>
        <v>0</v>
      </c>
      <c r="I60" s="161">
        <f>SUMIFS(考核调整事项表!$C:$C,考核调整事项表!$G:$G,累计考核费用!$B60,考核调整事项表!$D:$D,累计考核费用!I$55)+SUMIFS(考核调整事项表!$E:$E,考核调整事项表!$G:$G,累计考核费用!$B60,考核调整事项表!$F:$F,累计考核费用!I$55)</f>
        <v>0</v>
      </c>
      <c r="J60" s="161">
        <f>SUMIFS(考核调整事项表!$C:$C,考核调整事项表!$G:$G,累计考核费用!$B60,考核调整事项表!$D:$D,累计考核费用!J$55)+SUMIFS(考核调整事项表!$E:$E,考核调整事项表!$G:$G,累计考核费用!$B60,考核调整事项表!$F:$F,累计考核费用!J$55)</f>
        <v>0</v>
      </c>
      <c r="K60" s="161">
        <f>SUMIFS(考核调整事项表!$C:$C,考核调整事项表!$G:$G,累计考核费用!$B60,考核调整事项表!$D:$D,累计考核费用!K$55)+SUMIFS(考核调整事项表!$E:$E,考核调整事项表!$G:$G,累计考核费用!$B60,考核调整事项表!$F:$F,累计考核费用!K$55)</f>
        <v>0</v>
      </c>
      <c r="L60" s="161">
        <f t="shared" si="2"/>
        <v>0</v>
      </c>
      <c r="M60" s="161">
        <f>SUMIFS(考核调整事项表!$C:$C,考核调整事项表!$G:$G,累计考核费用!$B60,考核调整事项表!$D:$D,累计考核费用!M$55)+SUMIFS(考核调整事项表!$E:$E,考核调整事项表!$G:$G,累计考核费用!$B60,考核调整事项表!$F:$F,累计考核费用!M$55)</f>
        <v>0</v>
      </c>
      <c r="N60" s="161">
        <f>SUMIFS(考核调整事项表!$C:$C,考核调整事项表!$G:$G,累计考核费用!$B60,考核调整事项表!$D:$D,累计考核费用!N$55)+SUMIFS(考核调整事项表!$E:$E,考核调整事项表!$G:$G,累计考核费用!$B60,考核调整事项表!$F:$F,累计考核费用!N$55)</f>
        <v>0</v>
      </c>
      <c r="O60" s="161">
        <f>SUMIFS(考核调整事项表!$C:$C,考核调整事项表!$G:$G,累计考核费用!$B60,考核调整事项表!$D:$D,累计考核费用!O$55)+SUMIFS(考核调整事项表!$E:$E,考核调整事项表!$G:$G,累计考核费用!$B60,考核调整事项表!$F:$F,累计考核费用!O$55)</f>
        <v>0</v>
      </c>
      <c r="P60" s="161">
        <f>SUMIFS(考核调整事项表!$C:$C,考核调整事项表!$G:$G,累计考核费用!$B60,考核调整事项表!$D:$D,累计考核费用!P$55)+SUMIFS(考核调整事项表!$E:$E,考核调整事项表!$G:$G,累计考核费用!$B60,考核调整事项表!$F:$F,累计考核费用!P$55)</f>
        <v>0</v>
      </c>
      <c r="Q60" s="161">
        <f>SUMIFS(考核调整事项表!$C:$C,考核调整事项表!$G:$G,累计考核费用!$B60,考核调整事项表!$D:$D,累计考核费用!Q$55)+SUMIFS(考核调整事项表!$E:$E,考核调整事项表!$G:$G,累计考核费用!$B60,考核调整事项表!$F:$F,累计考核费用!Q$55)</f>
        <v>0</v>
      </c>
      <c r="R60" s="161">
        <f>SUMIFS(考核调整事项表!$C:$C,考核调整事项表!$G:$G,累计考核费用!$B60,考核调整事项表!$D:$D,累计考核费用!R$55)+SUMIFS(考核调整事项表!$E:$E,考核调整事项表!$G:$G,累计考核费用!$B60,考核调整事项表!$F:$F,累计考核费用!R$55)</f>
        <v>0</v>
      </c>
      <c r="S60" s="161">
        <f>SUMIFS(考核调整事项表!$C:$C,考核调整事项表!$G:$G,累计考核费用!$B60,考核调整事项表!$D:$D,累计考核费用!S$55)+SUMIFS(考核调整事项表!$E:$E,考核调整事项表!$G:$G,累计考核费用!$B60,考核调整事项表!$F:$F,累计考核费用!S$55)</f>
        <v>0</v>
      </c>
      <c r="T60" s="164">
        <f t="shared" si="3"/>
        <v>0</v>
      </c>
      <c r="U60" s="161">
        <f>SUMIFS(考核调整事项表!$C:$C,考核调整事项表!$G:$G,累计考核费用!$B60,考核调整事项表!$D:$D,累计考核费用!U$55)+SUMIFS(考核调整事项表!$E:$E,考核调整事项表!$G:$G,累计考核费用!$B60,考核调整事项表!$F:$F,累计考核费用!U$55)</f>
        <v>0</v>
      </c>
      <c r="V60" s="161">
        <f>SUMIFS(考核调整事项表!$C:$C,考核调整事项表!$G:$G,累计考核费用!$B60,考核调整事项表!$D:$D,累计考核费用!V$55)+SUMIFS(考核调整事项表!$E:$E,考核调整事项表!$G:$G,累计考核费用!$B60,考核调整事项表!$F:$F,累计考核费用!V$55)</f>
        <v>0</v>
      </c>
      <c r="W60" s="161">
        <f>SUMIFS(考核调整事项表!$C:$C,考核调整事项表!$G:$G,累计考核费用!$B60,考核调整事项表!$D:$D,累计考核费用!W$55)+SUMIFS(考核调整事项表!$E:$E,考核调整事项表!$G:$G,累计考核费用!$B60,考核调整事项表!$F:$F,累计考核费用!W$55)</f>
        <v>0</v>
      </c>
      <c r="X60" s="161">
        <f>SUMIFS(考核调整事项表!$C:$C,考核调整事项表!$G:$G,累计考核费用!$B60,考核调整事项表!$D:$D,累计考核费用!X$55)+SUMIFS(考核调整事项表!$E:$E,考核调整事项表!$G:$G,累计考核费用!$B60,考核调整事项表!$F:$F,累计考核费用!X$55)</f>
        <v>0</v>
      </c>
      <c r="Y60" s="161">
        <f>SUMIFS(考核调整事项表!$C:$C,考核调整事项表!$G:$G,累计考核费用!$B60,考核调整事项表!$D:$D,累计考核费用!Y$55)+SUMIFS(考核调整事项表!$E:$E,考核调整事项表!$G:$G,累计考核费用!$B60,考核调整事项表!$F:$F,累计考核费用!Y$55)</f>
        <v>0</v>
      </c>
      <c r="Z60" s="161">
        <f>SUMIFS(考核调整事项表!$C:$C,考核调整事项表!$G:$G,累计考核费用!$B60,考核调整事项表!$D:$D,累计考核费用!Z$55)+SUMIFS(考核调整事项表!$E:$E,考核调整事项表!$G:$G,累计考核费用!$B60,考核调整事项表!$F:$F,累计考核费用!Z$55)</f>
        <v>0</v>
      </c>
      <c r="AA60" s="161">
        <f>SUMIFS(考核调整事项表!$C:$C,考核调整事项表!$G:$G,累计考核费用!$B60,考核调整事项表!$D:$D,累计考核费用!AA$55)+SUMIFS(考核调整事项表!$E:$E,考核调整事项表!$G:$G,累计考核费用!$B60,考核调整事项表!$F:$F,累计考核费用!AA$55)</f>
        <v>0</v>
      </c>
      <c r="AB60" s="161">
        <f>SUMIFS(考核调整事项表!$C:$C,考核调整事项表!$G:$G,累计考核费用!$B60,考核调整事项表!$D:$D,累计考核费用!AB$55)+SUMIFS(考核调整事项表!$E:$E,考核调整事项表!$G:$G,累计考核费用!$B60,考核调整事项表!$F:$F,累计考核费用!AB$55)</f>
        <v>0</v>
      </c>
      <c r="AC60" s="161">
        <f>SUMIFS(考核调整事项表!$C:$C,考核调整事项表!$G:$G,累计考核费用!$B60,考核调整事项表!$D:$D,累计考核费用!AC$55)+SUMIFS(考核调整事项表!$E:$E,考核调整事项表!$G:$G,累计考核费用!$B60,考核调整事项表!$F:$F,累计考核费用!AC$55)</f>
        <v>0</v>
      </c>
    </row>
    <row r="61" spans="1:29">
      <c r="A61" s="258"/>
      <c r="B61" s="47" t="s">
        <v>94</v>
      </c>
      <c r="C61" s="9">
        <f t="shared" si="0"/>
        <v>0</v>
      </c>
      <c r="D61" s="161">
        <f>SUMIFS(考核调整事项表!$C:$C,考核调整事项表!$G:$G,累计考核费用!$B61,考核调整事项表!$D:$D,累计考核费用!D$55)+SUMIFS(考核调整事项表!$E:$E,考核调整事项表!$G:$G,累计考核费用!$B61,考核调整事项表!$F:$F,累计考核费用!D$55)</f>
        <v>0</v>
      </c>
      <c r="E61" s="161">
        <f>SUMIFS(考核调整事项表!$C:$C,考核调整事项表!$G:$G,累计考核费用!$B61,考核调整事项表!$D:$D,累计考核费用!E$55)+SUMIFS(考核调整事项表!$E:$E,考核调整事项表!$G:$G,累计考核费用!$B61,考核调整事项表!$F:$F,累计考核费用!E$55)</f>
        <v>0</v>
      </c>
      <c r="F61" s="161">
        <f>SUMIFS(考核调整事项表!$C:$C,考核调整事项表!$G:$G,累计考核费用!$B61,考核调整事项表!$D:$D,累计考核费用!F$55)+SUMIFS(考核调整事项表!$E:$E,考核调整事项表!$G:$G,累计考核费用!$B61,考核调整事项表!$F:$F,累计考核费用!F$55)</f>
        <v>0</v>
      </c>
      <c r="G61" s="161">
        <f t="shared" si="1"/>
        <v>0</v>
      </c>
      <c r="H61" s="161">
        <f>SUMIFS(考核调整事项表!$C:$C,考核调整事项表!$G:$G,累计考核费用!$B61,考核调整事项表!$D:$D,累计考核费用!H$55)+SUMIFS(考核调整事项表!$E:$E,考核调整事项表!$G:$G,累计考核费用!$B61,考核调整事项表!$F:$F,累计考核费用!H$55)</f>
        <v>0</v>
      </c>
      <c r="I61" s="161">
        <f>SUMIFS(考核调整事项表!$C:$C,考核调整事项表!$G:$G,累计考核费用!$B61,考核调整事项表!$D:$D,累计考核费用!I$55)+SUMIFS(考核调整事项表!$E:$E,考核调整事项表!$G:$G,累计考核费用!$B61,考核调整事项表!$F:$F,累计考核费用!I$55)</f>
        <v>0</v>
      </c>
      <c r="J61" s="161">
        <f>SUMIFS(考核调整事项表!$C:$C,考核调整事项表!$G:$G,累计考核费用!$B61,考核调整事项表!$D:$D,累计考核费用!J$55)+SUMIFS(考核调整事项表!$E:$E,考核调整事项表!$G:$G,累计考核费用!$B61,考核调整事项表!$F:$F,累计考核费用!J$55)</f>
        <v>0</v>
      </c>
      <c r="K61" s="161">
        <f>SUMIFS(考核调整事项表!$C:$C,考核调整事项表!$G:$G,累计考核费用!$B61,考核调整事项表!$D:$D,累计考核费用!K$55)+SUMIFS(考核调整事项表!$E:$E,考核调整事项表!$G:$G,累计考核费用!$B61,考核调整事项表!$F:$F,累计考核费用!K$55)</f>
        <v>0</v>
      </c>
      <c r="L61" s="161">
        <f t="shared" si="2"/>
        <v>0</v>
      </c>
      <c r="M61" s="161">
        <f>SUMIFS(考核调整事项表!$C:$C,考核调整事项表!$G:$G,累计考核费用!$B61,考核调整事项表!$D:$D,累计考核费用!M$55)+SUMIFS(考核调整事项表!$E:$E,考核调整事项表!$G:$G,累计考核费用!$B61,考核调整事项表!$F:$F,累计考核费用!M$55)</f>
        <v>0</v>
      </c>
      <c r="N61" s="161">
        <f>SUMIFS(考核调整事项表!$C:$C,考核调整事项表!$G:$G,累计考核费用!$B61,考核调整事项表!$D:$D,累计考核费用!N$55)+SUMIFS(考核调整事项表!$E:$E,考核调整事项表!$G:$G,累计考核费用!$B61,考核调整事项表!$F:$F,累计考核费用!N$55)</f>
        <v>0</v>
      </c>
      <c r="O61" s="161">
        <f>SUMIFS(考核调整事项表!$C:$C,考核调整事项表!$G:$G,累计考核费用!$B61,考核调整事项表!$D:$D,累计考核费用!O$55)+SUMIFS(考核调整事项表!$E:$E,考核调整事项表!$G:$G,累计考核费用!$B61,考核调整事项表!$F:$F,累计考核费用!O$55)</f>
        <v>0</v>
      </c>
      <c r="P61" s="161">
        <f>SUMIFS(考核调整事项表!$C:$C,考核调整事项表!$G:$G,累计考核费用!$B61,考核调整事项表!$D:$D,累计考核费用!P$55)+SUMIFS(考核调整事项表!$E:$E,考核调整事项表!$G:$G,累计考核费用!$B61,考核调整事项表!$F:$F,累计考核费用!P$55)</f>
        <v>0</v>
      </c>
      <c r="Q61" s="161">
        <f>SUMIFS(考核调整事项表!$C:$C,考核调整事项表!$G:$G,累计考核费用!$B61,考核调整事项表!$D:$D,累计考核费用!Q$55)+SUMIFS(考核调整事项表!$E:$E,考核调整事项表!$G:$G,累计考核费用!$B61,考核调整事项表!$F:$F,累计考核费用!Q$55)</f>
        <v>0</v>
      </c>
      <c r="R61" s="161">
        <f>SUMIFS(考核调整事项表!$C:$C,考核调整事项表!$G:$G,累计考核费用!$B61,考核调整事项表!$D:$D,累计考核费用!R$55)+SUMIFS(考核调整事项表!$E:$E,考核调整事项表!$G:$G,累计考核费用!$B61,考核调整事项表!$F:$F,累计考核费用!R$55)</f>
        <v>0</v>
      </c>
      <c r="S61" s="161">
        <f>SUMIFS(考核调整事项表!$C:$C,考核调整事项表!$G:$G,累计考核费用!$B61,考核调整事项表!$D:$D,累计考核费用!S$55)+SUMIFS(考核调整事项表!$E:$E,考核调整事项表!$G:$G,累计考核费用!$B61,考核调整事项表!$F:$F,累计考核费用!S$55)</f>
        <v>0</v>
      </c>
      <c r="T61" s="164">
        <f t="shared" si="3"/>
        <v>0</v>
      </c>
      <c r="U61" s="161">
        <f>SUMIFS(考核调整事项表!$C:$C,考核调整事项表!$G:$G,累计考核费用!$B61,考核调整事项表!$D:$D,累计考核费用!U$55)+SUMIFS(考核调整事项表!$E:$E,考核调整事项表!$G:$G,累计考核费用!$B61,考核调整事项表!$F:$F,累计考核费用!U$55)</f>
        <v>0</v>
      </c>
      <c r="V61" s="161">
        <f>SUMIFS(考核调整事项表!$C:$C,考核调整事项表!$G:$G,累计考核费用!$B61,考核调整事项表!$D:$D,累计考核费用!V$55)+SUMIFS(考核调整事项表!$E:$E,考核调整事项表!$G:$G,累计考核费用!$B61,考核调整事项表!$F:$F,累计考核费用!V$55)</f>
        <v>0</v>
      </c>
      <c r="W61" s="161">
        <f>SUMIFS(考核调整事项表!$C:$C,考核调整事项表!$G:$G,累计考核费用!$B61,考核调整事项表!$D:$D,累计考核费用!W$55)+SUMIFS(考核调整事项表!$E:$E,考核调整事项表!$G:$G,累计考核费用!$B61,考核调整事项表!$F:$F,累计考核费用!W$55)</f>
        <v>0</v>
      </c>
      <c r="X61" s="161">
        <f>SUMIFS(考核调整事项表!$C:$C,考核调整事项表!$G:$G,累计考核费用!$B61,考核调整事项表!$D:$D,累计考核费用!X$55)+SUMIFS(考核调整事项表!$E:$E,考核调整事项表!$G:$G,累计考核费用!$B61,考核调整事项表!$F:$F,累计考核费用!X$55)</f>
        <v>0</v>
      </c>
      <c r="Y61" s="161">
        <f>SUMIFS(考核调整事项表!$C:$C,考核调整事项表!$G:$G,累计考核费用!$B61,考核调整事项表!$D:$D,累计考核费用!Y$55)+SUMIFS(考核调整事项表!$E:$E,考核调整事项表!$G:$G,累计考核费用!$B61,考核调整事项表!$F:$F,累计考核费用!Y$55)</f>
        <v>0</v>
      </c>
      <c r="Z61" s="161">
        <f>SUMIFS(考核调整事项表!$C:$C,考核调整事项表!$G:$G,累计考核费用!$B61,考核调整事项表!$D:$D,累计考核费用!Z$55)+SUMIFS(考核调整事项表!$E:$E,考核调整事项表!$G:$G,累计考核费用!$B61,考核调整事项表!$F:$F,累计考核费用!Z$55)</f>
        <v>0</v>
      </c>
      <c r="AA61" s="161">
        <f>SUMIFS(考核调整事项表!$C:$C,考核调整事项表!$G:$G,累计考核费用!$B61,考核调整事项表!$D:$D,累计考核费用!AA$55)+SUMIFS(考核调整事项表!$E:$E,考核调整事项表!$G:$G,累计考核费用!$B61,考核调整事项表!$F:$F,累计考核费用!AA$55)</f>
        <v>0</v>
      </c>
      <c r="AB61" s="161">
        <f>SUMIFS(考核调整事项表!$C:$C,考核调整事项表!$G:$G,累计考核费用!$B61,考核调整事项表!$D:$D,累计考核费用!AB$55)+SUMIFS(考核调整事项表!$E:$E,考核调整事项表!$G:$G,累计考核费用!$B61,考核调整事项表!$F:$F,累计考核费用!AB$55)</f>
        <v>0</v>
      </c>
      <c r="AC61" s="161">
        <f>SUMIFS(考核调整事项表!$C:$C,考核调整事项表!$G:$G,累计考核费用!$B61,考核调整事项表!$D:$D,累计考核费用!AC$55)+SUMIFS(考核调整事项表!$E:$E,考核调整事项表!$G:$G,累计考核费用!$B61,考核调整事项表!$F:$F,累计考核费用!AC$55)</f>
        <v>0</v>
      </c>
    </row>
    <row r="62" spans="1:29">
      <c r="A62" s="258"/>
      <c r="B62" s="47" t="s">
        <v>95</v>
      </c>
      <c r="C62" s="9">
        <f t="shared" si="0"/>
        <v>0</v>
      </c>
      <c r="D62" s="161">
        <f>SUMIFS(考核调整事项表!$C:$C,考核调整事项表!$G:$G,累计考核费用!$B62,考核调整事项表!$D:$D,累计考核费用!D$55)+SUMIFS(考核调整事项表!$E:$E,考核调整事项表!$G:$G,累计考核费用!$B62,考核调整事项表!$F:$F,累计考核费用!D$55)</f>
        <v>0</v>
      </c>
      <c r="E62" s="161">
        <f>SUMIFS(考核调整事项表!$C:$C,考核调整事项表!$G:$G,累计考核费用!$B62,考核调整事项表!$D:$D,累计考核费用!E$55)+SUMIFS(考核调整事项表!$E:$E,考核调整事项表!$G:$G,累计考核费用!$B62,考核调整事项表!$F:$F,累计考核费用!E$55)</f>
        <v>0</v>
      </c>
      <c r="F62" s="161">
        <f>SUMIFS(考核调整事项表!$C:$C,考核调整事项表!$G:$G,累计考核费用!$B62,考核调整事项表!$D:$D,累计考核费用!F$55)+SUMIFS(考核调整事项表!$E:$E,考核调整事项表!$G:$G,累计考核费用!$B62,考核调整事项表!$F:$F,累计考核费用!F$55)</f>
        <v>0</v>
      </c>
      <c r="G62" s="161">
        <f t="shared" si="1"/>
        <v>0</v>
      </c>
      <c r="H62" s="161">
        <f>SUMIFS(考核调整事项表!$C:$C,考核调整事项表!$G:$G,累计考核费用!$B62,考核调整事项表!$D:$D,累计考核费用!H$55)+SUMIFS(考核调整事项表!$E:$E,考核调整事项表!$G:$G,累计考核费用!$B62,考核调整事项表!$F:$F,累计考核费用!H$55)</f>
        <v>0</v>
      </c>
      <c r="I62" s="161">
        <f>SUMIFS(考核调整事项表!$C:$C,考核调整事项表!$G:$G,累计考核费用!$B62,考核调整事项表!$D:$D,累计考核费用!I$55)+SUMIFS(考核调整事项表!$E:$E,考核调整事项表!$G:$G,累计考核费用!$B62,考核调整事项表!$F:$F,累计考核费用!I$55)</f>
        <v>0</v>
      </c>
      <c r="J62" s="161">
        <f>SUMIFS(考核调整事项表!$C:$C,考核调整事项表!$G:$G,累计考核费用!$B62,考核调整事项表!$D:$D,累计考核费用!J$55)+SUMIFS(考核调整事项表!$E:$E,考核调整事项表!$G:$G,累计考核费用!$B62,考核调整事项表!$F:$F,累计考核费用!J$55)</f>
        <v>0</v>
      </c>
      <c r="K62" s="161">
        <f>SUMIFS(考核调整事项表!$C:$C,考核调整事项表!$G:$G,累计考核费用!$B62,考核调整事项表!$D:$D,累计考核费用!K$55)+SUMIFS(考核调整事项表!$E:$E,考核调整事项表!$G:$G,累计考核费用!$B62,考核调整事项表!$F:$F,累计考核费用!K$55)</f>
        <v>0</v>
      </c>
      <c r="L62" s="161">
        <f t="shared" si="2"/>
        <v>0</v>
      </c>
      <c r="M62" s="161">
        <f>SUMIFS(考核调整事项表!$C:$C,考核调整事项表!$G:$G,累计考核费用!$B62,考核调整事项表!$D:$D,累计考核费用!M$55)+SUMIFS(考核调整事项表!$E:$E,考核调整事项表!$G:$G,累计考核费用!$B62,考核调整事项表!$F:$F,累计考核费用!M$55)</f>
        <v>0</v>
      </c>
      <c r="N62" s="161">
        <f>SUMIFS(考核调整事项表!$C:$C,考核调整事项表!$G:$G,累计考核费用!$B62,考核调整事项表!$D:$D,累计考核费用!N$55)+SUMIFS(考核调整事项表!$E:$E,考核调整事项表!$G:$G,累计考核费用!$B62,考核调整事项表!$F:$F,累计考核费用!N$55)</f>
        <v>0</v>
      </c>
      <c r="O62" s="161">
        <f>SUMIFS(考核调整事项表!$C:$C,考核调整事项表!$G:$G,累计考核费用!$B62,考核调整事项表!$D:$D,累计考核费用!O$55)+SUMIFS(考核调整事项表!$E:$E,考核调整事项表!$G:$G,累计考核费用!$B62,考核调整事项表!$F:$F,累计考核费用!O$55)</f>
        <v>0</v>
      </c>
      <c r="P62" s="161">
        <f>SUMIFS(考核调整事项表!$C:$C,考核调整事项表!$G:$G,累计考核费用!$B62,考核调整事项表!$D:$D,累计考核费用!P$55)+SUMIFS(考核调整事项表!$E:$E,考核调整事项表!$G:$G,累计考核费用!$B62,考核调整事项表!$F:$F,累计考核费用!P$55)</f>
        <v>0</v>
      </c>
      <c r="Q62" s="161">
        <f>SUMIFS(考核调整事项表!$C:$C,考核调整事项表!$G:$G,累计考核费用!$B62,考核调整事项表!$D:$D,累计考核费用!Q$55)+SUMIFS(考核调整事项表!$E:$E,考核调整事项表!$G:$G,累计考核费用!$B62,考核调整事项表!$F:$F,累计考核费用!Q$55)</f>
        <v>0</v>
      </c>
      <c r="R62" s="161">
        <f>SUMIFS(考核调整事项表!$C:$C,考核调整事项表!$G:$G,累计考核费用!$B62,考核调整事项表!$D:$D,累计考核费用!R$55)+SUMIFS(考核调整事项表!$E:$E,考核调整事项表!$G:$G,累计考核费用!$B62,考核调整事项表!$F:$F,累计考核费用!R$55)</f>
        <v>0</v>
      </c>
      <c r="S62" s="161">
        <f>SUMIFS(考核调整事项表!$C:$C,考核调整事项表!$G:$G,累计考核费用!$B62,考核调整事项表!$D:$D,累计考核费用!S$55)+SUMIFS(考核调整事项表!$E:$E,考核调整事项表!$G:$G,累计考核费用!$B62,考核调整事项表!$F:$F,累计考核费用!S$55)</f>
        <v>0</v>
      </c>
      <c r="T62" s="164">
        <f t="shared" si="3"/>
        <v>0</v>
      </c>
      <c r="U62" s="161">
        <f>SUMIFS(考核调整事项表!$C:$C,考核调整事项表!$G:$G,累计考核费用!$B62,考核调整事项表!$D:$D,累计考核费用!U$55)+SUMIFS(考核调整事项表!$E:$E,考核调整事项表!$G:$G,累计考核费用!$B62,考核调整事项表!$F:$F,累计考核费用!U$55)</f>
        <v>0</v>
      </c>
      <c r="V62" s="161">
        <f>SUMIFS(考核调整事项表!$C:$C,考核调整事项表!$G:$G,累计考核费用!$B62,考核调整事项表!$D:$D,累计考核费用!V$55)+SUMIFS(考核调整事项表!$E:$E,考核调整事项表!$G:$G,累计考核费用!$B62,考核调整事项表!$F:$F,累计考核费用!V$55)</f>
        <v>0</v>
      </c>
      <c r="W62" s="161">
        <f>SUMIFS(考核调整事项表!$C:$C,考核调整事项表!$G:$G,累计考核费用!$B62,考核调整事项表!$D:$D,累计考核费用!W$55)+SUMIFS(考核调整事项表!$E:$E,考核调整事项表!$G:$G,累计考核费用!$B62,考核调整事项表!$F:$F,累计考核费用!W$55)</f>
        <v>0</v>
      </c>
      <c r="X62" s="161">
        <f>SUMIFS(考核调整事项表!$C:$C,考核调整事项表!$G:$G,累计考核费用!$B62,考核调整事项表!$D:$D,累计考核费用!X$55)+SUMIFS(考核调整事项表!$E:$E,考核调整事项表!$G:$G,累计考核费用!$B62,考核调整事项表!$F:$F,累计考核费用!X$55)</f>
        <v>0</v>
      </c>
      <c r="Y62" s="161">
        <f>SUMIFS(考核调整事项表!$C:$C,考核调整事项表!$G:$G,累计考核费用!$B62,考核调整事项表!$D:$D,累计考核费用!Y$55)+SUMIFS(考核调整事项表!$E:$E,考核调整事项表!$G:$G,累计考核费用!$B62,考核调整事项表!$F:$F,累计考核费用!Y$55)</f>
        <v>0</v>
      </c>
      <c r="Z62" s="161">
        <f>SUMIFS(考核调整事项表!$C:$C,考核调整事项表!$G:$G,累计考核费用!$B62,考核调整事项表!$D:$D,累计考核费用!Z$55)+SUMIFS(考核调整事项表!$E:$E,考核调整事项表!$G:$G,累计考核费用!$B62,考核调整事项表!$F:$F,累计考核费用!Z$55)</f>
        <v>0</v>
      </c>
      <c r="AA62" s="161">
        <f>SUMIFS(考核调整事项表!$C:$C,考核调整事项表!$G:$G,累计考核费用!$B62,考核调整事项表!$D:$D,累计考核费用!AA$55)+SUMIFS(考核调整事项表!$E:$E,考核调整事项表!$G:$G,累计考核费用!$B62,考核调整事项表!$F:$F,累计考核费用!AA$55)</f>
        <v>0</v>
      </c>
      <c r="AB62" s="161">
        <f>SUMIFS(考核调整事项表!$C:$C,考核调整事项表!$G:$G,累计考核费用!$B62,考核调整事项表!$D:$D,累计考核费用!AB$55)+SUMIFS(考核调整事项表!$E:$E,考核调整事项表!$G:$G,累计考核费用!$B62,考核调整事项表!$F:$F,累计考核费用!AB$55)</f>
        <v>0</v>
      </c>
      <c r="AC62" s="161">
        <f>SUMIFS(考核调整事项表!$C:$C,考核调整事项表!$G:$G,累计考核费用!$B62,考核调整事项表!$D:$D,累计考核费用!AC$55)+SUMIFS(考核调整事项表!$E:$E,考核调整事项表!$G:$G,累计考核费用!$B62,考核调整事项表!$F:$F,累计考核费用!AC$55)</f>
        <v>0</v>
      </c>
    </row>
    <row r="63" spans="1:29">
      <c r="A63" s="258"/>
      <c r="B63" s="47" t="s">
        <v>96</v>
      </c>
      <c r="C63" s="9">
        <f t="shared" si="0"/>
        <v>0</v>
      </c>
      <c r="D63" s="161">
        <f>SUMIFS(考核调整事项表!$C:$C,考核调整事项表!$G:$G,累计考核费用!$B63,考核调整事项表!$D:$D,累计考核费用!D$55)+SUMIFS(考核调整事项表!$E:$E,考核调整事项表!$G:$G,累计考核费用!$B63,考核调整事项表!$F:$F,累计考核费用!D$55)</f>
        <v>0</v>
      </c>
      <c r="E63" s="161">
        <f>SUMIFS(考核调整事项表!$C:$C,考核调整事项表!$G:$G,累计考核费用!$B63,考核调整事项表!$D:$D,累计考核费用!E$55)+SUMIFS(考核调整事项表!$E:$E,考核调整事项表!$G:$G,累计考核费用!$B63,考核调整事项表!$F:$F,累计考核费用!E$55)</f>
        <v>0</v>
      </c>
      <c r="F63" s="161">
        <f>SUMIFS(考核调整事项表!$C:$C,考核调整事项表!$G:$G,累计考核费用!$B63,考核调整事项表!$D:$D,累计考核费用!F$55)+SUMIFS(考核调整事项表!$E:$E,考核调整事项表!$G:$G,累计考核费用!$B63,考核调整事项表!$F:$F,累计考核费用!F$55)</f>
        <v>0</v>
      </c>
      <c r="G63" s="161">
        <f t="shared" si="1"/>
        <v>0</v>
      </c>
      <c r="H63" s="161">
        <f>SUMIFS(考核调整事项表!$C:$C,考核调整事项表!$G:$G,累计考核费用!$B63,考核调整事项表!$D:$D,累计考核费用!H$55)+SUMIFS(考核调整事项表!$E:$E,考核调整事项表!$G:$G,累计考核费用!$B63,考核调整事项表!$F:$F,累计考核费用!H$55)</f>
        <v>0</v>
      </c>
      <c r="I63" s="161">
        <f>SUMIFS(考核调整事项表!$C:$C,考核调整事项表!$G:$G,累计考核费用!$B63,考核调整事项表!$D:$D,累计考核费用!I$55)+SUMIFS(考核调整事项表!$E:$E,考核调整事项表!$G:$G,累计考核费用!$B63,考核调整事项表!$F:$F,累计考核费用!I$55)</f>
        <v>0</v>
      </c>
      <c r="J63" s="161">
        <f>SUMIFS(考核调整事项表!$C:$C,考核调整事项表!$G:$G,累计考核费用!$B63,考核调整事项表!$D:$D,累计考核费用!J$55)+SUMIFS(考核调整事项表!$E:$E,考核调整事项表!$G:$G,累计考核费用!$B63,考核调整事项表!$F:$F,累计考核费用!J$55)</f>
        <v>0</v>
      </c>
      <c r="K63" s="161">
        <f>SUMIFS(考核调整事项表!$C:$C,考核调整事项表!$G:$G,累计考核费用!$B63,考核调整事项表!$D:$D,累计考核费用!K$55)+SUMIFS(考核调整事项表!$E:$E,考核调整事项表!$G:$G,累计考核费用!$B63,考核调整事项表!$F:$F,累计考核费用!K$55)</f>
        <v>0</v>
      </c>
      <c r="L63" s="161">
        <f t="shared" si="2"/>
        <v>0</v>
      </c>
      <c r="M63" s="161">
        <f>SUMIFS(考核调整事项表!$C:$C,考核调整事项表!$G:$G,累计考核费用!$B63,考核调整事项表!$D:$D,累计考核费用!M$55)+SUMIFS(考核调整事项表!$E:$E,考核调整事项表!$G:$G,累计考核费用!$B63,考核调整事项表!$F:$F,累计考核费用!M$55)</f>
        <v>0</v>
      </c>
      <c r="N63" s="161">
        <f>SUMIFS(考核调整事项表!$C:$C,考核调整事项表!$G:$G,累计考核费用!$B63,考核调整事项表!$D:$D,累计考核费用!N$55)+SUMIFS(考核调整事项表!$E:$E,考核调整事项表!$G:$G,累计考核费用!$B63,考核调整事项表!$F:$F,累计考核费用!N$55)</f>
        <v>0</v>
      </c>
      <c r="O63" s="161">
        <f>SUMIFS(考核调整事项表!$C:$C,考核调整事项表!$G:$G,累计考核费用!$B63,考核调整事项表!$D:$D,累计考核费用!O$55)+SUMIFS(考核调整事项表!$E:$E,考核调整事项表!$G:$G,累计考核费用!$B63,考核调整事项表!$F:$F,累计考核费用!O$55)</f>
        <v>0</v>
      </c>
      <c r="P63" s="161">
        <f>SUMIFS(考核调整事项表!$C:$C,考核调整事项表!$G:$G,累计考核费用!$B63,考核调整事项表!$D:$D,累计考核费用!P$55)+SUMIFS(考核调整事项表!$E:$E,考核调整事项表!$G:$G,累计考核费用!$B63,考核调整事项表!$F:$F,累计考核费用!P$55)</f>
        <v>0</v>
      </c>
      <c r="Q63" s="161">
        <f>SUMIFS(考核调整事项表!$C:$C,考核调整事项表!$G:$G,累计考核费用!$B63,考核调整事项表!$D:$D,累计考核费用!Q$55)+SUMIFS(考核调整事项表!$E:$E,考核调整事项表!$G:$G,累计考核费用!$B63,考核调整事项表!$F:$F,累计考核费用!Q$55)</f>
        <v>0</v>
      </c>
      <c r="R63" s="161">
        <f>SUMIFS(考核调整事项表!$C:$C,考核调整事项表!$G:$G,累计考核费用!$B63,考核调整事项表!$D:$D,累计考核费用!R$55)+SUMIFS(考核调整事项表!$E:$E,考核调整事项表!$G:$G,累计考核费用!$B63,考核调整事项表!$F:$F,累计考核费用!R$55)</f>
        <v>0</v>
      </c>
      <c r="S63" s="161">
        <f>SUMIFS(考核调整事项表!$C:$C,考核调整事项表!$G:$G,累计考核费用!$B63,考核调整事项表!$D:$D,累计考核费用!S$55)+SUMIFS(考核调整事项表!$E:$E,考核调整事项表!$G:$G,累计考核费用!$B63,考核调整事项表!$F:$F,累计考核费用!S$55)</f>
        <v>0</v>
      </c>
      <c r="T63" s="164">
        <f t="shared" si="3"/>
        <v>0</v>
      </c>
      <c r="U63" s="161">
        <f>SUMIFS(考核调整事项表!$C:$C,考核调整事项表!$G:$G,累计考核费用!$B63,考核调整事项表!$D:$D,累计考核费用!U$55)+SUMIFS(考核调整事项表!$E:$E,考核调整事项表!$G:$G,累计考核费用!$B63,考核调整事项表!$F:$F,累计考核费用!U$55)</f>
        <v>0</v>
      </c>
      <c r="V63" s="161">
        <f>SUMIFS(考核调整事项表!$C:$C,考核调整事项表!$G:$G,累计考核费用!$B63,考核调整事项表!$D:$D,累计考核费用!V$55)+SUMIFS(考核调整事项表!$E:$E,考核调整事项表!$G:$G,累计考核费用!$B63,考核调整事项表!$F:$F,累计考核费用!V$55)</f>
        <v>0</v>
      </c>
      <c r="W63" s="161">
        <f>SUMIFS(考核调整事项表!$C:$C,考核调整事项表!$G:$G,累计考核费用!$B63,考核调整事项表!$D:$D,累计考核费用!W$55)+SUMIFS(考核调整事项表!$E:$E,考核调整事项表!$G:$G,累计考核费用!$B63,考核调整事项表!$F:$F,累计考核费用!W$55)</f>
        <v>0</v>
      </c>
      <c r="X63" s="161">
        <f>SUMIFS(考核调整事项表!$C:$C,考核调整事项表!$G:$G,累计考核费用!$B63,考核调整事项表!$D:$D,累计考核费用!X$55)+SUMIFS(考核调整事项表!$E:$E,考核调整事项表!$G:$G,累计考核费用!$B63,考核调整事项表!$F:$F,累计考核费用!X$55)</f>
        <v>0</v>
      </c>
      <c r="Y63" s="161">
        <f>SUMIFS(考核调整事项表!$C:$C,考核调整事项表!$G:$G,累计考核费用!$B63,考核调整事项表!$D:$D,累计考核费用!Y$55)+SUMIFS(考核调整事项表!$E:$E,考核调整事项表!$G:$G,累计考核费用!$B63,考核调整事项表!$F:$F,累计考核费用!Y$55)</f>
        <v>0</v>
      </c>
      <c r="Z63" s="161">
        <f>SUMIFS(考核调整事项表!$C:$C,考核调整事项表!$G:$G,累计考核费用!$B63,考核调整事项表!$D:$D,累计考核费用!Z$55)+SUMIFS(考核调整事项表!$E:$E,考核调整事项表!$G:$G,累计考核费用!$B63,考核调整事项表!$F:$F,累计考核费用!Z$55)</f>
        <v>0</v>
      </c>
      <c r="AA63" s="161">
        <f>SUMIFS(考核调整事项表!$C:$C,考核调整事项表!$G:$G,累计考核费用!$B63,考核调整事项表!$D:$D,累计考核费用!AA$55)+SUMIFS(考核调整事项表!$E:$E,考核调整事项表!$G:$G,累计考核费用!$B63,考核调整事项表!$F:$F,累计考核费用!AA$55)</f>
        <v>0</v>
      </c>
      <c r="AB63" s="161">
        <f>SUMIFS(考核调整事项表!$C:$C,考核调整事项表!$G:$G,累计考核费用!$B63,考核调整事项表!$D:$D,累计考核费用!AB$55)+SUMIFS(考核调整事项表!$E:$E,考核调整事项表!$G:$G,累计考核费用!$B63,考核调整事项表!$F:$F,累计考核费用!AB$55)</f>
        <v>0</v>
      </c>
      <c r="AC63" s="161">
        <f>SUMIFS(考核调整事项表!$C:$C,考核调整事项表!$G:$G,累计考核费用!$B63,考核调整事项表!$D:$D,累计考核费用!AC$55)+SUMIFS(考核调整事项表!$E:$E,考核调整事项表!$G:$G,累计考核费用!$B63,考核调整事项表!$F:$F,累计考核费用!AC$55)</f>
        <v>0</v>
      </c>
    </row>
    <row r="64" spans="1:29">
      <c r="A64" s="258"/>
      <c r="B64" s="47" t="s">
        <v>97</v>
      </c>
      <c r="C64" s="9">
        <f t="shared" si="0"/>
        <v>0</v>
      </c>
      <c r="D64" s="161">
        <f>SUMIFS(考核调整事项表!$C:$C,考核调整事项表!$G:$G,累计考核费用!$B64,考核调整事项表!$D:$D,累计考核费用!D$55)+SUMIFS(考核调整事项表!$E:$E,考核调整事项表!$G:$G,累计考核费用!$B64,考核调整事项表!$F:$F,累计考核费用!D$55)</f>
        <v>0</v>
      </c>
      <c r="E64" s="161">
        <f>SUMIFS(考核调整事项表!$C:$C,考核调整事项表!$G:$G,累计考核费用!$B64,考核调整事项表!$D:$D,累计考核费用!E$55)+SUMIFS(考核调整事项表!$E:$E,考核调整事项表!$G:$G,累计考核费用!$B64,考核调整事项表!$F:$F,累计考核费用!E$55)</f>
        <v>0</v>
      </c>
      <c r="F64" s="161">
        <f>SUMIFS(考核调整事项表!$C:$C,考核调整事项表!$G:$G,累计考核费用!$B64,考核调整事项表!$D:$D,累计考核费用!F$55)+SUMIFS(考核调整事项表!$E:$E,考核调整事项表!$G:$G,累计考核费用!$B64,考核调整事项表!$F:$F,累计考核费用!F$55)</f>
        <v>0</v>
      </c>
      <c r="G64" s="161">
        <f t="shared" si="1"/>
        <v>0</v>
      </c>
      <c r="H64" s="161">
        <f>SUMIFS(考核调整事项表!$C:$C,考核调整事项表!$G:$G,累计考核费用!$B64,考核调整事项表!$D:$D,累计考核费用!H$55)+SUMIFS(考核调整事项表!$E:$E,考核调整事项表!$G:$G,累计考核费用!$B64,考核调整事项表!$F:$F,累计考核费用!H$55)</f>
        <v>0</v>
      </c>
      <c r="I64" s="161">
        <f>SUMIFS(考核调整事项表!$C:$C,考核调整事项表!$G:$G,累计考核费用!$B64,考核调整事项表!$D:$D,累计考核费用!I$55)+SUMIFS(考核调整事项表!$E:$E,考核调整事项表!$G:$G,累计考核费用!$B64,考核调整事项表!$F:$F,累计考核费用!I$55)</f>
        <v>0</v>
      </c>
      <c r="J64" s="161">
        <f>SUMIFS(考核调整事项表!$C:$C,考核调整事项表!$G:$G,累计考核费用!$B64,考核调整事项表!$D:$D,累计考核费用!J$55)+SUMIFS(考核调整事项表!$E:$E,考核调整事项表!$G:$G,累计考核费用!$B64,考核调整事项表!$F:$F,累计考核费用!J$55)</f>
        <v>0</v>
      </c>
      <c r="K64" s="161">
        <f>SUMIFS(考核调整事项表!$C:$C,考核调整事项表!$G:$G,累计考核费用!$B64,考核调整事项表!$D:$D,累计考核费用!K$55)+SUMIFS(考核调整事项表!$E:$E,考核调整事项表!$G:$G,累计考核费用!$B64,考核调整事项表!$F:$F,累计考核费用!K$55)</f>
        <v>0</v>
      </c>
      <c r="L64" s="161">
        <f t="shared" si="2"/>
        <v>0</v>
      </c>
      <c r="M64" s="161">
        <f>SUMIFS(考核调整事项表!$C:$C,考核调整事项表!$G:$G,累计考核费用!$B64,考核调整事项表!$D:$D,累计考核费用!M$55)+SUMIFS(考核调整事项表!$E:$E,考核调整事项表!$G:$G,累计考核费用!$B64,考核调整事项表!$F:$F,累计考核费用!M$55)</f>
        <v>0</v>
      </c>
      <c r="N64" s="161">
        <f>SUMIFS(考核调整事项表!$C:$C,考核调整事项表!$G:$G,累计考核费用!$B64,考核调整事项表!$D:$D,累计考核费用!N$55)+SUMIFS(考核调整事项表!$E:$E,考核调整事项表!$G:$G,累计考核费用!$B64,考核调整事项表!$F:$F,累计考核费用!N$55)</f>
        <v>0</v>
      </c>
      <c r="O64" s="161">
        <f>SUMIFS(考核调整事项表!$C:$C,考核调整事项表!$G:$G,累计考核费用!$B64,考核调整事项表!$D:$D,累计考核费用!O$55)+SUMIFS(考核调整事项表!$E:$E,考核调整事项表!$G:$G,累计考核费用!$B64,考核调整事项表!$F:$F,累计考核费用!O$55)</f>
        <v>0</v>
      </c>
      <c r="P64" s="161">
        <f>SUMIFS(考核调整事项表!$C:$C,考核调整事项表!$G:$G,累计考核费用!$B64,考核调整事项表!$D:$D,累计考核费用!P$55)+SUMIFS(考核调整事项表!$E:$E,考核调整事项表!$G:$G,累计考核费用!$B64,考核调整事项表!$F:$F,累计考核费用!P$55)</f>
        <v>0</v>
      </c>
      <c r="Q64" s="161">
        <f>SUMIFS(考核调整事项表!$C:$C,考核调整事项表!$G:$G,累计考核费用!$B64,考核调整事项表!$D:$D,累计考核费用!Q$55)+SUMIFS(考核调整事项表!$E:$E,考核调整事项表!$G:$G,累计考核费用!$B64,考核调整事项表!$F:$F,累计考核费用!Q$55)</f>
        <v>0</v>
      </c>
      <c r="R64" s="161">
        <f>SUMIFS(考核调整事项表!$C:$C,考核调整事项表!$G:$G,累计考核费用!$B64,考核调整事项表!$D:$D,累计考核费用!R$55)+SUMIFS(考核调整事项表!$E:$E,考核调整事项表!$G:$G,累计考核费用!$B64,考核调整事项表!$F:$F,累计考核费用!R$55)</f>
        <v>0</v>
      </c>
      <c r="S64" s="161">
        <f>SUMIFS(考核调整事项表!$C:$C,考核调整事项表!$G:$G,累计考核费用!$B64,考核调整事项表!$D:$D,累计考核费用!S$55)+SUMIFS(考核调整事项表!$E:$E,考核调整事项表!$G:$G,累计考核费用!$B64,考核调整事项表!$F:$F,累计考核费用!S$55)</f>
        <v>0</v>
      </c>
      <c r="T64" s="164">
        <f t="shared" si="3"/>
        <v>0</v>
      </c>
      <c r="U64" s="161">
        <f>SUMIFS(考核调整事项表!$C:$C,考核调整事项表!$G:$G,累计考核费用!$B64,考核调整事项表!$D:$D,累计考核费用!U$55)+SUMIFS(考核调整事项表!$E:$E,考核调整事项表!$G:$G,累计考核费用!$B64,考核调整事项表!$F:$F,累计考核费用!U$55)</f>
        <v>0</v>
      </c>
      <c r="V64" s="161">
        <f>SUMIFS(考核调整事项表!$C:$C,考核调整事项表!$G:$G,累计考核费用!$B64,考核调整事项表!$D:$D,累计考核费用!V$55)+SUMIFS(考核调整事项表!$E:$E,考核调整事项表!$G:$G,累计考核费用!$B64,考核调整事项表!$F:$F,累计考核费用!V$55)</f>
        <v>0</v>
      </c>
      <c r="W64" s="161">
        <f>SUMIFS(考核调整事项表!$C:$C,考核调整事项表!$G:$G,累计考核费用!$B64,考核调整事项表!$D:$D,累计考核费用!W$55)+SUMIFS(考核调整事项表!$E:$E,考核调整事项表!$G:$G,累计考核费用!$B64,考核调整事项表!$F:$F,累计考核费用!W$55)</f>
        <v>0</v>
      </c>
      <c r="X64" s="161">
        <f>SUMIFS(考核调整事项表!$C:$C,考核调整事项表!$G:$G,累计考核费用!$B64,考核调整事项表!$D:$D,累计考核费用!X$55)+SUMIFS(考核调整事项表!$E:$E,考核调整事项表!$G:$G,累计考核费用!$B64,考核调整事项表!$F:$F,累计考核费用!X$55)</f>
        <v>0</v>
      </c>
      <c r="Y64" s="161">
        <f>SUMIFS(考核调整事项表!$C:$C,考核调整事项表!$G:$G,累计考核费用!$B64,考核调整事项表!$D:$D,累计考核费用!Y$55)+SUMIFS(考核调整事项表!$E:$E,考核调整事项表!$G:$G,累计考核费用!$B64,考核调整事项表!$F:$F,累计考核费用!Y$55)</f>
        <v>0</v>
      </c>
      <c r="Z64" s="161">
        <f>SUMIFS(考核调整事项表!$C:$C,考核调整事项表!$G:$G,累计考核费用!$B64,考核调整事项表!$D:$D,累计考核费用!Z$55)+SUMIFS(考核调整事项表!$E:$E,考核调整事项表!$G:$G,累计考核费用!$B64,考核调整事项表!$F:$F,累计考核费用!Z$55)</f>
        <v>0</v>
      </c>
      <c r="AA64" s="161">
        <f>SUMIFS(考核调整事项表!$C:$C,考核调整事项表!$G:$G,累计考核费用!$B64,考核调整事项表!$D:$D,累计考核费用!AA$55)+SUMIFS(考核调整事项表!$E:$E,考核调整事项表!$G:$G,累计考核费用!$B64,考核调整事项表!$F:$F,累计考核费用!AA$55)</f>
        <v>0</v>
      </c>
      <c r="AB64" s="161">
        <f>SUMIFS(考核调整事项表!$C:$C,考核调整事项表!$G:$G,累计考核费用!$B64,考核调整事项表!$D:$D,累计考核费用!AB$55)+SUMIFS(考核调整事项表!$E:$E,考核调整事项表!$G:$G,累计考核费用!$B64,考核调整事项表!$F:$F,累计考核费用!AB$55)</f>
        <v>0</v>
      </c>
      <c r="AC64" s="161">
        <f>SUMIFS(考核调整事项表!$C:$C,考核调整事项表!$G:$G,累计考核费用!$B64,考核调整事项表!$D:$D,累计考核费用!AC$55)+SUMIFS(考核调整事项表!$E:$E,考核调整事项表!$G:$G,累计考核费用!$B64,考核调整事项表!$F:$F,累计考核费用!AC$55)</f>
        <v>0</v>
      </c>
    </row>
    <row r="65" spans="1:29">
      <c r="A65" s="258"/>
      <c r="B65" s="47" t="s">
        <v>98</v>
      </c>
      <c r="C65" s="9">
        <f t="shared" si="0"/>
        <v>0</v>
      </c>
      <c r="D65" s="161">
        <f>SUMIFS(考核调整事项表!$C:$C,考核调整事项表!$G:$G,累计考核费用!$B65,考核调整事项表!$D:$D,累计考核费用!D$55)+SUMIFS(考核调整事项表!$E:$E,考核调整事项表!$G:$G,累计考核费用!$B65,考核调整事项表!$F:$F,累计考核费用!D$55)</f>
        <v>0</v>
      </c>
      <c r="E65" s="161">
        <f>SUMIFS(考核调整事项表!$C:$C,考核调整事项表!$G:$G,累计考核费用!$B65,考核调整事项表!$D:$D,累计考核费用!E$55)+SUMIFS(考核调整事项表!$E:$E,考核调整事项表!$G:$G,累计考核费用!$B65,考核调整事项表!$F:$F,累计考核费用!E$55)</f>
        <v>0</v>
      </c>
      <c r="F65" s="161">
        <f>SUMIFS(考核调整事项表!$C:$C,考核调整事项表!$G:$G,累计考核费用!$B65,考核调整事项表!$D:$D,累计考核费用!F$55)+SUMIFS(考核调整事项表!$E:$E,考核调整事项表!$G:$G,累计考核费用!$B65,考核调整事项表!$F:$F,累计考核费用!F$55)</f>
        <v>0</v>
      </c>
      <c r="G65" s="161">
        <f t="shared" si="1"/>
        <v>0</v>
      </c>
      <c r="H65" s="161">
        <f>SUMIFS(考核调整事项表!$C:$C,考核调整事项表!$G:$G,累计考核费用!$B65,考核调整事项表!$D:$D,累计考核费用!H$55)+SUMIFS(考核调整事项表!$E:$E,考核调整事项表!$G:$G,累计考核费用!$B65,考核调整事项表!$F:$F,累计考核费用!H$55)</f>
        <v>0</v>
      </c>
      <c r="I65" s="161">
        <f>SUMIFS(考核调整事项表!$C:$C,考核调整事项表!$G:$G,累计考核费用!$B65,考核调整事项表!$D:$D,累计考核费用!I$55)+SUMIFS(考核调整事项表!$E:$E,考核调整事项表!$G:$G,累计考核费用!$B65,考核调整事项表!$F:$F,累计考核费用!I$55)</f>
        <v>0</v>
      </c>
      <c r="J65" s="161">
        <f>SUMIFS(考核调整事项表!$C:$C,考核调整事项表!$G:$G,累计考核费用!$B65,考核调整事项表!$D:$D,累计考核费用!J$55)+SUMIFS(考核调整事项表!$E:$E,考核调整事项表!$G:$G,累计考核费用!$B65,考核调整事项表!$F:$F,累计考核费用!J$55)</f>
        <v>0</v>
      </c>
      <c r="K65" s="161">
        <f>SUMIFS(考核调整事项表!$C:$C,考核调整事项表!$G:$G,累计考核费用!$B65,考核调整事项表!$D:$D,累计考核费用!K$55)+SUMIFS(考核调整事项表!$E:$E,考核调整事项表!$G:$G,累计考核费用!$B65,考核调整事项表!$F:$F,累计考核费用!K$55)</f>
        <v>0</v>
      </c>
      <c r="L65" s="161">
        <f t="shared" si="2"/>
        <v>0</v>
      </c>
      <c r="M65" s="161">
        <f>SUMIFS(考核调整事项表!$C:$C,考核调整事项表!$G:$G,累计考核费用!$B65,考核调整事项表!$D:$D,累计考核费用!M$55)+SUMIFS(考核调整事项表!$E:$E,考核调整事项表!$G:$G,累计考核费用!$B65,考核调整事项表!$F:$F,累计考核费用!M$55)</f>
        <v>0</v>
      </c>
      <c r="N65" s="161">
        <f>SUMIFS(考核调整事项表!$C:$C,考核调整事项表!$G:$G,累计考核费用!$B65,考核调整事项表!$D:$D,累计考核费用!N$55)+SUMIFS(考核调整事项表!$E:$E,考核调整事项表!$G:$G,累计考核费用!$B65,考核调整事项表!$F:$F,累计考核费用!N$55)</f>
        <v>0</v>
      </c>
      <c r="O65" s="161">
        <f>SUMIFS(考核调整事项表!$C:$C,考核调整事项表!$G:$G,累计考核费用!$B65,考核调整事项表!$D:$D,累计考核费用!O$55)+SUMIFS(考核调整事项表!$E:$E,考核调整事项表!$G:$G,累计考核费用!$B65,考核调整事项表!$F:$F,累计考核费用!O$55)</f>
        <v>0</v>
      </c>
      <c r="P65" s="161">
        <f>SUMIFS(考核调整事项表!$C:$C,考核调整事项表!$G:$G,累计考核费用!$B65,考核调整事项表!$D:$D,累计考核费用!P$55)+SUMIFS(考核调整事项表!$E:$E,考核调整事项表!$G:$G,累计考核费用!$B65,考核调整事项表!$F:$F,累计考核费用!P$55)</f>
        <v>0</v>
      </c>
      <c r="Q65" s="161">
        <f>SUMIFS(考核调整事项表!$C:$C,考核调整事项表!$G:$G,累计考核费用!$B65,考核调整事项表!$D:$D,累计考核费用!Q$55)+SUMIFS(考核调整事项表!$E:$E,考核调整事项表!$G:$G,累计考核费用!$B65,考核调整事项表!$F:$F,累计考核费用!Q$55)</f>
        <v>0</v>
      </c>
      <c r="R65" s="161">
        <f>SUMIFS(考核调整事项表!$C:$C,考核调整事项表!$G:$G,累计考核费用!$B65,考核调整事项表!$D:$D,累计考核费用!R$55)+SUMIFS(考核调整事项表!$E:$E,考核调整事项表!$G:$G,累计考核费用!$B65,考核调整事项表!$F:$F,累计考核费用!R$55)</f>
        <v>0</v>
      </c>
      <c r="S65" s="161">
        <f>SUMIFS(考核调整事项表!$C:$C,考核调整事项表!$G:$G,累计考核费用!$B65,考核调整事项表!$D:$D,累计考核费用!S$55)+SUMIFS(考核调整事项表!$E:$E,考核调整事项表!$G:$G,累计考核费用!$B65,考核调整事项表!$F:$F,累计考核费用!S$55)</f>
        <v>0</v>
      </c>
      <c r="T65" s="164">
        <f t="shared" si="3"/>
        <v>0</v>
      </c>
      <c r="U65" s="161">
        <f>SUMIFS(考核调整事项表!$C:$C,考核调整事项表!$G:$G,累计考核费用!$B65,考核调整事项表!$D:$D,累计考核费用!U$55)+SUMIFS(考核调整事项表!$E:$E,考核调整事项表!$G:$G,累计考核费用!$B65,考核调整事项表!$F:$F,累计考核费用!U$55)</f>
        <v>0</v>
      </c>
      <c r="V65" s="161">
        <f>SUMIFS(考核调整事项表!$C:$C,考核调整事项表!$G:$G,累计考核费用!$B65,考核调整事项表!$D:$D,累计考核费用!V$55)+SUMIFS(考核调整事项表!$E:$E,考核调整事项表!$G:$G,累计考核费用!$B65,考核调整事项表!$F:$F,累计考核费用!V$55)</f>
        <v>0</v>
      </c>
      <c r="W65" s="161">
        <f>SUMIFS(考核调整事项表!$C:$C,考核调整事项表!$G:$G,累计考核费用!$B65,考核调整事项表!$D:$D,累计考核费用!W$55)+SUMIFS(考核调整事项表!$E:$E,考核调整事项表!$G:$G,累计考核费用!$B65,考核调整事项表!$F:$F,累计考核费用!W$55)</f>
        <v>0</v>
      </c>
      <c r="X65" s="161">
        <f>SUMIFS(考核调整事项表!$C:$C,考核调整事项表!$G:$G,累计考核费用!$B65,考核调整事项表!$D:$D,累计考核费用!X$55)+SUMIFS(考核调整事项表!$E:$E,考核调整事项表!$G:$G,累计考核费用!$B65,考核调整事项表!$F:$F,累计考核费用!X$55)</f>
        <v>0</v>
      </c>
      <c r="Y65" s="161">
        <f>SUMIFS(考核调整事项表!$C:$C,考核调整事项表!$G:$G,累计考核费用!$B65,考核调整事项表!$D:$D,累计考核费用!Y$55)+SUMIFS(考核调整事项表!$E:$E,考核调整事项表!$G:$G,累计考核费用!$B65,考核调整事项表!$F:$F,累计考核费用!Y$55)</f>
        <v>0</v>
      </c>
      <c r="Z65" s="161">
        <f>SUMIFS(考核调整事项表!$C:$C,考核调整事项表!$G:$G,累计考核费用!$B65,考核调整事项表!$D:$D,累计考核费用!Z$55)+SUMIFS(考核调整事项表!$E:$E,考核调整事项表!$G:$G,累计考核费用!$B65,考核调整事项表!$F:$F,累计考核费用!Z$55)</f>
        <v>0</v>
      </c>
      <c r="AA65" s="161">
        <f>SUMIFS(考核调整事项表!$C:$C,考核调整事项表!$G:$G,累计考核费用!$B65,考核调整事项表!$D:$D,累计考核费用!AA$55)+SUMIFS(考核调整事项表!$E:$E,考核调整事项表!$G:$G,累计考核费用!$B65,考核调整事项表!$F:$F,累计考核费用!AA$55)</f>
        <v>0</v>
      </c>
      <c r="AB65" s="161">
        <f>SUMIFS(考核调整事项表!$C:$C,考核调整事项表!$G:$G,累计考核费用!$B65,考核调整事项表!$D:$D,累计考核费用!AB$55)+SUMIFS(考核调整事项表!$E:$E,考核调整事项表!$G:$G,累计考核费用!$B65,考核调整事项表!$F:$F,累计考核费用!AB$55)</f>
        <v>0</v>
      </c>
      <c r="AC65" s="161">
        <f>SUMIFS(考核调整事项表!$C:$C,考核调整事项表!$G:$G,累计考核费用!$B65,考核调整事项表!$D:$D,累计考核费用!AC$55)+SUMIFS(考核调整事项表!$E:$E,考核调整事项表!$G:$G,累计考核费用!$B65,考核调整事项表!$F:$F,累计考核费用!AC$55)</f>
        <v>0</v>
      </c>
    </row>
    <row r="66" spans="1:29" ht="13.5" customHeight="1">
      <c r="A66" s="259"/>
      <c r="B66" s="57" t="s">
        <v>99</v>
      </c>
      <c r="C66" s="165">
        <f>SUM(C56:C65)</f>
        <v>0</v>
      </c>
      <c r="D66" s="165">
        <f t="shared" ref="D66:AC66" si="4">SUM(D56:D65)</f>
        <v>0</v>
      </c>
      <c r="E66" s="165">
        <f t="shared" si="4"/>
        <v>3413669.12</v>
      </c>
      <c r="F66" s="165">
        <f t="shared" si="4"/>
        <v>-3413669.12</v>
      </c>
      <c r="G66" s="165">
        <f t="shared" si="4"/>
        <v>0</v>
      </c>
      <c r="H66" s="165">
        <f t="shared" si="4"/>
        <v>0</v>
      </c>
      <c r="I66" s="165">
        <f t="shared" si="4"/>
        <v>0</v>
      </c>
      <c r="J66" s="165">
        <f t="shared" si="4"/>
        <v>0</v>
      </c>
      <c r="K66" s="165">
        <f t="shared" si="4"/>
        <v>0</v>
      </c>
      <c r="L66" s="165">
        <f t="shared" si="4"/>
        <v>0</v>
      </c>
      <c r="M66" s="165">
        <f t="shared" si="4"/>
        <v>0</v>
      </c>
      <c r="N66" s="165">
        <f t="shared" si="4"/>
        <v>0</v>
      </c>
      <c r="O66" s="165">
        <f t="shared" si="4"/>
        <v>0</v>
      </c>
      <c r="P66" s="165">
        <f t="shared" si="4"/>
        <v>0</v>
      </c>
      <c r="Q66" s="165">
        <f t="shared" si="4"/>
        <v>0</v>
      </c>
      <c r="R66" s="165">
        <f t="shared" si="4"/>
        <v>0</v>
      </c>
      <c r="S66" s="165">
        <f t="shared" si="4"/>
        <v>0</v>
      </c>
      <c r="T66" s="165">
        <f t="shared" si="4"/>
        <v>-1493793.1</v>
      </c>
      <c r="U66" s="165">
        <f t="shared" si="4"/>
        <v>0</v>
      </c>
      <c r="V66" s="165">
        <f t="shared" si="4"/>
        <v>0</v>
      </c>
      <c r="W66" s="165">
        <f t="shared" si="4"/>
        <v>-1497378</v>
      </c>
      <c r="X66" s="165">
        <f t="shared" si="4"/>
        <v>0</v>
      </c>
      <c r="Y66" s="165">
        <f t="shared" si="4"/>
        <v>0</v>
      </c>
      <c r="Z66" s="165">
        <f t="shared" si="4"/>
        <v>0</v>
      </c>
      <c r="AA66" s="165">
        <f t="shared" ref="AA66" si="5">SUM(AA56:AA65)</f>
        <v>3584.9</v>
      </c>
      <c r="AB66" s="165">
        <f t="shared" si="4"/>
        <v>1493793.1</v>
      </c>
      <c r="AC66" s="165">
        <f t="shared" si="4"/>
        <v>0</v>
      </c>
    </row>
    <row r="67" spans="1:29" ht="13.5" customHeight="1">
      <c r="A67" s="254" t="s">
        <v>100</v>
      </c>
      <c r="B67" s="47" t="s">
        <v>101</v>
      </c>
      <c r="C67" s="9">
        <f>SUM(D67:G67)+L67+T67+AC67+AB67</f>
        <v>0</v>
      </c>
      <c r="D67" s="161">
        <f>SUMIFS(考核调整事项表!$C:$C,考核调整事项表!$G:$G,累计考核费用!$B67,考核调整事项表!$D:$D,累计考核费用!D$55)+SUMIFS(考核调整事项表!$E:$E,考核调整事项表!$G:$G,累计考核费用!$B67,考核调整事项表!$F:$F,累计考核费用!D$55)</f>
        <v>-1740787.68</v>
      </c>
      <c r="E67" s="161">
        <f>SUMIFS(考核调整事项表!$C:$C,考核调整事项表!$G:$G,累计考核费用!$B67,考核调整事项表!$D:$D,累计考核费用!E$55)+SUMIFS(考核调整事项表!$E:$E,考核调整事项表!$G:$G,累计考核费用!$B67,考核调整事项表!$F:$F,累计考核费用!E$55)</f>
        <v>0</v>
      </c>
      <c r="F67" s="161">
        <f>SUMIFS(考核调整事项表!$C:$C,考核调整事项表!$G:$G,累计考核费用!$B67,考核调整事项表!$D:$D,累计考核费用!F$55)+SUMIFS(考核调整事项表!$E:$E,考核调整事项表!$G:$G,累计考核费用!$B67,考核调整事项表!$F:$F,累计考核费用!F$55)</f>
        <v>0</v>
      </c>
      <c r="G67" s="161">
        <f t="shared" si="1"/>
        <v>1740787.68</v>
      </c>
      <c r="H67" s="161">
        <f>SUMIFS(考核调整事项表!$C:$C,考核调整事项表!$G:$G,累计考核费用!$B67,考核调整事项表!$D:$D,累计考核费用!H$55)+SUMIFS(考核调整事项表!$E:$E,考核调整事项表!$G:$G,累计考核费用!$B67,考核调整事项表!$F:$F,累计考核费用!H$55)</f>
        <v>-514548</v>
      </c>
      <c r="I67" s="161">
        <f>SUMIFS(考核调整事项表!$C:$C,考核调整事项表!$G:$G,累计考核费用!$B67,考核调整事项表!$D:$D,累计考核费用!I$55)+SUMIFS(考核调整事项表!$E:$E,考核调整事项表!$G:$G,累计考核费用!$B67,考核调整事项表!$F:$F,累计考核费用!I$55)</f>
        <v>0</v>
      </c>
      <c r="J67" s="161">
        <f>SUMIFS(考核调整事项表!$C:$C,考核调整事项表!$G:$G,累计考核费用!$B67,考核调整事项表!$D:$D,累计考核费用!J$55)+SUMIFS(考核调整事项表!$E:$E,考核调整事项表!$G:$G,累计考核费用!$B67,考核调整事项表!$F:$F,累计考核费用!J$55)</f>
        <v>1246655.68</v>
      </c>
      <c r="K67" s="161">
        <f>SUMIFS(考核调整事项表!$C:$C,考核调整事项表!$G:$G,累计考核费用!$B67,考核调整事项表!$D:$D,累计考核费用!K$55)+SUMIFS(考核调整事项表!$E:$E,考核调整事项表!$G:$G,累计考核费用!$B67,考核调整事项表!$F:$F,累计考核费用!K$55)</f>
        <v>1008680</v>
      </c>
      <c r="L67" s="161">
        <f t="shared" si="2"/>
        <v>0</v>
      </c>
      <c r="M67" s="161">
        <f>SUMIFS(考核调整事项表!$C:$C,考核调整事项表!$G:$G,累计考核费用!$B67,考核调整事项表!$D:$D,累计考核费用!M$55)+SUMIFS(考核调整事项表!$E:$E,考核调整事项表!$G:$G,累计考核费用!$B67,考核调整事项表!$F:$F,累计考核费用!M$55)</f>
        <v>0</v>
      </c>
      <c r="N67" s="161">
        <f>SUMIFS(考核调整事项表!$C:$C,考核调整事项表!$G:$G,累计考核费用!$B67,考核调整事项表!$D:$D,累计考核费用!N$55)+SUMIFS(考核调整事项表!$E:$E,考核调整事项表!$G:$G,累计考核费用!$B67,考核调整事项表!$F:$F,累计考核费用!N$55)</f>
        <v>0</v>
      </c>
      <c r="O67" s="161">
        <f>SUMIFS(考核调整事项表!$C:$C,考核调整事项表!$G:$G,累计考核费用!$B67,考核调整事项表!$D:$D,累计考核费用!O$55)+SUMIFS(考核调整事项表!$E:$E,考核调整事项表!$G:$G,累计考核费用!$B67,考核调整事项表!$F:$F,累计考核费用!O$55)</f>
        <v>0</v>
      </c>
      <c r="P67" s="161">
        <f>SUMIFS(考核调整事项表!$C:$C,考核调整事项表!$G:$G,累计考核费用!$B67,考核调整事项表!$D:$D,累计考核费用!P$55)+SUMIFS(考核调整事项表!$E:$E,考核调整事项表!$G:$G,累计考核费用!$B67,考核调整事项表!$F:$F,累计考核费用!P$55)</f>
        <v>0</v>
      </c>
      <c r="Q67" s="161">
        <f>SUMIFS(考核调整事项表!$C:$C,考核调整事项表!$G:$G,累计考核费用!$B67,考核调整事项表!$D:$D,累计考核费用!Q$55)+SUMIFS(考核调整事项表!$E:$E,考核调整事项表!$G:$G,累计考核费用!$B67,考核调整事项表!$F:$F,累计考核费用!Q$55)</f>
        <v>0</v>
      </c>
      <c r="R67" s="161">
        <f>SUMIFS(考核调整事项表!$C:$C,考核调整事项表!$G:$G,累计考核费用!$B67,考核调整事项表!$D:$D,累计考核费用!R$55)+SUMIFS(考核调整事项表!$E:$E,考核调整事项表!$G:$G,累计考核费用!$B67,考核调整事项表!$F:$F,累计考核费用!R$55)</f>
        <v>0</v>
      </c>
      <c r="S67" s="161">
        <f>SUMIFS(考核调整事项表!$C:$C,考核调整事项表!$G:$G,累计考核费用!$B67,考核调整事项表!$D:$D,累计考核费用!S$55)+SUMIFS(考核调整事项表!$E:$E,考核调整事项表!$G:$G,累计考核费用!$B67,考核调整事项表!$F:$F,累计考核费用!S$55)</f>
        <v>0</v>
      </c>
      <c r="T67" s="164">
        <f t="shared" si="3"/>
        <v>0</v>
      </c>
      <c r="U67" s="161">
        <f>SUMIFS(考核调整事项表!$C:$C,考核调整事项表!$G:$G,累计考核费用!$B67,考核调整事项表!$D:$D,累计考核费用!U$55)+SUMIFS(考核调整事项表!$E:$E,考核调整事项表!$G:$G,累计考核费用!$B67,考核调整事项表!$F:$F,累计考核费用!U$55)</f>
        <v>0</v>
      </c>
      <c r="V67" s="161">
        <f>SUMIFS(考核调整事项表!$C:$C,考核调整事项表!$G:$G,累计考核费用!$B67,考核调整事项表!$D:$D,累计考核费用!V$55)+SUMIFS(考核调整事项表!$E:$E,考核调整事项表!$G:$G,累计考核费用!$B67,考核调整事项表!$F:$F,累计考核费用!V$55)</f>
        <v>0</v>
      </c>
      <c r="W67" s="161">
        <f>SUMIFS(考核调整事项表!$C:$C,考核调整事项表!$G:$G,累计考核费用!$B67,考核调整事项表!$D:$D,累计考核费用!W$55)+SUMIFS(考核调整事项表!$E:$E,考核调整事项表!$G:$G,累计考核费用!$B67,考核调整事项表!$F:$F,累计考核费用!W$55)</f>
        <v>0</v>
      </c>
      <c r="X67" s="161">
        <f>SUMIFS(考核调整事项表!$C:$C,考核调整事项表!$G:$G,累计考核费用!$B67,考核调整事项表!$D:$D,累计考核费用!X$55)+SUMIFS(考核调整事项表!$E:$E,考核调整事项表!$G:$G,累计考核费用!$B67,考核调整事项表!$F:$F,累计考核费用!X$55)</f>
        <v>0</v>
      </c>
      <c r="Y67" s="161">
        <f>SUMIFS(考核调整事项表!$C:$C,考核调整事项表!$G:$G,累计考核费用!$B67,考核调整事项表!$D:$D,累计考核费用!Y$55)+SUMIFS(考核调整事项表!$E:$E,考核调整事项表!$G:$G,累计考核费用!$B67,考核调整事项表!$F:$F,累计考核费用!Y$55)</f>
        <v>0</v>
      </c>
      <c r="Z67" s="161">
        <f>SUMIFS(考核调整事项表!$C:$C,考核调整事项表!$G:$G,累计考核费用!$B67,考核调整事项表!$D:$D,累计考核费用!Z$55)+SUMIFS(考核调整事项表!$E:$E,考核调整事项表!$G:$G,累计考核费用!$B67,考核调整事项表!$F:$F,累计考核费用!Z$55)</f>
        <v>0</v>
      </c>
      <c r="AA67" s="161">
        <f>SUMIFS(考核调整事项表!$C:$C,考核调整事项表!$G:$G,累计考核费用!$B67,考核调整事项表!$D:$D,累计考核费用!AA$55)+SUMIFS(考核调整事项表!$E:$E,考核调整事项表!$G:$G,累计考核费用!$B67,考核调整事项表!$F:$F,累计考核费用!AA$55)</f>
        <v>0</v>
      </c>
      <c r="AB67" s="161">
        <f>SUMIFS(考核调整事项表!$C:$C,考核调整事项表!$G:$G,累计考核费用!$B67,考核调整事项表!$D:$D,累计考核费用!AB$55)+SUMIFS(考核调整事项表!$E:$E,考核调整事项表!$G:$G,累计考核费用!$B67,考核调整事项表!$F:$F,累计考核费用!AB$55)</f>
        <v>0</v>
      </c>
      <c r="AC67" s="161">
        <f>SUMIFS(考核调整事项表!$C:$C,考核调整事项表!$G:$G,累计考核费用!$B67,考核调整事项表!$D:$D,累计考核费用!AC$55)+SUMIFS(考核调整事项表!$E:$E,考核调整事项表!$G:$G,累计考核费用!$B67,考核调整事项表!$F:$F,累计考核费用!AC$55)</f>
        <v>0</v>
      </c>
    </row>
    <row r="68" spans="1:29">
      <c r="A68" s="255"/>
      <c r="B68" s="47" t="s">
        <v>102</v>
      </c>
      <c r="C68" s="9">
        <f>SUM(D68:G68)+L68+T68+AC68+AB68</f>
        <v>0</v>
      </c>
      <c r="D68" s="161">
        <f>SUMIFS(考核调整事项表!$C:$C,考核调整事项表!$G:$G,累计考核费用!$B68,考核调整事项表!$D:$D,累计考核费用!D$55)+SUMIFS(考核调整事项表!$E:$E,考核调整事项表!$G:$G,累计考核费用!$B68,考核调整事项表!$F:$F,累计考核费用!D$55)</f>
        <v>0</v>
      </c>
      <c r="E68" s="161">
        <f>SUMIFS(考核调整事项表!$C:$C,考核调整事项表!$G:$G,累计考核费用!$B68,考核调整事项表!$D:$D,累计考核费用!E$55)+SUMIFS(考核调整事项表!$E:$E,考核调整事项表!$G:$G,累计考核费用!$B68,考核调整事项表!$F:$F,累计考核费用!E$55)</f>
        <v>16109864.33</v>
      </c>
      <c r="F68" s="161">
        <f>SUMIFS(考核调整事项表!$C:$C,考核调整事项表!$G:$G,累计考核费用!$B68,考核调整事项表!$D:$D,累计考核费用!F$55)+SUMIFS(考核调整事项表!$E:$E,考核调整事项表!$G:$G,累计考核费用!$B68,考核调整事项表!$F:$F,累计考核费用!F$55)</f>
        <v>54994</v>
      </c>
      <c r="G68" s="161">
        <f t="shared" si="1"/>
        <v>0</v>
      </c>
      <c r="H68" s="161">
        <f>SUMIFS(考核调整事项表!$C:$C,考核调整事项表!$G:$G,累计考核费用!$B68,考核调整事项表!$D:$D,累计考核费用!H$55)+SUMIFS(考核调整事项表!$E:$E,考核调整事项表!$G:$G,累计考核费用!$B68,考核调整事项表!$F:$F,累计考核费用!H$55)</f>
        <v>0</v>
      </c>
      <c r="I68" s="161">
        <f>SUMIFS(考核调整事项表!$C:$C,考核调整事项表!$G:$G,累计考核费用!$B68,考核调整事项表!$D:$D,累计考核费用!I$55)+SUMIFS(考核调整事项表!$E:$E,考核调整事项表!$G:$G,累计考核费用!$B68,考核调整事项表!$F:$F,累计考核费用!I$55)</f>
        <v>0</v>
      </c>
      <c r="J68" s="161">
        <f>SUMIFS(考核调整事项表!$C:$C,考核调整事项表!$G:$G,累计考核费用!$B68,考核调整事项表!$D:$D,累计考核费用!J$55)+SUMIFS(考核调整事项表!$E:$E,考核调整事项表!$G:$G,累计考核费用!$B68,考核调整事项表!$F:$F,累计考核费用!J$55)</f>
        <v>0</v>
      </c>
      <c r="K68" s="161">
        <f>SUMIFS(考核调整事项表!$C:$C,考核调整事项表!$G:$G,累计考核费用!$B68,考核调整事项表!$D:$D,累计考核费用!K$55)+SUMIFS(考核调整事项表!$E:$E,考核调整事项表!$G:$G,累计考核费用!$B68,考核调整事项表!$F:$F,累计考核费用!K$55)</f>
        <v>0</v>
      </c>
      <c r="L68" s="161">
        <f t="shared" si="2"/>
        <v>0</v>
      </c>
      <c r="M68" s="161">
        <f>SUMIFS(考核调整事项表!$C:$C,考核调整事项表!$G:$G,累计考核费用!$B68,考核调整事项表!$D:$D,累计考核费用!M$55)+SUMIFS(考核调整事项表!$E:$E,考核调整事项表!$G:$G,累计考核费用!$B68,考核调整事项表!$F:$F,累计考核费用!M$55)</f>
        <v>0</v>
      </c>
      <c r="N68" s="161">
        <f>SUMIFS(考核调整事项表!$C:$C,考核调整事项表!$G:$G,累计考核费用!$B68,考核调整事项表!$D:$D,累计考核费用!N$55)+SUMIFS(考核调整事项表!$E:$E,考核调整事项表!$G:$G,累计考核费用!$B68,考核调整事项表!$F:$F,累计考核费用!N$55)</f>
        <v>0</v>
      </c>
      <c r="O68" s="161">
        <f>SUMIFS(考核调整事项表!$C:$C,考核调整事项表!$G:$G,累计考核费用!$B68,考核调整事项表!$D:$D,累计考核费用!O$55)+SUMIFS(考核调整事项表!$E:$E,考核调整事项表!$G:$G,累计考核费用!$B68,考核调整事项表!$F:$F,累计考核费用!O$55)</f>
        <v>0</v>
      </c>
      <c r="P68" s="161">
        <f>SUMIFS(考核调整事项表!$C:$C,考核调整事项表!$G:$G,累计考核费用!$B68,考核调整事项表!$D:$D,累计考核费用!P$55)+SUMIFS(考核调整事项表!$E:$E,考核调整事项表!$G:$G,累计考核费用!$B68,考核调整事项表!$F:$F,累计考核费用!P$55)</f>
        <v>0</v>
      </c>
      <c r="Q68" s="161">
        <f>SUMIFS(考核调整事项表!$C:$C,考核调整事项表!$G:$G,累计考核费用!$B68,考核调整事项表!$D:$D,累计考核费用!Q$55)+SUMIFS(考核调整事项表!$E:$E,考核调整事项表!$G:$G,累计考核费用!$B68,考核调整事项表!$F:$F,累计考核费用!Q$55)</f>
        <v>0</v>
      </c>
      <c r="R68" s="161">
        <f>SUMIFS(考核调整事项表!$C:$C,考核调整事项表!$G:$G,累计考核费用!$B68,考核调整事项表!$D:$D,累计考核费用!R$55)+SUMIFS(考核调整事项表!$E:$E,考核调整事项表!$G:$G,累计考核费用!$B68,考核调整事项表!$F:$F,累计考核费用!R$55)</f>
        <v>0</v>
      </c>
      <c r="S68" s="161">
        <f>SUMIFS(考核调整事项表!$C:$C,考核调整事项表!$G:$G,累计考核费用!$B68,考核调整事项表!$D:$D,累计考核费用!S$55)+SUMIFS(考核调整事项表!$E:$E,考核调整事项表!$G:$G,累计考核费用!$B68,考核调整事项表!$F:$F,累计考核费用!S$55)</f>
        <v>0</v>
      </c>
      <c r="T68" s="164">
        <f t="shared" si="3"/>
        <v>-16164858.33</v>
      </c>
      <c r="U68" s="161">
        <f>SUMIFS(考核调整事项表!$C:$C,考核调整事项表!$G:$G,累计考核费用!$B68,考核调整事项表!$D:$D,累计考核费用!U$55)+SUMIFS(考核调整事项表!$E:$E,考核调整事项表!$G:$G,累计考核费用!$B68,考核调整事项表!$F:$F,累计考核费用!U$55)</f>
        <v>-54994</v>
      </c>
      <c r="V68" s="161">
        <f>SUMIFS(考核调整事项表!$C:$C,考核调整事项表!$G:$G,累计考核费用!$B68,考核调整事项表!$D:$D,累计考核费用!V$55)+SUMIFS(考核调整事项表!$E:$E,考核调整事项表!$G:$G,累计考核费用!$B68,考核调整事项表!$F:$F,累计考核费用!V$55)</f>
        <v>-14356600</v>
      </c>
      <c r="W68" s="161">
        <f>SUMIFS(考核调整事项表!$C:$C,考核调整事项表!$G:$G,累计考核费用!$B68,考核调整事项表!$D:$D,累计考核费用!W$55)+SUMIFS(考核调整事项表!$E:$E,考核调整事项表!$G:$G,累计考核费用!$B68,考核调整事项表!$F:$F,累计考核费用!W$55)</f>
        <v>-1753264.33</v>
      </c>
      <c r="X68" s="161">
        <f>SUMIFS(考核调整事项表!$C:$C,考核调整事项表!$G:$G,累计考核费用!$B68,考核调整事项表!$D:$D,累计考核费用!X$55)+SUMIFS(考核调整事项表!$E:$E,考核调整事项表!$G:$G,累计考核费用!$B68,考核调整事项表!$F:$F,累计考核费用!X$55)</f>
        <v>0</v>
      </c>
      <c r="Y68" s="161">
        <f>SUMIFS(考核调整事项表!$C:$C,考核调整事项表!$G:$G,累计考核费用!$B68,考核调整事项表!$D:$D,累计考核费用!Y$55)+SUMIFS(考核调整事项表!$E:$E,考核调整事项表!$G:$G,累计考核费用!$B68,考核调整事项表!$F:$F,累计考核费用!Y$55)</f>
        <v>0</v>
      </c>
      <c r="Z68" s="161">
        <f>SUMIFS(考核调整事项表!$C:$C,考核调整事项表!$G:$G,累计考核费用!$B68,考核调整事项表!$D:$D,累计考核费用!Z$55)+SUMIFS(考核调整事项表!$E:$E,考核调整事项表!$G:$G,累计考核费用!$B68,考核调整事项表!$F:$F,累计考核费用!Z$55)</f>
        <v>0</v>
      </c>
      <c r="AA68" s="161">
        <f>SUMIFS(考核调整事项表!$C:$C,考核调整事项表!$G:$G,累计考核费用!$B68,考核调整事项表!$D:$D,累计考核费用!AA$55)+SUMIFS(考核调整事项表!$E:$E,考核调整事项表!$G:$G,累计考核费用!$B68,考核调整事项表!$F:$F,累计考核费用!AA$55)</f>
        <v>0</v>
      </c>
      <c r="AB68" s="161">
        <f>SUMIFS(考核调整事项表!$C:$C,考核调整事项表!$G:$G,累计考核费用!$B68,考核调整事项表!$D:$D,累计考核费用!AB$55)+SUMIFS(考核调整事项表!$E:$E,考核调整事项表!$G:$G,累计考核费用!$B68,考核调整事项表!$F:$F,累计考核费用!AB$55)</f>
        <v>0</v>
      </c>
      <c r="AC68" s="161">
        <f>SUMIFS(考核调整事项表!$C:$C,考核调整事项表!$G:$G,累计考核费用!$B68,考核调整事项表!$D:$D,累计考核费用!AC$55)+SUMIFS(考核调整事项表!$E:$E,考核调整事项表!$G:$G,累计考核费用!$B68,考核调整事项表!$F:$F,累计考核费用!AC$55)</f>
        <v>0</v>
      </c>
    </row>
    <row r="69" spans="1:29">
      <c r="A69" s="255"/>
      <c r="B69" s="47" t="s">
        <v>103</v>
      </c>
      <c r="C69" s="9">
        <f>SUM(D69:G69)+L69+T69+AC69+AB69</f>
        <v>-4.3655745685100555E-11</v>
      </c>
      <c r="D69" s="161">
        <f>SUMIFS(考核调整事项表!$C:$C,考核调整事项表!$G:$G,累计考核费用!$B69,考核调整事项表!$D:$D,累计考核费用!D$55)+SUMIFS(考核调整事项表!$E:$E,考核调整事项表!$G:$G,累计考核费用!$B69,考核调整事项表!$F:$F,累计考核费用!D$55)</f>
        <v>-266790.15000000002</v>
      </c>
      <c r="E69" s="161">
        <f>SUMIFS(考核调整事项表!$C:$C,考核调整事项表!$G:$G,累计考核费用!$B69,考核调整事项表!$D:$D,累计考核费用!E$55)+SUMIFS(考核调整事项表!$E:$E,考核调整事项表!$G:$G,累计考核费用!$B69,考核调整事项表!$F:$F,累计考核费用!E$55)</f>
        <v>-193703.26999999996</v>
      </c>
      <c r="F69" s="161">
        <f>SUMIFS(考核调整事项表!$C:$C,考核调整事项表!$G:$G,累计考核费用!$B69,考核调整事项表!$D:$D,累计考核费用!F$55)+SUMIFS(考核调整事项表!$E:$E,考核调整事项表!$G:$G,累计考核费用!$B69,考核调整事项表!$F:$F,累计考核费用!F$55)</f>
        <v>448921.67</v>
      </c>
      <c r="G69" s="161">
        <f>SUM(H69:K69)</f>
        <v>-212710.36</v>
      </c>
      <c r="H69" s="161">
        <f>SUMIFS(考核调整事项表!$C:$C,考核调整事项表!$G:$G,累计考核费用!$B69,考核调整事项表!$D:$D,累计考核费用!H$55)+SUMIFS(考核调整事项表!$E:$E,考核调整事项表!$G:$G,累计考核费用!$B69,考核调整事项表!$F:$F,累计考核费用!H$55)</f>
        <v>-39120.499999999993</v>
      </c>
      <c r="I69" s="161">
        <f>SUMIFS(考核调整事项表!$C:$C,考核调整事项表!$G:$G,累计考核费用!$B69,考核调整事项表!$D:$D,累计考核费用!I$55)+SUMIFS(考核调整事项表!$E:$E,考核调整事项表!$G:$G,累计考核费用!$B69,考核调整事项表!$F:$F,累计考核费用!I$55)</f>
        <v>0</v>
      </c>
      <c r="J69" s="161">
        <f>SUMIFS(考核调整事项表!$C:$C,考核调整事项表!$G:$G,累计考核费用!$B69,考核调整事项表!$D:$D,累计考核费用!J$55)+SUMIFS(考核调整事项表!$E:$E,考核调整事项表!$G:$G,累计考核费用!$B69,考核调整事项表!$F:$F,累计考核费用!J$55)</f>
        <v>-49410.02</v>
      </c>
      <c r="K69" s="161">
        <f>SUMIFS(考核调整事项表!$C:$C,考核调整事项表!$G:$G,累计考核费用!$B69,考核调整事项表!$D:$D,累计考核费用!K$55)+SUMIFS(考核调整事项表!$E:$E,考核调整事项表!$G:$G,累计考核费用!$B69,考核调整事项表!$F:$F,累计考核费用!K$55)</f>
        <v>-124179.84</v>
      </c>
      <c r="L69" s="161">
        <f t="shared" si="2"/>
        <v>207201.02999999994</v>
      </c>
      <c r="M69" s="161">
        <f>SUMIFS(考核调整事项表!$C:$C,考核调整事项表!$G:$G,累计考核费用!$B69,考核调整事项表!$D:$D,累计考核费用!M$55)+SUMIFS(考核调整事项表!$E:$E,考核调整事项表!$G:$G,累计考核费用!$B69,考核调整事项表!$F:$F,累计考核费用!M$55)</f>
        <v>-101971.61</v>
      </c>
      <c r="N69" s="161">
        <f>SUMIFS(考核调整事项表!$C:$C,考核调整事项表!$G:$G,累计考核费用!$B69,考核调整事项表!$D:$D,累计考核费用!N$55)+SUMIFS(考核调整事项表!$E:$E,考核调整事项表!$G:$G,累计考核费用!$B69,考核调整事项表!$F:$F,累计考核费用!N$55)</f>
        <v>75481.709999999977</v>
      </c>
      <c r="O69" s="161">
        <f>SUMIFS(考核调整事项表!$C:$C,考核调整事项表!$G:$G,累计考核费用!$B69,考核调整事项表!$D:$D,累计考核费用!O$55)+SUMIFS(考核调整事项表!$E:$E,考核调整事项表!$G:$G,累计考核费用!$B69,考核调整事项表!$F:$F,累计考核费用!O$55)</f>
        <v>3291.6999999999989</v>
      </c>
      <c r="P69" s="161">
        <f>SUMIFS(考核调整事项表!$C:$C,考核调整事项表!$G:$G,累计考核费用!$B69,考核调整事项表!$D:$D,累计考核费用!P$55)+SUMIFS(考核调整事项表!$E:$E,考核调整事项表!$G:$G,累计考核费用!$B69,考核调整事项表!$F:$F,累计考核费用!P$55)</f>
        <v>154452.12999999998</v>
      </c>
      <c r="Q69" s="161">
        <f>SUMIFS(考核调整事项表!$C:$C,考核调整事项表!$G:$G,累计考核费用!$B69,考核调整事项表!$D:$D,累计考核费用!Q$55)+SUMIFS(考核调整事项表!$E:$E,考核调整事项表!$G:$G,累计考核费用!$B69,考核调整事项表!$F:$F,累计考核费用!Q$55)</f>
        <v>808.47</v>
      </c>
      <c r="R69" s="161">
        <f>SUMIFS(考核调整事项表!$C:$C,考核调整事项表!$G:$G,累计考核费用!$B69,考核调整事项表!$D:$D,累计考核费用!R$55)+SUMIFS(考核调整事项表!$E:$E,考核调整事项表!$G:$G,累计考核费用!$B69,考核调整事项表!$F:$F,累计考核费用!R$55)</f>
        <v>75138.63</v>
      </c>
      <c r="S69" s="161">
        <f>SUMIFS(考核调整事项表!$C:$C,考核调整事项表!$G:$G,累计考核费用!$B69,考核调整事项表!$D:$D,累计考核费用!S$55)+SUMIFS(考核调整事项表!$E:$E,考核调整事项表!$G:$G,累计考核费用!$B69,考核调整事项表!$F:$F,累计考核费用!S$55)</f>
        <v>0</v>
      </c>
      <c r="T69" s="164">
        <f t="shared" si="3"/>
        <v>26986.74</v>
      </c>
      <c r="U69" s="161">
        <f>SUMIFS(考核调整事项表!$C:$C,考核调整事项表!$G:$G,累计考核费用!$B69,考核调整事项表!$D:$D,累计考核费用!U$55)+SUMIFS(考核调整事项表!$E:$E,考核调整事项表!$G:$G,累计考核费用!$B69,考核调整事项表!$F:$F,累计考核费用!U$55)</f>
        <v>-43134.26</v>
      </c>
      <c r="V69" s="161">
        <f>SUMIFS(考核调整事项表!$C:$C,考核调整事项表!$G:$G,累计考核费用!$B69,考核调整事项表!$D:$D,累计考核费用!V$55)+SUMIFS(考核调整事项表!$E:$E,考核调整事项表!$G:$G,累计考核费用!$B69,考核调整事项表!$F:$F,累计考核费用!V$55)</f>
        <v>68134.8</v>
      </c>
      <c r="W69" s="161">
        <f>SUMIFS(考核调整事项表!$C:$C,考核调整事项表!$G:$G,累计考核费用!$B69,考核调整事项表!$D:$D,累计考核费用!W$55)+SUMIFS(考核调整事项表!$E:$E,考核调整事项表!$G:$G,累计考核费用!$B69,考核调整事项表!$F:$F,累计考核费用!W$55)</f>
        <v>1986.2</v>
      </c>
      <c r="X69" s="161">
        <f>SUMIFS(考核调整事项表!$C:$C,考核调整事项表!$G:$G,累计考核费用!$B69,考核调整事项表!$D:$D,累计考核费用!X$55)+SUMIFS(考核调整事项表!$E:$E,考核调整事项表!$G:$G,累计考核费用!$B69,考核调整事项表!$F:$F,累计考核费用!X$55)</f>
        <v>0</v>
      </c>
      <c r="Y69" s="161">
        <f>SUMIFS(考核调整事项表!$C:$C,考核调整事项表!$G:$G,累计考核费用!$B69,考核调整事项表!$D:$D,累计考核费用!Y$55)+SUMIFS(考核调整事项表!$E:$E,考核调整事项表!$G:$G,累计考核费用!$B69,考核调整事项表!$F:$F,累计考核费用!Y$55)</f>
        <v>0</v>
      </c>
      <c r="Z69" s="161">
        <f>SUMIFS(考核调整事项表!$C:$C,考核调整事项表!$G:$G,累计考核费用!$B69,考核调整事项表!$D:$D,累计考核费用!Z$55)+SUMIFS(考核调整事项表!$E:$E,考核调整事项表!$G:$G,累计考核费用!$B69,考核调整事项表!$F:$F,累计考核费用!Z$55)</f>
        <v>0</v>
      </c>
      <c r="AA69" s="161">
        <f>SUMIFS(考核调整事项表!$C:$C,考核调整事项表!$G:$G,累计考核费用!$B69,考核调整事项表!$D:$D,累计考核费用!AA$55)+SUMIFS(考核调整事项表!$E:$E,考核调整事项表!$G:$G,累计考核费用!$B69,考核调整事项表!$F:$F,累计考核费用!AA$55)</f>
        <v>0</v>
      </c>
      <c r="AB69" s="161">
        <f>SUMIFS(考核调整事项表!$C:$C,考核调整事项表!$G:$G,累计考核费用!$B69,考核调整事项表!$D:$D,累计考核费用!AB$55)+SUMIFS(考核调整事项表!$E:$E,考核调整事项表!$G:$G,累计考核费用!$B69,考核调整事项表!$F:$F,累计考核费用!AB$55)</f>
        <v>-9905.66</v>
      </c>
      <c r="AC69" s="161">
        <f>SUMIFS(考核调整事项表!$C:$C,考核调整事项表!$G:$G,累计考核费用!$B69,考核调整事项表!$D:$D,累计考核费用!AC$55)+SUMIFS(考核调整事项表!$E:$E,考核调整事项表!$G:$G,累计考核费用!$B69,考核调整事项表!$F:$F,累计考核费用!AC$55)</f>
        <v>0</v>
      </c>
    </row>
    <row r="70" spans="1:29">
      <c r="A70" s="255"/>
      <c r="B70" s="47" t="s">
        <v>104</v>
      </c>
      <c r="C70" s="9">
        <f t="shared" ref="C70" si="6">SUM(D70:G70)+L70+T70+AC70+AB70</f>
        <v>0</v>
      </c>
      <c r="D70" s="161">
        <f>SUMIFS(考核调整事项表!$C:$C,考核调整事项表!$G:$G,累计考核费用!$B70,考核调整事项表!$D:$D,累计考核费用!D$55)+SUMIFS(考核调整事项表!$E:$E,考核调整事项表!$G:$G,累计考核费用!$B70,考核调整事项表!$F:$F,累计考核费用!D$55)</f>
        <v>0</v>
      </c>
      <c r="E70" s="161">
        <f>SUMIFS(考核调整事项表!$C:$C,考核调整事项表!$G:$G,累计考核费用!$B70,考核调整事项表!$D:$D,累计考核费用!E$55)+SUMIFS(考核调整事项表!$E:$E,考核调整事项表!$G:$G,累计考核费用!$B70,考核调整事项表!$F:$F,累计考核费用!E$55)</f>
        <v>0</v>
      </c>
      <c r="F70" s="161">
        <f>SUMIFS(考核调整事项表!$C:$C,考核调整事项表!$G:$G,累计考核费用!$B70,考核调整事项表!$D:$D,累计考核费用!F$55)+SUMIFS(考核调整事项表!$E:$E,考核调整事项表!$G:$G,累计考核费用!$B70,考核调整事项表!$F:$F,累计考核费用!F$55)</f>
        <v>0</v>
      </c>
      <c r="G70" s="161">
        <f t="shared" si="1"/>
        <v>0</v>
      </c>
      <c r="H70" s="161">
        <f>SUMIFS(考核调整事项表!$C:$C,考核调整事项表!$G:$G,累计考核费用!$B70,考核调整事项表!$D:$D,累计考核费用!H$55)+SUMIFS(考核调整事项表!$E:$E,考核调整事项表!$G:$G,累计考核费用!$B70,考核调整事项表!$F:$F,累计考核费用!H$55)</f>
        <v>0</v>
      </c>
      <c r="I70" s="161">
        <f>SUMIFS(考核调整事项表!$C:$C,考核调整事项表!$G:$G,累计考核费用!$B70,考核调整事项表!$D:$D,累计考核费用!I$55)+SUMIFS(考核调整事项表!$E:$E,考核调整事项表!$G:$G,累计考核费用!$B70,考核调整事项表!$F:$F,累计考核费用!I$55)</f>
        <v>0</v>
      </c>
      <c r="J70" s="161">
        <f>SUMIFS(考核调整事项表!$C:$C,考核调整事项表!$G:$G,累计考核费用!$B70,考核调整事项表!$D:$D,累计考核费用!J$55)+SUMIFS(考核调整事项表!$E:$E,考核调整事项表!$G:$G,累计考核费用!$B70,考核调整事项表!$F:$F,累计考核费用!J$55)</f>
        <v>0</v>
      </c>
      <c r="K70" s="161">
        <f>SUMIFS(考核调整事项表!$C:$C,考核调整事项表!$G:$G,累计考核费用!$B70,考核调整事项表!$D:$D,累计考核费用!K$55)+SUMIFS(考核调整事项表!$E:$E,考核调整事项表!$G:$G,累计考核费用!$B70,考核调整事项表!$F:$F,累计考核费用!K$55)</f>
        <v>0</v>
      </c>
      <c r="L70" s="161">
        <f t="shared" si="2"/>
        <v>0</v>
      </c>
      <c r="M70" s="161">
        <f>SUMIFS(考核调整事项表!$C:$C,考核调整事项表!$G:$G,累计考核费用!$B70,考核调整事项表!$D:$D,累计考核费用!M$55)+SUMIFS(考核调整事项表!$E:$E,考核调整事项表!$G:$G,累计考核费用!$B70,考核调整事项表!$F:$F,累计考核费用!M$55)</f>
        <v>0</v>
      </c>
      <c r="N70" s="161">
        <f>SUMIFS(考核调整事项表!$C:$C,考核调整事项表!$G:$G,累计考核费用!$B70,考核调整事项表!$D:$D,累计考核费用!N$55)+SUMIFS(考核调整事项表!$E:$E,考核调整事项表!$G:$G,累计考核费用!$B70,考核调整事项表!$F:$F,累计考核费用!N$55)</f>
        <v>0</v>
      </c>
      <c r="O70" s="161">
        <f>SUMIFS(考核调整事项表!$C:$C,考核调整事项表!$G:$G,累计考核费用!$B70,考核调整事项表!$D:$D,累计考核费用!O$55)+SUMIFS(考核调整事项表!$E:$E,考核调整事项表!$G:$G,累计考核费用!$B70,考核调整事项表!$F:$F,累计考核费用!O$55)</f>
        <v>0</v>
      </c>
      <c r="P70" s="161">
        <f>SUMIFS(考核调整事项表!$C:$C,考核调整事项表!$G:$G,累计考核费用!$B70,考核调整事项表!$D:$D,累计考核费用!P$55)+SUMIFS(考核调整事项表!$E:$E,考核调整事项表!$G:$G,累计考核费用!$B70,考核调整事项表!$F:$F,累计考核费用!P$55)</f>
        <v>0</v>
      </c>
      <c r="Q70" s="161">
        <f>SUMIFS(考核调整事项表!$C:$C,考核调整事项表!$G:$G,累计考核费用!$B70,考核调整事项表!$D:$D,累计考核费用!Q$55)+SUMIFS(考核调整事项表!$E:$E,考核调整事项表!$G:$G,累计考核费用!$B70,考核调整事项表!$F:$F,累计考核费用!Q$55)</f>
        <v>0</v>
      </c>
      <c r="R70" s="161">
        <f>SUMIFS(考核调整事项表!$C:$C,考核调整事项表!$G:$G,累计考核费用!$B70,考核调整事项表!$D:$D,累计考核费用!R$55)+SUMIFS(考核调整事项表!$E:$E,考核调整事项表!$G:$G,累计考核费用!$B70,考核调整事项表!$F:$F,累计考核费用!R$55)</f>
        <v>0</v>
      </c>
      <c r="S70" s="161">
        <f>SUMIFS(考核调整事项表!$C:$C,考核调整事项表!$G:$G,累计考核费用!$B70,考核调整事项表!$D:$D,累计考核费用!S$55)+SUMIFS(考核调整事项表!$E:$E,考核调整事项表!$G:$G,累计考核费用!$B70,考核调整事项表!$F:$F,累计考核费用!S$55)</f>
        <v>0</v>
      </c>
      <c r="T70" s="164">
        <f t="shared" si="3"/>
        <v>0</v>
      </c>
      <c r="U70" s="161">
        <f>SUMIFS(考核调整事项表!$C:$C,考核调整事项表!$G:$G,累计考核费用!$B70,考核调整事项表!$D:$D,累计考核费用!U$55)+SUMIFS(考核调整事项表!$E:$E,考核调整事项表!$G:$G,累计考核费用!$B70,考核调整事项表!$F:$F,累计考核费用!U$55)</f>
        <v>0</v>
      </c>
      <c r="V70" s="161">
        <f>SUMIFS(考核调整事项表!$C:$C,考核调整事项表!$G:$G,累计考核费用!$B70,考核调整事项表!$D:$D,累计考核费用!V$55)+SUMIFS(考核调整事项表!$E:$E,考核调整事项表!$G:$G,累计考核费用!$B70,考核调整事项表!$F:$F,累计考核费用!V$55)</f>
        <v>0</v>
      </c>
      <c r="W70" s="161">
        <f>SUMIFS(考核调整事项表!$C:$C,考核调整事项表!$G:$G,累计考核费用!$B70,考核调整事项表!$D:$D,累计考核费用!W$55)+SUMIFS(考核调整事项表!$E:$E,考核调整事项表!$G:$G,累计考核费用!$B70,考核调整事项表!$F:$F,累计考核费用!W$55)</f>
        <v>0</v>
      </c>
      <c r="X70" s="161">
        <f>SUMIFS(考核调整事项表!$C:$C,考核调整事项表!$G:$G,累计考核费用!$B70,考核调整事项表!$D:$D,累计考核费用!X$55)+SUMIFS(考核调整事项表!$E:$E,考核调整事项表!$G:$G,累计考核费用!$B70,考核调整事项表!$F:$F,累计考核费用!X$55)</f>
        <v>0</v>
      </c>
      <c r="Y70" s="161">
        <f>SUMIFS(考核调整事项表!$C:$C,考核调整事项表!$G:$G,累计考核费用!$B70,考核调整事项表!$D:$D,累计考核费用!Y$55)+SUMIFS(考核调整事项表!$E:$E,考核调整事项表!$G:$G,累计考核费用!$B70,考核调整事项表!$F:$F,累计考核费用!Y$55)</f>
        <v>0</v>
      </c>
      <c r="Z70" s="161">
        <f>SUMIFS(考核调整事项表!$C:$C,考核调整事项表!$G:$G,累计考核费用!$B70,考核调整事项表!$D:$D,累计考核费用!Z$55)+SUMIFS(考核调整事项表!$E:$E,考核调整事项表!$G:$G,累计考核费用!$B70,考核调整事项表!$F:$F,累计考核费用!Z$55)</f>
        <v>0</v>
      </c>
      <c r="AA70" s="161">
        <f>SUMIFS(考核调整事项表!$C:$C,考核调整事项表!$G:$G,累计考核费用!$B70,考核调整事项表!$D:$D,累计考核费用!AA$55)+SUMIFS(考核调整事项表!$E:$E,考核调整事项表!$G:$G,累计考核费用!$B70,考核调整事项表!$F:$F,累计考核费用!AA$55)</f>
        <v>0</v>
      </c>
      <c r="AB70" s="161">
        <f>SUMIFS(考核调整事项表!$C:$C,考核调整事项表!$G:$G,累计考核费用!$B70,考核调整事项表!$D:$D,累计考核费用!AB$55)+SUMIFS(考核调整事项表!$E:$E,考核调整事项表!$G:$G,累计考核费用!$B70,考核调整事项表!$F:$F,累计考核费用!AB$55)</f>
        <v>0</v>
      </c>
      <c r="AC70" s="161">
        <f>SUMIFS(考核调整事项表!$C:$C,考核调整事项表!$G:$G,累计考核费用!$B70,考核调整事项表!$D:$D,累计考核费用!AC$55)+SUMIFS(考核调整事项表!$E:$E,考核调整事项表!$G:$G,累计考核费用!$B70,考核调整事项表!$F:$F,累计考核费用!AC$55)</f>
        <v>0</v>
      </c>
    </row>
    <row r="71" spans="1:29" ht="13.5" customHeight="1">
      <c r="A71" s="255"/>
      <c r="B71" s="47" t="s">
        <v>105</v>
      </c>
      <c r="C71" s="9">
        <f>SUM(D71:G71)+L71+T71+AC71+AB71</f>
        <v>0</v>
      </c>
      <c r="D71" s="161">
        <f>SUMIFS(考核调整事项表!$C:$C,考核调整事项表!$G:$G,累计考核费用!$B71,考核调整事项表!$D:$D,累计考核费用!D$55)+SUMIFS(考核调整事项表!$E:$E,考核调整事项表!$G:$G,累计考核费用!$B71,考核调整事项表!$F:$F,累计考核费用!D$55)</f>
        <v>0</v>
      </c>
      <c r="E71" s="161">
        <f>SUMIFS(考核调整事项表!$C:$C,考核调整事项表!$G:$G,累计考核费用!$B71,考核调整事项表!$D:$D,累计考核费用!E$55)+SUMIFS(考核调整事项表!$E:$E,考核调整事项表!$G:$G,累计考核费用!$B71,考核调整事项表!$F:$F,累计考核费用!E$55)</f>
        <v>0</v>
      </c>
      <c r="F71" s="161">
        <f>SUMIFS(考核调整事项表!$C:$C,考核调整事项表!$G:$G,累计考核费用!$B71,考核调整事项表!$D:$D,累计考核费用!F$55)+SUMIFS(考核调整事项表!$E:$E,考核调整事项表!$G:$G,累计考核费用!$B71,考核调整事项表!$F:$F,累计考核费用!F$55)</f>
        <v>0</v>
      </c>
      <c r="G71" s="161">
        <f t="shared" si="1"/>
        <v>0</v>
      </c>
      <c r="H71" s="161">
        <f>SUMIFS(考核调整事项表!$C:$C,考核调整事项表!$G:$G,累计考核费用!$B71,考核调整事项表!$D:$D,累计考核费用!H$55)+SUMIFS(考核调整事项表!$E:$E,考核调整事项表!$G:$G,累计考核费用!$B71,考核调整事项表!$F:$F,累计考核费用!H$55)</f>
        <v>0</v>
      </c>
      <c r="I71" s="161">
        <f>SUMIFS(考核调整事项表!$C:$C,考核调整事项表!$G:$G,累计考核费用!$B71,考核调整事项表!$D:$D,累计考核费用!I$55)+SUMIFS(考核调整事项表!$E:$E,考核调整事项表!$G:$G,累计考核费用!$B71,考核调整事项表!$F:$F,累计考核费用!I$55)</f>
        <v>0</v>
      </c>
      <c r="J71" s="161">
        <f>SUMIFS(考核调整事项表!$C:$C,考核调整事项表!$G:$G,累计考核费用!$B71,考核调整事项表!$D:$D,累计考核费用!J$55)+SUMIFS(考核调整事项表!$E:$E,考核调整事项表!$G:$G,累计考核费用!$B71,考核调整事项表!$F:$F,累计考核费用!J$55)</f>
        <v>0</v>
      </c>
      <c r="K71" s="161">
        <f>SUMIFS(考核调整事项表!$C:$C,考核调整事项表!$G:$G,累计考核费用!$B71,考核调整事项表!$D:$D,累计考核费用!K$55)+SUMIFS(考核调整事项表!$E:$E,考核调整事项表!$G:$G,累计考核费用!$B71,考核调整事项表!$F:$F,累计考核费用!K$55)</f>
        <v>0</v>
      </c>
      <c r="L71" s="161">
        <f t="shared" si="2"/>
        <v>0</v>
      </c>
      <c r="M71" s="161">
        <f>SUMIFS(考核调整事项表!$C:$C,考核调整事项表!$G:$G,累计考核费用!$B71,考核调整事项表!$D:$D,累计考核费用!M$55)+SUMIFS(考核调整事项表!$E:$E,考核调整事项表!$G:$G,累计考核费用!$B71,考核调整事项表!$F:$F,累计考核费用!M$55)</f>
        <v>0</v>
      </c>
      <c r="N71" s="161">
        <f>SUMIFS(考核调整事项表!$C:$C,考核调整事项表!$G:$G,累计考核费用!$B71,考核调整事项表!$D:$D,累计考核费用!N$55)+SUMIFS(考核调整事项表!$E:$E,考核调整事项表!$G:$G,累计考核费用!$B71,考核调整事项表!$F:$F,累计考核费用!N$55)</f>
        <v>0</v>
      </c>
      <c r="O71" s="161">
        <f>SUMIFS(考核调整事项表!$C:$C,考核调整事项表!$G:$G,累计考核费用!$B71,考核调整事项表!$D:$D,累计考核费用!O$55)+SUMIFS(考核调整事项表!$E:$E,考核调整事项表!$G:$G,累计考核费用!$B71,考核调整事项表!$F:$F,累计考核费用!O$55)</f>
        <v>0</v>
      </c>
      <c r="P71" s="161">
        <f>SUMIFS(考核调整事项表!$C:$C,考核调整事项表!$G:$G,累计考核费用!$B71,考核调整事项表!$D:$D,累计考核费用!P$55)+SUMIFS(考核调整事项表!$E:$E,考核调整事项表!$G:$G,累计考核费用!$B71,考核调整事项表!$F:$F,累计考核费用!P$55)</f>
        <v>0</v>
      </c>
      <c r="Q71" s="161">
        <f>SUMIFS(考核调整事项表!$C:$C,考核调整事项表!$G:$G,累计考核费用!$B71,考核调整事项表!$D:$D,累计考核费用!Q$55)+SUMIFS(考核调整事项表!$E:$E,考核调整事项表!$G:$G,累计考核费用!$B71,考核调整事项表!$F:$F,累计考核费用!Q$55)</f>
        <v>0</v>
      </c>
      <c r="R71" s="161">
        <f>SUMIFS(考核调整事项表!$C:$C,考核调整事项表!$G:$G,累计考核费用!$B71,考核调整事项表!$D:$D,累计考核费用!R$55)+SUMIFS(考核调整事项表!$E:$E,考核调整事项表!$G:$G,累计考核费用!$B71,考核调整事项表!$F:$F,累计考核费用!R$55)</f>
        <v>0</v>
      </c>
      <c r="S71" s="161">
        <f>SUMIFS(考核调整事项表!$C:$C,考核调整事项表!$G:$G,累计考核费用!$B71,考核调整事项表!$D:$D,累计考核费用!S$55)+SUMIFS(考核调整事项表!$E:$E,考核调整事项表!$G:$G,累计考核费用!$B71,考核调整事项表!$F:$F,累计考核费用!S$55)</f>
        <v>0</v>
      </c>
      <c r="T71" s="164">
        <f t="shared" si="3"/>
        <v>0</v>
      </c>
      <c r="U71" s="161">
        <f>SUMIFS(考核调整事项表!$C:$C,考核调整事项表!$G:$G,累计考核费用!$B71,考核调整事项表!$D:$D,累计考核费用!U$55)+SUMIFS(考核调整事项表!$E:$E,考核调整事项表!$G:$G,累计考核费用!$B71,考核调整事项表!$F:$F,累计考核费用!U$55)</f>
        <v>0</v>
      </c>
      <c r="V71" s="161">
        <f>SUMIFS(考核调整事项表!$C:$C,考核调整事项表!$G:$G,累计考核费用!$B71,考核调整事项表!$D:$D,累计考核费用!V$55)+SUMIFS(考核调整事项表!$E:$E,考核调整事项表!$G:$G,累计考核费用!$B71,考核调整事项表!$F:$F,累计考核费用!V$55)</f>
        <v>0</v>
      </c>
      <c r="W71" s="161">
        <f>SUMIFS(考核调整事项表!$C:$C,考核调整事项表!$G:$G,累计考核费用!$B71,考核调整事项表!$D:$D,累计考核费用!W$55)+SUMIFS(考核调整事项表!$E:$E,考核调整事项表!$G:$G,累计考核费用!$B71,考核调整事项表!$F:$F,累计考核费用!W$55)</f>
        <v>0</v>
      </c>
      <c r="X71" s="161">
        <f>SUMIFS(考核调整事项表!$C:$C,考核调整事项表!$G:$G,累计考核费用!$B71,考核调整事项表!$D:$D,累计考核费用!X$55)+SUMIFS(考核调整事项表!$E:$E,考核调整事项表!$G:$G,累计考核费用!$B71,考核调整事项表!$F:$F,累计考核费用!X$55)</f>
        <v>0</v>
      </c>
      <c r="Y71" s="161">
        <f>SUMIFS(考核调整事项表!$C:$C,考核调整事项表!$G:$G,累计考核费用!$B71,考核调整事项表!$D:$D,累计考核费用!Y$55)+SUMIFS(考核调整事项表!$E:$E,考核调整事项表!$G:$G,累计考核费用!$B71,考核调整事项表!$F:$F,累计考核费用!Y$55)</f>
        <v>0</v>
      </c>
      <c r="Z71" s="161">
        <f>SUMIFS(考核调整事项表!$C:$C,考核调整事项表!$G:$G,累计考核费用!$B71,考核调整事项表!$D:$D,累计考核费用!Z$55)+SUMIFS(考核调整事项表!$E:$E,考核调整事项表!$G:$G,累计考核费用!$B71,考核调整事项表!$F:$F,累计考核费用!Z$55)</f>
        <v>0</v>
      </c>
      <c r="AA71" s="161">
        <f>SUMIFS(考核调整事项表!$C:$C,考核调整事项表!$G:$G,累计考核费用!$B71,考核调整事项表!$D:$D,累计考核费用!AA$55)+SUMIFS(考核调整事项表!$E:$E,考核调整事项表!$G:$G,累计考核费用!$B71,考核调整事项表!$F:$F,累计考核费用!AA$55)</f>
        <v>0</v>
      </c>
      <c r="AB71" s="161">
        <f>SUMIFS(考核调整事项表!$C:$C,考核调整事项表!$G:$G,累计考核费用!$B71,考核调整事项表!$D:$D,累计考核费用!AB$55)+SUMIFS(考核调整事项表!$E:$E,考核调整事项表!$G:$G,累计考核费用!$B71,考核调整事项表!$F:$F,累计考核费用!AB$55)</f>
        <v>0</v>
      </c>
      <c r="AC71" s="161">
        <f>SUMIFS(考核调整事项表!$C:$C,考核调整事项表!$G:$G,累计考核费用!$B71,考核调整事项表!$D:$D,累计考核费用!AC$55)+SUMIFS(考核调整事项表!$E:$E,考核调整事项表!$G:$G,累计考核费用!$B71,考核调整事项表!$F:$F,累计考核费用!AC$55)</f>
        <v>0</v>
      </c>
    </row>
    <row r="72" spans="1:29">
      <c r="A72" s="256"/>
      <c r="B72" s="57" t="s">
        <v>99</v>
      </c>
      <c r="C72" s="165">
        <f>SUM(C67:C71)</f>
        <v>-4.3655745685100555E-11</v>
      </c>
      <c r="D72" s="165">
        <f t="shared" ref="D72:AC72" si="7">SUM(D67:D71)</f>
        <v>-2007577.83</v>
      </c>
      <c r="E72" s="165">
        <f t="shared" si="7"/>
        <v>15916161.060000001</v>
      </c>
      <c r="F72" s="165">
        <f t="shared" si="7"/>
        <v>503915.67</v>
      </c>
      <c r="G72" s="165">
        <f t="shared" si="7"/>
        <v>1528077.3199999998</v>
      </c>
      <c r="H72" s="165">
        <f t="shared" si="7"/>
        <v>-553668.5</v>
      </c>
      <c r="I72" s="165">
        <f t="shared" si="7"/>
        <v>0</v>
      </c>
      <c r="J72" s="165">
        <f t="shared" si="7"/>
        <v>1197245.6599999999</v>
      </c>
      <c r="K72" s="165">
        <f t="shared" si="7"/>
        <v>884500.16</v>
      </c>
      <c r="L72" s="165">
        <f t="shared" si="7"/>
        <v>207201.02999999994</v>
      </c>
      <c r="M72" s="165">
        <f t="shared" si="7"/>
        <v>-101971.61</v>
      </c>
      <c r="N72" s="165">
        <f t="shared" si="7"/>
        <v>75481.709999999977</v>
      </c>
      <c r="O72" s="165">
        <f t="shared" si="7"/>
        <v>3291.6999999999989</v>
      </c>
      <c r="P72" s="165">
        <f t="shared" si="7"/>
        <v>154452.12999999998</v>
      </c>
      <c r="Q72" s="165">
        <f t="shared" si="7"/>
        <v>808.47</v>
      </c>
      <c r="R72" s="165">
        <f t="shared" si="7"/>
        <v>75138.63</v>
      </c>
      <c r="S72" s="165">
        <f t="shared" si="7"/>
        <v>0</v>
      </c>
      <c r="T72" s="165">
        <f t="shared" si="7"/>
        <v>-16137871.59</v>
      </c>
      <c r="U72" s="165">
        <f t="shared" si="7"/>
        <v>-98128.260000000009</v>
      </c>
      <c r="V72" s="165">
        <f t="shared" si="7"/>
        <v>-14288465.199999999</v>
      </c>
      <c r="W72" s="165">
        <f t="shared" si="7"/>
        <v>-1751278.1300000001</v>
      </c>
      <c r="X72" s="165">
        <f t="shared" si="7"/>
        <v>0</v>
      </c>
      <c r="Y72" s="165">
        <f t="shared" si="7"/>
        <v>0</v>
      </c>
      <c r="Z72" s="165">
        <f t="shared" si="7"/>
        <v>0</v>
      </c>
      <c r="AA72" s="165">
        <f t="shared" ref="AA72" si="8">SUM(AA67:AA71)</f>
        <v>0</v>
      </c>
      <c r="AB72" s="165">
        <f t="shared" si="7"/>
        <v>-9905.66</v>
      </c>
      <c r="AC72" s="165">
        <f t="shared" si="7"/>
        <v>0</v>
      </c>
    </row>
    <row r="73" spans="1:29" ht="13.5" customHeight="1">
      <c r="A73" s="251" t="s">
        <v>106</v>
      </c>
      <c r="B73" s="47" t="s">
        <v>107</v>
      </c>
      <c r="C73" s="9">
        <f>SUM(D73:G73)+L73+T73+AC73+AB73</f>
        <v>0</v>
      </c>
      <c r="D73" s="161">
        <f>SUMIFS(考核调整事项表!$C:$C,考核调整事项表!$G:$G,累计考核费用!$B73,考核调整事项表!$D:$D,累计考核费用!D$55)+SUMIFS(考核调整事项表!$E:$E,考核调整事项表!$G:$G,累计考核费用!$B73,考核调整事项表!$F:$F,累计考核费用!D$55)</f>
        <v>0</v>
      </c>
      <c r="E73" s="161">
        <f>SUMIFS(考核调整事项表!$C:$C,考核调整事项表!$G:$G,累计考核费用!$B73,考核调整事项表!$D:$D,累计考核费用!E$55)+SUMIFS(考核调整事项表!$E:$E,考核调整事项表!$G:$G,累计考核费用!$B73,考核调整事项表!$F:$F,累计考核费用!E$55)</f>
        <v>-607294.48</v>
      </c>
      <c r="F73" s="161">
        <f>SUMIFS(考核调整事项表!$C:$C,考核调整事项表!$G:$G,累计考核费用!$B73,考核调整事项表!$D:$D,累计考核费用!F$55)+SUMIFS(考核调整事项表!$E:$E,考核调整事项表!$G:$G,累计考核费用!$B73,考核调整事项表!$F:$F,累计考核费用!F$55)</f>
        <v>-721226.52</v>
      </c>
      <c r="G73" s="161">
        <f t="shared" si="1"/>
        <v>75070</v>
      </c>
      <c r="H73" s="161">
        <f>SUMIFS(考核调整事项表!$C:$C,考核调整事项表!$G:$G,累计考核费用!$B73,考核调整事项表!$D:$D,累计考核费用!H$55)+SUMIFS(考核调整事项表!$E:$E,考核调整事项表!$G:$G,累计考核费用!$B73,考核调整事项表!$F:$F,累计考核费用!H$55)</f>
        <v>49810</v>
      </c>
      <c r="I73" s="161">
        <f>SUMIFS(考核调整事项表!$C:$C,考核调整事项表!$G:$G,累计考核费用!$B73,考核调整事项表!$D:$D,累计考核费用!I$55)+SUMIFS(考核调整事项表!$E:$E,考核调整事项表!$G:$G,累计考核费用!$B73,考核调整事项表!$F:$F,累计考核费用!I$55)</f>
        <v>24700</v>
      </c>
      <c r="J73" s="161">
        <f>SUMIFS(考核调整事项表!$C:$C,考核调整事项表!$G:$G,累计考核费用!$B73,考核调整事项表!$D:$D,累计考核费用!J$55)+SUMIFS(考核调整事项表!$E:$E,考核调整事项表!$G:$G,累计考核费用!$B73,考核调整事项表!$F:$F,累计考核费用!J$55)</f>
        <v>560</v>
      </c>
      <c r="K73" s="161">
        <f>SUMIFS(考核调整事项表!$C:$C,考核调整事项表!$G:$G,累计考核费用!$B73,考核调整事项表!$D:$D,累计考核费用!K$55)+SUMIFS(考核调整事项表!$E:$E,考核调整事项表!$G:$G,累计考核费用!$B73,考核调整事项表!$F:$F,累计考核费用!K$55)</f>
        <v>0</v>
      </c>
      <c r="L73" s="161">
        <f>SUM(M73:S73)</f>
        <v>52701</v>
      </c>
      <c r="M73" s="161">
        <f>SUMIFS(考核调整事项表!$C:$C,考核调整事项表!$G:$G,累计考核费用!$B73,考核调整事项表!$D:$D,累计考核费用!M$55)+SUMIFS(考核调整事项表!$E:$E,考核调整事项表!$G:$G,累计考核费用!$B73,考核调整事项表!$F:$F,累计考核费用!M$55)</f>
        <v>560</v>
      </c>
      <c r="N73" s="161">
        <f>SUMIFS(考核调整事项表!$C:$C,考核调整事项表!$G:$G,累计考核费用!$B73,考核调整事项表!$D:$D,累计考核费用!N$55)+SUMIFS(考核调整事项表!$E:$E,考核调整事项表!$G:$G,累计考核费用!$B73,考核调整事项表!$F:$F,累计考核费用!N$55)</f>
        <v>6335</v>
      </c>
      <c r="O73" s="161">
        <f>SUMIFS(考核调整事项表!$C:$C,考核调整事项表!$G:$G,累计考核费用!$B73,考核调整事项表!$D:$D,累计考核费用!O$55)+SUMIFS(考核调整事项表!$E:$E,考核调整事项表!$G:$G,累计考核费用!$B73,考核调整事项表!$F:$F,累计考核费用!O$55)</f>
        <v>560</v>
      </c>
      <c r="P73" s="161">
        <f>SUMIFS(考核调整事项表!$C:$C,考核调整事项表!$G:$G,累计考核费用!$B73,考核调整事项表!$D:$D,累计考核费用!P$55)+SUMIFS(考核调整事项表!$E:$E,考核调整事项表!$G:$G,累计考核费用!$B73,考核调整事项表!$F:$F,累计考核费用!P$55)</f>
        <v>14212</v>
      </c>
      <c r="Q73" s="161">
        <f>SUMIFS(考核调整事项表!$C:$C,考核调整事项表!$G:$G,累计考核费用!$B73,考核调整事项表!$D:$D,累计考核费用!Q$55)+SUMIFS(考核调整事项表!$E:$E,考核调整事项表!$G:$G,累计考核费用!$B73,考核调整事项表!$F:$F,累计考核费用!Q$55)</f>
        <v>2328</v>
      </c>
      <c r="R73" s="161">
        <f>SUMIFS(考核调整事项表!$C:$C,考核调整事项表!$G:$G,累计考核费用!$B73,考核调整事项表!$D:$D,累计考核费用!R$55)+SUMIFS(考核调整事项表!$E:$E,考核调整事项表!$G:$G,累计考核费用!$B73,考核调整事项表!$F:$F,累计考核费用!R$55)</f>
        <v>28706</v>
      </c>
      <c r="S73" s="161">
        <f>SUMIFS(考核调整事项表!$C:$C,考核调整事项表!$G:$G,累计考核费用!$B73,考核调整事项表!$D:$D,累计考核费用!S$55)+SUMIFS(考核调整事项表!$E:$E,考核调整事项表!$G:$G,累计考核费用!$B73,考核调整事项表!$F:$F,累计考核费用!S$55)</f>
        <v>0</v>
      </c>
      <c r="T73" s="164">
        <f>SUM(U73:AA73)</f>
        <v>1200750</v>
      </c>
      <c r="U73" s="161">
        <f>SUMIFS(考核调整事项表!$C:$C,考核调整事项表!$G:$G,累计考核费用!$B73,考核调整事项表!$D:$D,累计考核费用!U$55)+SUMIFS(考核调整事项表!$E:$E,考核调整事项表!$G:$G,累计考核费用!$B73,考核调整事项表!$F:$F,累计考核费用!U$55)</f>
        <v>151660</v>
      </c>
      <c r="V73" s="161">
        <f>SUMIFS(考核调整事项表!$C:$C,考核调整事项表!$G:$G,累计考核费用!$B73,考核调整事项表!$D:$D,累计考核费用!V$55)+SUMIFS(考核调整事项表!$E:$E,考核调整事项表!$G:$G,累计考核费用!$B73,考核调整事项表!$F:$F,累计考核费用!V$55)</f>
        <v>904892</v>
      </c>
      <c r="W73" s="161">
        <f>SUMIFS(考核调整事项表!$C:$C,考核调整事项表!$G:$G,累计考核费用!$B73,考核调整事项表!$D:$D,累计考核费用!W$55)+SUMIFS(考核调整事项表!$E:$E,考核调整事项表!$G:$G,累计考核费用!$B73,考核调整事项表!$F:$F,累计考核费用!W$55)</f>
        <v>112130.33</v>
      </c>
      <c r="X73" s="161">
        <f>SUMIFS(考核调整事项表!$C:$C,考核调整事项表!$G:$G,累计考核费用!$B73,考核调整事项表!$D:$D,累计考核费用!X$55)+SUMIFS(考核调整事项表!$E:$E,考核调整事项表!$G:$G,累计考核费用!$B73,考核调整事项表!$F:$F,累计考核费用!X$55)</f>
        <v>0</v>
      </c>
      <c r="Y73" s="161">
        <f>SUMIFS(考核调整事项表!$C:$C,考核调整事项表!$G:$G,累计考核费用!$B73,考核调整事项表!$D:$D,累计考核费用!Y$55)+SUMIFS(考核调整事项表!$E:$E,考核调整事项表!$G:$G,累计考核费用!$B73,考核调整事项表!$F:$F,累计考核费用!Y$55)</f>
        <v>0</v>
      </c>
      <c r="Z73" s="161">
        <f>SUMIFS(考核调整事项表!$C:$C,考核调整事项表!$G:$G,累计考核费用!$B73,考核调整事项表!$D:$D,累计考核费用!Z$55)+SUMIFS(考核调整事项表!$E:$E,考核调整事项表!$G:$G,累计考核费用!$B73,考核调整事项表!$F:$F,累计考核费用!Z$55)</f>
        <v>0</v>
      </c>
      <c r="AA73" s="161">
        <f>SUMIFS(考核调整事项表!$C:$C,考核调整事项表!$G:$G,累计考核费用!$B73,考核调整事项表!$D:$D,累计考核费用!AA$55)+SUMIFS(考核调整事项表!$E:$E,考核调整事项表!$G:$G,累计考核费用!$B73,考核调整事项表!$F:$F,累计考核费用!AA$55)</f>
        <v>32067.67</v>
      </c>
      <c r="AB73" s="161">
        <f>SUMIFS(考核调整事项表!$C:$C,考核调整事项表!$G:$G,累计考核费用!$B73,考核调整事项表!$D:$D,累计考核费用!AB$55)+SUMIFS(考核调整事项表!$E:$E,考核调整事项表!$G:$G,累计考核费用!$B73,考核调整事项表!$F:$F,累计考核费用!AB$55)</f>
        <v>0</v>
      </c>
      <c r="AC73" s="161">
        <f>SUMIFS(考核调整事项表!$C:$C,考核调整事项表!$G:$G,累计考核费用!$B73,考核调整事项表!$D:$D,累计考核费用!AC$55)+SUMIFS(考核调整事项表!$E:$E,考核调整事项表!$G:$G,累计考核费用!$B73,考核调整事项表!$F:$F,累计考核费用!AC$55)</f>
        <v>0</v>
      </c>
    </row>
    <row r="74" spans="1:29">
      <c r="A74" s="252"/>
      <c r="B74" s="47" t="s">
        <v>108</v>
      </c>
      <c r="C74" s="9">
        <f t="shared" ref="C74:C76" si="9">SUM(D74:G74)+L74+T74+AC74+AB74</f>
        <v>0</v>
      </c>
      <c r="D74" s="161">
        <f>SUMIFS(考核调整事项表!$C:$C,考核调整事项表!$G:$G,累计考核费用!$B74,考核调整事项表!$D:$D,累计考核费用!D$55)+SUMIFS(考核调整事项表!$E:$E,考核调整事项表!$G:$G,累计考核费用!$B74,考核调整事项表!$F:$F,累计考核费用!D$55)</f>
        <v>0</v>
      </c>
      <c r="E74" s="161">
        <f>SUMIFS(考核调整事项表!$C:$C,考核调整事项表!$G:$G,累计考核费用!$B74,考核调整事项表!$D:$D,累计考核费用!E$55)+SUMIFS(考核调整事项表!$E:$E,考核调整事项表!$G:$G,累计考核费用!$B74,考核调整事项表!$F:$F,累计考核费用!E$55)</f>
        <v>0</v>
      </c>
      <c r="F74" s="161">
        <f>SUMIFS(考核调整事项表!$C:$C,考核调整事项表!$G:$G,累计考核费用!$B74,考核调整事项表!$D:$D,累计考核费用!F$55)+SUMIFS(考核调整事项表!$E:$E,考核调整事项表!$G:$G,累计考核费用!$B74,考核调整事项表!$F:$F,累计考核费用!F$55)</f>
        <v>0</v>
      </c>
      <c r="G74" s="161">
        <f t="shared" si="1"/>
        <v>0</v>
      </c>
      <c r="H74" s="161">
        <f>SUMIFS(考核调整事项表!$C:$C,考核调整事项表!$G:$G,累计考核费用!$B74,考核调整事项表!$D:$D,累计考核费用!H$55)+SUMIFS(考核调整事项表!$E:$E,考核调整事项表!$G:$G,累计考核费用!$B74,考核调整事项表!$F:$F,累计考核费用!H$55)</f>
        <v>0</v>
      </c>
      <c r="I74" s="161">
        <f>SUMIFS(考核调整事项表!$C:$C,考核调整事项表!$G:$G,累计考核费用!$B74,考核调整事项表!$D:$D,累计考核费用!I$55)+SUMIFS(考核调整事项表!$E:$E,考核调整事项表!$G:$G,累计考核费用!$B74,考核调整事项表!$F:$F,累计考核费用!I$55)</f>
        <v>0</v>
      </c>
      <c r="J74" s="161">
        <f>SUMIFS(考核调整事项表!$C:$C,考核调整事项表!$G:$G,累计考核费用!$B74,考核调整事项表!$D:$D,累计考核费用!J$55)+SUMIFS(考核调整事项表!$E:$E,考核调整事项表!$G:$G,累计考核费用!$B74,考核调整事项表!$F:$F,累计考核费用!J$55)</f>
        <v>0</v>
      </c>
      <c r="K74" s="161">
        <f>SUMIFS(考核调整事项表!$C:$C,考核调整事项表!$G:$G,累计考核费用!$B74,考核调整事项表!$D:$D,累计考核费用!K$55)+SUMIFS(考核调整事项表!$E:$E,考核调整事项表!$G:$G,累计考核费用!$B74,考核调整事项表!$F:$F,累计考核费用!K$55)</f>
        <v>0</v>
      </c>
      <c r="L74" s="161">
        <f t="shared" si="2"/>
        <v>0</v>
      </c>
      <c r="M74" s="161">
        <f>SUMIFS(考核调整事项表!$C:$C,考核调整事项表!$G:$G,累计考核费用!$B74,考核调整事项表!$D:$D,累计考核费用!M$55)+SUMIFS(考核调整事项表!$E:$E,考核调整事项表!$G:$G,累计考核费用!$B74,考核调整事项表!$F:$F,累计考核费用!M$55)</f>
        <v>0</v>
      </c>
      <c r="N74" s="161">
        <f>SUMIFS(考核调整事项表!$C:$C,考核调整事项表!$G:$G,累计考核费用!$B74,考核调整事项表!$D:$D,累计考核费用!N$55)+SUMIFS(考核调整事项表!$E:$E,考核调整事项表!$G:$G,累计考核费用!$B74,考核调整事项表!$F:$F,累计考核费用!N$55)</f>
        <v>0</v>
      </c>
      <c r="O74" s="161">
        <f>SUMIFS(考核调整事项表!$C:$C,考核调整事项表!$G:$G,累计考核费用!$B74,考核调整事项表!$D:$D,累计考核费用!O$55)+SUMIFS(考核调整事项表!$E:$E,考核调整事项表!$G:$G,累计考核费用!$B74,考核调整事项表!$F:$F,累计考核费用!O$55)</f>
        <v>0</v>
      </c>
      <c r="P74" s="161">
        <f>SUMIFS(考核调整事项表!$C:$C,考核调整事项表!$G:$G,累计考核费用!$B74,考核调整事项表!$D:$D,累计考核费用!P$55)+SUMIFS(考核调整事项表!$E:$E,考核调整事项表!$G:$G,累计考核费用!$B74,考核调整事项表!$F:$F,累计考核费用!P$55)</f>
        <v>0</v>
      </c>
      <c r="Q74" s="161">
        <f>SUMIFS(考核调整事项表!$C:$C,考核调整事项表!$G:$G,累计考核费用!$B74,考核调整事项表!$D:$D,累计考核费用!Q$55)+SUMIFS(考核调整事项表!$E:$E,考核调整事项表!$G:$G,累计考核费用!$B74,考核调整事项表!$F:$F,累计考核费用!Q$55)</f>
        <v>0</v>
      </c>
      <c r="R74" s="161">
        <f>SUMIFS(考核调整事项表!$C:$C,考核调整事项表!$G:$G,累计考核费用!$B74,考核调整事项表!$D:$D,累计考核费用!R$55)+SUMIFS(考核调整事项表!$E:$E,考核调整事项表!$G:$G,累计考核费用!$B74,考核调整事项表!$F:$F,累计考核费用!R$55)</f>
        <v>0</v>
      </c>
      <c r="S74" s="161">
        <f>SUMIFS(考核调整事项表!$C:$C,考核调整事项表!$G:$G,累计考核费用!$B74,考核调整事项表!$D:$D,累计考核费用!S$55)+SUMIFS(考核调整事项表!$E:$E,考核调整事项表!$G:$G,累计考核费用!$B74,考核调整事项表!$F:$F,累计考核费用!S$55)</f>
        <v>0</v>
      </c>
      <c r="T74" s="164">
        <f>SUM(U74:AA74)</f>
        <v>0</v>
      </c>
      <c r="U74" s="161">
        <f>SUMIFS(考核调整事项表!$C:$C,考核调整事项表!$G:$G,累计考核费用!$B74,考核调整事项表!$D:$D,累计考核费用!U$55)+SUMIFS(考核调整事项表!$E:$E,考核调整事项表!$G:$G,累计考核费用!$B74,考核调整事项表!$F:$F,累计考核费用!U$55)</f>
        <v>0</v>
      </c>
      <c r="V74" s="161">
        <f>SUMIFS(考核调整事项表!$C:$C,考核调整事项表!$G:$G,累计考核费用!$B74,考核调整事项表!$D:$D,累计考核费用!V$55)+SUMIFS(考核调整事项表!$E:$E,考核调整事项表!$G:$G,累计考核费用!$B74,考核调整事项表!$F:$F,累计考核费用!V$55)</f>
        <v>0</v>
      </c>
      <c r="W74" s="161">
        <f>SUMIFS(考核调整事项表!$C:$C,考核调整事项表!$G:$G,累计考核费用!$B74,考核调整事项表!$D:$D,累计考核费用!W$55)+SUMIFS(考核调整事项表!$E:$E,考核调整事项表!$G:$G,累计考核费用!$B74,考核调整事项表!$F:$F,累计考核费用!W$55)</f>
        <v>-73753.08</v>
      </c>
      <c r="X74" s="161">
        <f>SUMIFS(考核调整事项表!$C:$C,考核调整事项表!$G:$G,累计考核费用!$B74,考核调整事项表!$D:$D,累计考核费用!X$55)+SUMIFS(考核调整事项表!$E:$E,考核调整事项表!$G:$G,累计考核费用!$B74,考核调整事项表!$F:$F,累计考核费用!X$55)</f>
        <v>0</v>
      </c>
      <c r="Y74" s="161">
        <f>SUMIFS(考核调整事项表!$C:$C,考核调整事项表!$G:$G,累计考核费用!$B74,考核调整事项表!$D:$D,累计考核费用!Y$55)+SUMIFS(考核调整事项表!$E:$E,考核调整事项表!$G:$G,累计考核费用!$B74,考核调整事项表!$F:$F,累计考核费用!Y$55)</f>
        <v>0</v>
      </c>
      <c r="Z74" s="161">
        <f>SUMIFS(考核调整事项表!$C:$C,考核调整事项表!$G:$G,累计考核费用!$B74,考核调整事项表!$D:$D,累计考核费用!Z$55)+SUMIFS(考核调整事项表!$E:$E,考核调整事项表!$G:$G,累计考核费用!$B74,考核调整事项表!$F:$F,累计考核费用!Z$55)</f>
        <v>0</v>
      </c>
      <c r="AA74" s="161">
        <f>SUMIFS(考核调整事项表!$C:$C,考核调整事项表!$G:$G,累计考核费用!$B74,考核调整事项表!$D:$D,累计考核费用!AA$55)+SUMIFS(考核调整事项表!$E:$E,考核调整事项表!$G:$G,累计考核费用!$B74,考核调整事项表!$F:$F,累计考核费用!AA$55)</f>
        <v>73753.08</v>
      </c>
      <c r="AB74" s="161">
        <f>SUMIFS(考核调整事项表!$C:$C,考核调整事项表!$G:$G,累计考核费用!$B74,考核调整事项表!$D:$D,累计考核费用!AB$55)+SUMIFS(考核调整事项表!$E:$E,考核调整事项表!$G:$G,累计考核费用!$B74,考核调整事项表!$F:$F,累计考核费用!AB$55)</f>
        <v>0</v>
      </c>
      <c r="AC74" s="161">
        <f>SUMIFS(考核调整事项表!$C:$C,考核调整事项表!$G:$G,累计考核费用!$B74,考核调整事项表!$D:$D,累计考核费用!AC$55)+SUMIFS(考核调整事项表!$E:$E,考核调整事项表!$G:$G,累计考核费用!$B74,考核调整事项表!$F:$F,累计考核费用!AC$55)</f>
        <v>0</v>
      </c>
    </row>
    <row r="75" spans="1:29">
      <c r="A75" s="252"/>
      <c r="B75" s="47" t="s">
        <v>109</v>
      </c>
      <c r="C75" s="9">
        <f t="shared" si="9"/>
        <v>0</v>
      </c>
      <c r="D75" s="161">
        <f>SUMIFS(考核调整事项表!$C:$C,考核调整事项表!$G:$G,累计考核费用!$B75,考核调整事项表!$D:$D,累计考核费用!D$55)+SUMIFS(考核调整事项表!$E:$E,考核调整事项表!$G:$G,累计考核费用!$B75,考核调整事项表!$F:$F,累计考核费用!D$55)</f>
        <v>0</v>
      </c>
      <c r="E75" s="161">
        <f>SUMIFS(考核调整事项表!$C:$C,考核调整事项表!$G:$G,累计考核费用!$B75,考核调整事项表!$D:$D,累计考核费用!E$55)+SUMIFS(考核调整事项表!$E:$E,考核调整事项表!$G:$G,累计考核费用!$B75,考核调整事项表!$F:$F,累计考核费用!E$55)</f>
        <v>0</v>
      </c>
      <c r="F75" s="161">
        <f>SUMIFS(考核调整事项表!$C:$C,考核调整事项表!$G:$G,累计考核费用!$B75,考核调整事项表!$D:$D,累计考核费用!F$55)+SUMIFS(考核调整事项表!$E:$E,考核调整事项表!$G:$G,累计考核费用!$B75,考核调整事项表!$F:$F,累计考核费用!F$55)</f>
        <v>0</v>
      </c>
      <c r="G75" s="161">
        <f t="shared" si="1"/>
        <v>0</v>
      </c>
      <c r="H75" s="161">
        <f>SUMIFS(考核调整事项表!$C:$C,考核调整事项表!$G:$G,累计考核费用!$B75,考核调整事项表!$D:$D,累计考核费用!H$55)+SUMIFS(考核调整事项表!$E:$E,考核调整事项表!$G:$G,累计考核费用!$B75,考核调整事项表!$F:$F,累计考核费用!H$55)</f>
        <v>0</v>
      </c>
      <c r="I75" s="161">
        <f>SUMIFS(考核调整事项表!$C:$C,考核调整事项表!$G:$G,累计考核费用!$B75,考核调整事项表!$D:$D,累计考核费用!I$55)+SUMIFS(考核调整事项表!$E:$E,考核调整事项表!$G:$G,累计考核费用!$B75,考核调整事项表!$F:$F,累计考核费用!I$55)</f>
        <v>0</v>
      </c>
      <c r="J75" s="161">
        <f>SUMIFS(考核调整事项表!$C:$C,考核调整事项表!$G:$G,累计考核费用!$B75,考核调整事项表!$D:$D,累计考核费用!J$55)+SUMIFS(考核调整事项表!$E:$E,考核调整事项表!$G:$G,累计考核费用!$B75,考核调整事项表!$F:$F,累计考核费用!J$55)</f>
        <v>0</v>
      </c>
      <c r="K75" s="161">
        <f>SUMIFS(考核调整事项表!$C:$C,考核调整事项表!$G:$G,累计考核费用!$B75,考核调整事项表!$D:$D,累计考核费用!K$55)+SUMIFS(考核调整事项表!$E:$E,考核调整事项表!$G:$G,累计考核费用!$B75,考核调整事项表!$F:$F,累计考核费用!K$55)</f>
        <v>0</v>
      </c>
      <c r="L75" s="161">
        <f t="shared" si="2"/>
        <v>0</v>
      </c>
      <c r="M75" s="161">
        <f>SUMIFS(考核调整事项表!$C:$C,考核调整事项表!$G:$G,累计考核费用!$B75,考核调整事项表!$D:$D,累计考核费用!M$55)+SUMIFS(考核调整事项表!$E:$E,考核调整事项表!$G:$G,累计考核费用!$B75,考核调整事项表!$F:$F,累计考核费用!M$55)</f>
        <v>0</v>
      </c>
      <c r="N75" s="161">
        <f>SUMIFS(考核调整事项表!$C:$C,考核调整事项表!$G:$G,累计考核费用!$B75,考核调整事项表!$D:$D,累计考核费用!N$55)+SUMIFS(考核调整事项表!$E:$E,考核调整事项表!$G:$G,累计考核费用!$B75,考核调整事项表!$F:$F,累计考核费用!N$55)</f>
        <v>0</v>
      </c>
      <c r="O75" s="161">
        <f>SUMIFS(考核调整事项表!$C:$C,考核调整事项表!$G:$G,累计考核费用!$B75,考核调整事项表!$D:$D,累计考核费用!O$55)+SUMIFS(考核调整事项表!$E:$E,考核调整事项表!$G:$G,累计考核费用!$B75,考核调整事项表!$F:$F,累计考核费用!O$55)</f>
        <v>0</v>
      </c>
      <c r="P75" s="161">
        <f>SUMIFS(考核调整事项表!$C:$C,考核调整事项表!$G:$G,累计考核费用!$B75,考核调整事项表!$D:$D,累计考核费用!P$55)+SUMIFS(考核调整事项表!$E:$E,考核调整事项表!$G:$G,累计考核费用!$B75,考核调整事项表!$F:$F,累计考核费用!P$55)</f>
        <v>0</v>
      </c>
      <c r="Q75" s="161">
        <f>SUMIFS(考核调整事项表!$C:$C,考核调整事项表!$G:$G,累计考核费用!$B75,考核调整事项表!$D:$D,累计考核费用!Q$55)+SUMIFS(考核调整事项表!$E:$E,考核调整事项表!$G:$G,累计考核费用!$B75,考核调整事项表!$F:$F,累计考核费用!Q$55)</f>
        <v>0</v>
      </c>
      <c r="R75" s="161">
        <f>SUMIFS(考核调整事项表!$C:$C,考核调整事项表!$G:$G,累计考核费用!$B75,考核调整事项表!$D:$D,累计考核费用!R$55)+SUMIFS(考核调整事项表!$E:$E,考核调整事项表!$G:$G,累计考核费用!$B75,考核调整事项表!$F:$F,累计考核费用!R$55)</f>
        <v>0</v>
      </c>
      <c r="S75" s="161">
        <f>SUMIFS(考核调整事项表!$C:$C,考核调整事项表!$G:$G,累计考核费用!$B75,考核调整事项表!$D:$D,累计考核费用!S$55)+SUMIFS(考核调整事项表!$E:$E,考核调整事项表!$G:$G,累计考核费用!$B75,考核调整事项表!$F:$F,累计考核费用!S$55)</f>
        <v>0</v>
      </c>
      <c r="T75" s="164">
        <f t="shared" ref="T75:T85" si="10">SUM(U75:AA75)</f>
        <v>0</v>
      </c>
      <c r="U75" s="161">
        <f>SUMIFS(考核调整事项表!$C:$C,考核调整事项表!$G:$G,累计考核费用!$B75,考核调整事项表!$D:$D,累计考核费用!U$55)+SUMIFS(考核调整事项表!$E:$E,考核调整事项表!$G:$G,累计考核费用!$B75,考核调整事项表!$F:$F,累计考核费用!U$55)</f>
        <v>0</v>
      </c>
      <c r="V75" s="161">
        <f>SUMIFS(考核调整事项表!$C:$C,考核调整事项表!$G:$G,累计考核费用!$B75,考核调整事项表!$D:$D,累计考核费用!V$55)+SUMIFS(考核调整事项表!$E:$E,考核调整事项表!$G:$G,累计考核费用!$B75,考核调整事项表!$F:$F,累计考核费用!V$55)</f>
        <v>0</v>
      </c>
      <c r="W75" s="161">
        <f>SUMIFS(考核调整事项表!$C:$C,考核调整事项表!$G:$G,累计考核费用!$B75,考核调整事项表!$D:$D,累计考核费用!W$55)+SUMIFS(考核调整事项表!$E:$E,考核调整事项表!$G:$G,累计考核费用!$B75,考核调整事项表!$F:$F,累计考核费用!W$55)</f>
        <v>0</v>
      </c>
      <c r="X75" s="161">
        <f>SUMIFS(考核调整事项表!$C:$C,考核调整事项表!$G:$G,累计考核费用!$B75,考核调整事项表!$D:$D,累计考核费用!X$55)+SUMIFS(考核调整事项表!$E:$E,考核调整事项表!$G:$G,累计考核费用!$B75,考核调整事项表!$F:$F,累计考核费用!X$55)</f>
        <v>0</v>
      </c>
      <c r="Y75" s="161">
        <f>SUMIFS(考核调整事项表!$C:$C,考核调整事项表!$G:$G,累计考核费用!$B75,考核调整事项表!$D:$D,累计考核费用!Y$55)+SUMIFS(考核调整事项表!$E:$E,考核调整事项表!$G:$G,累计考核费用!$B75,考核调整事项表!$F:$F,累计考核费用!Y$55)</f>
        <v>0</v>
      </c>
      <c r="Z75" s="161">
        <f>SUMIFS(考核调整事项表!$C:$C,考核调整事项表!$G:$G,累计考核费用!$B75,考核调整事项表!$D:$D,累计考核费用!Z$55)+SUMIFS(考核调整事项表!$E:$E,考核调整事项表!$G:$G,累计考核费用!$B75,考核调整事项表!$F:$F,累计考核费用!Z$55)</f>
        <v>0</v>
      </c>
      <c r="AA75" s="161">
        <f>SUMIFS(考核调整事项表!$C:$C,考核调整事项表!$G:$G,累计考核费用!$B75,考核调整事项表!$D:$D,累计考核费用!AA$55)+SUMIFS(考核调整事项表!$E:$E,考核调整事项表!$G:$G,累计考核费用!$B75,考核调整事项表!$F:$F,累计考核费用!AA$55)</f>
        <v>0</v>
      </c>
      <c r="AB75" s="161">
        <f>SUMIFS(考核调整事项表!$C:$C,考核调整事项表!$G:$G,累计考核费用!$B75,考核调整事项表!$D:$D,累计考核费用!AB$55)+SUMIFS(考核调整事项表!$E:$E,考核调整事项表!$G:$G,累计考核费用!$B75,考核调整事项表!$F:$F,累计考核费用!AB$55)</f>
        <v>0</v>
      </c>
      <c r="AC75" s="161">
        <f>SUMIFS(考核调整事项表!$C:$C,考核调整事项表!$G:$G,累计考核费用!$B75,考核调整事项表!$D:$D,累计考核费用!AC$55)+SUMIFS(考核调整事项表!$E:$E,考核调整事项表!$G:$G,累计考核费用!$B75,考核调整事项表!$F:$F,累计考核费用!AC$55)</f>
        <v>0</v>
      </c>
    </row>
    <row r="76" spans="1:29">
      <c r="A76" s="252"/>
      <c r="B76" s="47" t="s">
        <v>110</v>
      </c>
      <c r="C76" s="9">
        <f t="shared" si="9"/>
        <v>0</v>
      </c>
      <c r="D76" s="161">
        <f>SUMIFS(考核调整事项表!$C:$C,考核调整事项表!$G:$G,累计考核费用!$B76,考核调整事项表!$D:$D,累计考核费用!D$55)+SUMIFS(考核调整事项表!$E:$E,考核调整事项表!$G:$G,累计考核费用!$B76,考核调整事项表!$F:$F,累计考核费用!D$55)</f>
        <v>0</v>
      </c>
      <c r="E76" s="161">
        <f>SUMIFS(考核调整事项表!$C:$C,考核调整事项表!$G:$G,累计考核费用!$B76,考核调整事项表!$D:$D,累计考核费用!E$55)+SUMIFS(考核调整事项表!$E:$E,考核调整事项表!$G:$G,累计考核费用!$B76,考核调整事项表!$F:$F,累计考核费用!E$55)</f>
        <v>0</v>
      </c>
      <c r="F76" s="161">
        <f>SUMIFS(考核调整事项表!$C:$C,考核调整事项表!$G:$G,累计考核费用!$B76,考核调整事项表!$D:$D,累计考核费用!F$55)+SUMIFS(考核调整事项表!$E:$E,考核调整事项表!$G:$G,累计考核费用!$B76,考核调整事项表!$F:$F,累计考核费用!F$55)</f>
        <v>0</v>
      </c>
      <c r="G76" s="161">
        <f t="shared" si="1"/>
        <v>0</v>
      </c>
      <c r="H76" s="161">
        <f>SUMIFS(考核调整事项表!$C:$C,考核调整事项表!$G:$G,累计考核费用!$B76,考核调整事项表!$D:$D,累计考核费用!H$55)+SUMIFS(考核调整事项表!$E:$E,考核调整事项表!$G:$G,累计考核费用!$B76,考核调整事项表!$F:$F,累计考核费用!H$55)</f>
        <v>0</v>
      </c>
      <c r="I76" s="161">
        <f>SUMIFS(考核调整事项表!$C:$C,考核调整事项表!$G:$G,累计考核费用!$B76,考核调整事项表!$D:$D,累计考核费用!I$55)+SUMIFS(考核调整事项表!$E:$E,考核调整事项表!$G:$G,累计考核费用!$B76,考核调整事项表!$F:$F,累计考核费用!I$55)</f>
        <v>0</v>
      </c>
      <c r="J76" s="161">
        <f>SUMIFS(考核调整事项表!$C:$C,考核调整事项表!$G:$G,累计考核费用!$B76,考核调整事项表!$D:$D,累计考核费用!J$55)+SUMIFS(考核调整事项表!$E:$E,考核调整事项表!$G:$G,累计考核费用!$B76,考核调整事项表!$F:$F,累计考核费用!J$55)</f>
        <v>0</v>
      </c>
      <c r="K76" s="161">
        <f>SUMIFS(考核调整事项表!$C:$C,考核调整事项表!$G:$G,累计考核费用!$B76,考核调整事项表!$D:$D,累计考核费用!K$55)+SUMIFS(考核调整事项表!$E:$E,考核调整事项表!$G:$G,累计考核费用!$B76,考核调整事项表!$F:$F,累计考核费用!K$55)</f>
        <v>0</v>
      </c>
      <c r="L76" s="161">
        <f t="shared" si="2"/>
        <v>0</v>
      </c>
      <c r="M76" s="161">
        <f>SUMIFS(考核调整事项表!$C:$C,考核调整事项表!$G:$G,累计考核费用!$B76,考核调整事项表!$D:$D,累计考核费用!M$55)+SUMIFS(考核调整事项表!$E:$E,考核调整事项表!$G:$G,累计考核费用!$B76,考核调整事项表!$F:$F,累计考核费用!M$55)</f>
        <v>0</v>
      </c>
      <c r="N76" s="161">
        <f>SUMIFS(考核调整事项表!$C:$C,考核调整事项表!$G:$G,累计考核费用!$B76,考核调整事项表!$D:$D,累计考核费用!N$55)+SUMIFS(考核调整事项表!$E:$E,考核调整事项表!$G:$G,累计考核费用!$B76,考核调整事项表!$F:$F,累计考核费用!N$55)</f>
        <v>0</v>
      </c>
      <c r="O76" s="161">
        <f>SUMIFS(考核调整事项表!$C:$C,考核调整事项表!$G:$G,累计考核费用!$B76,考核调整事项表!$D:$D,累计考核费用!O$55)+SUMIFS(考核调整事项表!$E:$E,考核调整事项表!$G:$G,累计考核费用!$B76,考核调整事项表!$F:$F,累计考核费用!O$55)</f>
        <v>0</v>
      </c>
      <c r="P76" s="161">
        <f>SUMIFS(考核调整事项表!$C:$C,考核调整事项表!$G:$G,累计考核费用!$B76,考核调整事项表!$D:$D,累计考核费用!P$55)+SUMIFS(考核调整事项表!$E:$E,考核调整事项表!$G:$G,累计考核费用!$B76,考核调整事项表!$F:$F,累计考核费用!P$55)</f>
        <v>0</v>
      </c>
      <c r="Q76" s="161">
        <f>SUMIFS(考核调整事项表!$C:$C,考核调整事项表!$G:$G,累计考核费用!$B76,考核调整事项表!$D:$D,累计考核费用!Q$55)+SUMIFS(考核调整事项表!$E:$E,考核调整事项表!$G:$G,累计考核费用!$B76,考核调整事项表!$F:$F,累计考核费用!Q$55)</f>
        <v>0</v>
      </c>
      <c r="R76" s="161">
        <f>SUMIFS(考核调整事项表!$C:$C,考核调整事项表!$G:$G,累计考核费用!$B76,考核调整事项表!$D:$D,累计考核费用!R$55)+SUMIFS(考核调整事项表!$E:$E,考核调整事项表!$G:$G,累计考核费用!$B76,考核调整事项表!$F:$F,累计考核费用!R$55)</f>
        <v>0</v>
      </c>
      <c r="S76" s="161">
        <f>SUMIFS(考核调整事项表!$C:$C,考核调整事项表!$G:$G,累计考核费用!$B76,考核调整事项表!$D:$D,累计考核费用!S$55)+SUMIFS(考核调整事项表!$E:$E,考核调整事项表!$G:$G,累计考核费用!$B76,考核调整事项表!$F:$F,累计考核费用!S$55)</f>
        <v>0</v>
      </c>
      <c r="T76" s="164">
        <f t="shared" si="10"/>
        <v>0</v>
      </c>
      <c r="U76" s="161">
        <f>SUMIFS(考核调整事项表!$C:$C,考核调整事项表!$G:$G,累计考核费用!$B76,考核调整事项表!$D:$D,累计考核费用!U$55)+SUMIFS(考核调整事项表!$E:$E,考核调整事项表!$G:$G,累计考核费用!$B76,考核调整事项表!$F:$F,累计考核费用!U$55)</f>
        <v>0</v>
      </c>
      <c r="V76" s="161">
        <f>SUMIFS(考核调整事项表!$C:$C,考核调整事项表!$G:$G,累计考核费用!$B76,考核调整事项表!$D:$D,累计考核费用!V$55)+SUMIFS(考核调整事项表!$E:$E,考核调整事项表!$G:$G,累计考核费用!$B76,考核调整事项表!$F:$F,累计考核费用!V$55)</f>
        <v>0</v>
      </c>
      <c r="W76" s="161">
        <f>SUMIFS(考核调整事项表!$C:$C,考核调整事项表!$G:$G,累计考核费用!$B76,考核调整事项表!$D:$D,累计考核费用!W$55)+SUMIFS(考核调整事项表!$E:$E,考核调整事项表!$G:$G,累计考核费用!$B76,考核调整事项表!$F:$F,累计考核费用!W$55)</f>
        <v>0</v>
      </c>
      <c r="X76" s="161">
        <f>SUMIFS(考核调整事项表!$C:$C,考核调整事项表!$G:$G,累计考核费用!$B76,考核调整事项表!$D:$D,累计考核费用!X$55)+SUMIFS(考核调整事项表!$E:$E,考核调整事项表!$G:$G,累计考核费用!$B76,考核调整事项表!$F:$F,累计考核费用!X$55)</f>
        <v>0</v>
      </c>
      <c r="Y76" s="161">
        <f>SUMIFS(考核调整事项表!$C:$C,考核调整事项表!$G:$G,累计考核费用!$B76,考核调整事项表!$D:$D,累计考核费用!Y$55)+SUMIFS(考核调整事项表!$E:$E,考核调整事项表!$G:$G,累计考核费用!$B76,考核调整事项表!$F:$F,累计考核费用!Y$55)</f>
        <v>0</v>
      </c>
      <c r="Z76" s="161">
        <f>SUMIFS(考核调整事项表!$C:$C,考核调整事项表!$G:$G,累计考核费用!$B76,考核调整事项表!$D:$D,累计考核费用!Z$55)+SUMIFS(考核调整事项表!$E:$E,考核调整事项表!$G:$G,累计考核费用!$B76,考核调整事项表!$F:$F,累计考核费用!Z$55)</f>
        <v>0</v>
      </c>
      <c r="AA76" s="161">
        <f>SUMIFS(考核调整事项表!$C:$C,考核调整事项表!$G:$G,累计考核费用!$B76,考核调整事项表!$D:$D,累计考核费用!AA$55)+SUMIFS(考核调整事项表!$E:$E,考核调整事项表!$G:$G,累计考核费用!$B76,考核调整事项表!$F:$F,累计考核费用!AA$55)</f>
        <v>0</v>
      </c>
      <c r="AB76" s="161">
        <f>SUMIFS(考核调整事项表!$C:$C,考核调整事项表!$G:$G,累计考核费用!$B76,考核调整事项表!$D:$D,累计考核费用!AB$55)+SUMIFS(考核调整事项表!$E:$E,考核调整事项表!$G:$G,累计考核费用!$B76,考核调整事项表!$F:$F,累计考核费用!AB$55)</f>
        <v>0</v>
      </c>
      <c r="AC76" s="161">
        <f>SUMIFS(考核调整事项表!$C:$C,考核调整事项表!$G:$G,累计考核费用!$B76,考核调整事项表!$D:$D,累计考核费用!AC$55)+SUMIFS(考核调整事项表!$E:$E,考核调整事项表!$G:$G,累计考核费用!$B76,考核调整事项表!$F:$F,累计考核费用!AC$55)</f>
        <v>0</v>
      </c>
    </row>
    <row r="77" spans="1:29">
      <c r="A77" s="252"/>
      <c r="B77" s="47" t="s">
        <v>111</v>
      </c>
      <c r="C77" s="9">
        <f>SUM(D77:G77)+L77+T77+AC77+AB77</f>
        <v>0</v>
      </c>
      <c r="D77" s="161">
        <f>SUMIFS(考核调整事项表!$C:$C,考核调整事项表!$G:$G,累计考核费用!$B77,考核调整事项表!$D:$D,累计考核费用!D$55)+SUMIFS(考核调整事项表!$E:$E,考核调整事项表!$G:$G,累计考核费用!$B77,考核调整事项表!$F:$F,累计考核费用!D$55)</f>
        <v>8789056.6199999992</v>
      </c>
      <c r="E77" s="161">
        <f>SUMIFS(考核调整事项表!$C:$C,考核调整事项表!$G:$G,累计考核费用!$B77,考核调整事项表!$D:$D,累计考核费用!E$55)+SUMIFS(考核调整事项表!$E:$E,考核调整事项表!$G:$G,累计考核费用!$B77,考核调整事项表!$F:$F,累计考核费用!E$55)</f>
        <v>0</v>
      </c>
      <c r="F77" s="161">
        <f>SUMIFS(考核调整事项表!$C:$C,考核调整事项表!$G:$G,累计考核费用!$B77,考核调整事项表!$D:$D,累计考核费用!F$55)+SUMIFS(考核调整事项表!$E:$E,考核调整事项表!$G:$G,累计考核费用!$B77,考核调整事项表!$F:$F,累计考核费用!F$55)</f>
        <v>-8789056.6199999992</v>
      </c>
      <c r="G77" s="161">
        <f t="shared" si="1"/>
        <v>0</v>
      </c>
      <c r="H77" s="161">
        <f>SUMIFS(考核调整事项表!$C:$C,考核调整事项表!$G:$G,累计考核费用!$B77,考核调整事项表!$D:$D,累计考核费用!H$55)+SUMIFS(考核调整事项表!$E:$E,考核调整事项表!$G:$G,累计考核费用!$B77,考核调整事项表!$F:$F,累计考核费用!H$55)</f>
        <v>0</v>
      </c>
      <c r="I77" s="161">
        <f>SUMIFS(考核调整事项表!$C:$C,考核调整事项表!$G:$G,累计考核费用!$B77,考核调整事项表!$D:$D,累计考核费用!I$55)+SUMIFS(考核调整事项表!$E:$E,考核调整事项表!$G:$G,累计考核费用!$B77,考核调整事项表!$F:$F,累计考核费用!I$55)</f>
        <v>0</v>
      </c>
      <c r="J77" s="161">
        <f>SUMIFS(考核调整事项表!$C:$C,考核调整事项表!$G:$G,累计考核费用!$B77,考核调整事项表!$D:$D,累计考核费用!J$55)+SUMIFS(考核调整事项表!$E:$E,考核调整事项表!$G:$G,累计考核费用!$B77,考核调整事项表!$F:$F,累计考核费用!J$55)</f>
        <v>0</v>
      </c>
      <c r="K77" s="161">
        <f>SUMIFS(考核调整事项表!$C:$C,考核调整事项表!$G:$G,累计考核费用!$B77,考核调整事项表!$D:$D,累计考核费用!K$55)+SUMIFS(考核调整事项表!$E:$E,考核调整事项表!$G:$G,累计考核费用!$B77,考核调整事项表!$F:$F,累计考核费用!K$55)</f>
        <v>0</v>
      </c>
      <c r="L77" s="161">
        <f t="shared" si="2"/>
        <v>0</v>
      </c>
      <c r="M77" s="161">
        <f>SUMIFS(考核调整事项表!$C:$C,考核调整事项表!$G:$G,累计考核费用!$B77,考核调整事项表!$D:$D,累计考核费用!M$55)+SUMIFS(考核调整事项表!$E:$E,考核调整事项表!$G:$G,累计考核费用!$B77,考核调整事项表!$F:$F,累计考核费用!M$55)</f>
        <v>0</v>
      </c>
      <c r="N77" s="161">
        <f>SUMIFS(考核调整事项表!$C:$C,考核调整事项表!$G:$G,累计考核费用!$B77,考核调整事项表!$D:$D,累计考核费用!N$55)+SUMIFS(考核调整事项表!$E:$E,考核调整事项表!$G:$G,累计考核费用!$B77,考核调整事项表!$F:$F,累计考核费用!N$55)</f>
        <v>0</v>
      </c>
      <c r="O77" s="161">
        <f>SUMIFS(考核调整事项表!$C:$C,考核调整事项表!$G:$G,累计考核费用!$B77,考核调整事项表!$D:$D,累计考核费用!O$55)+SUMIFS(考核调整事项表!$E:$E,考核调整事项表!$G:$G,累计考核费用!$B77,考核调整事项表!$F:$F,累计考核费用!O$55)</f>
        <v>0</v>
      </c>
      <c r="P77" s="161">
        <f>SUMIFS(考核调整事项表!$C:$C,考核调整事项表!$G:$G,累计考核费用!$B77,考核调整事项表!$D:$D,累计考核费用!P$55)+SUMIFS(考核调整事项表!$E:$E,考核调整事项表!$G:$G,累计考核费用!$B77,考核调整事项表!$F:$F,累计考核费用!P$55)</f>
        <v>0</v>
      </c>
      <c r="Q77" s="161">
        <f>SUMIFS(考核调整事项表!$C:$C,考核调整事项表!$G:$G,累计考核费用!$B77,考核调整事项表!$D:$D,累计考核费用!Q$55)+SUMIFS(考核调整事项表!$E:$E,考核调整事项表!$G:$G,累计考核费用!$B77,考核调整事项表!$F:$F,累计考核费用!Q$55)</f>
        <v>0</v>
      </c>
      <c r="R77" s="161">
        <f>SUMIFS(考核调整事项表!$C:$C,考核调整事项表!$G:$G,累计考核费用!$B77,考核调整事项表!$D:$D,累计考核费用!R$55)+SUMIFS(考核调整事项表!$E:$E,考核调整事项表!$G:$G,累计考核费用!$B77,考核调整事项表!$F:$F,累计考核费用!R$55)</f>
        <v>0</v>
      </c>
      <c r="S77" s="161">
        <f>SUMIFS(考核调整事项表!$C:$C,考核调整事项表!$G:$G,累计考核费用!$B77,考核调整事项表!$D:$D,累计考核费用!S$55)+SUMIFS(考核调整事项表!$E:$E,考核调整事项表!$G:$G,累计考核费用!$B77,考核调整事项表!$F:$F,累计考核费用!S$55)</f>
        <v>0</v>
      </c>
      <c r="T77" s="164">
        <f t="shared" si="10"/>
        <v>0</v>
      </c>
      <c r="U77" s="161">
        <f>SUMIFS(考核调整事项表!$C:$C,考核调整事项表!$G:$G,累计考核费用!$B77,考核调整事项表!$D:$D,累计考核费用!U$55)+SUMIFS(考核调整事项表!$E:$E,考核调整事项表!$G:$G,累计考核费用!$B77,考核调整事项表!$F:$F,累计考核费用!U$55)</f>
        <v>0</v>
      </c>
      <c r="V77" s="161">
        <f>SUMIFS(考核调整事项表!$C:$C,考核调整事项表!$G:$G,累计考核费用!$B77,考核调整事项表!$D:$D,累计考核费用!V$55)+SUMIFS(考核调整事项表!$E:$E,考核调整事项表!$G:$G,累计考核费用!$B77,考核调整事项表!$F:$F,累计考核费用!V$55)</f>
        <v>0</v>
      </c>
      <c r="W77" s="161">
        <f>SUMIFS(考核调整事项表!$C:$C,考核调整事项表!$G:$G,累计考核费用!$B77,考核调整事项表!$D:$D,累计考核费用!W$55)+SUMIFS(考核调整事项表!$E:$E,考核调整事项表!$G:$G,累计考核费用!$B77,考核调整事项表!$F:$F,累计考核费用!W$55)</f>
        <v>0</v>
      </c>
      <c r="X77" s="161">
        <f>SUMIFS(考核调整事项表!$C:$C,考核调整事项表!$G:$G,累计考核费用!$B77,考核调整事项表!$D:$D,累计考核费用!X$55)+SUMIFS(考核调整事项表!$E:$E,考核调整事项表!$G:$G,累计考核费用!$B77,考核调整事项表!$F:$F,累计考核费用!X$55)</f>
        <v>0</v>
      </c>
      <c r="Y77" s="161">
        <f>SUMIFS(考核调整事项表!$C:$C,考核调整事项表!$G:$G,累计考核费用!$B77,考核调整事项表!$D:$D,累计考核费用!Y$55)+SUMIFS(考核调整事项表!$E:$E,考核调整事项表!$G:$G,累计考核费用!$B77,考核调整事项表!$F:$F,累计考核费用!Y$55)</f>
        <v>0</v>
      </c>
      <c r="Z77" s="161">
        <f>SUMIFS(考核调整事项表!$C:$C,考核调整事项表!$G:$G,累计考核费用!$B77,考核调整事项表!$D:$D,累计考核费用!Z$55)+SUMIFS(考核调整事项表!$E:$E,考核调整事项表!$G:$G,累计考核费用!$B77,考核调整事项表!$F:$F,累计考核费用!Z$55)</f>
        <v>0</v>
      </c>
      <c r="AA77" s="161">
        <f>SUMIFS(考核调整事项表!$C:$C,考核调整事项表!$G:$G,累计考核费用!$B77,考核调整事项表!$D:$D,累计考核费用!AA$55)+SUMIFS(考核调整事项表!$E:$E,考核调整事项表!$G:$G,累计考核费用!$B77,考核调整事项表!$F:$F,累计考核费用!AA$55)</f>
        <v>0</v>
      </c>
      <c r="AB77" s="161">
        <f>SUMIFS(考核调整事项表!$C:$C,考核调整事项表!$G:$G,累计考核费用!$B77,考核调整事项表!$D:$D,累计考核费用!AB$55)+SUMIFS(考核调整事项表!$E:$E,考核调整事项表!$G:$G,累计考核费用!$B77,考核调整事项表!$F:$F,累计考核费用!AB$55)</f>
        <v>0</v>
      </c>
      <c r="AC77" s="161">
        <f>SUMIFS(考核调整事项表!$C:$C,考核调整事项表!$G:$G,累计考核费用!$B77,考核调整事项表!$D:$D,累计考核费用!AC$55)+SUMIFS(考核调整事项表!$E:$E,考核调整事项表!$G:$G,累计考核费用!$B77,考核调整事项表!$F:$F,累计考核费用!AC$55)</f>
        <v>0</v>
      </c>
    </row>
    <row r="78" spans="1:29">
      <c r="A78" s="252"/>
      <c r="B78" s="47" t="s">
        <v>112</v>
      </c>
      <c r="C78" s="9">
        <f t="shared" ref="C78:C85" si="11">SUM(D78:G78)+L78+T78+AC78+AB78</f>
        <v>0</v>
      </c>
      <c r="D78" s="161">
        <f>SUMIFS(考核调整事项表!$C:$C,考核调整事项表!$G:$G,累计考核费用!$B78,考核调整事项表!$D:$D,累计考核费用!D$55)+SUMIFS(考核调整事项表!$E:$E,考核调整事项表!$G:$G,累计考核费用!$B78,考核调整事项表!$F:$F,累计考核费用!D$55)</f>
        <v>815533.98</v>
      </c>
      <c r="E78" s="161">
        <f>SUMIFS(考核调整事项表!$C:$C,考核调整事项表!$G:$G,累计考核费用!$B78,考核调整事项表!$D:$D,累计考核费用!E$55)+SUMIFS(考核调整事项表!$E:$E,考核调整事项表!$G:$G,累计考核费用!$B78,考核调整事项表!$F:$F,累计考核费用!E$55)</f>
        <v>0</v>
      </c>
      <c r="F78" s="161">
        <f>SUMIFS(考核调整事项表!$C:$C,考核调整事项表!$G:$G,累计考核费用!$B78,考核调整事项表!$D:$D,累计考核费用!F$55)+SUMIFS(考核调整事项表!$E:$E,考核调整事项表!$G:$G,累计考核费用!$B78,考核调整事项表!$F:$F,累计考核费用!F$55)</f>
        <v>69673.039999999994</v>
      </c>
      <c r="G78" s="161">
        <f t="shared" si="1"/>
        <v>-885207.02</v>
      </c>
      <c r="H78" s="161">
        <f>SUMIFS(考核调整事项表!$C:$C,考核调整事项表!$G:$G,累计考核费用!$B78,考核调整事项表!$D:$D,累计考核费用!H$55)+SUMIFS(考核调整事项表!$E:$E,考核调整事项表!$G:$G,累计考核费用!$B78,考核调整事项表!$F:$F,累计考核费用!H$55)</f>
        <v>-69673.039999999994</v>
      </c>
      <c r="I78" s="161">
        <f>SUMIFS(考核调整事项表!$C:$C,考核调整事项表!$G:$G,累计考核费用!$B78,考核调整事项表!$D:$D,累计考核费用!I$55)+SUMIFS(考核调整事项表!$E:$E,考核调整事项表!$G:$G,累计考核费用!$B78,考核调整事项表!$F:$F,累计考核费用!I$55)</f>
        <v>0</v>
      </c>
      <c r="J78" s="161">
        <f>SUMIFS(考核调整事项表!$C:$C,考核调整事项表!$G:$G,累计考核费用!$B78,考核调整事项表!$D:$D,累计考核费用!J$55)+SUMIFS(考核调整事项表!$E:$E,考核调整事项表!$G:$G,累计考核费用!$B78,考核调整事项表!$F:$F,累计考核费用!J$55)</f>
        <v>0</v>
      </c>
      <c r="K78" s="161">
        <f>SUMIFS(考核调整事项表!$C:$C,考核调整事项表!$G:$G,累计考核费用!$B78,考核调整事项表!$D:$D,累计考核费用!K$55)+SUMIFS(考核调整事项表!$E:$E,考核调整事项表!$G:$G,累计考核费用!$B78,考核调整事项表!$F:$F,累计考核费用!K$55)</f>
        <v>-815533.98</v>
      </c>
      <c r="L78" s="161">
        <f t="shared" si="2"/>
        <v>0</v>
      </c>
      <c r="M78" s="161">
        <f>SUMIFS(考核调整事项表!$C:$C,考核调整事项表!$G:$G,累计考核费用!$B78,考核调整事项表!$D:$D,累计考核费用!M$55)+SUMIFS(考核调整事项表!$E:$E,考核调整事项表!$G:$G,累计考核费用!$B78,考核调整事项表!$F:$F,累计考核费用!M$55)</f>
        <v>0</v>
      </c>
      <c r="N78" s="161">
        <f>SUMIFS(考核调整事项表!$C:$C,考核调整事项表!$G:$G,累计考核费用!$B78,考核调整事项表!$D:$D,累计考核费用!N$55)+SUMIFS(考核调整事项表!$E:$E,考核调整事项表!$G:$G,累计考核费用!$B78,考核调整事项表!$F:$F,累计考核费用!N$55)</f>
        <v>0</v>
      </c>
      <c r="O78" s="161">
        <f>SUMIFS(考核调整事项表!$C:$C,考核调整事项表!$G:$G,累计考核费用!$B78,考核调整事项表!$D:$D,累计考核费用!O$55)+SUMIFS(考核调整事项表!$E:$E,考核调整事项表!$G:$G,累计考核费用!$B78,考核调整事项表!$F:$F,累计考核费用!O$55)</f>
        <v>0</v>
      </c>
      <c r="P78" s="161">
        <f>SUMIFS(考核调整事项表!$C:$C,考核调整事项表!$G:$G,累计考核费用!$B78,考核调整事项表!$D:$D,累计考核费用!P$55)+SUMIFS(考核调整事项表!$E:$E,考核调整事项表!$G:$G,累计考核费用!$B78,考核调整事项表!$F:$F,累计考核费用!P$55)</f>
        <v>0</v>
      </c>
      <c r="Q78" s="161">
        <f>SUMIFS(考核调整事项表!$C:$C,考核调整事项表!$G:$G,累计考核费用!$B78,考核调整事项表!$D:$D,累计考核费用!Q$55)+SUMIFS(考核调整事项表!$E:$E,考核调整事项表!$G:$G,累计考核费用!$B78,考核调整事项表!$F:$F,累计考核费用!Q$55)</f>
        <v>0</v>
      </c>
      <c r="R78" s="161">
        <f>SUMIFS(考核调整事项表!$C:$C,考核调整事项表!$G:$G,累计考核费用!$B78,考核调整事项表!$D:$D,累计考核费用!R$55)+SUMIFS(考核调整事项表!$E:$E,考核调整事项表!$G:$G,累计考核费用!$B78,考核调整事项表!$F:$F,累计考核费用!R$55)</f>
        <v>0</v>
      </c>
      <c r="S78" s="161">
        <f>SUMIFS(考核调整事项表!$C:$C,考核调整事项表!$G:$G,累计考核费用!$B78,考核调整事项表!$D:$D,累计考核费用!S$55)+SUMIFS(考核调整事项表!$E:$E,考核调整事项表!$G:$G,累计考核费用!$B78,考核调整事项表!$F:$F,累计考核费用!S$55)</f>
        <v>0</v>
      </c>
      <c r="T78" s="164">
        <f t="shared" si="10"/>
        <v>0</v>
      </c>
      <c r="U78" s="161">
        <f>SUMIFS(考核调整事项表!$C:$C,考核调整事项表!$G:$G,累计考核费用!$B78,考核调整事项表!$D:$D,累计考核费用!U$55)+SUMIFS(考核调整事项表!$E:$E,考核调整事项表!$G:$G,累计考核费用!$B78,考核调整事项表!$F:$F,累计考核费用!U$55)</f>
        <v>0</v>
      </c>
      <c r="V78" s="161">
        <f>SUMIFS(考核调整事项表!$C:$C,考核调整事项表!$G:$G,累计考核费用!$B78,考核调整事项表!$D:$D,累计考核费用!V$55)+SUMIFS(考核调整事项表!$E:$E,考核调整事项表!$G:$G,累计考核费用!$B78,考核调整事项表!$F:$F,累计考核费用!V$55)</f>
        <v>0</v>
      </c>
      <c r="W78" s="161">
        <f>SUMIFS(考核调整事项表!$C:$C,考核调整事项表!$G:$G,累计考核费用!$B78,考核调整事项表!$D:$D,累计考核费用!W$55)+SUMIFS(考核调整事项表!$E:$E,考核调整事项表!$G:$G,累计考核费用!$B78,考核调整事项表!$F:$F,累计考核费用!W$55)</f>
        <v>0</v>
      </c>
      <c r="X78" s="161">
        <f>SUMIFS(考核调整事项表!$C:$C,考核调整事项表!$G:$G,累计考核费用!$B78,考核调整事项表!$D:$D,累计考核费用!X$55)+SUMIFS(考核调整事项表!$E:$E,考核调整事项表!$G:$G,累计考核费用!$B78,考核调整事项表!$F:$F,累计考核费用!X$55)</f>
        <v>0</v>
      </c>
      <c r="Y78" s="161">
        <f>SUMIFS(考核调整事项表!$C:$C,考核调整事项表!$G:$G,累计考核费用!$B78,考核调整事项表!$D:$D,累计考核费用!Y$55)+SUMIFS(考核调整事项表!$E:$E,考核调整事项表!$G:$G,累计考核费用!$B78,考核调整事项表!$F:$F,累计考核费用!Y$55)</f>
        <v>0</v>
      </c>
      <c r="Z78" s="161">
        <f>SUMIFS(考核调整事项表!$C:$C,考核调整事项表!$G:$G,累计考核费用!$B78,考核调整事项表!$D:$D,累计考核费用!Z$55)+SUMIFS(考核调整事项表!$E:$E,考核调整事项表!$G:$G,累计考核费用!$B78,考核调整事项表!$F:$F,累计考核费用!Z$55)</f>
        <v>0</v>
      </c>
      <c r="AA78" s="161">
        <f>SUMIFS(考核调整事项表!$C:$C,考核调整事项表!$G:$G,累计考核费用!$B78,考核调整事项表!$D:$D,累计考核费用!AA$55)+SUMIFS(考核调整事项表!$E:$E,考核调整事项表!$G:$G,累计考核费用!$B78,考核调整事项表!$F:$F,累计考核费用!AA$55)</f>
        <v>0</v>
      </c>
      <c r="AB78" s="161">
        <f>SUMIFS(考核调整事项表!$C:$C,考核调整事项表!$G:$G,累计考核费用!$B78,考核调整事项表!$D:$D,累计考核费用!AB$55)+SUMIFS(考核调整事项表!$E:$E,考核调整事项表!$G:$G,累计考核费用!$B78,考核调整事项表!$F:$F,累计考核费用!AB$55)</f>
        <v>0</v>
      </c>
      <c r="AC78" s="161">
        <f>SUMIFS(考核调整事项表!$C:$C,考核调整事项表!$G:$G,累计考核费用!$B78,考核调整事项表!$D:$D,累计考核费用!AC$55)+SUMIFS(考核调整事项表!$E:$E,考核调整事项表!$G:$G,累计考核费用!$B78,考核调整事项表!$F:$F,累计考核费用!AC$55)</f>
        <v>0</v>
      </c>
    </row>
    <row r="79" spans="1:29">
      <c r="A79" s="252"/>
      <c r="B79" s="47" t="s">
        <v>113</v>
      </c>
      <c r="C79" s="9">
        <f t="shared" si="11"/>
        <v>0</v>
      </c>
      <c r="D79" s="161">
        <f>SUMIFS(考核调整事项表!$C:$C,考核调整事项表!$G:$G,累计考核费用!$B79,考核调整事项表!$D:$D,累计考核费用!D$55)+SUMIFS(考核调整事项表!$E:$E,考核调整事项表!$G:$G,累计考核费用!$B79,考核调整事项表!$F:$F,累计考核费用!D$55)</f>
        <v>0</v>
      </c>
      <c r="E79" s="161">
        <f>SUMIFS(考核调整事项表!$C:$C,考核调整事项表!$G:$G,累计考核费用!$B79,考核调整事项表!$D:$D,累计考核费用!E$55)+SUMIFS(考核调整事项表!$E:$E,考核调整事项表!$G:$G,累计考核费用!$B79,考核调整事项表!$F:$F,累计考核费用!E$55)</f>
        <v>0</v>
      </c>
      <c r="F79" s="161">
        <f>SUMIFS(考核调整事项表!$C:$C,考核调整事项表!$G:$G,累计考核费用!$B79,考核调整事项表!$D:$D,累计考核费用!F$55)+SUMIFS(考核调整事项表!$E:$E,考核调整事项表!$G:$G,累计考核费用!$B79,考核调整事项表!$F:$F,累计考核费用!F$55)</f>
        <v>0</v>
      </c>
      <c r="G79" s="161">
        <f t="shared" si="1"/>
        <v>0</v>
      </c>
      <c r="H79" s="161">
        <f>SUMIFS(考核调整事项表!$C:$C,考核调整事项表!$G:$G,累计考核费用!$B79,考核调整事项表!$D:$D,累计考核费用!H$55)+SUMIFS(考核调整事项表!$E:$E,考核调整事项表!$G:$G,累计考核费用!$B79,考核调整事项表!$F:$F,累计考核费用!H$55)</f>
        <v>0</v>
      </c>
      <c r="I79" s="161">
        <f>SUMIFS(考核调整事项表!$C:$C,考核调整事项表!$G:$G,累计考核费用!$B79,考核调整事项表!$D:$D,累计考核费用!I$55)+SUMIFS(考核调整事项表!$E:$E,考核调整事项表!$G:$G,累计考核费用!$B79,考核调整事项表!$F:$F,累计考核费用!I$55)</f>
        <v>0</v>
      </c>
      <c r="J79" s="161">
        <f>SUMIFS(考核调整事项表!$C:$C,考核调整事项表!$G:$G,累计考核费用!$B79,考核调整事项表!$D:$D,累计考核费用!J$55)+SUMIFS(考核调整事项表!$E:$E,考核调整事项表!$G:$G,累计考核费用!$B79,考核调整事项表!$F:$F,累计考核费用!J$55)</f>
        <v>0</v>
      </c>
      <c r="K79" s="161">
        <f>SUMIFS(考核调整事项表!$C:$C,考核调整事项表!$G:$G,累计考核费用!$B79,考核调整事项表!$D:$D,累计考核费用!K$55)+SUMIFS(考核调整事项表!$E:$E,考核调整事项表!$G:$G,累计考核费用!$B79,考核调整事项表!$F:$F,累计考核费用!K$55)</f>
        <v>0</v>
      </c>
      <c r="L79" s="161">
        <f t="shared" si="2"/>
        <v>0</v>
      </c>
      <c r="M79" s="161">
        <f>SUMIFS(考核调整事项表!$C:$C,考核调整事项表!$G:$G,累计考核费用!$B79,考核调整事项表!$D:$D,累计考核费用!M$55)+SUMIFS(考核调整事项表!$E:$E,考核调整事项表!$G:$G,累计考核费用!$B79,考核调整事项表!$F:$F,累计考核费用!M$55)</f>
        <v>0</v>
      </c>
      <c r="N79" s="161">
        <f>SUMIFS(考核调整事项表!$C:$C,考核调整事项表!$G:$G,累计考核费用!$B79,考核调整事项表!$D:$D,累计考核费用!N$55)+SUMIFS(考核调整事项表!$E:$E,考核调整事项表!$G:$G,累计考核费用!$B79,考核调整事项表!$F:$F,累计考核费用!N$55)</f>
        <v>0</v>
      </c>
      <c r="O79" s="161">
        <f>SUMIFS(考核调整事项表!$C:$C,考核调整事项表!$G:$G,累计考核费用!$B79,考核调整事项表!$D:$D,累计考核费用!O$55)+SUMIFS(考核调整事项表!$E:$E,考核调整事项表!$G:$G,累计考核费用!$B79,考核调整事项表!$F:$F,累计考核费用!O$55)</f>
        <v>0</v>
      </c>
      <c r="P79" s="161">
        <f>SUMIFS(考核调整事项表!$C:$C,考核调整事项表!$G:$G,累计考核费用!$B79,考核调整事项表!$D:$D,累计考核费用!P$55)+SUMIFS(考核调整事项表!$E:$E,考核调整事项表!$G:$G,累计考核费用!$B79,考核调整事项表!$F:$F,累计考核费用!P$55)</f>
        <v>0</v>
      </c>
      <c r="Q79" s="161">
        <f>SUMIFS(考核调整事项表!$C:$C,考核调整事项表!$G:$G,累计考核费用!$B79,考核调整事项表!$D:$D,累计考核费用!Q$55)+SUMIFS(考核调整事项表!$E:$E,考核调整事项表!$G:$G,累计考核费用!$B79,考核调整事项表!$F:$F,累计考核费用!Q$55)</f>
        <v>0</v>
      </c>
      <c r="R79" s="161">
        <f>SUMIFS(考核调整事项表!$C:$C,考核调整事项表!$G:$G,累计考核费用!$B79,考核调整事项表!$D:$D,累计考核费用!R$55)+SUMIFS(考核调整事项表!$E:$E,考核调整事项表!$G:$G,累计考核费用!$B79,考核调整事项表!$F:$F,累计考核费用!R$55)</f>
        <v>0</v>
      </c>
      <c r="S79" s="161">
        <f>SUMIFS(考核调整事项表!$C:$C,考核调整事项表!$G:$G,累计考核费用!$B79,考核调整事项表!$D:$D,累计考核费用!S$55)+SUMIFS(考核调整事项表!$E:$E,考核调整事项表!$G:$G,累计考核费用!$B79,考核调整事项表!$F:$F,累计考核费用!S$55)</f>
        <v>0</v>
      </c>
      <c r="T79" s="164">
        <f t="shared" si="10"/>
        <v>0</v>
      </c>
      <c r="U79" s="161">
        <f>SUMIFS(考核调整事项表!$C:$C,考核调整事项表!$G:$G,累计考核费用!$B79,考核调整事项表!$D:$D,累计考核费用!U$55)+SUMIFS(考核调整事项表!$E:$E,考核调整事项表!$G:$G,累计考核费用!$B79,考核调整事项表!$F:$F,累计考核费用!U$55)</f>
        <v>0</v>
      </c>
      <c r="V79" s="161">
        <f>SUMIFS(考核调整事项表!$C:$C,考核调整事项表!$G:$G,累计考核费用!$B79,考核调整事项表!$D:$D,累计考核费用!V$55)+SUMIFS(考核调整事项表!$E:$E,考核调整事项表!$G:$G,累计考核费用!$B79,考核调整事项表!$F:$F,累计考核费用!V$55)</f>
        <v>0</v>
      </c>
      <c r="W79" s="161">
        <f>SUMIFS(考核调整事项表!$C:$C,考核调整事项表!$G:$G,累计考核费用!$B79,考核调整事项表!$D:$D,累计考核费用!W$55)+SUMIFS(考核调整事项表!$E:$E,考核调整事项表!$G:$G,累计考核费用!$B79,考核调整事项表!$F:$F,累计考核费用!W$55)</f>
        <v>0</v>
      </c>
      <c r="X79" s="161">
        <f>SUMIFS(考核调整事项表!$C:$C,考核调整事项表!$G:$G,累计考核费用!$B79,考核调整事项表!$D:$D,累计考核费用!X$55)+SUMIFS(考核调整事项表!$E:$E,考核调整事项表!$G:$G,累计考核费用!$B79,考核调整事项表!$F:$F,累计考核费用!X$55)</f>
        <v>0</v>
      </c>
      <c r="Y79" s="161">
        <f>SUMIFS(考核调整事项表!$C:$C,考核调整事项表!$G:$G,累计考核费用!$B79,考核调整事项表!$D:$D,累计考核费用!Y$55)+SUMIFS(考核调整事项表!$E:$E,考核调整事项表!$G:$G,累计考核费用!$B79,考核调整事项表!$F:$F,累计考核费用!Y$55)</f>
        <v>0</v>
      </c>
      <c r="Z79" s="161">
        <f>SUMIFS(考核调整事项表!$C:$C,考核调整事项表!$G:$G,累计考核费用!$B79,考核调整事项表!$D:$D,累计考核费用!Z$55)+SUMIFS(考核调整事项表!$E:$E,考核调整事项表!$G:$G,累计考核费用!$B79,考核调整事项表!$F:$F,累计考核费用!Z$55)</f>
        <v>0</v>
      </c>
      <c r="AA79" s="161">
        <f>SUMIFS(考核调整事项表!$C:$C,考核调整事项表!$G:$G,累计考核费用!$B79,考核调整事项表!$D:$D,累计考核费用!AA$55)+SUMIFS(考核调整事项表!$E:$E,考核调整事项表!$G:$G,累计考核费用!$B79,考核调整事项表!$F:$F,累计考核费用!AA$55)</f>
        <v>0</v>
      </c>
      <c r="AB79" s="161">
        <f>SUMIFS(考核调整事项表!$C:$C,考核调整事项表!$G:$G,累计考核费用!$B79,考核调整事项表!$D:$D,累计考核费用!AB$55)+SUMIFS(考核调整事项表!$E:$E,考核调整事项表!$G:$G,累计考核费用!$B79,考核调整事项表!$F:$F,累计考核费用!AB$55)</f>
        <v>0</v>
      </c>
      <c r="AC79" s="161">
        <f>SUMIFS(考核调整事项表!$C:$C,考核调整事项表!$G:$G,累计考核费用!$B79,考核调整事项表!$D:$D,累计考核费用!AC$55)+SUMIFS(考核调整事项表!$E:$E,考核调整事项表!$G:$G,累计考核费用!$B79,考核调整事项表!$F:$F,累计考核费用!AC$55)</f>
        <v>0</v>
      </c>
    </row>
    <row r="80" spans="1:29">
      <c r="A80" s="252"/>
      <c r="B80" s="47" t="s">
        <v>114</v>
      </c>
      <c r="C80" s="9">
        <f t="shared" si="11"/>
        <v>0</v>
      </c>
      <c r="D80" s="161">
        <f>SUMIFS(考核调整事项表!$C:$C,考核调整事项表!$G:$G,累计考核费用!$B80,考核调整事项表!$D:$D,累计考核费用!D$55)+SUMIFS(考核调整事项表!$E:$E,考核调整事项表!$G:$G,累计考核费用!$B80,考核调整事项表!$F:$F,累计考核费用!D$55)</f>
        <v>0</v>
      </c>
      <c r="E80" s="161">
        <f>SUMIFS(考核调整事项表!$C:$C,考核调整事项表!$G:$G,累计考核费用!$B80,考核调整事项表!$D:$D,累计考核费用!E$55)+SUMIFS(考核调整事项表!$E:$E,考核调整事项表!$G:$G,累计考核费用!$B80,考核调整事项表!$F:$F,累计考核费用!E$55)</f>
        <v>0</v>
      </c>
      <c r="F80" s="161">
        <f>SUMIFS(考核调整事项表!$C:$C,考核调整事项表!$G:$G,累计考核费用!$B80,考核调整事项表!$D:$D,累计考核费用!F$55)+SUMIFS(考核调整事项表!$E:$E,考核调整事项表!$G:$G,累计考核费用!$B80,考核调整事项表!$F:$F,累计考核费用!F$55)</f>
        <v>0</v>
      </c>
      <c r="G80" s="161">
        <f t="shared" si="1"/>
        <v>0</v>
      </c>
      <c r="H80" s="161">
        <f>SUMIFS(考核调整事项表!$C:$C,考核调整事项表!$G:$G,累计考核费用!$B80,考核调整事项表!$D:$D,累计考核费用!H$55)+SUMIFS(考核调整事项表!$E:$E,考核调整事项表!$G:$G,累计考核费用!$B80,考核调整事项表!$F:$F,累计考核费用!H$55)</f>
        <v>0</v>
      </c>
      <c r="I80" s="161">
        <f>SUMIFS(考核调整事项表!$C:$C,考核调整事项表!$G:$G,累计考核费用!$B80,考核调整事项表!$D:$D,累计考核费用!I$55)+SUMIFS(考核调整事项表!$E:$E,考核调整事项表!$G:$G,累计考核费用!$B80,考核调整事项表!$F:$F,累计考核费用!I$55)</f>
        <v>0</v>
      </c>
      <c r="J80" s="161">
        <f>SUMIFS(考核调整事项表!$C:$C,考核调整事项表!$G:$G,累计考核费用!$B80,考核调整事项表!$D:$D,累计考核费用!J$55)+SUMIFS(考核调整事项表!$E:$E,考核调整事项表!$G:$G,累计考核费用!$B80,考核调整事项表!$F:$F,累计考核费用!J$55)</f>
        <v>0</v>
      </c>
      <c r="K80" s="161">
        <f>SUMIFS(考核调整事项表!$C:$C,考核调整事项表!$G:$G,累计考核费用!$B80,考核调整事项表!$D:$D,累计考核费用!K$55)+SUMIFS(考核调整事项表!$E:$E,考核调整事项表!$G:$G,累计考核费用!$B80,考核调整事项表!$F:$F,累计考核费用!K$55)</f>
        <v>0</v>
      </c>
      <c r="L80" s="161">
        <f t="shared" si="2"/>
        <v>0</v>
      </c>
      <c r="M80" s="161">
        <f>SUMIFS(考核调整事项表!$C:$C,考核调整事项表!$G:$G,累计考核费用!$B80,考核调整事项表!$D:$D,累计考核费用!M$55)+SUMIFS(考核调整事项表!$E:$E,考核调整事项表!$G:$G,累计考核费用!$B80,考核调整事项表!$F:$F,累计考核费用!M$55)</f>
        <v>0</v>
      </c>
      <c r="N80" s="161">
        <f>SUMIFS(考核调整事项表!$C:$C,考核调整事项表!$G:$G,累计考核费用!$B80,考核调整事项表!$D:$D,累计考核费用!N$55)+SUMIFS(考核调整事项表!$E:$E,考核调整事项表!$G:$G,累计考核费用!$B80,考核调整事项表!$F:$F,累计考核费用!N$55)</f>
        <v>0</v>
      </c>
      <c r="O80" s="161">
        <f>SUMIFS(考核调整事项表!$C:$C,考核调整事项表!$G:$G,累计考核费用!$B80,考核调整事项表!$D:$D,累计考核费用!O$55)+SUMIFS(考核调整事项表!$E:$E,考核调整事项表!$G:$G,累计考核费用!$B80,考核调整事项表!$F:$F,累计考核费用!O$55)</f>
        <v>0</v>
      </c>
      <c r="P80" s="161">
        <f>SUMIFS(考核调整事项表!$C:$C,考核调整事项表!$G:$G,累计考核费用!$B80,考核调整事项表!$D:$D,累计考核费用!P$55)+SUMIFS(考核调整事项表!$E:$E,考核调整事项表!$G:$G,累计考核费用!$B80,考核调整事项表!$F:$F,累计考核费用!P$55)</f>
        <v>0</v>
      </c>
      <c r="Q80" s="161">
        <f>SUMIFS(考核调整事项表!$C:$C,考核调整事项表!$G:$G,累计考核费用!$B80,考核调整事项表!$D:$D,累计考核费用!Q$55)+SUMIFS(考核调整事项表!$E:$E,考核调整事项表!$G:$G,累计考核费用!$B80,考核调整事项表!$F:$F,累计考核费用!Q$55)</f>
        <v>0</v>
      </c>
      <c r="R80" s="161">
        <f>SUMIFS(考核调整事项表!$C:$C,考核调整事项表!$G:$G,累计考核费用!$B80,考核调整事项表!$D:$D,累计考核费用!R$55)+SUMIFS(考核调整事项表!$E:$E,考核调整事项表!$G:$G,累计考核费用!$B80,考核调整事项表!$F:$F,累计考核费用!R$55)</f>
        <v>0</v>
      </c>
      <c r="S80" s="161">
        <f>SUMIFS(考核调整事项表!$C:$C,考核调整事项表!$G:$G,累计考核费用!$B80,考核调整事项表!$D:$D,累计考核费用!S$55)+SUMIFS(考核调整事项表!$E:$E,考核调整事项表!$G:$G,累计考核费用!$B80,考核调整事项表!$F:$F,累计考核费用!S$55)</f>
        <v>0</v>
      </c>
      <c r="T80" s="164">
        <f t="shared" si="10"/>
        <v>0</v>
      </c>
      <c r="U80" s="161">
        <f>SUMIFS(考核调整事项表!$C:$C,考核调整事项表!$G:$G,累计考核费用!$B80,考核调整事项表!$D:$D,累计考核费用!U$55)+SUMIFS(考核调整事项表!$E:$E,考核调整事项表!$G:$G,累计考核费用!$B80,考核调整事项表!$F:$F,累计考核费用!U$55)</f>
        <v>0</v>
      </c>
      <c r="V80" s="161">
        <f>SUMIFS(考核调整事项表!$C:$C,考核调整事项表!$G:$G,累计考核费用!$B80,考核调整事项表!$D:$D,累计考核费用!V$55)+SUMIFS(考核调整事项表!$E:$E,考核调整事项表!$G:$G,累计考核费用!$B80,考核调整事项表!$F:$F,累计考核费用!V$55)</f>
        <v>0</v>
      </c>
      <c r="W80" s="161">
        <f>SUMIFS(考核调整事项表!$C:$C,考核调整事项表!$G:$G,累计考核费用!$B80,考核调整事项表!$D:$D,累计考核费用!W$55)+SUMIFS(考核调整事项表!$E:$E,考核调整事项表!$G:$G,累计考核费用!$B80,考核调整事项表!$F:$F,累计考核费用!W$55)</f>
        <v>0</v>
      </c>
      <c r="X80" s="161">
        <f>SUMIFS(考核调整事项表!$C:$C,考核调整事项表!$G:$G,累计考核费用!$B80,考核调整事项表!$D:$D,累计考核费用!X$55)+SUMIFS(考核调整事项表!$E:$E,考核调整事项表!$G:$G,累计考核费用!$B80,考核调整事项表!$F:$F,累计考核费用!X$55)</f>
        <v>0</v>
      </c>
      <c r="Y80" s="161">
        <f>SUMIFS(考核调整事项表!$C:$C,考核调整事项表!$G:$G,累计考核费用!$B80,考核调整事项表!$D:$D,累计考核费用!Y$55)+SUMIFS(考核调整事项表!$E:$E,考核调整事项表!$G:$G,累计考核费用!$B80,考核调整事项表!$F:$F,累计考核费用!Y$55)</f>
        <v>0</v>
      </c>
      <c r="Z80" s="161">
        <f>SUMIFS(考核调整事项表!$C:$C,考核调整事项表!$G:$G,累计考核费用!$B80,考核调整事项表!$D:$D,累计考核费用!Z$55)+SUMIFS(考核调整事项表!$E:$E,考核调整事项表!$G:$G,累计考核费用!$B80,考核调整事项表!$F:$F,累计考核费用!Z$55)</f>
        <v>0</v>
      </c>
      <c r="AA80" s="161">
        <f>SUMIFS(考核调整事项表!$C:$C,考核调整事项表!$G:$G,累计考核费用!$B80,考核调整事项表!$D:$D,累计考核费用!AA$55)+SUMIFS(考核调整事项表!$E:$E,考核调整事项表!$G:$G,累计考核费用!$B80,考核调整事项表!$F:$F,累计考核费用!AA$55)</f>
        <v>0</v>
      </c>
      <c r="AB80" s="161">
        <f>SUMIFS(考核调整事项表!$C:$C,考核调整事项表!$G:$G,累计考核费用!$B80,考核调整事项表!$D:$D,累计考核费用!AB$55)+SUMIFS(考核调整事项表!$E:$E,考核调整事项表!$G:$G,累计考核费用!$B80,考核调整事项表!$F:$F,累计考核费用!AB$55)</f>
        <v>0</v>
      </c>
      <c r="AC80" s="161">
        <f>SUMIFS(考核调整事项表!$C:$C,考核调整事项表!$G:$G,累计考核费用!$B80,考核调整事项表!$D:$D,累计考核费用!AC$55)+SUMIFS(考核调整事项表!$E:$E,考核调整事项表!$G:$G,累计考核费用!$B80,考核调整事项表!$F:$F,累计考核费用!AC$55)</f>
        <v>0</v>
      </c>
    </row>
    <row r="81" spans="1:29">
      <c r="A81" s="252"/>
      <c r="B81" s="47" t="s">
        <v>115</v>
      </c>
      <c r="C81" s="9">
        <f t="shared" si="11"/>
        <v>0</v>
      </c>
      <c r="D81" s="161">
        <f>SUMIFS(考核调整事项表!$C:$C,考核调整事项表!$G:$G,累计考核费用!$B81,考核调整事项表!$D:$D,累计考核费用!D$55)+SUMIFS(考核调整事项表!$E:$E,考核调整事项表!$G:$G,累计考核费用!$B81,考核调整事项表!$F:$F,累计考核费用!D$55)</f>
        <v>0</v>
      </c>
      <c r="E81" s="161">
        <f>SUMIFS(考核调整事项表!$C:$C,考核调整事项表!$G:$G,累计考核费用!$B81,考核调整事项表!$D:$D,累计考核费用!E$55)+SUMIFS(考核调整事项表!$E:$E,考核调整事项表!$G:$G,累计考核费用!$B81,考核调整事项表!$F:$F,累计考核费用!E$55)</f>
        <v>0</v>
      </c>
      <c r="F81" s="161">
        <f>SUMIFS(考核调整事项表!$C:$C,考核调整事项表!$G:$G,累计考核费用!$B81,考核调整事项表!$D:$D,累计考核费用!F$55)+SUMIFS(考核调整事项表!$E:$E,考核调整事项表!$G:$G,累计考核费用!$B81,考核调整事项表!$F:$F,累计考核费用!F$55)</f>
        <v>0</v>
      </c>
      <c r="G81" s="161">
        <f t="shared" si="1"/>
        <v>0</v>
      </c>
      <c r="H81" s="161">
        <f>SUMIFS(考核调整事项表!$C:$C,考核调整事项表!$G:$G,累计考核费用!$B81,考核调整事项表!$D:$D,累计考核费用!H$55)+SUMIFS(考核调整事项表!$E:$E,考核调整事项表!$G:$G,累计考核费用!$B81,考核调整事项表!$F:$F,累计考核费用!H$55)</f>
        <v>0</v>
      </c>
      <c r="I81" s="161">
        <f>SUMIFS(考核调整事项表!$C:$C,考核调整事项表!$G:$G,累计考核费用!$B81,考核调整事项表!$D:$D,累计考核费用!I$55)+SUMIFS(考核调整事项表!$E:$E,考核调整事项表!$G:$G,累计考核费用!$B81,考核调整事项表!$F:$F,累计考核费用!I$55)</f>
        <v>0</v>
      </c>
      <c r="J81" s="161">
        <f>SUMIFS(考核调整事项表!$C:$C,考核调整事项表!$G:$G,累计考核费用!$B81,考核调整事项表!$D:$D,累计考核费用!J$55)+SUMIFS(考核调整事项表!$E:$E,考核调整事项表!$G:$G,累计考核费用!$B81,考核调整事项表!$F:$F,累计考核费用!J$55)</f>
        <v>0</v>
      </c>
      <c r="K81" s="161">
        <f>SUMIFS(考核调整事项表!$C:$C,考核调整事项表!$G:$G,累计考核费用!$B81,考核调整事项表!$D:$D,累计考核费用!K$55)+SUMIFS(考核调整事项表!$E:$E,考核调整事项表!$G:$G,累计考核费用!$B81,考核调整事项表!$F:$F,累计考核费用!K$55)</f>
        <v>0</v>
      </c>
      <c r="L81" s="161">
        <f t="shared" si="2"/>
        <v>0</v>
      </c>
      <c r="M81" s="161">
        <f>SUMIFS(考核调整事项表!$C:$C,考核调整事项表!$G:$G,累计考核费用!$B81,考核调整事项表!$D:$D,累计考核费用!M$55)+SUMIFS(考核调整事项表!$E:$E,考核调整事项表!$G:$G,累计考核费用!$B81,考核调整事项表!$F:$F,累计考核费用!M$55)</f>
        <v>0</v>
      </c>
      <c r="N81" s="161">
        <f>SUMIFS(考核调整事项表!$C:$C,考核调整事项表!$G:$G,累计考核费用!$B81,考核调整事项表!$D:$D,累计考核费用!N$55)+SUMIFS(考核调整事项表!$E:$E,考核调整事项表!$G:$G,累计考核费用!$B81,考核调整事项表!$F:$F,累计考核费用!N$55)</f>
        <v>0</v>
      </c>
      <c r="O81" s="161">
        <f>SUMIFS(考核调整事项表!$C:$C,考核调整事项表!$G:$G,累计考核费用!$B81,考核调整事项表!$D:$D,累计考核费用!O$55)+SUMIFS(考核调整事项表!$E:$E,考核调整事项表!$G:$G,累计考核费用!$B81,考核调整事项表!$F:$F,累计考核费用!O$55)</f>
        <v>0</v>
      </c>
      <c r="P81" s="161">
        <f>SUMIFS(考核调整事项表!$C:$C,考核调整事项表!$G:$G,累计考核费用!$B81,考核调整事项表!$D:$D,累计考核费用!P$55)+SUMIFS(考核调整事项表!$E:$E,考核调整事项表!$G:$G,累计考核费用!$B81,考核调整事项表!$F:$F,累计考核费用!P$55)</f>
        <v>0</v>
      </c>
      <c r="Q81" s="161">
        <f>SUMIFS(考核调整事项表!$C:$C,考核调整事项表!$G:$G,累计考核费用!$B81,考核调整事项表!$D:$D,累计考核费用!Q$55)+SUMIFS(考核调整事项表!$E:$E,考核调整事项表!$G:$G,累计考核费用!$B81,考核调整事项表!$F:$F,累计考核费用!Q$55)</f>
        <v>0</v>
      </c>
      <c r="R81" s="161">
        <f>SUMIFS(考核调整事项表!$C:$C,考核调整事项表!$G:$G,累计考核费用!$B81,考核调整事项表!$D:$D,累计考核费用!R$55)+SUMIFS(考核调整事项表!$E:$E,考核调整事项表!$G:$G,累计考核费用!$B81,考核调整事项表!$F:$F,累计考核费用!R$55)</f>
        <v>0</v>
      </c>
      <c r="S81" s="161">
        <f>SUMIFS(考核调整事项表!$C:$C,考核调整事项表!$G:$G,累计考核费用!$B81,考核调整事项表!$D:$D,累计考核费用!S$55)+SUMIFS(考核调整事项表!$E:$E,考核调整事项表!$G:$G,累计考核费用!$B81,考核调整事项表!$F:$F,累计考核费用!S$55)</f>
        <v>0</v>
      </c>
      <c r="T81" s="164">
        <f t="shared" si="10"/>
        <v>0</v>
      </c>
      <c r="U81" s="161">
        <f>SUMIFS(考核调整事项表!$C:$C,考核调整事项表!$G:$G,累计考核费用!$B81,考核调整事项表!$D:$D,累计考核费用!U$55)+SUMIFS(考核调整事项表!$E:$E,考核调整事项表!$G:$G,累计考核费用!$B81,考核调整事项表!$F:$F,累计考核费用!U$55)</f>
        <v>0</v>
      </c>
      <c r="V81" s="161">
        <f>SUMIFS(考核调整事项表!$C:$C,考核调整事项表!$G:$G,累计考核费用!$B81,考核调整事项表!$D:$D,累计考核费用!V$55)+SUMIFS(考核调整事项表!$E:$E,考核调整事项表!$G:$G,累计考核费用!$B81,考核调整事项表!$F:$F,累计考核费用!V$55)</f>
        <v>0</v>
      </c>
      <c r="W81" s="161">
        <f>SUMIFS(考核调整事项表!$C:$C,考核调整事项表!$G:$G,累计考核费用!$B81,考核调整事项表!$D:$D,累计考核费用!W$55)+SUMIFS(考核调整事项表!$E:$E,考核调整事项表!$G:$G,累计考核费用!$B81,考核调整事项表!$F:$F,累计考核费用!W$55)</f>
        <v>0</v>
      </c>
      <c r="X81" s="161">
        <f>SUMIFS(考核调整事项表!$C:$C,考核调整事项表!$G:$G,累计考核费用!$B81,考核调整事项表!$D:$D,累计考核费用!X$55)+SUMIFS(考核调整事项表!$E:$E,考核调整事项表!$G:$G,累计考核费用!$B81,考核调整事项表!$F:$F,累计考核费用!X$55)</f>
        <v>0</v>
      </c>
      <c r="Y81" s="161">
        <f>SUMIFS(考核调整事项表!$C:$C,考核调整事项表!$G:$G,累计考核费用!$B81,考核调整事项表!$D:$D,累计考核费用!Y$55)+SUMIFS(考核调整事项表!$E:$E,考核调整事项表!$G:$G,累计考核费用!$B81,考核调整事项表!$F:$F,累计考核费用!Y$55)</f>
        <v>0</v>
      </c>
      <c r="Z81" s="161">
        <f>SUMIFS(考核调整事项表!$C:$C,考核调整事项表!$G:$G,累计考核费用!$B81,考核调整事项表!$D:$D,累计考核费用!Z$55)+SUMIFS(考核调整事项表!$E:$E,考核调整事项表!$G:$G,累计考核费用!$B81,考核调整事项表!$F:$F,累计考核费用!Z$55)</f>
        <v>0</v>
      </c>
      <c r="AA81" s="161">
        <f>SUMIFS(考核调整事项表!$C:$C,考核调整事项表!$G:$G,累计考核费用!$B81,考核调整事项表!$D:$D,累计考核费用!AA$55)+SUMIFS(考核调整事项表!$E:$E,考核调整事项表!$G:$G,累计考核费用!$B81,考核调整事项表!$F:$F,累计考核费用!AA$55)</f>
        <v>0</v>
      </c>
      <c r="AB81" s="161">
        <f>SUMIFS(考核调整事项表!$C:$C,考核调整事项表!$G:$G,累计考核费用!$B81,考核调整事项表!$D:$D,累计考核费用!AB$55)+SUMIFS(考核调整事项表!$E:$E,考核调整事项表!$G:$G,累计考核费用!$B81,考核调整事项表!$F:$F,累计考核费用!AB$55)</f>
        <v>0</v>
      </c>
      <c r="AC81" s="161">
        <f>SUMIFS(考核调整事项表!$C:$C,考核调整事项表!$G:$G,累计考核费用!$B81,考核调整事项表!$D:$D,累计考核费用!AC$55)+SUMIFS(考核调整事项表!$E:$E,考核调整事项表!$G:$G,累计考核费用!$B81,考核调整事项表!$F:$F,累计考核费用!AC$55)</f>
        <v>0</v>
      </c>
    </row>
    <row r="82" spans="1:29">
      <c r="A82" s="252"/>
      <c r="B82" s="47" t="s">
        <v>116</v>
      </c>
      <c r="C82" s="9">
        <f t="shared" si="11"/>
        <v>0</v>
      </c>
      <c r="D82" s="161">
        <f>SUMIFS(考核调整事项表!$C:$C,考核调整事项表!$G:$G,累计考核费用!$B82,考核调整事项表!$D:$D,累计考核费用!D$55)+SUMIFS(考核调整事项表!$E:$E,考核调整事项表!$G:$G,累计考核费用!$B82,考核调整事项表!$F:$F,累计考核费用!D$55)</f>
        <v>0</v>
      </c>
      <c r="E82" s="161">
        <f>SUMIFS(考核调整事项表!$C:$C,考核调整事项表!$G:$G,累计考核费用!$B82,考核调整事项表!$D:$D,累计考核费用!E$55)+SUMIFS(考核调整事项表!$E:$E,考核调整事项表!$G:$G,累计考核费用!$B82,考核调整事项表!$F:$F,累计考核费用!E$55)</f>
        <v>0</v>
      </c>
      <c r="F82" s="161">
        <f>SUMIFS(考核调整事项表!$C:$C,考核调整事项表!$G:$G,累计考核费用!$B82,考核调整事项表!$D:$D,累计考核费用!F$55)+SUMIFS(考核调整事项表!$E:$E,考核调整事项表!$G:$G,累计考核费用!$B82,考核调整事项表!$F:$F,累计考核费用!F$55)</f>
        <v>0</v>
      </c>
      <c r="G82" s="161">
        <f t="shared" si="1"/>
        <v>0</v>
      </c>
      <c r="H82" s="161">
        <f>SUMIFS(考核调整事项表!$C:$C,考核调整事项表!$G:$G,累计考核费用!$B82,考核调整事项表!$D:$D,累计考核费用!H$55)+SUMIFS(考核调整事项表!$E:$E,考核调整事项表!$G:$G,累计考核费用!$B82,考核调整事项表!$F:$F,累计考核费用!H$55)</f>
        <v>0</v>
      </c>
      <c r="I82" s="161">
        <f>SUMIFS(考核调整事项表!$C:$C,考核调整事项表!$G:$G,累计考核费用!$B82,考核调整事项表!$D:$D,累计考核费用!I$55)+SUMIFS(考核调整事项表!$E:$E,考核调整事项表!$G:$G,累计考核费用!$B82,考核调整事项表!$F:$F,累计考核费用!I$55)</f>
        <v>0</v>
      </c>
      <c r="J82" s="161">
        <f>SUMIFS(考核调整事项表!$C:$C,考核调整事项表!$G:$G,累计考核费用!$B82,考核调整事项表!$D:$D,累计考核费用!J$55)+SUMIFS(考核调整事项表!$E:$E,考核调整事项表!$G:$G,累计考核费用!$B82,考核调整事项表!$F:$F,累计考核费用!J$55)</f>
        <v>0</v>
      </c>
      <c r="K82" s="161">
        <f>SUMIFS(考核调整事项表!$C:$C,考核调整事项表!$G:$G,累计考核费用!$B82,考核调整事项表!$D:$D,累计考核费用!K$55)+SUMIFS(考核调整事项表!$E:$E,考核调整事项表!$G:$G,累计考核费用!$B82,考核调整事项表!$F:$F,累计考核费用!K$55)</f>
        <v>0</v>
      </c>
      <c r="L82" s="161">
        <f t="shared" si="2"/>
        <v>0</v>
      </c>
      <c r="M82" s="161">
        <f>SUMIFS(考核调整事项表!$C:$C,考核调整事项表!$G:$G,累计考核费用!$B82,考核调整事项表!$D:$D,累计考核费用!M$55)+SUMIFS(考核调整事项表!$E:$E,考核调整事项表!$G:$G,累计考核费用!$B82,考核调整事项表!$F:$F,累计考核费用!M$55)</f>
        <v>0</v>
      </c>
      <c r="N82" s="161">
        <f>SUMIFS(考核调整事项表!$C:$C,考核调整事项表!$G:$G,累计考核费用!$B82,考核调整事项表!$D:$D,累计考核费用!N$55)+SUMIFS(考核调整事项表!$E:$E,考核调整事项表!$G:$G,累计考核费用!$B82,考核调整事项表!$F:$F,累计考核费用!N$55)</f>
        <v>0</v>
      </c>
      <c r="O82" s="161">
        <f>SUMIFS(考核调整事项表!$C:$C,考核调整事项表!$G:$G,累计考核费用!$B82,考核调整事项表!$D:$D,累计考核费用!O$55)+SUMIFS(考核调整事项表!$E:$E,考核调整事项表!$G:$G,累计考核费用!$B82,考核调整事项表!$F:$F,累计考核费用!O$55)</f>
        <v>0</v>
      </c>
      <c r="P82" s="161">
        <f>SUMIFS(考核调整事项表!$C:$C,考核调整事项表!$G:$G,累计考核费用!$B82,考核调整事项表!$D:$D,累计考核费用!P$55)+SUMIFS(考核调整事项表!$E:$E,考核调整事项表!$G:$G,累计考核费用!$B82,考核调整事项表!$F:$F,累计考核费用!P$55)</f>
        <v>0</v>
      </c>
      <c r="Q82" s="161">
        <f>SUMIFS(考核调整事项表!$C:$C,考核调整事项表!$G:$G,累计考核费用!$B82,考核调整事项表!$D:$D,累计考核费用!Q$55)+SUMIFS(考核调整事项表!$E:$E,考核调整事项表!$G:$G,累计考核费用!$B82,考核调整事项表!$F:$F,累计考核费用!Q$55)</f>
        <v>0</v>
      </c>
      <c r="R82" s="161">
        <f>SUMIFS(考核调整事项表!$C:$C,考核调整事项表!$G:$G,累计考核费用!$B82,考核调整事项表!$D:$D,累计考核费用!R$55)+SUMIFS(考核调整事项表!$E:$E,考核调整事项表!$G:$G,累计考核费用!$B82,考核调整事项表!$F:$F,累计考核费用!R$55)</f>
        <v>0</v>
      </c>
      <c r="S82" s="161">
        <f>SUMIFS(考核调整事项表!$C:$C,考核调整事项表!$G:$G,累计考核费用!$B82,考核调整事项表!$D:$D,累计考核费用!S$55)+SUMIFS(考核调整事项表!$E:$E,考核调整事项表!$G:$G,累计考核费用!$B82,考核调整事项表!$F:$F,累计考核费用!S$55)</f>
        <v>0</v>
      </c>
      <c r="T82" s="164">
        <f t="shared" si="10"/>
        <v>0</v>
      </c>
      <c r="U82" s="161">
        <f>SUMIFS(考核调整事项表!$C:$C,考核调整事项表!$G:$G,累计考核费用!$B82,考核调整事项表!$D:$D,累计考核费用!U$55)+SUMIFS(考核调整事项表!$E:$E,考核调整事项表!$G:$G,累计考核费用!$B82,考核调整事项表!$F:$F,累计考核费用!U$55)</f>
        <v>0</v>
      </c>
      <c r="V82" s="161">
        <f>SUMIFS(考核调整事项表!$C:$C,考核调整事项表!$G:$G,累计考核费用!$B82,考核调整事项表!$D:$D,累计考核费用!V$55)+SUMIFS(考核调整事项表!$E:$E,考核调整事项表!$G:$G,累计考核费用!$B82,考核调整事项表!$F:$F,累计考核费用!V$55)</f>
        <v>0</v>
      </c>
      <c r="W82" s="161">
        <f>SUMIFS(考核调整事项表!$C:$C,考核调整事项表!$G:$G,累计考核费用!$B82,考核调整事项表!$D:$D,累计考核费用!W$55)+SUMIFS(考核调整事项表!$E:$E,考核调整事项表!$G:$G,累计考核费用!$B82,考核调整事项表!$F:$F,累计考核费用!W$55)</f>
        <v>0</v>
      </c>
      <c r="X82" s="161">
        <f>SUMIFS(考核调整事项表!$C:$C,考核调整事项表!$G:$G,累计考核费用!$B82,考核调整事项表!$D:$D,累计考核费用!X$55)+SUMIFS(考核调整事项表!$E:$E,考核调整事项表!$G:$G,累计考核费用!$B82,考核调整事项表!$F:$F,累计考核费用!X$55)</f>
        <v>0</v>
      </c>
      <c r="Y82" s="161">
        <f>SUMIFS(考核调整事项表!$C:$C,考核调整事项表!$G:$G,累计考核费用!$B82,考核调整事项表!$D:$D,累计考核费用!Y$55)+SUMIFS(考核调整事项表!$E:$E,考核调整事项表!$G:$G,累计考核费用!$B82,考核调整事项表!$F:$F,累计考核费用!Y$55)</f>
        <v>0</v>
      </c>
      <c r="Z82" s="161">
        <f>SUMIFS(考核调整事项表!$C:$C,考核调整事项表!$G:$G,累计考核费用!$B82,考核调整事项表!$D:$D,累计考核费用!Z$55)+SUMIFS(考核调整事项表!$E:$E,考核调整事项表!$G:$G,累计考核费用!$B82,考核调整事项表!$F:$F,累计考核费用!Z$55)</f>
        <v>0</v>
      </c>
      <c r="AA82" s="161">
        <f>SUMIFS(考核调整事项表!$C:$C,考核调整事项表!$G:$G,累计考核费用!$B82,考核调整事项表!$D:$D,累计考核费用!AA$55)+SUMIFS(考核调整事项表!$E:$E,考核调整事项表!$G:$G,累计考核费用!$B82,考核调整事项表!$F:$F,累计考核费用!AA$55)</f>
        <v>0</v>
      </c>
      <c r="AB82" s="161">
        <f>SUMIFS(考核调整事项表!$C:$C,考核调整事项表!$G:$G,累计考核费用!$B82,考核调整事项表!$D:$D,累计考核费用!AB$55)+SUMIFS(考核调整事项表!$E:$E,考核调整事项表!$G:$G,累计考核费用!$B82,考核调整事项表!$F:$F,累计考核费用!AB$55)</f>
        <v>0</v>
      </c>
      <c r="AC82" s="161">
        <f>SUMIFS(考核调整事项表!$C:$C,考核调整事项表!$G:$G,累计考核费用!$B82,考核调整事项表!$D:$D,累计考核费用!AC$55)+SUMIFS(考核调整事项表!$E:$E,考核调整事项表!$G:$G,累计考核费用!$B82,考核调整事项表!$F:$F,累计考核费用!AC$55)</f>
        <v>0</v>
      </c>
    </row>
    <row r="83" spans="1:29">
      <c r="A83" s="252"/>
      <c r="B83" s="47" t="s">
        <v>117</v>
      </c>
      <c r="C83" s="9">
        <f t="shared" si="11"/>
        <v>0</v>
      </c>
      <c r="D83" s="161">
        <f>SUMIFS(考核调整事项表!$C:$C,考核调整事项表!$G:$G,累计考核费用!$B83,考核调整事项表!$D:$D,累计考核费用!D$55)+SUMIFS(考核调整事项表!$E:$E,考核调整事项表!$G:$G,累计考核费用!$B83,考核调整事项表!$F:$F,累计考核费用!D$55)</f>
        <v>0</v>
      </c>
      <c r="E83" s="161">
        <f>SUMIFS(考核调整事项表!$C:$C,考核调整事项表!$G:$G,累计考核费用!$B83,考核调整事项表!$D:$D,累计考核费用!E$55)+SUMIFS(考核调整事项表!$E:$E,考核调整事项表!$G:$G,累计考核费用!$B83,考核调整事项表!$F:$F,累计考核费用!E$55)</f>
        <v>0</v>
      </c>
      <c r="F83" s="161">
        <f>SUMIFS(考核调整事项表!$C:$C,考核调整事项表!$G:$G,累计考核费用!$B83,考核调整事项表!$D:$D,累计考核费用!F$55)+SUMIFS(考核调整事项表!$E:$E,考核调整事项表!$G:$G,累计考核费用!$B83,考核调整事项表!$F:$F,累计考核费用!F$55)</f>
        <v>0</v>
      </c>
      <c r="G83" s="161">
        <f t="shared" si="1"/>
        <v>0</v>
      </c>
      <c r="H83" s="161">
        <f>SUMIFS(考核调整事项表!$C:$C,考核调整事项表!$G:$G,累计考核费用!$B83,考核调整事项表!$D:$D,累计考核费用!H$55)+SUMIFS(考核调整事项表!$E:$E,考核调整事项表!$G:$G,累计考核费用!$B83,考核调整事项表!$F:$F,累计考核费用!H$55)</f>
        <v>0</v>
      </c>
      <c r="I83" s="161">
        <f>SUMIFS(考核调整事项表!$C:$C,考核调整事项表!$G:$G,累计考核费用!$B83,考核调整事项表!$D:$D,累计考核费用!I$55)+SUMIFS(考核调整事项表!$E:$E,考核调整事项表!$G:$G,累计考核费用!$B83,考核调整事项表!$F:$F,累计考核费用!I$55)</f>
        <v>0</v>
      </c>
      <c r="J83" s="161">
        <f>SUMIFS(考核调整事项表!$C:$C,考核调整事项表!$G:$G,累计考核费用!$B83,考核调整事项表!$D:$D,累计考核费用!J$55)+SUMIFS(考核调整事项表!$E:$E,考核调整事项表!$G:$G,累计考核费用!$B83,考核调整事项表!$F:$F,累计考核费用!J$55)</f>
        <v>0</v>
      </c>
      <c r="K83" s="161">
        <f>SUMIFS(考核调整事项表!$C:$C,考核调整事项表!$G:$G,累计考核费用!$B83,考核调整事项表!$D:$D,累计考核费用!K$55)+SUMIFS(考核调整事项表!$E:$E,考核调整事项表!$G:$G,累计考核费用!$B83,考核调整事项表!$F:$F,累计考核费用!K$55)</f>
        <v>0</v>
      </c>
      <c r="L83" s="161">
        <f t="shared" si="2"/>
        <v>0</v>
      </c>
      <c r="M83" s="161">
        <f>SUMIFS(考核调整事项表!$C:$C,考核调整事项表!$G:$G,累计考核费用!$B83,考核调整事项表!$D:$D,累计考核费用!M$55)+SUMIFS(考核调整事项表!$E:$E,考核调整事项表!$G:$G,累计考核费用!$B83,考核调整事项表!$F:$F,累计考核费用!M$55)</f>
        <v>0</v>
      </c>
      <c r="N83" s="161">
        <f>SUMIFS(考核调整事项表!$C:$C,考核调整事项表!$G:$G,累计考核费用!$B83,考核调整事项表!$D:$D,累计考核费用!N$55)+SUMIFS(考核调整事项表!$E:$E,考核调整事项表!$G:$G,累计考核费用!$B83,考核调整事项表!$F:$F,累计考核费用!N$55)</f>
        <v>0</v>
      </c>
      <c r="O83" s="161">
        <f>SUMIFS(考核调整事项表!$C:$C,考核调整事项表!$G:$G,累计考核费用!$B83,考核调整事项表!$D:$D,累计考核费用!O$55)+SUMIFS(考核调整事项表!$E:$E,考核调整事项表!$G:$G,累计考核费用!$B83,考核调整事项表!$F:$F,累计考核费用!O$55)</f>
        <v>0</v>
      </c>
      <c r="P83" s="161">
        <f>SUMIFS(考核调整事项表!$C:$C,考核调整事项表!$G:$G,累计考核费用!$B83,考核调整事项表!$D:$D,累计考核费用!P$55)+SUMIFS(考核调整事项表!$E:$E,考核调整事项表!$G:$G,累计考核费用!$B83,考核调整事项表!$F:$F,累计考核费用!P$55)</f>
        <v>0</v>
      </c>
      <c r="Q83" s="161">
        <f>SUMIFS(考核调整事项表!$C:$C,考核调整事项表!$G:$G,累计考核费用!$B83,考核调整事项表!$D:$D,累计考核费用!Q$55)+SUMIFS(考核调整事项表!$E:$E,考核调整事项表!$G:$G,累计考核费用!$B83,考核调整事项表!$F:$F,累计考核费用!Q$55)</f>
        <v>0</v>
      </c>
      <c r="R83" s="161">
        <f>SUMIFS(考核调整事项表!$C:$C,考核调整事项表!$G:$G,累计考核费用!$B83,考核调整事项表!$D:$D,累计考核费用!R$55)+SUMIFS(考核调整事项表!$E:$E,考核调整事项表!$G:$G,累计考核费用!$B83,考核调整事项表!$F:$F,累计考核费用!R$55)</f>
        <v>0</v>
      </c>
      <c r="S83" s="161">
        <f>SUMIFS(考核调整事项表!$C:$C,考核调整事项表!$G:$G,累计考核费用!$B83,考核调整事项表!$D:$D,累计考核费用!S$55)+SUMIFS(考核调整事项表!$E:$E,考核调整事项表!$G:$G,累计考核费用!$B83,考核调整事项表!$F:$F,累计考核费用!S$55)</f>
        <v>0</v>
      </c>
      <c r="T83" s="164">
        <f t="shared" si="10"/>
        <v>0</v>
      </c>
      <c r="U83" s="161">
        <f>SUMIFS(考核调整事项表!$C:$C,考核调整事项表!$G:$G,累计考核费用!$B83,考核调整事项表!$D:$D,累计考核费用!U$55)+SUMIFS(考核调整事项表!$E:$E,考核调整事项表!$G:$G,累计考核费用!$B83,考核调整事项表!$F:$F,累计考核费用!U$55)</f>
        <v>0</v>
      </c>
      <c r="V83" s="161">
        <f>SUMIFS(考核调整事项表!$C:$C,考核调整事项表!$G:$G,累计考核费用!$B83,考核调整事项表!$D:$D,累计考核费用!V$55)+SUMIFS(考核调整事项表!$E:$E,考核调整事项表!$G:$G,累计考核费用!$B83,考核调整事项表!$F:$F,累计考核费用!V$55)</f>
        <v>0</v>
      </c>
      <c r="W83" s="161">
        <f>SUMIFS(考核调整事项表!$C:$C,考核调整事项表!$G:$G,累计考核费用!$B83,考核调整事项表!$D:$D,累计考核费用!W$55)+SUMIFS(考核调整事项表!$E:$E,考核调整事项表!$G:$G,累计考核费用!$B83,考核调整事项表!$F:$F,累计考核费用!W$55)</f>
        <v>0</v>
      </c>
      <c r="X83" s="161">
        <f>SUMIFS(考核调整事项表!$C:$C,考核调整事项表!$G:$G,累计考核费用!$B83,考核调整事项表!$D:$D,累计考核费用!X$55)+SUMIFS(考核调整事项表!$E:$E,考核调整事项表!$G:$G,累计考核费用!$B83,考核调整事项表!$F:$F,累计考核费用!X$55)</f>
        <v>0</v>
      </c>
      <c r="Y83" s="161">
        <f>SUMIFS(考核调整事项表!$C:$C,考核调整事项表!$G:$G,累计考核费用!$B83,考核调整事项表!$D:$D,累计考核费用!Y$55)+SUMIFS(考核调整事项表!$E:$E,考核调整事项表!$G:$G,累计考核费用!$B83,考核调整事项表!$F:$F,累计考核费用!Y$55)</f>
        <v>0</v>
      </c>
      <c r="Z83" s="161">
        <f>SUMIFS(考核调整事项表!$C:$C,考核调整事项表!$G:$G,累计考核费用!$B83,考核调整事项表!$D:$D,累计考核费用!Z$55)+SUMIFS(考核调整事项表!$E:$E,考核调整事项表!$G:$G,累计考核费用!$B83,考核调整事项表!$F:$F,累计考核费用!Z$55)</f>
        <v>0</v>
      </c>
      <c r="AA83" s="161">
        <f>SUMIFS(考核调整事项表!$C:$C,考核调整事项表!$G:$G,累计考核费用!$B83,考核调整事项表!$D:$D,累计考核费用!AA$55)+SUMIFS(考核调整事项表!$E:$E,考核调整事项表!$G:$G,累计考核费用!$B83,考核调整事项表!$F:$F,累计考核费用!AA$55)</f>
        <v>0</v>
      </c>
      <c r="AB83" s="161">
        <f>SUMIFS(考核调整事项表!$C:$C,考核调整事项表!$G:$G,累计考核费用!$B83,考核调整事项表!$D:$D,累计考核费用!AB$55)+SUMIFS(考核调整事项表!$E:$E,考核调整事项表!$G:$G,累计考核费用!$B83,考核调整事项表!$F:$F,累计考核费用!AB$55)</f>
        <v>0</v>
      </c>
      <c r="AC83" s="161">
        <f>SUMIFS(考核调整事项表!$C:$C,考核调整事项表!$G:$G,累计考核费用!$B83,考核调整事项表!$D:$D,累计考核费用!AC$55)+SUMIFS(考核调整事项表!$E:$E,考核调整事项表!$G:$G,累计考核费用!$B83,考核调整事项表!$F:$F,累计考核费用!AC$55)</f>
        <v>0</v>
      </c>
    </row>
    <row r="84" spans="1:29">
      <c r="A84" s="252"/>
      <c r="B84" s="47" t="s">
        <v>118</v>
      </c>
      <c r="C84" s="9">
        <f t="shared" si="11"/>
        <v>0</v>
      </c>
      <c r="D84" s="161">
        <f>SUMIFS(考核调整事项表!$C:$C,考核调整事项表!$G:$G,累计考核费用!$B84,考核调整事项表!$D:$D,累计考核费用!D$55)+SUMIFS(考核调整事项表!$E:$E,考核调整事项表!$G:$G,累计考核费用!$B84,考核调整事项表!$F:$F,累计考核费用!D$55)</f>
        <v>0</v>
      </c>
      <c r="E84" s="161">
        <f>SUMIFS(考核调整事项表!$C:$C,考核调整事项表!$G:$G,累计考核费用!$B84,考核调整事项表!$D:$D,累计考核费用!E$55)+SUMIFS(考核调整事项表!$E:$E,考核调整事项表!$G:$G,累计考核费用!$B84,考核调整事项表!$F:$F,累计考核费用!E$55)</f>
        <v>0</v>
      </c>
      <c r="F84" s="161">
        <f>SUMIFS(考核调整事项表!$C:$C,考核调整事项表!$G:$G,累计考核费用!$B84,考核调整事项表!$D:$D,累计考核费用!F$55)+SUMIFS(考核调整事项表!$E:$E,考核调整事项表!$G:$G,累计考核费用!$B84,考核调整事项表!$F:$F,累计考核费用!F$55)</f>
        <v>0</v>
      </c>
      <c r="G84" s="161">
        <f t="shared" si="1"/>
        <v>0</v>
      </c>
      <c r="H84" s="161">
        <f>SUMIFS(考核调整事项表!$C:$C,考核调整事项表!$G:$G,累计考核费用!$B84,考核调整事项表!$D:$D,累计考核费用!H$55)+SUMIFS(考核调整事项表!$E:$E,考核调整事项表!$G:$G,累计考核费用!$B84,考核调整事项表!$F:$F,累计考核费用!H$55)</f>
        <v>0</v>
      </c>
      <c r="I84" s="161">
        <f>SUMIFS(考核调整事项表!$C:$C,考核调整事项表!$G:$G,累计考核费用!$B84,考核调整事项表!$D:$D,累计考核费用!I$55)+SUMIFS(考核调整事项表!$E:$E,考核调整事项表!$G:$G,累计考核费用!$B84,考核调整事项表!$F:$F,累计考核费用!I$55)</f>
        <v>0</v>
      </c>
      <c r="J84" s="161">
        <f>SUMIFS(考核调整事项表!$C:$C,考核调整事项表!$G:$G,累计考核费用!$B84,考核调整事项表!$D:$D,累计考核费用!J$55)+SUMIFS(考核调整事项表!$E:$E,考核调整事项表!$G:$G,累计考核费用!$B84,考核调整事项表!$F:$F,累计考核费用!J$55)</f>
        <v>0</v>
      </c>
      <c r="K84" s="161">
        <f>SUMIFS(考核调整事项表!$C:$C,考核调整事项表!$G:$G,累计考核费用!$B84,考核调整事项表!$D:$D,累计考核费用!K$55)+SUMIFS(考核调整事项表!$E:$E,考核调整事项表!$G:$G,累计考核费用!$B84,考核调整事项表!$F:$F,累计考核费用!K$55)</f>
        <v>0</v>
      </c>
      <c r="L84" s="161">
        <f t="shared" si="2"/>
        <v>0</v>
      </c>
      <c r="M84" s="161">
        <f>SUMIFS(考核调整事项表!$C:$C,考核调整事项表!$G:$G,累计考核费用!$B84,考核调整事项表!$D:$D,累计考核费用!M$55)+SUMIFS(考核调整事项表!$E:$E,考核调整事项表!$G:$G,累计考核费用!$B84,考核调整事项表!$F:$F,累计考核费用!M$55)</f>
        <v>0</v>
      </c>
      <c r="N84" s="161">
        <f>SUMIFS(考核调整事项表!$C:$C,考核调整事项表!$G:$G,累计考核费用!$B84,考核调整事项表!$D:$D,累计考核费用!N$55)+SUMIFS(考核调整事项表!$E:$E,考核调整事项表!$G:$G,累计考核费用!$B84,考核调整事项表!$F:$F,累计考核费用!N$55)</f>
        <v>0</v>
      </c>
      <c r="O84" s="161">
        <f>SUMIFS(考核调整事项表!$C:$C,考核调整事项表!$G:$G,累计考核费用!$B84,考核调整事项表!$D:$D,累计考核费用!O$55)+SUMIFS(考核调整事项表!$E:$E,考核调整事项表!$G:$G,累计考核费用!$B84,考核调整事项表!$F:$F,累计考核费用!O$55)</f>
        <v>0</v>
      </c>
      <c r="P84" s="161">
        <f>SUMIFS(考核调整事项表!$C:$C,考核调整事项表!$G:$G,累计考核费用!$B84,考核调整事项表!$D:$D,累计考核费用!P$55)+SUMIFS(考核调整事项表!$E:$E,考核调整事项表!$G:$G,累计考核费用!$B84,考核调整事项表!$F:$F,累计考核费用!P$55)</f>
        <v>0</v>
      </c>
      <c r="Q84" s="161">
        <f>SUMIFS(考核调整事项表!$C:$C,考核调整事项表!$G:$G,累计考核费用!$B84,考核调整事项表!$D:$D,累计考核费用!Q$55)+SUMIFS(考核调整事项表!$E:$E,考核调整事项表!$G:$G,累计考核费用!$B84,考核调整事项表!$F:$F,累计考核费用!Q$55)</f>
        <v>0</v>
      </c>
      <c r="R84" s="161">
        <f>SUMIFS(考核调整事项表!$C:$C,考核调整事项表!$G:$G,累计考核费用!$B84,考核调整事项表!$D:$D,累计考核费用!R$55)+SUMIFS(考核调整事项表!$E:$E,考核调整事项表!$G:$G,累计考核费用!$B84,考核调整事项表!$F:$F,累计考核费用!R$55)</f>
        <v>0</v>
      </c>
      <c r="S84" s="161">
        <f>SUMIFS(考核调整事项表!$C:$C,考核调整事项表!$G:$G,累计考核费用!$B84,考核调整事项表!$D:$D,累计考核费用!S$55)+SUMIFS(考核调整事项表!$E:$E,考核调整事项表!$G:$G,累计考核费用!$B84,考核调整事项表!$F:$F,累计考核费用!S$55)</f>
        <v>0</v>
      </c>
      <c r="T84" s="164">
        <f t="shared" si="10"/>
        <v>0</v>
      </c>
      <c r="U84" s="161">
        <f>SUMIFS(考核调整事项表!$C:$C,考核调整事项表!$G:$G,累计考核费用!$B84,考核调整事项表!$D:$D,累计考核费用!U$55)+SUMIFS(考核调整事项表!$E:$E,考核调整事项表!$G:$G,累计考核费用!$B84,考核调整事项表!$F:$F,累计考核费用!U$55)</f>
        <v>0</v>
      </c>
      <c r="V84" s="161">
        <f>SUMIFS(考核调整事项表!$C:$C,考核调整事项表!$G:$G,累计考核费用!$B84,考核调整事项表!$D:$D,累计考核费用!V$55)+SUMIFS(考核调整事项表!$E:$E,考核调整事项表!$G:$G,累计考核费用!$B84,考核调整事项表!$F:$F,累计考核费用!V$55)</f>
        <v>0</v>
      </c>
      <c r="W84" s="161">
        <f>SUMIFS(考核调整事项表!$C:$C,考核调整事项表!$G:$G,累计考核费用!$B84,考核调整事项表!$D:$D,累计考核费用!W$55)+SUMIFS(考核调整事项表!$E:$E,考核调整事项表!$G:$G,累计考核费用!$B84,考核调整事项表!$F:$F,累计考核费用!W$55)</f>
        <v>0</v>
      </c>
      <c r="X84" s="161">
        <f>SUMIFS(考核调整事项表!$C:$C,考核调整事项表!$G:$G,累计考核费用!$B84,考核调整事项表!$D:$D,累计考核费用!X$55)+SUMIFS(考核调整事项表!$E:$E,考核调整事项表!$G:$G,累计考核费用!$B84,考核调整事项表!$F:$F,累计考核费用!X$55)</f>
        <v>0</v>
      </c>
      <c r="Y84" s="161">
        <f>SUMIFS(考核调整事项表!$C:$C,考核调整事项表!$G:$G,累计考核费用!$B84,考核调整事项表!$D:$D,累计考核费用!Y$55)+SUMIFS(考核调整事项表!$E:$E,考核调整事项表!$G:$G,累计考核费用!$B84,考核调整事项表!$F:$F,累计考核费用!Y$55)</f>
        <v>0</v>
      </c>
      <c r="Z84" s="161">
        <f>SUMIFS(考核调整事项表!$C:$C,考核调整事项表!$G:$G,累计考核费用!$B84,考核调整事项表!$D:$D,累计考核费用!Z$55)+SUMIFS(考核调整事项表!$E:$E,考核调整事项表!$G:$G,累计考核费用!$B84,考核调整事项表!$F:$F,累计考核费用!Z$55)</f>
        <v>0</v>
      </c>
      <c r="AA84" s="161">
        <f>SUMIFS(考核调整事项表!$C:$C,考核调整事项表!$G:$G,累计考核费用!$B84,考核调整事项表!$D:$D,累计考核费用!AA$55)+SUMIFS(考核调整事项表!$E:$E,考核调整事项表!$G:$G,累计考核费用!$B84,考核调整事项表!$F:$F,累计考核费用!AA$55)</f>
        <v>0</v>
      </c>
      <c r="AB84" s="161">
        <f>SUMIFS(考核调整事项表!$C:$C,考核调整事项表!$G:$G,累计考核费用!$B84,考核调整事项表!$D:$D,累计考核费用!AB$55)+SUMIFS(考核调整事项表!$E:$E,考核调整事项表!$G:$G,累计考核费用!$B84,考核调整事项表!$F:$F,累计考核费用!AB$55)</f>
        <v>0</v>
      </c>
      <c r="AC84" s="161">
        <f>SUMIFS(考核调整事项表!$C:$C,考核调整事项表!$G:$G,累计考核费用!$B84,考核调整事项表!$D:$D,累计考核费用!AC$55)+SUMIFS(考核调整事项表!$E:$E,考核调整事项表!$G:$G,累计考核费用!$B84,考核调整事项表!$F:$F,累计考核费用!AC$55)</f>
        <v>0</v>
      </c>
    </row>
    <row r="85" spans="1:29">
      <c r="A85" s="252"/>
      <c r="B85" s="47" t="s">
        <v>119</v>
      </c>
      <c r="C85" s="9">
        <f t="shared" si="11"/>
        <v>0</v>
      </c>
      <c r="D85" s="161">
        <f>SUMIFS(考核调整事项表!$C:$C,考核调整事项表!$G:$G,累计考核费用!$B85,考核调整事项表!$D:$D,累计考核费用!D$55)+SUMIFS(考核调整事项表!$E:$E,考核调整事项表!$G:$G,累计考核费用!$B85,考核调整事项表!$F:$F,累计考核费用!D$55)</f>
        <v>0</v>
      </c>
      <c r="E85" s="161">
        <f>SUMIFS(考核调整事项表!$C:$C,考核调整事项表!$G:$G,累计考核费用!$B85,考核调整事项表!$D:$D,累计考核费用!E$55)+SUMIFS(考核调整事项表!$E:$E,考核调整事项表!$G:$G,累计考核费用!$B85,考核调整事项表!$F:$F,累计考核费用!E$55)</f>
        <v>0</v>
      </c>
      <c r="F85" s="161">
        <f>SUMIFS(考核调整事项表!$C:$C,考核调整事项表!$G:$G,累计考核费用!$B85,考核调整事项表!$D:$D,累计考核费用!F$55)+SUMIFS(考核调整事项表!$E:$E,考核调整事项表!$G:$G,累计考核费用!$B85,考核调整事项表!$F:$F,累计考核费用!F$55)</f>
        <v>0</v>
      </c>
      <c r="G85" s="161">
        <f t="shared" si="1"/>
        <v>0</v>
      </c>
      <c r="H85" s="161">
        <f>SUMIFS(考核调整事项表!$C:$C,考核调整事项表!$G:$G,累计考核费用!$B85,考核调整事项表!$D:$D,累计考核费用!H$55)+SUMIFS(考核调整事项表!$E:$E,考核调整事项表!$G:$G,累计考核费用!$B85,考核调整事项表!$F:$F,累计考核费用!H$55)</f>
        <v>0</v>
      </c>
      <c r="I85" s="161">
        <f>SUMIFS(考核调整事项表!$C:$C,考核调整事项表!$G:$G,累计考核费用!$B85,考核调整事项表!$D:$D,累计考核费用!I$55)+SUMIFS(考核调整事项表!$E:$E,考核调整事项表!$G:$G,累计考核费用!$B85,考核调整事项表!$F:$F,累计考核费用!I$55)</f>
        <v>0</v>
      </c>
      <c r="J85" s="161">
        <f>SUMIFS(考核调整事项表!$C:$C,考核调整事项表!$G:$G,累计考核费用!$B85,考核调整事项表!$D:$D,累计考核费用!J$55)+SUMIFS(考核调整事项表!$E:$E,考核调整事项表!$G:$G,累计考核费用!$B85,考核调整事项表!$F:$F,累计考核费用!J$55)</f>
        <v>0</v>
      </c>
      <c r="K85" s="161">
        <f>SUMIFS(考核调整事项表!$C:$C,考核调整事项表!$G:$G,累计考核费用!$B85,考核调整事项表!$D:$D,累计考核费用!K$55)+SUMIFS(考核调整事项表!$E:$E,考核调整事项表!$G:$G,累计考核费用!$B85,考核调整事项表!$F:$F,累计考核费用!K$55)</f>
        <v>0</v>
      </c>
      <c r="L85" s="161">
        <f t="shared" si="2"/>
        <v>0</v>
      </c>
      <c r="M85" s="161">
        <f>SUMIFS(考核调整事项表!$C:$C,考核调整事项表!$G:$G,累计考核费用!$B85,考核调整事项表!$D:$D,累计考核费用!M$55)+SUMIFS(考核调整事项表!$E:$E,考核调整事项表!$G:$G,累计考核费用!$B85,考核调整事项表!$F:$F,累计考核费用!M$55)</f>
        <v>0</v>
      </c>
      <c r="N85" s="161">
        <f>SUMIFS(考核调整事项表!$C:$C,考核调整事项表!$G:$G,累计考核费用!$B85,考核调整事项表!$D:$D,累计考核费用!N$55)+SUMIFS(考核调整事项表!$E:$E,考核调整事项表!$G:$G,累计考核费用!$B85,考核调整事项表!$F:$F,累计考核费用!N$55)</f>
        <v>0</v>
      </c>
      <c r="O85" s="161">
        <f>SUMIFS(考核调整事项表!$C:$C,考核调整事项表!$G:$G,累计考核费用!$B85,考核调整事项表!$D:$D,累计考核费用!O$55)+SUMIFS(考核调整事项表!$E:$E,考核调整事项表!$G:$G,累计考核费用!$B85,考核调整事项表!$F:$F,累计考核费用!O$55)</f>
        <v>0</v>
      </c>
      <c r="P85" s="161">
        <f>SUMIFS(考核调整事项表!$C:$C,考核调整事项表!$G:$G,累计考核费用!$B85,考核调整事项表!$D:$D,累计考核费用!P$55)+SUMIFS(考核调整事项表!$E:$E,考核调整事项表!$G:$G,累计考核费用!$B85,考核调整事项表!$F:$F,累计考核费用!P$55)</f>
        <v>0</v>
      </c>
      <c r="Q85" s="161">
        <f>SUMIFS(考核调整事项表!$C:$C,考核调整事项表!$G:$G,累计考核费用!$B85,考核调整事项表!$D:$D,累计考核费用!Q$55)+SUMIFS(考核调整事项表!$E:$E,考核调整事项表!$G:$G,累计考核费用!$B85,考核调整事项表!$F:$F,累计考核费用!Q$55)</f>
        <v>0</v>
      </c>
      <c r="R85" s="161">
        <f>SUMIFS(考核调整事项表!$C:$C,考核调整事项表!$G:$G,累计考核费用!$B85,考核调整事项表!$D:$D,累计考核费用!R$55)+SUMIFS(考核调整事项表!$E:$E,考核调整事项表!$G:$G,累计考核费用!$B85,考核调整事项表!$F:$F,累计考核费用!R$55)</f>
        <v>0</v>
      </c>
      <c r="S85" s="161">
        <f>SUMIFS(考核调整事项表!$C:$C,考核调整事项表!$G:$G,累计考核费用!$B85,考核调整事项表!$D:$D,累计考核费用!S$55)+SUMIFS(考核调整事项表!$E:$E,考核调整事项表!$G:$G,累计考核费用!$B85,考核调整事项表!$F:$F,累计考核费用!S$55)</f>
        <v>0</v>
      </c>
      <c r="T85" s="164">
        <f t="shared" si="10"/>
        <v>0</v>
      </c>
      <c r="U85" s="161">
        <f>SUMIFS(考核调整事项表!$C:$C,考核调整事项表!$G:$G,累计考核费用!$B85,考核调整事项表!$D:$D,累计考核费用!U$55)+SUMIFS(考核调整事项表!$E:$E,考核调整事项表!$G:$G,累计考核费用!$B85,考核调整事项表!$F:$F,累计考核费用!U$55)</f>
        <v>0</v>
      </c>
      <c r="V85" s="161">
        <f>SUMIFS(考核调整事项表!$C:$C,考核调整事项表!$G:$G,累计考核费用!$B85,考核调整事项表!$D:$D,累计考核费用!V$55)+SUMIFS(考核调整事项表!$E:$E,考核调整事项表!$G:$G,累计考核费用!$B85,考核调整事项表!$F:$F,累计考核费用!V$55)</f>
        <v>0</v>
      </c>
      <c r="W85" s="161">
        <f>SUMIFS(考核调整事项表!$C:$C,考核调整事项表!$G:$G,累计考核费用!$B85,考核调整事项表!$D:$D,累计考核费用!W$55)+SUMIFS(考核调整事项表!$E:$E,考核调整事项表!$G:$G,累计考核费用!$B85,考核调整事项表!$F:$F,累计考核费用!W$55)</f>
        <v>0</v>
      </c>
      <c r="X85" s="161">
        <f>SUMIFS(考核调整事项表!$C:$C,考核调整事项表!$G:$G,累计考核费用!$B85,考核调整事项表!$D:$D,累计考核费用!X$55)+SUMIFS(考核调整事项表!$E:$E,考核调整事项表!$G:$G,累计考核费用!$B85,考核调整事项表!$F:$F,累计考核费用!X$55)</f>
        <v>0</v>
      </c>
      <c r="Y85" s="161">
        <f>SUMIFS(考核调整事项表!$C:$C,考核调整事项表!$G:$G,累计考核费用!$B85,考核调整事项表!$D:$D,累计考核费用!Y$55)+SUMIFS(考核调整事项表!$E:$E,考核调整事项表!$G:$G,累计考核费用!$B85,考核调整事项表!$F:$F,累计考核费用!Y$55)</f>
        <v>0</v>
      </c>
      <c r="Z85" s="161">
        <f>SUMIFS(考核调整事项表!$C:$C,考核调整事项表!$G:$G,累计考核费用!$B85,考核调整事项表!$D:$D,累计考核费用!Z$55)+SUMIFS(考核调整事项表!$E:$E,考核调整事项表!$G:$G,累计考核费用!$B85,考核调整事项表!$F:$F,累计考核费用!Z$55)</f>
        <v>0</v>
      </c>
      <c r="AA85" s="161">
        <f>SUMIFS(考核调整事项表!$C:$C,考核调整事项表!$G:$G,累计考核费用!$B85,考核调整事项表!$D:$D,累计考核费用!AA$55)+SUMIFS(考核调整事项表!$E:$E,考核调整事项表!$G:$G,累计考核费用!$B85,考核调整事项表!$F:$F,累计考核费用!AA$55)</f>
        <v>0</v>
      </c>
      <c r="AB85" s="161">
        <f>SUMIFS(考核调整事项表!$C:$C,考核调整事项表!$G:$G,累计考核费用!$B85,考核调整事项表!$D:$D,累计考核费用!AB$55)+SUMIFS(考核调整事项表!$E:$E,考核调整事项表!$G:$G,累计考核费用!$B85,考核调整事项表!$F:$F,累计考核费用!AB$55)</f>
        <v>0</v>
      </c>
      <c r="AC85" s="161">
        <f>SUMIFS(考核调整事项表!$C:$C,考核调整事项表!$G:$G,累计考核费用!$B85,考核调整事项表!$D:$D,累计考核费用!AC$55)+SUMIFS(考核调整事项表!$E:$E,考核调整事项表!$G:$G,累计考核费用!$B85,考核调整事项表!$F:$F,累计考核费用!AC$55)</f>
        <v>0</v>
      </c>
    </row>
    <row r="86" spans="1:29">
      <c r="A86" s="253"/>
      <c r="B86" s="57" t="s">
        <v>99</v>
      </c>
      <c r="C86" s="165">
        <f>SUM(C73:C85)</f>
        <v>0</v>
      </c>
      <c r="D86" s="165">
        <f t="shared" ref="D86:AC86" si="12">SUM(D73:D85)</f>
        <v>9604590.5999999996</v>
      </c>
      <c r="E86" s="165">
        <f t="shared" si="12"/>
        <v>-607294.48</v>
      </c>
      <c r="F86" s="165">
        <f t="shared" si="12"/>
        <v>-9440610.0999999996</v>
      </c>
      <c r="G86" s="165">
        <f t="shared" si="12"/>
        <v>-810137.02</v>
      </c>
      <c r="H86" s="165">
        <f t="shared" si="12"/>
        <v>-19863.039999999994</v>
      </c>
      <c r="I86" s="165">
        <f t="shared" si="12"/>
        <v>24700</v>
      </c>
      <c r="J86" s="165">
        <f t="shared" si="12"/>
        <v>560</v>
      </c>
      <c r="K86" s="165">
        <f t="shared" si="12"/>
        <v>-815533.98</v>
      </c>
      <c r="L86" s="165">
        <f t="shared" si="12"/>
        <v>52701</v>
      </c>
      <c r="M86" s="165">
        <f t="shared" si="12"/>
        <v>560</v>
      </c>
      <c r="N86" s="165">
        <f t="shared" si="12"/>
        <v>6335</v>
      </c>
      <c r="O86" s="165">
        <f t="shared" si="12"/>
        <v>560</v>
      </c>
      <c r="P86" s="165">
        <f t="shared" si="12"/>
        <v>14212</v>
      </c>
      <c r="Q86" s="165">
        <f t="shared" si="12"/>
        <v>2328</v>
      </c>
      <c r="R86" s="165">
        <f t="shared" si="12"/>
        <v>28706</v>
      </c>
      <c r="S86" s="165">
        <f t="shared" si="12"/>
        <v>0</v>
      </c>
      <c r="T86" s="165">
        <f t="shared" si="12"/>
        <v>1200750</v>
      </c>
      <c r="U86" s="165">
        <f t="shared" si="12"/>
        <v>151660</v>
      </c>
      <c r="V86" s="165">
        <f t="shared" si="12"/>
        <v>904892</v>
      </c>
      <c r="W86" s="165">
        <f t="shared" si="12"/>
        <v>38377.25</v>
      </c>
      <c r="X86" s="165">
        <f t="shared" si="12"/>
        <v>0</v>
      </c>
      <c r="Y86" s="165">
        <f t="shared" si="12"/>
        <v>0</v>
      </c>
      <c r="Z86" s="165">
        <f t="shared" si="12"/>
        <v>0</v>
      </c>
      <c r="AA86" s="165">
        <f t="shared" ref="AA86" si="13">SUM(AA73:AA85)</f>
        <v>105820.75</v>
      </c>
      <c r="AB86" s="165">
        <f t="shared" si="12"/>
        <v>0</v>
      </c>
      <c r="AC86" s="165">
        <f t="shared" si="12"/>
        <v>0</v>
      </c>
    </row>
    <row r="87" spans="1:29" ht="13.5" customHeight="1">
      <c r="A87" s="251" t="s">
        <v>120</v>
      </c>
      <c r="B87" s="47" t="s">
        <v>121</v>
      </c>
      <c r="C87" s="9">
        <f t="shared" ref="C87:C88" si="14">SUM(D87:G87)+L87+T87+AC87+AB87</f>
        <v>-1.8189894035458565E-12</v>
      </c>
      <c r="D87" s="161">
        <f>SUMIFS(考核调整事项表!$C:$C,考核调整事项表!$G:$G,累计考核费用!$B87,考核调整事项表!$D:$D,累计考核费用!D$55)+SUMIFS(考核调整事项表!$E:$E,考核调整事项表!$G:$G,累计考核费用!$B87,考核调整事项表!$F:$F,累计考核费用!D$55)</f>
        <v>29235.599999999999</v>
      </c>
      <c r="E87" s="161">
        <f>SUMIFS(考核调整事项表!$C:$C,考核调整事项表!$G:$G,累计考核费用!$B87,考核调整事项表!$D:$D,累计考核费用!E$55)+SUMIFS(考核调整事项表!$E:$E,考核调整事项表!$G:$G,累计考核费用!$B87,考核调整事项表!$F:$F,累计考核费用!E$55)</f>
        <v>0</v>
      </c>
      <c r="F87" s="161">
        <f>SUMIFS(考核调整事项表!$C:$C,考核调整事项表!$G:$G,累计考核费用!$B87,考核调整事项表!$D:$D,累计考核费用!F$55)+SUMIFS(考核调整事项表!$E:$E,考核调整事项表!$G:$G,累计考核费用!$B87,考核调整事项表!$F:$F,累计考核费用!F$55)</f>
        <v>7943.42</v>
      </c>
      <c r="G87" s="161">
        <f t="shared" si="1"/>
        <v>-29235.599999999999</v>
      </c>
      <c r="H87" s="161">
        <f>SUMIFS(考核调整事项表!$C:$C,考核调整事项表!$G:$G,累计考核费用!$B87,考核调整事项表!$D:$D,累计考核费用!H$55)+SUMIFS(考核调整事项表!$E:$E,考核调整事项表!$G:$G,累计考核费用!$B87,考核调整事项表!$F:$F,累计考核费用!H$55)</f>
        <v>0</v>
      </c>
      <c r="I87" s="161">
        <f>SUMIFS(考核调整事项表!$C:$C,考核调整事项表!$G:$G,累计考核费用!$B87,考核调整事项表!$D:$D,累计考核费用!I$55)+SUMIFS(考核调整事项表!$E:$E,考核调整事项表!$G:$G,累计考核费用!$B87,考核调整事项表!$F:$F,累计考核费用!I$55)</f>
        <v>0</v>
      </c>
      <c r="J87" s="161">
        <f>SUMIFS(考核调整事项表!$C:$C,考核调整事项表!$G:$G,累计考核费用!$B87,考核调整事项表!$D:$D,累计考核费用!J$55)+SUMIFS(考核调整事项表!$E:$E,考核调整事项表!$G:$G,累计考核费用!$B87,考核调整事项表!$F:$F,累计考核费用!J$55)</f>
        <v>0</v>
      </c>
      <c r="K87" s="161">
        <f>SUMIFS(考核调整事项表!$C:$C,考核调整事项表!$G:$G,累计考核费用!$B87,考核调整事项表!$D:$D,累计考核费用!K$55)+SUMIFS(考核调整事项表!$E:$E,考核调整事项表!$G:$G,累计考核费用!$B87,考核调整事项表!$F:$F,累计考核费用!K$55)</f>
        <v>-29235.599999999999</v>
      </c>
      <c r="L87" s="161">
        <f t="shared" si="2"/>
        <v>-7943.42</v>
      </c>
      <c r="M87" s="161">
        <f>SUMIFS(考核调整事项表!$C:$C,考核调整事项表!$G:$G,累计考核费用!$B87,考核调整事项表!$D:$D,累计考核费用!M$55)+SUMIFS(考核调整事项表!$E:$E,考核调整事项表!$G:$G,累计考核费用!$B87,考核调整事项表!$F:$F,累计考核费用!M$55)</f>
        <v>0</v>
      </c>
      <c r="N87" s="161">
        <f>SUMIFS(考核调整事项表!$C:$C,考核调整事项表!$G:$G,累计考核费用!$B87,考核调整事项表!$D:$D,累计考核费用!N$55)+SUMIFS(考核调整事项表!$E:$E,考核调整事项表!$G:$G,累计考核费用!$B87,考核调整事项表!$F:$F,累计考核费用!N$55)</f>
        <v>0</v>
      </c>
      <c r="O87" s="161">
        <f>SUMIFS(考核调整事项表!$C:$C,考核调整事项表!$G:$G,累计考核费用!$B87,考核调整事项表!$D:$D,累计考核费用!O$55)+SUMIFS(考核调整事项表!$E:$E,考核调整事项表!$G:$G,累计考核费用!$B87,考核调整事项表!$F:$F,累计考核费用!O$55)</f>
        <v>0</v>
      </c>
      <c r="P87" s="161">
        <f>SUMIFS(考核调整事项表!$C:$C,考核调整事项表!$G:$G,累计考核费用!$B87,考核调整事项表!$D:$D,累计考核费用!P$55)+SUMIFS(考核调整事项表!$E:$E,考核调整事项表!$G:$G,累计考核费用!$B87,考核调整事项表!$F:$F,累计考核费用!P$55)</f>
        <v>0</v>
      </c>
      <c r="Q87" s="161">
        <f>SUMIFS(考核调整事项表!$C:$C,考核调整事项表!$G:$G,累计考核费用!$B87,考核调整事项表!$D:$D,累计考核费用!Q$55)+SUMIFS(考核调整事项表!$E:$E,考核调整事项表!$G:$G,累计考核费用!$B87,考核调整事项表!$F:$F,累计考核费用!Q$55)</f>
        <v>0</v>
      </c>
      <c r="R87" s="161">
        <f>SUMIFS(考核调整事项表!$C:$C,考核调整事项表!$G:$G,累计考核费用!$B87,考核调整事项表!$D:$D,累计考核费用!R$55)+SUMIFS(考核调整事项表!$E:$E,考核调整事项表!$G:$G,累计考核费用!$B87,考核调整事项表!$F:$F,累计考核费用!R$55)</f>
        <v>0</v>
      </c>
      <c r="S87" s="161">
        <f>SUMIFS(考核调整事项表!$C:$C,考核调整事项表!$G:$G,累计考核费用!$B87,考核调整事项表!$D:$D,累计考核费用!S$55)+SUMIFS(考核调整事项表!$E:$E,考核调整事项表!$G:$G,累计考核费用!$B87,考核调整事项表!$F:$F,累计考核费用!S$55)</f>
        <v>-7943.42</v>
      </c>
      <c r="T87" s="164">
        <f>SUM(U87:AA87)</f>
        <v>0</v>
      </c>
      <c r="U87" s="161">
        <f>SUMIFS(考核调整事项表!$C:$C,考核调整事项表!$G:$G,累计考核费用!$B87,考核调整事项表!$D:$D,累计考核费用!U$55)+SUMIFS(考核调整事项表!$E:$E,考核调整事项表!$G:$G,累计考核费用!$B87,考核调整事项表!$F:$F,累计考核费用!U$55)</f>
        <v>0</v>
      </c>
      <c r="V87" s="161">
        <f>SUMIFS(考核调整事项表!$C:$C,考核调整事项表!$G:$G,累计考核费用!$B87,考核调整事项表!$D:$D,累计考核费用!V$55)+SUMIFS(考核调整事项表!$E:$E,考核调整事项表!$G:$G,累计考核费用!$B87,考核调整事项表!$F:$F,累计考核费用!V$55)</f>
        <v>0</v>
      </c>
      <c r="W87" s="161">
        <f>SUMIFS(考核调整事项表!$C:$C,考核调整事项表!$G:$G,累计考核费用!$B87,考核调整事项表!$D:$D,累计考核费用!W$55)+SUMIFS(考核调整事项表!$E:$E,考核调整事项表!$G:$G,累计考核费用!$B87,考核调整事项表!$F:$F,累计考核费用!W$55)</f>
        <v>0</v>
      </c>
      <c r="X87" s="161">
        <f>SUMIFS(考核调整事项表!$C:$C,考核调整事项表!$G:$G,累计考核费用!$B87,考核调整事项表!$D:$D,累计考核费用!X$55)+SUMIFS(考核调整事项表!$E:$E,考核调整事项表!$G:$G,累计考核费用!$B87,考核调整事项表!$F:$F,累计考核费用!X$55)</f>
        <v>0</v>
      </c>
      <c r="Y87" s="161">
        <f>SUMIFS(考核调整事项表!$C:$C,考核调整事项表!$G:$G,累计考核费用!$B87,考核调整事项表!$D:$D,累计考核费用!Y$55)+SUMIFS(考核调整事项表!$E:$E,考核调整事项表!$G:$G,累计考核费用!$B87,考核调整事项表!$F:$F,累计考核费用!Y$55)</f>
        <v>0</v>
      </c>
      <c r="Z87" s="161">
        <f>SUMIFS(考核调整事项表!$C:$C,考核调整事项表!$G:$G,累计考核费用!$B87,考核调整事项表!$D:$D,累计考核费用!Z$55)+SUMIFS(考核调整事项表!$E:$E,考核调整事项表!$G:$G,累计考核费用!$B87,考核调整事项表!$F:$F,累计考核费用!Z$55)</f>
        <v>0</v>
      </c>
      <c r="AA87" s="161">
        <f>SUMIFS(考核调整事项表!$C:$C,考核调整事项表!$G:$G,累计考核费用!$B87,考核调整事项表!$D:$D,累计考核费用!AA$55)+SUMIFS(考核调整事项表!$E:$E,考核调整事项表!$G:$G,累计考核费用!$B87,考核调整事项表!$F:$F,累计考核费用!AA$55)</f>
        <v>0</v>
      </c>
      <c r="AB87" s="161">
        <f>SUMIFS(考核调整事项表!$C:$C,考核调整事项表!$G:$G,累计考核费用!$B87,考核调整事项表!$D:$D,累计考核费用!AB$55)+SUMIFS(考核调整事项表!$E:$E,考核调整事项表!$G:$G,累计考核费用!$B87,考核调整事项表!$F:$F,累计考核费用!AB$55)</f>
        <v>0</v>
      </c>
      <c r="AC87" s="161">
        <f>SUMIFS(考核调整事项表!$C:$C,考核调整事项表!$G:$G,累计考核费用!$B87,考核调整事项表!$D:$D,累计考核费用!AC$55)+SUMIFS(考核调整事项表!$E:$E,考核调整事项表!$G:$G,累计考核费用!$B87,考核调整事项表!$F:$F,累计考核费用!AC$55)</f>
        <v>0</v>
      </c>
    </row>
    <row r="88" spans="1:29">
      <c r="A88" s="252"/>
      <c r="B88" s="47" t="s">
        <v>122</v>
      </c>
      <c r="C88" s="9">
        <f t="shared" si="14"/>
        <v>0</v>
      </c>
      <c r="D88" s="161">
        <f>SUMIFS(考核调整事项表!$C:$C,考核调整事项表!$G:$G,累计考核费用!$B88,考核调整事项表!$D:$D,累计考核费用!D$55)+SUMIFS(考核调整事项表!$E:$E,考核调整事项表!$G:$G,累计考核费用!$B88,考核调整事项表!$F:$F,累计考核费用!D$55)</f>
        <v>3779</v>
      </c>
      <c r="E88" s="161">
        <f>SUMIFS(考核调整事项表!$C:$C,考核调整事项表!$G:$G,累计考核费用!$B88,考核调整事项表!$D:$D,累计考核费用!E$55)+SUMIFS(考核调整事项表!$E:$E,考核调整事项表!$G:$G,累计考核费用!$B88,考核调整事项表!$F:$F,累计考核费用!E$55)</f>
        <v>0</v>
      </c>
      <c r="F88" s="161">
        <f>SUMIFS(考核调整事项表!$C:$C,考核调整事项表!$G:$G,累计考核费用!$B88,考核调整事项表!$D:$D,累计考核费用!F$55)+SUMIFS(考核调整事项表!$E:$E,考核调整事项表!$G:$G,累计考核费用!$B88,考核调整事项表!$F:$F,累计考核费用!F$55)</f>
        <v>0</v>
      </c>
      <c r="G88" s="161">
        <f t="shared" si="1"/>
        <v>-3779</v>
      </c>
      <c r="H88" s="161">
        <f>SUMIFS(考核调整事项表!$C:$C,考核调整事项表!$G:$G,累计考核费用!$B88,考核调整事项表!$D:$D,累计考核费用!H$55)+SUMIFS(考核调整事项表!$E:$E,考核调整事项表!$G:$G,累计考核费用!$B88,考核调整事项表!$F:$F,累计考核费用!H$55)</f>
        <v>0</v>
      </c>
      <c r="I88" s="161">
        <f>SUMIFS(考核调整事项表!$C:$C,考核调整事项表!$G:$G,累计考核费用!$B88,考核调整事项表!$D:$D,累计考核费用!I$55)+SUMIFS(考核调整事项表!$E:$E,考核调整事项表!$G:$G,累计考核费用!$B88,考核调整事项表!$F:$F,累计考核费用!I$55)</f>
        <v>0</v>
      </c>
      <c r="J88" s="161">
        <f>SUMIFS(考核调整事项表!$C:$C,考核调整事项表!$G:$G,累计考核费用!$B88,考核调整事项表!$D:$D,累计考核费用!J$55)+SUMIFS(考核调整事项表!$E:$E,考核调整事项表!$G:$G,累计考核费用!$B88,考核调整事项表!$F:$F,累计考核费用!J$55)</f>
        <v>0</v>
      </c>
      <c r="K88" s="161">
        <f>SUMIFS(考核调整事项表!$C:$C,考核调整事项表!$G:$G,累计考核费用!$B88,考核调整事项表!$D:$D,累计考核费用!K$55)+SUMIFS(考核调整事项表!$E:$E,考核调整事项表!$G:$G,累计考核费用!$B88,考核调整事项表!$F:$F,累计考核费用!K$55)</f>
        <v>-3779</v>
      </c>
      <c r="L88" s="161">
        <f t="shared" si="2"/>
        <v>0</v>
      </c>
      <c r="M88" s="161">
        <f>SUMIFS(考核调整事项表!$C:$C,考核调整事项表!$G:$G,累计考核费用!$B88,考核调整事项表!$D:$D,累计考核费用!M$55)+SUMIFS(考核调整事项表!$E:$E,考核调整事项表!$G:$G,累计考核费用!$B88,考核调整事项表!$F:$F,累计考核费用!M$55)</f>
        <v>0</v>
      </c>
      <c r="N88" s="161">
        <f>SUMIFS(考核调整事项表!$C:$C,考核调整事项表!$G:$G,累计考核费用!$B88,考核调整事项表!$D:$D,累计考核费用!N$55)+SUMIFS(考核调整事项表!$E:$E,考核调整事项表!$G:$G,累计考核费用!$B88,考核调整事项表!$F:$F,累计考核费用!N$55)</f>
        <v>0</v>
      </c>
      <c r="O88" s="161">
        <f>SUMIFS(考核调整事项表!$C:$C,考核调整事项表!$G:$G,累计考核费用!$B88,考核调整事项表!$D:$D,累计考核费用!O$55)+SUMIFS(考核调整事项表!$E:$E,考核调整事项表!$G:$G,累计考核费用!$B88,考核调整事项表!$F:$F,累计考核费用!O$55)</f>
        <v>0</v>
      </c>
      <c r="P88" s="161">
        <f>SUMIFS(考核调整事项表!$C:$C,考核调整事项表!$G:$G,累计考核费用!$B88,考核调整事项表!$D:$D,累计考核费用!P$55)+SUMIFS(考核调整事项表!$E:$E,考核调整事项表!$G:$G,累计考核费用!$B88,考核调整事项表!$F:$F,累计考核费用!P$55)</f>
        <v>0</v>
      </c>
      <c r="Q88" s="161">
        <f>SUMIFS(考核调整事项表!$C:$C,考核调整事项表!$G:$G,累计考核费用!$B88,考核调整事项表!$D:$D,累计考核费用!Q$55)+SUMIFS(考核调整事项表!$E:$E,考核调整事项表!$G:$G,累计考核费用!$B88,考核调整事项表!$F:$F,累计考核费用!Q$55)</f>
        <v>0</v>
      </c>
      <c r="R88" s="161">
        <f>SUMIFS(考核调整事项表!$C:$C,考核调整事项表!$G:$G,累计考核费用!$B88,考核调整事项表!$D:$D,累计考核费用!R$55)+SUMIFS(考核调整事项表!$E:$E,考核调整事项表!$G:$G,累计考核费用!$B88,考核调整事项表!$F:$F,累计考核费用!R$55)</f>
        <v>0</v>
      </c>
      <c r="S88" s="161">
        <f>SUMIFS(考核调整事项表!$C:$C,考核调整事项表!$G:$G,累计考核费用!$B88,考核调整事项表!$D:$D,累计考核费用!S$55)+SUMIFS(考核调整事项表!$E:$E,考核调整事项表!$G:$G,累计考核费用!$B88,考核调整事项表!$F:$F,累计考核费用!S$55)</f>
        <v>0</v>
      </c>
      <c r="T88" s="164">
        <f>SUM(U88:AA88)</f>
        <v>0</v>
      </c>
      <c r="U88" s="161">
        <f>SUMIFS(考核调整事项表!$C:$C,考核调整事项表!$G:$G,累计考核费用!$B88,考核调整事项表!$D:$D,累计考核费用!U$55)+SUMIFS(考核调整事项表!$E:$E,考核调整事项表!$G:$G,累计考核费用!$B88,考核调整事项表!$F:$F,累计考核费用!U$55)</f>
        <v>0</v>
      </c>
      <c r="V88" s="161">
        <f>SUMIFS(考核调整事项表!$C:$C,考核调整事项表!$G:$G,累计考核费用!$B88,考核调整事项表!$D:$D,累计考核费用!V$55)+SUMIFS(考核调整事项表!$E:$E,考核调整事项表!$G:$G,累计考核费用!$B88,考核调整事项表!$F:$F,累计考核费用!V$55)</f>
        <v>0</v>
      </c>
      <c r="W88" s="161">
        <f>SUMIFS(考核调整事项表!$C:$C,考核调整事项表!$G:$G,累计考核费用!$B88,考核调整事项表!$D:$D,累计考核费用!W$55)+SUMIFS(考核调整事项表!$E:$E,考核调整事项表!$G:$G,累计考核费用!$B88,考核调整事项表!$F:$F,累计考核费用!W$55)</f>
        <v>0</v>
      </c>
      <c r="X88" s="161">
        <f>SUMIFS(考核调整事项表!$C:$C,考核调整事项表!$G:$G,累计考核费用!$B88,考核调整事项表!$D:$D,累计考核费用!X$55)+SUMIFS(考核调整事项表!$E:$E,考核调整事项表!$G:$G,累计考核费用!$B88,考核调整事项表!$F:$F,累计考核费用!X$55)</f>
        <v>0</v>
      </c>
      <c r="Y88" s="161">
        <f>SUMIFS(考核调整事项表!$C:$C,考核调整事项表!$G:$G,累计考核费用!$B88,考核调整事项表!$D:$D,累计考核费用!Y$55)+SUMIFS(考核调整事项表!$E:$E,考核调整事项表!$G:$G,累计考核费用!$B88,考核调整事项表!$F:$F,累计考核费用!Y$55)</f>
        <v>0</v>
      </c>
      <c r="Z88" s="161">
        <f>SUMIFS(考核调整事项表!$C:$C,考核调整事项表!$G:$G,累计考核费用!$B88,考核调整事项表!$D:$D,累计考核费用!Z$55)+SUMIFS(考核调整事项表!$E:$E,考核调整事项表!$G:$G,累计考核费用!$B88,考核调整事项表!$F:$F,累计考核费用!Z$55)</f>
        <v>0</v>
      </c>
      <c r="AA88" s="161">
        <f>SUMIFS(考核调整事项表!$C:$C,考核调整事项表!$G:$G,累计考核费用!$B88,考核调整事项表!$D:$D,累计考核费用!AA$55)+SUMIFS(考核调整事项表!$E:$E,考核调整事项表!$G:$G,累计考核费用!$B88,考核调整事项表!$F:$F,累计考核费用!AA$55)</f>
        <v>0</v>
      </c>
      <c r="AB88" s="161">
        <f>SUMIFS(考核调整事项表!$C:$C,考核调整事项表!$G:$G,累计考核费用!$B88,考核调整事项表!$D:$D,累计考核费用!AB$55)+SUMIFS(考核调整事项表!$E:$E,考核调整事项表!$G:$G,累计考核费用!$B88,考核调整事项表!$F:$F,累计考核费用!AB$55)</f>
        <v>0</v>
      </c>
      <c r="AC88" s="161">
        <f>SUMIFS(考核调整事项表!$C:$C,考核调整事项表!$G:$G,累计考核费用!$B88,考核调整事项表!$D:$D,累计考核费用!AC$55)+SUMIFS(考核调整事项表!$E:$E,考核调整事项表!$G:$G,累计考核费用!$B88,考核调整事项表!$F:$F,累计考核费用!AC$55)</f>
        <v>0</v>
      </c>
    </row>
    <row r="89" spans="1:29">
      <c r="A89" s="252"/>
      <c r="B89" s="47" t="s">
        <v>123</v>
      </c>
      <c r="C89" s="9">
        <f>SUM(D89:G89)+L89+T89+AC89+AB89</f>
        <v>0</v>
      </c>
      <c r="D89" s="161">
        <f>SUMIFS(考核调整事项表!$C:$C,考核调整事项表!$G:$G,累计考核费用!$B89,考核调整事项表!$D:$D,累计考核费用!D$55)+SUMIFS(考核调整事项表!$E:$E,考核调整事项表!$G:$G,累计考核费用!$B89,考核调整事项表!$F:$F,累计考核费用!D$55)</f>
        <v>0</v>
      </c>
      <c r="E89" s="161">
        <f>SUMIFS(考核调整事项表!$C:$C,考核调整事项表!$G:$G,累计考核费用!$B89,考核调整事项表!$D:$D,累计考核费用!E$55)+SUMIFS(考核调整事项表!$E:$E,考核调整事项表!$G:$G,累计考核费用!$B89,考核调整事项表!$F:$F,累计考核费用!E$55)</f>
        <v>0</v>
      </c>
      <c r="F89" s="161">
        <f>SUMIFS(考核调整事项表!$C:$C,考核调整事项表!$G:$G,累计考核费用!$B89,考核调整事项表!$D:$D,累计考核费用!F$55)+SUMIFS(考核调整事项表!$E:$E,考核调整事项表!$G:$G,累计考核费用!$B89,考核调整事项表!$F:$F,累计考核费用!F$55)</f>
        <v>0</v>
      </c>
      <c r="G89" s="161">
        <f t="shared" si="1"/>
        <v>0</v>
      </c>
      <c r="H89" s="161">
        <f>SUMIFS(考核调整事项表!$C:$C,考核调整事项表!$G:$G,累计考核费用!$B89,考核调整事项表!$D:$D,累计考核费用!H$55)+SUMIFS(考核调整事项表!$E:$E,考核调整事项表!$G:$G,累计考核费用!$B89,考核调整事项表!$F:$F,累计考核费用!H$55)</f>
        <v>0</v>
      </c>
      <c r="I89" s="161">
        <f>SUMIFS(考核调整事项表!$C:$C,考核调整事项表!$G:$G,累计考核费用!$B89,考核调整事项表!$D:$D,累计考核费用!I$55)+SUMIFS(考核调整事项表!$E:$E,考核调整事项表!$G:$G,累计考核费用!$B89,考核调整事项表!$F:$F,累计考核费用!I$55)</f>
        <v>0</v>
      </c>
      <c r="J89" s="161">
        <f>SUMIFS(考核调整事项表!$C:$C,考核调整事项表!$G:$G,累计考核费用!$B89,考核调整事项表!$D:$D,累计考核费用!J$55)+SUMIFS(考核调整事项表!$E:$E,考核调整事项表!$G:$G,累计考核费用!$B89,考核调整事项表!$F:$F,累计考核费用!J$55)</f>
        <v>0</v>
      </c>
      <c r="K89" s="161">
        <f>SUMIFS(考核调整事项表!$C:$C,考核调整事项表!$G:$G,累计考核费用!$B89,考核调整事项表!$D:$D,累计考核费用!K$55)+SUMIFS(考核调整事项表!$E:$E,考核调整事项表!$G:$G,累计考核费用!$B89,考核调整事项表!$F:$F,累计考核费用!K$55)</f>
        <v>0</v>
      </c>
      <c r="L89" s="161">
        <f t="shared" si="2"/>
        <v>0</v>
      </c>
      <c r="M89" s="161">
        <f>SUMIFS(考核调整事项表!$C:$C,考核调整事项表!$G:$G,累计考核费用!$B89,考核调整事项表!$D:$D,累计考核费用!M$55)+SUMIFS(考核调整事项表!$E:$E,考核调整事项表!$G:$G,累计考核费用!$B89,考核调整事项表!$F:$F,累计考核费用!M$55)</f>
        <v>0</v>
      </c>
      <c r="N89" s="161">
        <f>SUMIFS(考核调整事项表!$C:$C,考核调整事项表!$G:$G,累计考核费用!$B89,考核调整事项表!$D:$D,累计考核费用!N$55)+SUMIFS(考核调整事项表!$E:$E,考核调整事项表!$G:$G,累计考核费用!$B89,考核调整事项表!$F:$F,累计考核费用!N$55)</f>
        <v>0</v>
      </c>
      <c r="O89" s="161">
        <f>SUMIFS(考核调整事项表!$C:$C,考核调整事项表!$G:$G,累计考核费用!$B89,考核调整事项表!$D:$D,累计考核费用!O$55)+SUMIFS(考核调整事项表!$E:$E,考核调整事项表!$G:$G,累计考核费用!$B89,考核调整事项表!$F:$F,累计考核费用!O$55)</f>
        <v>0</v>
      </c>
      <c r="P89" s="161">
        <f>SUMIFS(考核调整事项表!$C:$C,考核调整事项表!$G:$G,累计考核费用!$B89,考核调整事项表!$D:$D,累计考核费用!P$55)+SUMIFS(考核调整事项表!$E:$E,考核调整事项表!$G:$G,累计考核费用!$B89,考核调整事项表!$F:$F,累计考核费用!P$55)</f>
        <v>0</v>
      </c>
      <c r="Q89" s="161">
        <f>SUMIFS(考核调整事项表!$C:$C,考核调整事项表!$G:$G,累计考核费用!$B89,考核调整事项表!$D:$D,累计考核费用!Q$55)+SUMIFS(考核调整事项表!$E:$E,考核调整事项表!$G:$G,累计考核费用!$B89,考核调整事项表!$F:$F,累计考核费用!Q$55)</f>
        <v>0</v>
      </c>
      <c r="R89" s="161">
        <f>SUMIFS(考核调整事项表!$C:$C,考核调整事项表!$G:$G,累计考核费用!$B89,考核调整事项表!$D:$D,累计考核费用!R$55)+SUMIFS(考核调整事项表!$E:$E,考核调整事项表!$G:$G,累计考核费用!$B89,考核调整事项表!$F:$F,累计考核费用!R$55)</f>
        <v>0</v>
      </c>
      <c r="S89" s="161">
        <f>SUMIFS(考核调整事项表!$C:$C,考核调整事项表!$G:$G,累计考核费用!$B89,考核调整事项表!$D:$D,累计考核费用!S$55)+SUMIFS(考核调整事项表!$E:$E,考核调整事项表!$G:$G,累计考核费用!$B89,考核调整事项表!$F:$F,累计考核费用!S$55)</f>
        <v>0</v>
      </c>
      <c r="T89" s="164">
        <f t="shared" ref="T89:T97" si="15">SUM(U89:AA89)</f>
        <v>0</v>
      </c>
      <c r="U89" s="161">
        <f>SUMIFS(考核调整事项表!$C:$C,考核调整事项表!$G:$G,累计考核费用!$B89,考核调整事项表!$D:$D,累计考核费用!U$55)+SUMIFS(考核调整事项表!$E:$E,考核调整事项表!$G:$G,累计考核费用!$B89,考核调整事项表!$F:$F,累计考核费用!U$55)</f>
        <v>0</v>
      </c>
      <c r="V89" s="161">
        <f>SUMIFS(考核调整事项表!$C:$C,考核调整事项表!$G:$G,累计考核费用!$B89,考核调整事项表!$D:$D,累计考核费用!V$55)+SUMIFS(考核调整事项表!$E:$E,考核调整事项表!$G:$G,累计考核费用!$B89,考核调整事项表!$F:$F,累计考核费用!V$55)</f>
        <v>0</v>
      </c>
      <c r="W89" s="161">
        <f>SUMIFS(考核调整事项表!$C:$C,考核调整事项表!$G:$G,累计考核费用!$B89,考核调整事项表!$D:$D,累计考核费用!W$55)+SUMIFS(考核调整事项表!$E:$E,考核调整事项表!$G:$G,累计考核费用!$B89,考核调整事项表!$F:$F,累计考核费用!W$55)</f>
        <v>0</v>
      </c>
      <c r="X89" s="161">
        <f>SUMIFS(考核调整事项表!$C:$C,考核调整事项表!$G:$G,累计考核费用!$B89,考核调整事项表!$D:$D,累计考核费用!X$55)+SUMIFS(考核调整事项表!$E:$E,考核调整事项表!$G:$G,累计考核费用!$B89,考核调整事项表!$F:$F,累计考核费用!X$55)</f>
        <v>0</v>
      </c>
      <c r="Y89" s="161">
        <f>SUMIFS(考核调整事项表!$C:$C,考核调整事项表!$G:$G,累计考核费用!$B89,考核调整事项表!$D:$D,累计考核费用!Y$55)+SUMIFS(考核调整事项表!$E:$E,考核调整事项表!$G:$G,累计考核费用!$B89,考核调整事项表!$F:$F,累计考核费用!Y$55)</f>
        <v>0</v>
      </c>
      <c r="Z89" s="161">
        <f>SUMIFS(考核调整事项表!$C:$C,考核调整事项表!$G:$G,累计考核费用!$B89,考核调整事项表!$D:$D,累计考核费用!Z$55)+SUMIFS(考核调整事项表!$E:$E,考核调整事项表!$G:$G,累计考核费用!$B89,考核调整事项表!$F:$F,累计考核费用!Z$55)</f>
        <v>0</v>
      </c>
      <c r="AA89" s="161">
        <f>SUMIFS(考核调整事项表!$C:$C,考核调整事项表!$G:$G,累计考核费用!$B89,考核调整事项表!$D:$D,累计考核费用!AA$55)+SUMIFS(考核调整事项表!$E:$E,考核调整事项表!$G:$G,累计考核费用!$B89,考核调整事项表!$F:$F,累计考核费用!AA$55)</f>
        <v>0</v>
      </c>
      <c r="AB89" s="161">
        <f>SUMIFS(考核调整事项表!$C:$C,考核调整事项表!$G:$G,累计考核费用!$B89,考核调整事项表!$D:$D,累计考核费用!AB$55)+SUMIFS(考核调整事项表!$E:$E,考核调整事项表!$G:$G,累计考核费用!$B89,考核调整事项表!$F:$F,累计考核费用!AB$55)</f>
        <v>0</v>
      </c>
      <c r="AC89" s="161">
        <f>SUMIFS(考核调整事项表!$C:$C,考核调整事项表!$G:$G,累计考核费用!$B89,考核调整事项表!$D:$D,累计考核费用!AC$55)+SUMIFS(考核调整事项表!$E:$E,考核调整事项表!$G:$G,累计考核费用!$B89,考核调整事项表!$F:$F,累计考核费用!AC$55)</f>
        <v>0</v>
      </c>
    </row>
    <row r="90" spans="1:29">
      <c r="A90" s="252"/>
      <c r="B90" s="47" t="s">
        <v>124</v>
      </c>
      <c r="C90" s="9">
        <f t="shared" ref="C90:C102" si="16">SUM(D90:G90)+L90+T90+AC90+AB90</f>
        <v>0</v>
      </c>
      <c r="D90" s="161">
        <f>SUMIFS(考核调整事项表!$C:$C,考核调整事项表!$G:$G,累计考核费用!$B90,考核调整事项表!$D:$D,累计考核费用!D$55)+SUMIFS(考核调整事项表!$E:$E,考核调整事项表!$G:$G,累计考核费用!$B90,考核调整事项表!$F:$F,累计考核费用!D$55)</f>
        <v>0</v>
      </c>
      <c r="E90" s="161">
        <f>SUMIFS(考核调整事项表!$C:$C,考核调整事项表!$G:$G,累计考核费用!$B90,考核调整事项表!$D:$D,累计考核费用!E$55)+SUMIFS(考核调整事项表!$E:$E,考核调整事项表!$G:$G,累计考核费用!$B90,考核调整事项表!$F:$F,累计考核费用!E$55)</f>
        <v>0</v>
      </c>
      <c r="F90" s="161">
        <f>SUMIFS(考核调整事项表!$C:$C,考核调整事项表!$G:$G,累计考核费用!$B90,考核调整事项表!$D:$D,累计考核费用!F$55)+SUMIFS(考核调整事项表!$E:$E,考核调整事项表!$G:$G,累计考核费用!$B90,考核调整事项表!$F:$F,累计考核费用!F$55)</f>
        <v>0</v>
      </c>
      <c r="G90" s="161">
        <f t="shared" si="1"/>
        <v>0</v>
      </c>
      <c r="H90" s="161">
        <f>SUMIFS(考核调整事项表!$C:$C,考核调整事项表!$G:$G,累计考核费用!$B90,考核调整事项表!$D:$D,累计考核费用!H$55)+SUMIFS(考核调整事项表!$E:$E,考核调整事项表!$G:$G,累计考核费用!$B90,考核调整事项表!$F:$F,累计考核费用!H$55)</f>
        <v>0</v>
      </c>
      <c r="I90" s="161">
        <f>SUMIFS(考核调整事项表!$C:$C,考核调整事项表!$G:$G,累计考核费用!$B90,考核调整事项表!$D:$D,累计考核费用!I$55)+SUMIFS(考核调整事项表!$E:$E,考核调整事项表!$G:$G,累计考核费用!$B90,考核调整事项表!$F:$F,累计考核费用!I$55)</f>
        <v>0</v>
      </c>
      <c r="J90" s="161">
        <f>SUMIFS(考核调整事项表!$C:$C,考核调整事项表!$G:$G,累计考核费用!$B90,考核调整事项表!$D:$D,累计考核费用!J$55)+SUMIFS(考核调整事项表!$E:$E,考核调整事项表!$G:$G,累计考核费用!$B90,考核调整事项表!$F:$F,累计考核费用!J$55)</f>
        <v>0</v>
      </c>
      <c r="K90" s="161">
        <f>SUMIFS(考核调整事项表!$C:$C,考核调整事项表!$G:$G,累计考核费用!$B90,考核调整事项表!$D:$D,累计考核费用!K$55)+SUMIFS(考核调整事项表!$E:$E,考核调整事项表!$G:$G,累计考核费用!$B90,考核调整事项表!$F:$F,累计考核费用!K$55)</f>
        <v>0</v>
      </c>
      <c r="L90" s="161">
        <f t="shared" si="2"/>
        <v>0</v>
      </c>
      <c r="M90" s="161">
        <f>SUMIFS(考核调整事项表!$C:$C,考核调整事项表!$G:$G,累计考核费用!$B90,考核调整事项表!$D:$D,累计考核费用!M$55)+SUMIFS(考核调整事项表!$E:$E,考核调整事项表!$G:$G,累计考核费用!$B90,考核调整事项表!$F:$F,累计考核费用!M$55)</f>
        <v>0</v>
      </c>
      <c r="N90" s="161">
        <f>SUMIFS(考核调整事项表!$C:$C,考核调整事项表!$G:$G,累计考核费用!$B90,考核调整事项表!$D:$D,累计考核费用!N$55)+SUMIFS(考核调整事项表!$E:$E,考核调整事项表!$G:$G,累计考核费用!$B90,考核调整事项表!$F:$F,累计考核费用!N$55)</f>
        <v>0</v>
      </c>
      <c r="O90" s="161">
        <f>SUMIFS(考核调整事项表!$C:$C,考核调整事项表!$G:$G,累计考核费用!$B90,考核调整事项表!$D:$D,累计考核费用!O$55)+SUMIFS(考核调整事项表!$E:$E,考核调整事项表!$G:$G,累计考核费用!$B90,考核调整事项表!$F:$F,累计考核费用!O$55)</f>
        <v>0</v>
      </c>
      <c r="P90" s="161">
        <f>SUMIFS(考核调整事项表!$C:$C,考核调整事项表!$G:$G,累计考核费用!$B90,考核调整事项表!$D:$D,累计考核费用!P$55)+SUMIFS(考核调整事项表!$E:$E,考核调整事项表!$G:$G,累计考核费用!$B90,考核调整事项表!$F:$F,累计考核费用!P$55)</f>
        <v>0</v>
      </c>
      <c r="Q90" s="161">
        <f>SUMIFS(考核调整事项表!$C:$C,考核调整事项表!$G:$G,累计考核费用!$B90,考核调整事项表!$D:$D,累计考核费用!Q$55)+SUMIFS(考核调整事项表!$E:$E,考核调整事项表!$G:$G,累计考核费用!$B90,考核调整事项表!$F:$F,累计考核费用!Q$55)</f>
        <v>0</v>
      </c>
      <c r="R90" s="161">
        <f>SUMIFS(考核调整事项表!$C:$C,考核调整事项表!$G:$G,累计考核费用!$B90,考核调整事项表!$D:$D,累计考核费用!R$55)+SUMIFS(考核调整事项表!$E:$E,考核调整事项表!$G:$G,累计考核费用!$B90,考核调整事项表!$F:$F,累计考核费用!R$55)</f>
        <v>0</v>
      </c>
      <c r="S90" s="161">
        <f>SUMIFS(考核调整事项表!$C:$C,考核调整事项表!$G:$G,累计考核费用!$B90,考核调整事项表!$D:$D,累计考核费用!S$55)+SUMIFS(考核调整事项表!$E:$E,考核调整事项表!$G:$G,累计考核费用!$B90,考核调整事项表!$F:$F,累计考核费用!S$55)</f>
        <v>0</v>
      </c>
      <c r="T90" s="164">
        <f t="shared" si="15"/>
        <v>0</v>
      </c>
      <c r="U90" s="161">
        <f>SUMIFS(考核调整事项表!$C:$C,考核调整事项表!$G:$G,累计考核费用!$B90,考核调整事项表!$D:$D,累计考核费用!U$55)+SUMIFS(考核调整事项表!$E:$E,考核调整事项表!$G:$G,累计考核费用!$B90,考核调整事项表!$F:$F,累计考核费用!U$55)</f>
        <v>0</v>
      </c>
      <c r="V90" s="161">
        <f>SUMIFS(考核调整事项表!$C:$C,考核调整事项表!$G:$G,累计考核费用!$B90,考核调整事项表!$D:$D,累计考核费用!V$55)+SUMIFS(考核调整事项表!$E:$E,考核调整事项表!$G:$G,累计考核费用!$B90,考核调整事项表!$F:$F,累计考核费用!V$55)</f>
        <v>0</v>
      </c>
      <c r="W90" s="161">
        <f>SUMIFS(考核调整事项表!$C:$C,考核调整事项表!$G:$G,累计考核费用!$B90,考核调整事项表!$D:$D,累计考核费用!W$55)+SUMIFS(考核调整事项表!$E:$E,考核调整事项表!$G:$G,累计考核费用!$B90,考核调整事项表!$F:$F,累计考核费用!W$55)</f>
        <v>0</v>
      </c>
      <c r="X90" s="161">
        <f>SUMIFS(考核调整事项表!$C:$C,考核调整事项表!$G:$G,累计考核费用!$B90,考核调整事项表!$D:$D,累计考核费用!X$55)+SUMIFS(考核调整事项表!$E:$E,考核调整事项表!$G:$G,累计考核费用!$B90,考核调整事项表!$F:$F,累计考核费用!X$55)</f>
        <v>0</v>
      </c>
      <c r="Y90" s="161">
        <f>SUMIFS(考核调整事项表!$C:$C,考核调整事项表!$G:$G,累计考核费用!$B90,考核调整事项表!$D:$D,累计考核费用!Y$55)+SUMIFS(考核调整事项表!$E:$E,考核调整事项表!$G:$G,累计考核费用!$B90,考核调整事项表!$F:$F,累计考核费用!Y$55)</f>
        <v>0</v>
      </c>
      <c r="Z90" s="161">
        <f>SUMIFS(考核调整事项表!$C:$C,考核调整事项表!$G:$G,累计考核费用!$B90,考核调整事项表!$D:$D,累计考核费用!Z$55)+SUMIFS(考核调整事项表!$E:$E,考核调整事项表!$G:$G,累计考核费用!$B90,考核调整事项表!$F:$F,累计考核费用!Z$55)</f>
        <v>0</v>
      </c>
      <c r="AA90" s="161">
        <f>SUMIFS(考核调整事项表!$C:$C,考核调整事项表!$G:$G,累计考核费用!$B90,考核调整事项表!$D:$D,累计考核费用!AA$55)+SUMIFS(考核调整事项表!$E:$E,考核调整事项表!$G:$G,累计考核费用!$B90,考核调整事项表!$F:$F,累计考核费用!AA$55)</f>
        <v>0</v>
      </c>
      <c r="AB90" s="161">
        <f>SUMIFS(考核调整事项表!$C:$C,考核调整事项表!$G:$G,累计考核费用!$B90,考核调整事项表!$D:$D,累计考核费用!AB$55)+SUMIFS(考核调整事项表!$E:$E,考核调整事项表!$G:$G,累计考核费用!$B90,考核调整事项表!$F:$F,累计考核费用!AB$55)</f>
        <v>0</v>
      </c>
      <c r="AC90" s="161">
        <f>SUMIFS(考核调整事项表!$C:$C,考核调整事项表!$G:$G,累计考核费用!$B90,考核调整事项表!$D:$D,累计考核费用!AC$55)+SUMIFS(考核调整事项表!$E:$E,考核调整事项表!$G:$G,累计考核费用!$B90,考核调整事项表!$F:$F,累计考核费用!AC$55)</f>
        <v>0</v>
      </c>
    </row>
    <row r="91" spans="1:29">
      <c r="A91" s="252"/>
      <c r="B91" s="47" t="s">
        <v>125</v>
      </c>
      <c r="C91" s="9">
        <f t="shared" si="16"/>
        <v>0</v>
      </c>
      <c r="D91" s="161">
        <f>SUMIFS(考核调整事项表!$C:$C,考核调整事项表!$G:$G,累计考核费用!$B91,考核调整事项表!$D:$D,累计考核费用!D$55)+SUMIFS(考核调整事项表!$E:$E,考核调整事项表!$G:$G,累计考核费用!$B91,考核调整事项表!$F:$F,累计考核费用!D$55)</f>
        <v>0</v>
      </c>
      <c r="E91" s="161">
        <f>SUMIFS(考核调整事项表!$C:$C,考核调整事项表!$G:$G,累计考核费用!$B91,考核调整事项表!$D:$D,累计考核费用!E$55)+SUMIFS(考核调整事项表!$E:$E,考核调整事项表!$G:$G,累计考核费用!$B91,考核调整事项表!$F:$F,累计考核费用!E$55)</f>
        <v>0</v>
      </c>
      <c r="F91" s="161">
        <f>SUMIFS(考核调整事项表!$C:$C,考核调整事项表!$G:$G,累计考核费用!$B91,考核调整事项表!$D:$D,累计考核费用!F$55)+SUMIFS(考核调整事项表!$E:$E,考核调整事项表!$G:$G,累计考核费用!$B91,考核调整事项表!$F:$F,累计考核费用!F$55)</f>
        <v>0</v>
      </c>
      <c r="G91" s="161">
        <f t="shared" si="1"/>
        <v>0</v>
      </c>
      <c r="H91" s="161">
        <f>SUMIFS(考核调整事项表!$C:$C,考核调整事项表!$G:$G,累计考核费用!$B91,考核调整事项表!$D:$D,累计考核费用!H$55)+SUMIFS(考核调整事项表!$E:$E,考核调整事项表!$G:$G,累计考核费用!$B91,考核调整事项表!$F:$F,累计考核费用!H$55)</f>
        <v>0</v>
      </c>
      <c r="I91" s="161">
        <f>SUMIFS(考核调整事项表!$C:$C,考核调整事项表!$G:$G,累计考核费用!$B91,考核调整事项表!$D:$D,累计考核费用!I$55)+SUMIFS(考核调整事项表!$E:$E,考核调整事项表!$G:$G,累计考核费用!$B91,考核调整事项表!$F:$F,累计考核费用!I$55)</f>
        <v>0</v>
      </c>
      <c r="J91" s="161">
        <f>SUMIFS(考核调整事项表!$C:$C,考核调整事项表!$G:$G,累计考核费用!$B91,考核调整事项表!$D:$D,累计考核费用!J$55)+SUMIFS(考核调整事项表!$E:$E,考核调整事项表!$G:$G,累计考核费用!$B91,考核调整事项表!$F:$F,累计考核费用!J$55)</f>
        <v>0</v>
      </c>
      <c r="K91" s="161">
        <f>SUMIFS(考核调整事项表!$C:$C,考核调整事项表!$G:$G,累计考核费用!$B91,考核调整事项表!$D:$D,累计考核费用!K$55)+SUMIFS(考核调整事项表!$E:$E,考核调整事项表!$G:$G,累计考核费用!$B91,考核调整事项表!$F:$F,累计考核费用!K$55)</f>
        <v>0</v>
      </c>
      <c r="L91" s="161">
        <f t="shared" si="2"/>
        <v>0</v>
      </c>
      <c r="M91" s="161">
        <f>SUMIFS(考核调整事项表!$C:$C,考核调整事项表!$G:$G,累计考核费用!$B91,考核调整事项表!$D:$D,累计考核费用!M$55)+SUMIFS(考核调整事项表!$E:$E,考核调整事项表!$G:$G,累计考核费用!$B91,考核调整事项表!$F:$F,累计考核费用!M$55)</f>
        <v>0</v>
      </c>
      <c r="N91" s="161">
        <f>SUMIFS(考核调整事项表!$C:$C,考核调整事项表!$G:$G,累计考核费用!$B91,考核调整事项表!$D:$D,累计考核费用!N$55)+SUMIFS(考核调整事项表!$E:$E,考核调整事项表!$G:$G,累计考核费用!$B91,考核调整事项表!$F:$F,累计考核费用!N$55)</f>
        <v>0</v>
      </c>
      <c r="O91" s="161">
        <f>SUMIFS(考核调整事项表!$C:$C,考核调整事项表!$G:$G,累计考核费用!$B91,考核调整事项表!$D:$D,累计考核费用!O$55)+SUMIFS(考核调整事项表!$E:$E,考核调整事项表!$G:$G,累计考核费用!$B91,考核调整事项表!$F:$F,累计考核费用!O$55)</f>
        <v>0</v>
      </c>
      <c r="P91" s="161">
        <f>SUMIFS(考核调整事项表!$C:$C,考核调整事项表!$G:$G,累计考核费用!$B91,考核调整事项表!$D:$D,累计考核费用!P$55)+SUMIFS(考核调整事项表!$E:$E,考核调整事项表!$G:$G,累计考核费用!$B91,考核调整事项表!$F:$F,累计考核费用!P$55)</f>
        <v>0</v>
      </c>
      <c r="Q91" s="161">
        <f>SUMIFS(考核调整事项表!$C:$C,考核调整事项表!$G:$G,累计考核费用!$B91,考核调整事项表!$D:$D,累计考核费用!Q$55)+SUMIFS(考核调整事项表!$E:$E,考核调整事项表!$G:$G,累计考核费用!$B91,考核调整事项表!$F:$F,累计考核费用!Q$55)</f>
        <v>0</v>
      </c>
      <c r="R91" s="161">
        <f>SUMIFS(考核调整事项表!$C:$C,考核调整事项表!$G:$G,累计考核费用!$B91,考核调整事项表!$D:$D,累计考核费用!R$55)+SUMIFS(考核调整事项表!$E:$E,考核调整事项表!$G:$G,累计考核费用!$B91,考核调整事项表!$F:$F,累计考核费用!R$55)</f>
        <v>0</v>
      </c>
      <c r="S91" s="161">
        <f>SUMIFS(考核调整事项表!$C:$C,考核调整事项表!$G:$G,累计考核费用!$B91,考核调整事项表!$D:$D,累计考核费用!S$55)+SUMIFS(考核调整事项表!$E:$E,考核调整事项表!$G:$G,累计考核费用!$B91,考核调整事项表!$F:$F,累计考核费用!S$55)</f>
        <v>0</v>
      </c>
      <c r="T91" s="164">
        <f t="shared" si="15"/>
        <v>0</v>
      </c>
      <c r="U91" s="161">
        <f>SUMIFS(考核调整事项表!$C:$C,考核调整事项表!$G:$G,累计考核费用!$B91,考核调整事项表!$D:$D,累计考核费用!U$55)+SUMIFS(考核调整事项表!$E:$E,考核调整事项表!$G:$G,累计考核费用!$B91,考核调整事项表!$F:$F,累计考核费用!U$55)</f>
        <v>0</v>
      </c>
      <c r="V91" s="161">
        <f>SUMIFS(考核调整事项表!$C:$C,考核调整事项表!$G:$G,累计考核费用!$B91,考核调整事项表!$D:$D,累计考核费用!V$55)+SUMIFS(考核调整事项表!$E:$E,考核调整事项表!$G:$G,累计考核费用!$B91,考核调整事项表!$F:$F,累计考核费用!V$55)</f>
        <v>0</v>
      </c>
      <c r="W91" s="161">
        <f>SUMIFS(考核调整事项表!$C:$C,考核调整事项表!$G:$G,累计考核费用!$B91,考核调整事项表!$D:$D,累计考核费用!W$55)+SUMIFS(考核调整事项表!$E:$E,考核调整事项表!$G:$G,累计考核费用!$B91,考核调整事项表!$F:$F,累计考核费用!W$55)</f>
        <v>0</v>
      </c>
      <c r="X91" s="161">
        <f>SUMIFS(考核调整事项表!$C:$C,考核调整事项表!$G:$G,累计考核费用!$B91,考核调整事项表!$D:$D,累计考核费用!X$55)+SUMIFS(考核调整事项表!$E:$E,考核调整事项表!$G:$G,累计考核费用!$B91,考核调整事项表!$F:$F,累计考核费用!X$55)</f>
        <v>0</v>
      </c>
      <c r="Y91" s="161">
        <f>SUMIFS(考核调整事项表!$C:$C,考核调整事项表!$G:$G,累计考核费用!$B91,考核调整事项表!$D:$D,累计考核费用!Y$55)+SUMIFS(考核调整事项表!$E:$E,考核调整事项表!$G:$G,累计考核费用!$B91,考核调整事项表!$F:$F,累计考核费用!Y$55)</f>
        <v>0</v>
      </c>
      <c r="Z91" s="161">
        <f>SUMIFS(考核调整事项表!$C:$C,考核调整事项表!$G:$G,累计考核费用!$B91,考核调整事项表!$D:$D,累计考核费用!Z$55)+SUMIFS(考核调整事项表!$E:$E,考核调整事项表!$G:$G,累计考核费用!$B91,考核调整事项表!$F:$F,累计考核费用!Z$55)</f>
        <v>0</v>
      </c>
      <c r="AA91" s="161">
        <f>SUMIFS(考核调整事项表!$C:$C,考核调整事项表!$G:$G,累计考核费用!$B91,考核调整事项表!$D:$D,累计考核费用!AA$55)+SUMIFS(考核调整事项表!$E:$E,考核调整事项表!$G:$G,累计考核费用!$B91,考核调整事项表!$F:$F,累计考核费用!AA$55)</f>
        <v>0</v>
      </c>
      <c r="AB91" s="161">
        <f>SUMIFS(考核调整事项表!$C:$C,考核调整事项表!$G:$G,累计考核费用!$B91,考核调整事项表!$D:$D,累计考核费用!AB$55)+SUMIFS(考核调整事项表!$E:$E,考核调整事项表!$G:$G,累计考核费用!$B91,考核调整事项表!$F:$F,累计考核费用!AB$55)</f>
        <v>0</v>
      </c>
      <c r="AC91" s="161">
        <f>SUMIFS(考核调整事项表!$C:$C,考核调整事项表!$G:$G,累计考核费用!$B91,考核调整事项表!$D:$D,累计考核费用!AC$55)+SUMIFS(考核调整事项表!$E:$E,考核调整事项表!$G:$G,累计考核费用!$B91,考核调整事项表!$F:$F,累计考核费用!AC$55)</f>
        <v>0</v>
      </c>
    </row>
    <row r="92" spans="1:29">
      <c r="A92" s="252"/>
      <c r="B92" s="47" t="s">
        <v>126</v>
      </c>
      <c r="C92" s="9">
        <f t="shared" si="16"/>
        <v>0</v>
      </c>
      <c r="D92" s="161">
        <f>SUMIFS(考核调整事项表!$C:$C,考核调整事项表!$G:$G,累计考核费用!$B92,考核调整事项表!$D:$D,累计考核费用!D$55)+SUMIFS(考核调整事项表!$E:$E,考核调整事项表!$G:$G,累计考核费用!$B92,考核调整事项表!$F:$F,累计考核费用!D$55)</f>
        <v>0</v>
      </c>
      <c r="E92" s="161">
        <f>SUMIFS(考核调整事项表!$C:$C,考核调整事项表!$G:$G,累计考核费用!$B92,考核调整事项表!$D:$D,累计考核费用!E$55)+SUMIFS(考核调整事项表!$E:$E,考核调整事项表!$G:$G,累计考核费用!$B92,考核调整事项表!$F:$F,累计考核费用!E$55)</f>
        <v>0</v>
      </c>
      <c r="F92" s="161">
        <f>SUMIFS(考核调整事项表!$C:$C,考核调整事项表!$G:$G,累计考核费用!$B92,考核调整事项表!$D:$D,累计考核费用!F$55)+SUMIFS(考核调整事项表!$E:$E,考核调整事项表!$G:$G,累计考核费用!$B92,考核调整事项表!$F:$F,累计考核费用!F$55)</f>
        <v>0</v>
      </c>
      <c r="G92" s="161">
        <f t="shared" si="1"/>
        <v>0</v>
      </c>
      <c r="H92" s="161">
        <f>SUMIFS(考核调整事项表!$C:$C,考核调整事项表!$G:$G,累计考核费用!$B92,考核调整事项表!$D:$D,累计考核费用!H$55)+SUMIFS(考核调整事项表!$E:$E,考核调整事项表!$G:$G,累计考核费用!$B92,考核调整事项表!$F:$F,累计考核费用!H$55)</f>
        <v>0</v>
      </c>
      <c r="I92" s="161">
        <f>SUMIFS(考核调整事项表!$C:$C,考核调整事项表!$G:$G,累计考核费用!$B92,考核调整事项表!$D:$D,累计考核费用!I$55)+SUMIFS(考核调整事项表!$E:$E,考核调整事项表!$G:$G,累计考核费用!$B92,考核调整事项表!$F:$F,累计考核费用!I$55)</f>
        <v>0</v>
      </c>
      <c r="J92" s="161">
        <f>SUMIFS(考核调整事项表!$C:$C,考核调整事项表!$G:$G,累计考核费用!$B92,考核调整事项表!$D:$D,累计考核费用!J$55)+SUMIFS(考核调整事项表!$E:$E,考核调整事项表!$G:$G,累计考核费用!$B92,考核调整事项表!$F:$F,累计考核费用!J$55)</f>
        <v>0</v>
      </c>
      <c r="K92" s="161">
        <f>SUMIFS(考核调整事项表!$C:$C,考核调整事项表!$G:$G,累计考核费用!$B92,考核调整事项表!$D:$D,累计考核费用!K$55)+SUMIFS(考核调整事项表!$E:$E,考核调整事项表!$G:$G,累计考核费用!$B92,考核调整事项表!$F:$F,累计考核费用!K$55)</f>
        <v>0</v>
      </c>
      <c r="L92" s="161">
        <f t="shared" si="2"/>
        <v>0</v>
      </c>
      <c r="M92" s="161">
        <f>SUMIFS(考核调整事项表!$C:$C,考核调整事项表!$G:$G,累计考核费用!$B92,考核调整事项表!$D:$D,累计考核费用!M$55)+SUMIFS(考核调整事项表!$E:$E,考核调整事项表!$G:$G,累计考核费用!$B92,考核调整事项表!$F:$F,累计考核费用!M$55)</f>
        <v>0</v>
      </c>
      <c r="N92" s="161">
        <f>SUMIFS(考核调整事项表!$C:$C,考核调整事项表!$G:$G,累计考核费用!$B92,考核调整事项表!$D:$D,累计考核费用!N$55)+SUMIFS(考核调整事项表!$E:$E,考核调整事项表!$G:$G,累计考核费用!$B92,考核调整事项表!$F:$F,累计考核费用!N$55)</f>
        <v>0</v>
      </c>
      <c r="O92" s="161">
        <f>SUMIFS(考核调整事项表!$C:$C,考核调整事项表!$G:$G,累计考核费用!$B92,考核调整事项表!$D:$D,累计考核费用!O$55)+SUMIFS(考核调整事项表!$E:$E,考核调整事项表!$G:$G,累计考核费用!$B92,考核调整事项表!$F:$F,累计考核费用!O$55)</f>
        <v>0</v>
      </c>
      <c r="P92" s="161">
        <f>SUMIFS(考核调整事项表!$C:$C,考核调整事项表!$G:$G,累计考核费用!$B92,考核调整事项表!$D:$D,累计考核费用!P$55)+SUMIFS(考核调整事项表!$E:$E,考核调整事项表!$G:$G,累计考核费用!$B92,考核调整事项表!$F:$F,累计考核费用!P$55)</f>
        <v>0</v>
      </c>
      <c r="Q92" s="161">
        <f>SUMIFS(考核调整事项表!$C:$C,考核调整事项表!$G:$G,累计考核费用!$B92,考核调整事项表!$D:$D,累计考核费用!Q$55)+SUMIFS(考核调整事项表!$E:$E,考核调整事项表!$G:$G,累计考核费用!$B92,考核调整事项表!$F:$F,累计考核费用!Q$55)</f>
        <v>0</v>
      </c>
      <c r="R92" s="161">
        <f>SUMIFS(考核调整事项表!$C:$C,考核调整事项表!$G:$G,累计考核费用!$B92,考核调整事项表!$D:$D,累计考核费用!R$55)+SUMIFS(考核调整事项表!$E:$E,考核调整事项表!$G:$G,累计考核费用!$B92,考核调整事项表!$F:$F,累计考核费用!R$55)</f>
        <v>0</v>
      </c>
      <c r="S92" s="161">
        <f>SUMIFS(考核调整事项表!$C:$C,考核调整事项表!$G:$G,累计考核费用!$B92,考核调整事项表!$D:$D,累计考核费用!S$55)+SUMIFS(考核调整事项表!$E:$E,考核调整事项表!$G:$G,累计考核费用!$B92,考核调整事项表!$F:$F,累计考核费用!S$55)</f>
        <v>0</v>
      </c>
      <c r="T92" s="164">
        <f t="shared" si="15"/>
        <v>0</v>
      </c>
      <c r="U92" s="161">
        <f>SUMIFS(考核调整事项表!$C:$C,考核调整事项表!$G:$G,累计考核费用!$B92,考核调整事项表!$D:$D,累计考核费用!U$55)+SUMIFS(考核调整事项表!$E:$E,考核调整事项表!$G:$G,累计考核费用!$B92,考核调整事项表!$F:$F,累计考核费用!U$55)</f>
        <v>0</v>
      </c>
      <c r="V92" s="161">
        <f>SUMIFS(考核调整事项表!$C:$C,考核调整事项表!$G:$G,累计考核费用!$B92,考核调整事项表!$D:$D,累计考核费用!V$55)+SUMIFS(考核调整事项表!$E:$E,考核调整事项表!$G:$G,累计考核费用!$B92,考核调整事项表!$F:$F,累计考核费用!V$55)</f>
        <v>0</v>
      </c>
      <c r="W92" s="161">
        <f>SUMIFS(考核调整事项表!$C:$C,考核调整事项表!$G:$G,累计考核费用!$B92,考核调整事项表!$D:$D,累计考核费用!W$55)+SUMIFS(考核调整事项表!$E:$E,考核调整事项表!$G:$G,累计考核费用!$B92,考核调整事项表!$F:$F,累计考核费用!W$55)</f>
        <v>0</v>
      </c>
      <c r="X92" s="161">
        <f>SUMIFS(考核调整事项表!$C:$C,考核调整事项表!$G:$G,累计考核费用!$B92,考核调整事项表!$D:$D,累计考核费用!X$55)+SUMIFS(考核调整事项表!$E:$E,考核调整事项表!$G:$G,累计考核费用!$B92,考核调整事项表!$F:$F,累计考核费用!X$55)</f>
        <v>0</v>
      </c>
      <c r="Y92" s="161">
        <f>SUMIFS(考核调整事项表!$C:$C,考核调整事项表!$G:$G,累计考核费用!$B92,考核调整事项表!$D:$D,累计考核费用!Y$55)+SUMIFS(考核调整事项表!$E:$E,考核调整事项表!$G:$G,累计考核费用!$B92,考核调整事项表!$F:$F,累计考核费用!Y$55)</f>
        <v>0</v>
      </c>
      <c r="Z92" s="161">
        <f>SUMIFS(考核调整事项表!$C:$C,考核调整事项表!$G:$G,累计考核费用!$B92,考核调整事项表!$D:$D,累计考核费用!Z$55)+SUMIFS(考核调整事项表!$E:$E,考核调整事项表!$G:$G,累计考核费用!$B92,考核调整事项表!$F:$F,累计考核费用!Z$55)</f>
        <v>0</v>
      </c>
      <c r="AA92" s="161">
        <f>SUMIFS(考核调整事项表!$C:$C,考核调整事项表!$G:$G,累计考核费用!$B92,考核调整事项表!$D:$D,累计考核费用!AA$55)+SUMIFS(考核调整事项表!$E:$E,考核调整事项表!$G:$G,累计考核费用!$B92,考核调整事项表!$F:$F,累计考核费用!AA$55)</f>
        <v>0</v>
      </c>
      <c r="AB92" s="161">
        <f>SUMIFS(考核调整事项表!$C:$C,考核调整事项表!$G:$G,累计考核费用!$B92,考核调整事项表!$D:$D,累计考核费用!AB$55)+SUMIFS(考核调整事项表!$E:$E,考核调整事项表!$G:$G,累计考核费用!$B92,考核调整事项表!$F:$F,累计考核费用!AB$55)</f>
        <v>0</v>
      </c>
      <c r="AC92" s="161">
        <f>SUMIFS(考核调整事项表!$C:$C,考核调整事项表!$G:$G,累计考核费用!$B92,考核调整事项表!$D:$D,累计考核费用!AC$55)+SUMIFS(考核调整事项表!$E:$E,考核调整事项表!$G:$G,累计考核费用!$B92,考核调整事项表!$F:$F,累计考核费用!AC$55)</f>
        <v>0</v>
      </c>
    </row>
    <row r="93" spans="1:29">
      <c r="A93" s="252"/>
      <c r="B93" s="47" t="s">
        <v>127</v>
      </c>
      <c r="C93" s="9">
        <f t="shared" si="16"/>
        <v>0</v>
      </c>
      <c r="D93" s="161">
        <f>SUMIFS(考核调整事项表!$C:$C,考核调整事项表!$G:$G,累计考核费用!$B93,考核调整事项表!$D:$D,累计考核费用!D$55)+SUMIFS(考核调整事项表!$E:$E,考核调整事项表!$G:$G,累计考核费用!$B93,考核调整事项表!$F:$F,累计考核费用!D$55)</f>
        <v>0</v>
      </c>
      <c r="E93" s="161">
        <f>SUMIFS(考核调整事项表!$C:$C,考核调整事项表!$G:$G,累计考核费用!$B93,考核调整事项表!$D:$D,累计考核费用!E$55)+SUMIFS(考核调整事项表!$E:$E,考核调整事项表!$G:$G,累计考核费用!$B93,考核调整事项表!$F:$F,累计考核费用!E$55)</f>
        <v>0</v>
      </c>
      <c r="F93" s="161">
        <f>SUMIFS(考核调整事项表!$C:$C,考核调整事项表!$G:$G,累计考核费用!$B93,考核调整事项表!$D:$D,累计考核费用!F$55)+SUMIFS(考核调整事项表!$E:$E,考核调整事项表!$G:$G,累计考核费用!$B93,考核调整事项表!$F:$F,累计考核费用!F$55)</f>
        <v>0</v>
      </c>
      <c r="G93" s="161">
        <f t="shared" si="1"/>
        <v>0</v>
      </c>
      <c r="H93" s="161">
        <f>SUMIFS(考核调整事项表!$C:$C,考核调整事项表!$G:$G,累计考核费用!$B93,考核调整事项表!$D:$D,累计考核费用!H$55)+SUMIFS(考核调整事项表!$E:$E,考核调整事项表!$G:$G,累计考核费用!$B93,考核调整事项表!$F:$F,累计考核费用!H$55)</f>
        <v>0</v>
      </c>
      <c r="I93" s="161">
        <f>SUMIFS(考核调整事项表!$C:$C,考核调整事项表!$G:$G,累计考核费用!$B93,考核调整事项表!$D:$D,累计考核费用!I$55)+SUMIFS(考核调整事项表!$E:$E,考核调整事项表!$G:$G,累计考核费用!$B93,考核调整事项表!$F:$F,累计考核费用!I$55)</f>
        <v>0</v>
      </c>
      <c r="J93" s="161">
        <f>SUMIFS(考核调整事项表!$C:$C,考核调整事项表!$G:$G,累计考核费用!$B93,考核调整事项表!$D:$D,累计考核费用!J$55)+SUMIFS(考核调整事项表!$E:$E,考核调整事项表!$G:$G,累计考核费用!$B93,考核调整事项表!$F:$F,累计考核费用!J$55)</f>
        <v>0</v>
      </c>
      <c r="K93" s="161">
        <f>SUMIFS(考核调整事项表!$C:$C,考核调整事项表!$G:$G,累计考核费用!$B93,考核调整事项表!$D:$D,累计考核费用!K$55)+SUMIFS(考核调整事项表!$E:$E,考核调整事项表!$G:$G,累计考核费用!$B93,考核调整事项表!$F:$F,累计考核费用!K$55)</f>
        <v>0</v>
      </c>
      <c r="L93" s="161">
        <f t="shared" si="2"/>
        <v>0</v>
      </c>
      <c r="M93" s="161">
        <f>SUMIFS(考核调整事项表!$C:$C,考核调整事项表!$G:$G,累计考核费用!$B93,考核调整事项表!$D:$D,累计考核费用!M$55)+SUMIFS(考核调整事项表!$E:$E,考核调整事项表!$G:$G,累计考核费用!$B93,考核调整事项表!$F:$F,累计考核费用!M$55)</f>
        <v>0</v>
      </c>
      <c r="N93" s="161">
        <f>SUMIFS(考核调整事项表!$C:$C,考核调整事项表!$G:$G,累计考核费用!$B93,考核调整事项表!$D:$D,累计考核费用!N$55)+SUMIFS(考核调整事项表!$E:$E,考核调整事项表!$G:$G,累计考核费用!$B93,考核调整事项表!$F:$F,累计考核费用!N$55)</f>
        <v>0</v>
      </c>
      <c r="O93" s="161">
        <f>SUMIFS(考核调整事项表!$C:$C,考核调整事项表!$G:$G,累计考核费用!$B93,考核调整事项表!$D:$D,累计考核费用!O$55)+SUMIFS(考核调整事项表!$E:$E,考核调整事项表!$G:$G,累计考核费用!$B93,考核调整事项表!$F:$F,累计考核费用!O$55)</f>
        <v>0</v>
      </c>
      <c r="P93" s="161">
        <f>SUMIFS(考核调整事项表!$C:$C,考核调整事项表!$G:$G,累计考核费用!$B93,考核调整事项表!$D:$D,累计考核费用!P$55)+SUMIFS(考核调整事项表!$E:$E,考核调整事项表!$G:$G,累计考核费用!$B93,考核调整事项表!$F:$F,累计考核费用!P$55)</f>
        <v>0</v>
      </c>
      <c r="Q93" s="161">
        <f>SUMIFS(考核调整事项表!$C:$C,考核调整事项表!$G:$G,累计考核费用!$B93,考核调整事项表!$D:$D,累计考核费用!Q$55)+SUMIFS(考核调整事项表!$E:$E,考核调整事项表!$G:$G,累计考核费用!$B93,考核调整事项表!$F:$F,累计考核费用!Q$55)</f>
        <v>0</v>
      </c>
      <c r="R93" s="161">
        <f>SUMIFS(考核调整事项表!$C:$C,考核调整事项表!$G:$G,累计考核费用!$B93,考核调整事项表!$D:$D,累计考核费用!R$55)+SUMIFS(考核调整事项表!$E:$E,考核调整事项表!$G:$G,累计考核费用!$B93,考核调整事项表!$F:$F,累计考核费用!R$55)</f>
        <v>0</v>
      </c>
      <c r="S93" s="161">
        <f>SUMIFS(考核调整事项表!$C:$C,考核调整事项表!$G:$G,累计考核费用!$B93,考核调整事项表!$D:$D,累计考核费用!S$55)+SUMIFS(考核调整事项表!$E:$E,考核调整事项表!$G:$G,累计考核费用!$B93,考核调整事项表!$F:$F,累计考核费用!S$55)</f>
        <v>0</v>
      </c>
      <c r="T93" s="164">
        <f t="shared" si="15"/>
        <v>0</v>
      </c>
      <c r="U93" s="161">
        <f>SUMIFS(考核调整事项表!$C:$C,考核调整事项表!$G:$G,累计考核费用!$B93,考核调整事项表!$D:$D,累计考核费用!U$55)+SUMIFS(考核调整事项表!$E:$E,考核调整事项表!$G:$G,累计考核费用!$B93,考核调整事项表!$F:$F,累计考核费用!U$55)</f>
        <v>0</v>
      </c>
      <c r="V93" s="161">
        <f>SUMIFS(考核调整事项表!$C:$C,考核调整事项表!$G:$G,累计考核费用!$B93,考核调整事项表!$D:$D,累计考核费用!V$55)+SUMIFS(考核调整事项表!$E:$E,考核调整事项表!$G:$G,累计考核费用!$B93,考核调整事项表!$F:$F,累计考核费用!V$55)</f>
        <v>0</v>
      </c>
      <c r="W93" s="161">
        <f>SUMIFS(考核调整事项表!$C:$C,考核调整事项表!$G:$G,累计考核费用!$B93,考核调整事项表!$D:$D,累计考核费用!W$55)+SUMIFS(考核调整事项表!$E:$E,考核调整事项表!$G:$G,累计考核费用!$B93,考核调整事项表!$F:$F,累计考核费用!W$55)</f>
        <v>0</v>
      </c>
      <c r="X93" s="161">
        <f>SUMIFS(考核调整事项表!$C:$C,考核调整事项表!$G:$G,累计考核费用!$B93,考核调整事项表!$D:$D,累计考核费用!X$55)+SUMIFS(考核调整事项表!$E:$E,考核调整事项表!$G:$G,累计考核费用!$B93,考核调整事项表!$F:$F,累计考核费用!X$55)</f>
        <v>0</v>
      </c>
      <c r="Y93" s="161">
        <f>SUMIFS(考核调整事项表!$C:$C,考核调整事项表!$G:$G,累计考核费用!$B93,考核调整事项表!$D:$D,累计考核费用!Y$55)+SUMIFS(考核调整事项表!$E:$E,考核调整事项表!$G:$G,累计考核费用!$B93,考核调整事项表!$F:$F,累计考核费用!Y$55)</f>
        <v>0</v>
      </c>
      <c r="Z93" s="161">
        <f>SUMIFS(考核调整事项表!$C:$C,考核调整事项表!$G:$G,累计考核费用!$B93,考核调整事项表!$D:$D,累计考核费用!Z$55)+SUMIFS(考核调整事项表!$E:$E,考核调整事项表!$G:$G,累计考核费用!$B93,考核调整事项表!$F:$F,累计考核费用!Z$55)</f>
        <v>0</v>
      </c>
      <c r="AA93" s="161">
        <f>SUMIFS(考核调整事项表!$C:$C,考核调整事项表!$G:$G,累计考核费用!$B93,考核调整事项表!$D:$D,累计考核费用!AA$55)+SUMIFS(考核调整事项表!$E:$E,考核调整事项表!$G:$G,累计考核费用!$B93,考核调整事项表!$F:$F,累计考核费用!AA$55)</f>
        <v>0</v>
      </c>
      <c r="AB93" s="161">
        <f>SUMIFS(考核调整事项表!$C:$C,考核调整事项表!$G:$G,累计考核费用!$B93,考核调整事项表!$D:$D,累计考核费用!AB$55)+SUMIFS(考核调整事项表!$E:$E,考核调整事项表!$G:$G,累计考核费用!$B93,考核调整事项表!$F:$F,累计考核费用!AB$55)</f>
        <v>0</v>
      </c>
      <c r="AC93" s="161">
        <f>SUMIFS(考核调整事项表!$C:$C,考核调整事项表!$G:$G,累计考核费用!$B93,考核调整事项表!$D:$D,累计考核费用!AC$55)+SUMIFS(考核调整事项表!$E:$E,考核调整事项表!$G:$G,累计考核费用!$B93,考核调整事项表!$F:$F,累计考核费用!AC$55)</f>
        <v>0</v>
      </c>
    </row>
    <row r="94" spans="1:29">
      <c r="A94" s="252"/>
      <c r="B94" s="47" t="s">
        <v>128</v>
      </c>
      <c r="C94" s="9">
        <f t="shared" si="16"/>
        <v>0</v>
      </c>
      <c r="D94" s="161">
        <f>SUMIFS(考核调整事项表!$C:$C,考核调整事项表!$G:$G,累计考核费用!$B94,考核调整事项表!$D:$D,累计考核费用!D$55)+SUMIFS(考核调整事项表!$E:$E,考核调整事项表!$G:$G,累计考核费用!$B94,考核调整事项表!$F:$F,累计考核费用!D$55)</f>
        <v>0</v>
      </c>
      <c r="E94" s="161">
        <f>SUMIFS(考核调整事项表!$C:$C,考核调整事项表!$G:$G,累计考核费用!$B94,考核调整事项表!$D:$D,累计考核费用!E$55)+SUMIFS(考核调整事项表!$E:$E,考核调整事项表!$G:$G,累计考核费用!$B94,考核调整事项表!$F:$F,累计考核费用!E$55)</f>
        <v>0</v>
      </c>
      <c r="F94" s="161">
        <f>SUMIFS(考核调整事项表!$C:$C,考核调整事项表!$G:$G,累计考核费用!$B94,考核调整事项表!$D:$D,累计考核费用!F$55)+SUMIFS(考核调整事项表!$E:$E,考核调整事项表!$G:$G,累计考核费用!$B94,考核调整事项表!$F:$F,累计考核费用!F$55)</f>
        <v>0</v>
      </c>
      <c r="G94" s="161">
        <f t="shared" si="1"/>
        <v>0</v>
      </c>
      <c r="H94" s="161">
        <f>SUMIFS(考核调整事项表!$C:$C,考核调整事项表!$G:$G,累计考核费用!$B94,考核调整事项表!$D:$D,累计考核费用!H$55)+SUMIFS(考核调整事项表!$E:$E,考核调整事项表!$G:$G,累计考核费用!$B94,考核调整事项表!$F:$F,累计考核费用!H$55)</f>
        <v>0</v>
      </c>
      <c r="I94" s="161">
        <f>SUMIFS(考核调整事项表!$C:$C,考核调整事项表!$G:$G,累计考核费用!$B94,考核调整事项表!$D:$D,累计考核费用!I$55)+SUMIFS(考核调整事项表!$E:$E,考核调整事项表!$G:$G,累计考核费用!$B94,考核调整事项表!$F:$F,累计考核费用!I$55)</f>
        <v>0</v>
      </c>
      <c r="J94" s="161">
        <f>SUMIFS(考核调整事项表!$C:$C,考核调整事项表!$G:$G,累计考核费用!$B94,考核调整事项表!$D:$D,累计考核费用!J$55)+SUMIFS(考核调整事项表!$E:$E,考核调整事项表!$G:$G,累计考核费用!$B94,考核调整事项表!$F:$F,累计考核费用!J$55)</f>
        <v>0</v>
      </c>
      <c r="K94" s="161">
        <f>SUMIFS(考核调整事项表!$C:$C,考核调整事项表!$G:$G,累计考核费用!$B94,考核调整事项表!$D:$D,累计考核费用!K$55)+SUMIFS(考核调整事项表!$E:$E,考核调整事项表!$G:$G,累计考核费用!$B94,考核调整事项表!$F:$F,累计考核费用!K$55)</f>
        <v>0</v>
      </c>
      <c r="L94" s="161">
        <f t="shared" si="2"/>
        <v>0</v>
      </c>
      <c r="M94" s="161">
        <f>SUMIFS(考核调整事项表!$C:$C,考核调整事项表!$G:$G,累计考核费用!$B94,考核调整事项表!$D:$D,累计考核费用!M$55)+SUMIFS(考核调整事项表!$E:$E,考核调整事项表!$G:$G,累计考核费用!$B94,考核调整事项表!$F:$F,累计考核费用!M$55)</f>
        <v>0</v>
      </c>
      <c r="N94" s="161">
        <f>SUMIFS(考核调整事项表!$C:$C,考核调整事项表!$G:$G,累计考核费用!$B94,考核调整事项表!$D:$D,累计考核费用!N$55)+SUMIFS(考核调整事项表!$E:$E,考核调整事项表!$G:$G,累计考核费用!$B94,考核调整事项表!$F:$F,累计考核费用!N$55)</f>
        <v>0</v>
      </c>
      <c r="O94" s="161">
        <f>SUMIFS(考核调整事项表!$C:$C,考核调整事项表!$G:$G,累计考核费用!$B94,考核调整事项表!$D:$D,累计考核费用!O$55)+SUMIFS(考核调整事项表!$E:$E,考核调整事项表!$G:$G,累计考核费用!$B94,考核调整事项表!$F:$F,累计考核费用!O$55)</f>
        <v>0</v>
      </c>
      <c r="P94" s="161">
        <f>SUMIFS(考核调整事项表!$C:$C,考核调整事项表!$G:$G,累计考核费用!$B94,考核调整事项表!$D:$D,累计考核费用!P$55)+SUMIFS(考核调整事项表!$E:$E,考核调整事项表!$G:$G,累计考核费用!$B94,考核调整事项表!$F:$F,累计考核费用!P$55)</f>
        <v>0</v>
      </c>
      <c r="Q94" s="161">
        <f>SUMIFS(考核调整事项表!$C:$C,考核调整事项表!$G:$G,累计考核费用!$B94,考核调整事项表!$D:$D,累计考核费用!Q$55)+SUMIFS(考核调整事项表!$E:$E,考核调整事项表!$G:$G,累计考核费用!$B94,考核调整事项表!$F:$F,累计考核费用!Q$55)</f>
        <v>0</v>
      </c>
      <c r="R94" s="161">
        <f>SUMIFS(考核调整事项表!$C:$C,考核调整事项表!$G:$G,累计考核费用!$B94,考核调整事项表!$D:$D,累计考核费用!R$55)+SUMIFS(考核调整事项表!$E:$E,考核调整事项表!$G:$G,累计考核费用!$B94,考核调整事项表!$F:$F,累计考核费用!R$55)</f>
        <v>0</v>
      </c>
      <c r="S94" s="161">
        <f>SUMIFS(考核调整事项表!$C:$C,考核调整事项表!$G:$G,累计考核费用!$B94,考核调整事项表!$D:$D,累计考核费用!S$55)+SUMIFS(考核调整事项表!$E:$E,考核调整事项表!$G:$G,累计考核费用!$B94,考核调整事项表!$F:$F,累计考核费用!S$55)</f>
        <v>0</v>
      </c>
      <c r="T94" s="164">
        <f t="shared" si="15"/>
        <v>0</v>
      </c>
      <c r="U94" s="161">
        <f>SUMIFS(考核调整事项表!$C:$C,考核调整事项表!$G:$G,累计考核费用!$B94,考核调整事项表!$D:$D,累计考核费用!U$55)+SUMIFS(考核调整事项表!$E:$E,考核调整事项表!$G:$G,累计考核费用!$B94,考核调整事项表!$F:$F,累计考核费用!U$55)</f>
        <v>0</v>
      </c>
      <c r="V94" s="161">
        <f>SUMIFS(考核调整事项表!$C:$C,考核调整事项表!$G:$G,累计考核费用!$B94,考核调整事项表!$D:$D,累计考核费用!V$55)+SUMIFS(考核调整事项表!$E:$E,考核调整事项表!$G:$G,累计考核费用!$B94,考核调整事项表!$F:$F,累计考核费用!V$55)</f>
        <v>0</v>
      </c>
      <c r="W94" s="161">
        <f>SUMIFS(考核调整事项表!$C:$C,考核调整事项表!$G:$G,累计考核费用!$B94,考核调整事项表!$D:$D,累计考核费用!W$55)+SUMIFS(考核调整事项表!$E:$E,考核调整事项表!$G:$G,累计考核费用!$B94,考核调整事项表!$F:$F,累计考核费用!W$55)</f>
        <v>0</v>
      </c>
      <c r="X94" s="161">
        <f>SUMIFS(考核调整事项表!$C:$C,考核调整事项表!$G:$G,累计考核费用!$B94,考核调整事项表!$D:$D,累计考核费用!X$55)+SUMIFS(考核调整事项表!$E:$E,考核调整事项表!$G:$G,累计考核费用!$B94,考核调整事项表!$F:$F,累计考核费用!X$55)</f>
        <v>0</v>
      </c>
      <c r="Y94" s="161">
        <f>SUMIFS(考核调整事项表!$C:$C,考核调整事项表!$G:$G,累计考核费用!$B94,考核调整事项表!$D:$D,累计考核费用!Y$55)+SUMIFS(考核调整事项表!$E:$E,考核调整事项表!$G:$G,累计考核费用!$B94,考核调整事项表!$F:$F,累计考核费用!Y$55)</f>
        <v>0</v>
      </c>
      <c r="Z94" s="161">
        <f>SUMIFS(考核调整事项表!$C:$C,考核调整事项表!$G:$G,累计考核费用!$B94,考核调整事项表!$D:$D,累计考核费用!Z$55)+SUMIFS(考核调整事项表!$E:$E,考核调整事项表!$G:$G,累计考核费用!$B94,考核调整事项表!$F:$F,累计考核费用!Z$55)</f>
        <v>0</v>
      </c>
      <c r="AA94" s="161">
        <f>SUMIFS(考核调整事项表!$C:$C,考核调整事项表!$G:$G,累计考核费用!$B94,考核调整事项表!$D:$D,累计考核费用!AA$55)+SUMIFS(考核调整事项表!$E:$E,考核调整事项表!$G:$G,累计考核费用!$B94,考核调整事项表!$F:$F,累计考核费用!AA$55)</f>
        <v>0</v>
      </c>
      <c r="AB94" s="161">
        <f>SUMIFS(考核调整事项表!$C:$C,考核调整事项表!$G:$G,累计考核费用!$B94,考核调整事项表!$D:$D,累计考核费用!AB$55)+SUMIFS(考核调整事项表!$E:$E,考核调整事项表!$G:$G,累计考核费用!$B94,考核调整事项表!$F:$F,累计考核费用!AB$55)</f>
        <v>0</v>
      </c>
      <c r="AC94" s="161">
        <f>SUMIFS(考核调整事项表!$C:$C,考核调整事项表!$G:$G,累计考核费用!$B94,考核调整事项表!$D:$D,累计考核费用!AC$55)+SUMIFS(考核调整事项表!$E:$E,考核调整事项表!$G:$G,累计考核费用!$B94,考核调整事项表!$F:$F,累计考核费用!AC$55)</f>
        <v>0</v>
      </c>
    </row>
    <row r="95" spans="1:29">
      <c r="A95" s="252"/>
      <c r="B95" s="47" t="s">
        <v>129</v>
      </c>
      <c r="C95" s="9">
        <f t="shared" si="16"/>
        <v>0</v>
      </c>
      <c r="D95" s="161">
        <f>SUMIFS(考核调整事项表!$C:$C,考核调整事项表!$G:$G,累计考核费用!$B95,考核调整事项表!$D:$D,累计考核费用!D$55)+SUMIFS(考核调整事项表!$E:$E,考核调整事项表!$G:$G,累计考核费用!$B95,考核调整事项表!$F:$F,累计考核费用!D$55)</f>
        <v>0</v>
      </c>
      <c r="E95" s="161">
        <f>SUMIFS(考核调整事项表!$C:$C,考核调整事项表!$G:$G,累计考核费用!$B95,考核调整事项表!$D:$D,累计考核费用!E$55)+SUMIFS(考核调整事项表!$E:$E,考核调整事项表!$G:$G,累计考核费用!$B95,考核调整事项表!$F:$F,累计考核费用!E$55)</f>
        <v>0</v>
      </c>
      <c r="F95" s="161">
        <f>SUMIFS(考核调整事项表!$C:$C,考核调整事项表!$G:$G,累计考核费用!$B95,考核调整事项表!$D:$D,累计考核费用!F$55)+SUMIFS(考核调整事项表!$E:$E,考核调整事项表!$G:$G,累计考核费用!$B95,考核调整事项表!$F:$F,累计考核费用!F$55)</f>
        <v>0</v>
      </c>
      <c r="G95" s="161">
        <f t="shared" si="1"/>
        <v>0</v>
      </c>
      <c r="H95" s="161">
        <f>SUMIFS(考核调整事项表!$C:$C,考核调整事项表!$G:$G,累计考核费用!$B95,考核调整事项表!$D:$D,累计考核费用!H$55)+SUMIFS(考核调整事项表!$E:$E,考核调整事项表!$G:$G,累计考核费用!$B95,考核调整事项表!$F:$F,累计考核费用!H$55)</f>
        <v>0</v>
      </c>
      <c r="I95" s="161">
        <f>SUMIFS(考核调整事项表!$C:$C,考核调整事项表!$G:$G,累计考核费用!$B95,考核调整事项表!$D:$D,累计考核费用!I$55)+SUMIFS(考核调整事项表!$E:$E,考核调整事项表!$G:$G,累计考核费用!$B95,考核调整事项表!$F:$F,累计考核费用!I$55)</f>
        <v>0</v>
      </c>
      <c r="J95" s="161">
        <f>SUMIFS(考核调整事项表!$C:$C,考核调整事项表!$G:$G,累计考核费用!$B95,考核调整事项表!$D:$D,累计考核费用!J$55)+SUMIFS(考核调整事项表!$E:$E,考核调整事项表!$G:$G,累计考核费用!$B95,考核调整事项表!$F:$F,累计考核费用!J$55)</f>
        <v>0</v>
      </c>
      <c r="K95" s="161">
        <f>SUMIFS(考核调整事项表!$C:$C,考核调整事项表!$G:$G,累计考核费用!$B95,考核调整事项表!$D:$D,累计考核费用!K$55)+SUMIFS(考核调整事项表!$E:$E,考核调整事项表!$G:$G,累计考核费用!$B95,考核调整事项表!$F:$F,累计考核费用!K$55)</f>
        <v>0</v>
      </c>
      <c r="L95" s="161">
        <f t="shared" si="2"/>
        <v>0</v>
      </c>
      <c r="M95" s="161">
        <f>SUMIFS(考核调整事项表!$C:$C,考核调整事项表!$G:$G,累计考核费用!$B95,考核调整事项表!$D:$D,累计考核费用!M$55)+SUMIFS(考核调整事项表!$E:$E,考核调整事项表!$G:$G,累计考核费用!$B95,考核调整事项表!$F:$F,累计考核费用!M$55)</f>
        <v>0</v>
      </c>
      <c r="N95" s="161">
        <f>SUMIFS(考核调整事项表!$C:$C,考核调整事项表!$G:$G,累计考核费用!$B95,考核调整事项表!$D:$D,累计考核费用!N$55)+SUMIFS(考核调整事项表!$E:$E,考核调整事项表!$G:$G,累计考核费用!$B95,考核调整事项表!$F:$F,累计考核费用!N$55)</f>
        <v>0</v>
      </c>
      <c r="O95" s="161">
        <f>SUMIFS(考核调整事项表!$C:$C,考核调整事项表!$G:$G,累计考核费用!$B95,考核调整事项表!$D:$D,累计考核费用!O$55)+SUMIFS(考核调整事项表!$E:$E,考核调整事项表!$G:$G,累计考核费用!$B95,考核调整事项表!$F:$F,累计考核费用!O$55)</f>
        <v>0</v>
      </c>
      <c r="P95" s="161">
        <f>SUMIFS(考核调整事项表!$C:$C,考核调整事项表!$G:$G,累计考核费用!$B95,考核调整事项表!$D:$D,累计考核费用!P$55)+SUMIFS(考核调整事项表!$E:$E,考核调整事项表!$G:$G,累计考核费用!$B95,考核调整事项表!$F:$F,累计考核费用!P$55)</f>
        <v>0</v>
      </c>
      <c r="Q95" s="161">
        <f>SUMIFS(考核调整事项表!$C:$C,考核调整事项表!$G:$G,累计考核费用!$B95,考核调整事项表!$D:$D,累计考核费用!Q$55)+SUMIFS(考核调整事项表!$E:$E,考核调整事项表!$G:$G,累计考核费用!$B95,考核调整事项表!$F:$F,累计考核费用!Q$55)</f>
        <v>0</v>
      </c>
      <c r="R95" s="161">
        <f>SUMIFS(考核调整事项表!$C:$C,考核调整事项表!$G:$G,累计考核费用!$B95,考核调整事项表!$D:$D,累计考核费用!R$55)+SUMIFS(考核调整事项表!$E:$E,考核调整事项表!$G:$G,累计考核费用!$B95,考核调整事项表!$F:$F,累计考核费用!R$55)</f>
        <v>0</v>
      </c>
      <c r="S95" s="161">
        <f>SUMIFS(考核调整事项表!$C:$C,考核调整事项表!$G:$G,累计考核费用!$B95,考核调整事项表!$D:$D,累计考核费用!S$55)+SUMIFS(考核调整事项表!$E:$E,考核调整事项表!$G:$G,累计考核费用!$B95,考核调整事项表!$F:$F,累计考核费用!S$55)</f>
        <v>0</v>
      </c>
      <c r="T95" s="164">
        <f t="shared" si="15"/>
        <v>0</v>
      </c>
      <c r="U95" s="161">
        <f>SUMIFS(考核调整事项表!$C:$C,考核调整事项表!$G:$G,累计考核费用!$B95,考核调整事项表!$D:$D,累计考核费用!U$55)+SUMIFS(考核调整事项表!$E:$E,考核调整事项表!$G:$G,累计考核费用!$B95,考核调整事项表!$F:$F,累计考核费用!U$55)</f>
        <v>0</v>
      </c>
      <c r="V95" s="161">
        <f>SUMIFS(考核调整事项表!$C:$C,考核调整事项表!$G:$G,累计考核费用!$B95,考核调整事项表!$D:$D,累计考核费用!V$55)+SUMIFS(考核调整事项表!$E:$E,考核调整事项表!$G:$G,累计考核费用!$B95,考核调整事项表!$F:$F,累计考核费用!V$55)</f>
        <v>0</v>
      </c>
      <c r="W95" s="161">
        <f>SUMIFS(考核调整事项表!$C:$C,考核调整事项表!$G:$G,累计考核费用!$B95,考核调整事项表!$D:$D,累计考核费用!W$55)+SUMIFS(考核调整事项表!$E:$E,考核调整事项表!$G:$G,累计考核费用!$B95,考核调整事项表!$F:$F,累计考核费用!W$55)</f>
        <v>0</v>
      </c>
      <c r="X95" s="161">
        <f>SUMIFS(考核调整事项表!$C:$C,考核调整事项表!$G:$G,累计考核费用!$B95,考核调整事项表!$D:$D,累计考核费用!X$55)+SUMIFS(考核调整事项表!$E:$E,考核调整事项表!$G:$G,累计考核费用!$B95,考核调整事项表!$F:$F,累计考核费用!X$55)</f>
        <v>0</v>
      </c>
      <c r="Y95" s="161">
        <f>SUMIFS(考核调整事项表!$C:$C,考核调整事项表!$G:$G,累计考核费用!$B95,考核调整事项表!$D:$D,累计考核费用!Y$55)+SUMIFS(考核调整事项表!$E:$E,考核调整事项表!$G:$G,累计考核费用!$B95,考核调整事项表!$F:$F,累计考核费用!Y$55)</f>
        <v>0</v>
      </c>
      <c r="Z95" s="161">
        <f>SUMIFS(考核调整事项表!$C:$C,考核调整事项表!$G:$G,累计考核费用!$B95,考核调整事项表!$D:$D,累计考核费用!Z$55)+SUMIFS(考核调整事项表!$E:$E,考核调整事项表!$G:$G,累计考核费用!$B95,考核调整事项表!$F:$F,累计考核费用!Z$55)</f>
        <v>0</v>
      </c>
      <c r="AA95" s="161">
        <f>SUMIFS(考核调整事项表!$C:$C,考核调整事项表!$G:$G,累计考核费用!$B95,考核调整事项表!$D:$D,累计考核费用!AA$55)+SUMIFS(考核调整事项表!$E:$E,考核调整事项表!$G:$G,累计考核费用!$B95,考核调整事项表!$F:$F,累计考核费用!AA$55)</f>
        <v>0</v>
      </c>
      <c r="AB95" s="161">
        <f>SUMIFS(考核调整事项表!$C:$C,考核调整事项表!$G:$G,累计考核费用!$B95,考核调整事项表!$D:$D,累计考核费用!AB$55)+SUMIFS(考核调整事项表!$E:$E,考核调整事项表!$G:$G,累计考核费用!$B95,考核调整事项表!$F:$F,累计考核费用!AB$55)</f>
        <v>0</v>
      </c>
      <c r="AC95" s="161">
        <f>SUMIFS(考核调整事项表!$C:$C,考核调整事项表!$G:$G,累计考核费用!$B95,考核调整事项表!$D:$D,累计考核费用!AC$55)+SUMIFS(考核调整事项表!$E:$E,考核调整事项表!$G:$G,累计考核费用!$B95,考核调整事项表!$F:$F,累计考核费用!AC$55)</f>
        <v>0</v>
      </c>
    </row>
    <row r="96" spans="1:29" ht="13.5" customHeight="1">
      <c r="A96" s="252"/>
      <c r="B96" s="47" t="s">
        <v>130</v>
      </c>
      <c r="C96" s="9">
        <f t="shared" si="16"/>
        <v>0</v>
      </c>
      <c r="D96" s="161">
        <f>SUMIFS(考核调整事项表!$C:$C,考核调整事项表!$G:$G,累计考核费用!$B96,考核调整事项表!$D:$D,累计考核费用!D$55)+SUMIFS(考核调整事项表!$E:$E,考核调整事项表!$G:$G,累计考核费用!$B96,考核调整事项表!$F:$F,累计考核费用!D$55)</f>
        <v>0</v>
      </c>
      <c r="E96" s="161">
        <f>SUMIFS(考核调整事项表!$C:$C,考核调整事项表!$G:$G,累计考核费用!$B96,考核调整事项表!$D:$D,累计考核费用!E$55)+SUMIFS(考核调整事项表!$E:$E,考核调整事项表!$G:$G,累计考核费用!$B96,考核调整事项表!$F:$F,累计考核费用!E$55)</f>
        <v>0</v>
      </c>
      <c r="F96" s="161">
        <f>SUMIFS(考核调整事项表!$C:$C,考核调整事项表!$G:$G,累计考核费用!$B96,考核调整事项表!$D:$D,累计考核费用!F$55)+SUMIFS(考核调整事项表!$E:$E,考核调整事项表!$G:$G,累计考核费用!$B96,考核调整事项表!$F:$F,累计考核费用!F$55)</f>
        <v>0</v>
      </c>
      <c r="G96" s="161">
        <f t="shared" si="1"/>
        <v>0</v>
      </c>
      <c r="H96" s="161">
        <f>SUMIFS(考核调整事项表!$C:$C,考核调整事项表!$G:$G,累计考核费用!$B96,考核调整事项表!$D:$D,累计考核费用!H$55)+SUMIFS(考核调整事项表!$E:$E,考核调整事项表!$G:$G,累计考核费用!$B96,考核调整事项表!$F:$F,累计考核费用!H$55)</f>
        <v>0</v>
      </c>
      <c r="I96" s="161">
        <f>SUMIFS(考核调整事项表!$C:$C,考核调整事项表!$G:$G,累计考核费用!$B96,考核调整事项表!$D:$D,累计考核费用!I$55)+SUMIFS(考核调整事项表!$E:$E,考核调整事项表!$G:$G,累计考核费用!$B96,考核调整事项表!$F:$F,累计考核费用!I$55)</f>
        <v>0</v>
      </c>
      <c r="J96" s="161">
        <f>SUMIFS(考核调整事项表!$C:$C,考核调整事项表!$G:$G,累计考核费用!$B96,考核调整事项表!$D:$D,累计考核费用!J$55)+SUMIFS(考核调整事项表!$E:$E,考核调整事项表!$G:$G,累计考核费用!$B96,考核调整事项表!$F:$F,累计考核费用!J$55)</f>
        <v>0</v>
      </c>
      <c r="K96" s="161">
        <f>SUMIFS(考核调整事项表!$C:$C,考核调整事项表!$G:$G,累计考核费用!$B96,考核调整事项表!$D:$D,累计考核费用!K$55)+SUMIFS(考核调整事项表!$E:$E,考核调整事项表!$G:$G,累计考核费用!$B96,考核调整事项表!$F:$F,累计考核费用!K$55)</f>
        <v>0</v>
      </c>
      <c r="L96" s="161">
        <f t="shared" si="2"/>
        <v>0</v>
      </c>
      <c r="M96" s="161">
        <f>SUMIFS(考核调整事项表!$C:$C,考核调整事项表!$G:$G,累计考核费用!$B96,考核调整事项表!$D:$D,累计考核费用!M$55)+SUMIFS(考核调整事项表!$E:$E,考核调整事项表!$G:$G,累计考核费用!$B96,考核调整事项表!$F:$F,累计考核费用!M$55)</f>
        <v>0</v>
      </c>
      <c r="N96" s="161">
        <f>SUMIFS(考核调整事项表!$C:$C,考核调整事项表!$G:$G,累计考核费用!$B96,考核调整事项表!$D:$D,累计考核费用!N$55)+SUMIFS(考核调整事项表!$E:$E,考核调整事项表!$G:$G,累计考核费用!$B96,考核调整事项表!$F:$F,累计考核费用!N$55)</f>
        <v>0</v>
      </c>
      <c r="O96" s="161">
        <f>SUMIFS(考核调整事项表!$C:$C,考核调整事项表!$G:$G,累计考核费用!$B96,考核调整事项表!$D:$D,累计考核费用!O$55)+SUMIFS(考核调整事项表!$E:$E,考核调整事项表!$G:$G,累计考核费用!$B96,考核调整事项表!$F:$F,累计考核费用!O$55)</f>
        <v>0</v>
      </c>
      <c r="P96" s="161">
        <f>SUMIFS(考核调整事项表!$C:$C,考核调整事项表!$G:$G,累计考核费用!$B96,考核调整事项表!$D:$D,累计考核费用!P$55)+SUMIFS(考核调整事项表!$E:$E,考核调整事项表!$G:$G,累计考核费用!$B96,考核调整事项表!$F:$F,累计考核费用!P$55)</f>
        <v>0</v>
      </c>
      <c r="Q96" s="161">
        <f>SUMIFS(考核调整事项表!$C:$C,考核调整事项表!$G:$G,累计考核费用!$B96,考核调整事项表!$D:$D,累计考核费用!Q$55)+SUMIFS(考核调整事项表!$E:$E,考核调整事项表!$G:$G,累计考核费用!$B96,考核调整事项表!$F:$F,累计考核费用!Q$55)</f>
        <v>0</v>
      </c>
      <c r="R96" s="161">
        <f>SUMIFS(考核调整事项表!$C:$C,考核调整事项表!$G:$G,累计考核费用!$B96,考核调整事项表!$D:$D,累计考核费用!R$55)+SUMIFS(考核调整事项表!$E:$E,考核调整事项表!$G:$G,累计考核费用!$B96,考核调整事项表!$F:$F,累计考核费用!R$55)</f>
        <v>0</v>
      </c>
      <c r="S96" s="161">
        <f>SUMIFS(考核调整事项表!$C:$C,考核调整事项表!$G:$G,累计考核费用!$B96,考核调整事项表!$D:$D,累计考核费用!S$55)+SUMIFS(考核调整事项表!$E:$E,考核调整事项表!$G:$G,累计考核费用!$B96,考核调整事项表!$F:$F,累计考核费用!S$55)</f>
        <v>0</v>
      </c>
      <c r="T96" s="164">
        <f t="shared" si="15"/>
        <v>0</v>
      </c>
      <c r="U96" s="161">
        <f>SUMIFS(考核调整事项表!$C:$C,考核调整事项表!$G:$G,累计考核费用!$B96,考核调整事项表!$D:$D,累计考核费用!U$55)+SUMIFS(考核调整事项表!$E:$E,考核调整事项表!$G:$G,累计考核费用!$B96,考核调整事项表!$F:$F,累计考核费用!U$55)</f>
        <v>0</v>
      </c>
      <c r="V96" s="161">
        <f>SUMIFS(考核调整事项表!$C:$C,考核调整事项表!$G:$G,累计考核费用!$B96,考核调整事项表!$D:$D,累计考核费用!V$55)+SUMIFS(考核调整事项表!$E:$E,考核调整事项表!$G:$G,累计考核费用!$B96,考核调整事项表!$F:$F,累计考核费用!V$55)</f>
        <v>0</v>
      </c>
      <c r="W96" s="161">
        <f>SUMIFS(考核调整事项表!$C:$C,考核调整事项表!$G:$G,累计考核费用!$B96,考核调整事项表!$D:$D,累计考核费用!W$55)+SUMIFS(考核调整事项表!$E:$E,考核调整事项表!$G:$G,累计考核费用!$B96,考核调整事项表!$F:$F,累计考核费用!W$55)</f>
        <v>0</v>
      </c>
      <c r="X96" s="161">
        <f>SUMIFS(考核调整事项表!$C:$C,考核调整事项表!$G:$G,累计考核费用!$B96,考核调整事项表!$D:$D,累计考核费用!X$55)+SUMIFS(考核调整事项表!$E:$E,考核调整事项表!$G:$G,累计考核费用!$B96,考核调整事项表!$F:$F,累计考核费用!X$55)</f>
        <v>0</v>
      </c>
      <c r="Y96" s="161">
        <f>SUMIFS(考核调整事项表!$C:$C,考核调整事项表!$G:$G,累计考核费用!$B96,考核调整事项表!$D:$D,累计考核费用!Y$55)+SUMIFS(考核调整事项表!$E:$E,考核调整事项表!$G:$G,累计考核费用!$B96,考核调整事项表!$F:$F,累计考核费用!Y$55)</f>
        <v>0</v>
      </c>
      <c r="Z96" s="161">
        <f>SUMIFS(考核调整事项表!$C:$C,考核调整事项表!$G:$G,累计考核费用!$B96,考核调整事项表!$D:$D,累计考核费用!Z$55)+SUMIFS(考核调整事项表!$E:$E,考核调整事项表!$G:$G,累计考核费用!$B96,考核调整事项表!$F:$F,累计考核费用!Z$55)</f>
        <v>0</v>
      </c>
      <c r="AA96" s="161">
        <f>SUMIFS(考核调整事项表!$C:$C,考核调整事项表!$G:$G,累计考核费用!$B96,考核调整事项表!$D:$D,累计考核费用!AA$55)+SUMIFS(考核调整事项表!$E:$E,考核调整事项表!$G:$G,累计考核费用!$B96,考核调整事项表!$F:$F,累计考核费用!AA$55)</f>
        <v>0</v>
      </c>
      <c r="AB96" s="161">
        <f>SUMIFS(考核调整事项表!$C:$C,考核调整事项表!$G:$G,累计考核费用!$B96,考核调整事项表!$D:$D,累计考核费用!AB$55)+SUMIFS(考核调整事项表!$E:$E,考核调整事项表!$G:$G,累计考核费用!$B96,考核调整事项表!$F:$F,累计考核费用!AB$55)</f>
        <v>0</v>
      </c>
      <c r="AC96" s="161">
        <f>SUMIFS(考核调整事项表!$C:$C,考核调整事项表!$G:$G,累计考核费用!$B96,考核调整事项表!$D:$D,累计考核费用!AC$55)+SUMIFS(考核调整事项表!$E:$E,考核调整事项表!$G:$G,累计考核费用!$B96,考核调整事项表!$F:$F,累计考核费用!AC$55)</f>
        <v>0</v>
      </c>
    </row>
    <row r="97" spans="1:29">
      <c r="A97" s="252"/>
      <c r="B97" s="47" t="s">
        <v>131</v>
      </c>
      <c r="C97" s="9">
        <f t="shared" si="16"/>
        <v>0</v>
      </c>
      <c r="D97" s="161">
        <f>SUMIFS(考核调整事项表!$C:$C,考核调整事项表!$G:$G,累计考核费用!$B97,考核调整事项表!$D:$D,累计考核费用!D$55)+SUMIFS(考核调整事项表!$E:$E,考核调整事项表!$G:$G,累计考核费用!$B97,考核调整事项表!$F:$F,累计考核费用!D$55)</f>
        <v>0</v>
      </c>
      <c r="E97" s="161">
        <f>SUMIFS(考核调整事项表!$C:$C,考核调整事项表!$G:$G,累计考核费用!$B97,考核调整事项表!$D:$D,累计考核费用!E$55)+SUMIFS(考核调整事项表!$E:$E,考核调整事项表!$G:$G,累计考核费用!$B97,考核调整事项表!$F:$F,累计考核费用!E$55)</f>
        <v>0</v>
      </c>
      <c r="F97" s="161">
        <f>SUMIFS(考核调整事项表!$C:$C,考核调整事项表!$G:$G,累计考核费用!$B97,考核调整事项表!$D:$D,累计考核费用!F$55)+SUMIFS(考核调整事项表!$E:$E,考核调整事项表!$G:$G,累计考核费用!$B97,考核调整事项表!$F:$F,累计考核费用!F$55)</f>
        <v>0</v>
      </c>
      <c r="G97" s="161">
        <f t="shared" si="1"/>
        <v>0</v>
      </c>
      <c r="H97" s="161">
        <f>SUMIFS(考核调整事项表!$C:$C,考核调整事项表!$G:$G,累计考核费用!$B97,考核调整事项表!$D:$D,累计考核费用!H$55)+SUMIFS(考核调整事项表!$E:$E,考核调整事项表!$G:$G,累计考核费用!$B97,考核调整事项表!$F:$F,累计考核费用!H$55)</f>
        <v>0</v>
      </c>
      <c r="I97" s="161">
        <f>SUMIFS(考核调整事项表!$C:$C,考核调整事项表!$G:$G,累计考核费用!$B97,考核调整事项表!$D:$D,累计考核费用!I$55)+SUMIFS(考核调整事项表!$E:$E,考核调整事项表!$G:$G,累计考核费用!$B97,考核调整事项表!$F:$F,累计考核费用!I$55)</f>
        <v>0</v>
      </c>
      <c r="J97" s="161">
        <f>SUMIFS(考核调整事项表!$C:$C,考核调整事项表!$G:$G,累计考核费用!$B97,考核调整事项表!$D:$D,累计考核费用!J$55)+SUMIFS(考核调整事项表!$E:$E,考核调整事项表!$G:$G,累计考核费用!$B97,考核调整事项表!$F:$F,累计考核费用!J$55)</f>
        <v>0</v>
      </c>
      <c r="K97" s="161">
        <f>SUMIFS(考核调整事项表!$C:$C,考核调整事项表!$G:$G,累计考核费用!$B97,考核调整事项表!$D:$D,累计考核费用!K$55)+SUMIFS(考核调整事项表!$E:$E,考核调整事项表!$G:$G,累计考核费用!$B97,考核调整事项表!$F:$F,累计考核费用!K$55)</f>
        <v>0</v>
      </c>
      <c r="L97" s="161">
        <f t="shared" si="2"/>
        <v>0</v>
      </c>
      <c r="M97" s="161">
        <f>SUMIFS(考核调整事项表!$C:$C,考核调整事项表!$G:$G,累计考核费用!$B97,考核调整事项表!$D:$D,累计考核费用!M$55)+SUMIFS(考核调整事项表!$E:$E,考核调整事项表!$G:$G,累计考核费用!$B97,考核调整事项表!$F:$F,累计考核费用!M$55)</f>
        <v>0</v>
      </c>
      <c r="N97" s="161">
        <f>SUMIFS(考核调整事项表!$C:$C,考核调整事项表!$G:$G,累计考核费用!$B97,考核调整事项表!$D:$D,累计考核费用!N$55)+SUMIFS(考核调整事项表!$E:$E,考核调整事项表!$G:$G,累计考核费用!$B97,考核调整事项表!$F:$F,累计考核费用!N$55)</f>
        <v>0</v>
      </c>
      <c r="O97" s="161">
        <f>SUMIFS(考核调整事项表!$C:$C,考核调整事项表!$G:$G,累计考核费用!$B97,考核调整事项表!$D:$D,累计考核费用!O$55)+SUMIFS(考核调整事项表!$E:$E,考核调整事项表!$G:$G,累计考核费用!$B97,考核调整事项表!$F:$F,累计考核费用!O$55)</f>
        <v>0</v>
      </c>
      <c r="P97" s="161">
        <f>SUMIFS(考核调整事项表!$C:$C,考核调整事项表!$G:$G,累计考核费用!$B97,考核调整事项表!$D:$D,累计考核费用!P$55)+SUMIFS(考核调整事项表!$E:$E,考核调整事项表!$G:$G,累计考核费用!$B97,考核调整事项表!$F:$F,累计考核费用!P$55)</f>
        <v>0</v>
      </c>
      <c r="Q97" s="161">
        <f>SUMIFS(考核调整事项表!$C:$C,考核调整事项表!$G:$G,累计考核费用!$B97,考核调整事项表!$D:$D,累计考核费用!Q$55)+SUMIFS(考核调整事项表!$E:$E,考核调整事项表!$G:$G,累计考核费用!$B97,考核调整事项表!$F:$F,累计考核费用!Q$55)</f>
        <v>0</v>
      </c>
      <c r="R97" s="161">
        <f>SUMIFS(考核调整事项表!$C:$C,考核调整事项表!$G:$G,累计考核费用!$B97,考核调整事项表!$D:$D,累计考核费用!R$55)+SUMIFS(考核调整事项表!$E:$E,考核调整事项表!$G:$G,累计考核费用!$B97,考核调整事项表!$F:$F,累计考核费用!R$55)</f>
        <v>0</v>
      </c>
      <c r="S97" s="161">
        <f>SUMIFS(考核调整事项表!$C:$C,考核调整事项表!$G:$G,累计考核费用!$B97,考核调整事项表!$D:$D,累计考核费用!S$55)+SUMIFS(考核调整事项表!$E:$E,考核调整事项表!$G:$G,累计考核费用!$B97,考核调整事项表!$F:$F,累计考核费用!S$55)</f>
        <v>0</v>
      </c>
      <c r="T97" s="164">
        <f t="shared" si="15"/>
        <v>0</v>
      </c>
      <c r="U97" s="161">
        <f>SUMIFS(考核调整事项表!$C:$C,考核调整事项表!$G:$G,累计考核费用!$B97,考核调整事项表!$D:$D,累计考核费用!U$55)+SUMIFS(考核调整事项表!$E:$E,考核调整事项表!$G:$G,累计考核费用!$B97,考核调整事项表!$F:$F,累计考核费用!U$55)</f>
        <v>0</v>
      </c>
      <c r="V97" s="161">
        <f>SUMIFS(考核调整事项表!$C:$C,考核调整事项表!$G:$G,累计考核费用!$B97,考核调整事项表!$D:$D,累计考核费用!V$55)+SUMIFS(考核调整事项表!$E:$E,考核调整事项表!$G:$G,累计考核费用!$B97,考核调整事项表!$F:$F,累计考核费用!V$55)</f>
        <v>0</v>
      </c>
      <c r="W97" s="161">
        <f>SUMIFS(考核调整事项表!$C:$C,考核调整事项表!$G:$G,累计考核费用!$B97,考核调整事项表!$D:$D,累计考核费用!W$55)+SUMIFS(考核调整事项表!$E:$E,考核调整事项表!$G:$G,累计考核费用!$B97,考核调整事项表!$F:$F,累计考核费用!W$55)</f>
        <v>0</v>
      </c>
      <c r="X97" s="161">
        <f>SUMIFS(考核调整事项表!$C:$C,考核调整事项表!$G:$G,累计考核费用!$B97,考核调整事项表!$D:$D,累计考核费用!X$55)+SUMIFS(考核调整事项表!$E:$E,考核调整事项表!$G:$G,累计考核费用!$B97,考核调整事项表!$F:$F,累计考核费用!X$55)</f>
        <v>0</v>
      </c>
      <c r="Y97" s="161">
        <f>SUMIFS(考核调整事项表!$C:$C,考核调整事项表!$G:$G,累计考核费用!$B97,考核调整事项表!$D:$D,累计考核费用!Y$55)+SUMIFS(考核调整事项表!$E:$E,考核调整事项表!$G:$G,累计考核费用!$B97,考核调整事项表!$F:$F,累计考核费用!Y$55)</f>
        <v>0</v>
      </c>
      <c r="Z97" s="161">
        <f>SUMIFS(考核调整事项表!$C:$C,考核调整事项表!$G:$G,累计考核费用!$B97,考核调整事项表!$D:$D,累计考核费用!Z$55)+SUMIFS(考核调整事项表!$E:$E,考核调整事项表!$G:$G,累计考核费用!$B97,考核调整事项表!$F:$F,累计考核费用!Z$55)</f>
        <v>0</v>
      </c>
      <c r="AA97" s="161">
        <f>SUMIFS(考核调整事项表!$C:$C,考核调整事项表!$G:$G,累计考核费用!$B97,考核调整事项表!$D:$D,累计考核费用!AA$55)+SUMIFS(考核调整事项表!$E:$E,考核调整事项表!$G:$G,累计考核费用!$B97,考核调整事项表!$F:$F,累计考核费用!AA$55)</f>
        <v>0</v>
      </c>
      <c r="AB97" s="161">
        <f>SUMIFS(考核调整事项表!$C:$C,考核调整事项表!$G:$G,累计考核费用!$B97,考核调整事项表!$D:$D,累计考核费用!AB$55)+SUMIFS(考核调整事项表!$E:$E,考核调整事项表!$G:$G,累计考核费用!$B97,考核调整事项表!$F:$F,累计考核费用!AB$55)</f>
        <v>0</v>
      </c>
      <c r="AC97" s="161">
        <f>SUMIFS(考核调整事项表!$C:$C,考核调整事项表!$G:$G,累计考核费用!$B97,考核调整事项表!$D:$D,累计考核费用!AC$55)+SUMIFS(考核调整事项表!$E:$E,考核调整事项表!$G:$G,累计考核费用!$B97,考核调整事项表!$F:$F,累计考核费用!AC$55)</f>
        <v>0</v>
      </c>
    </row>
    <row r="98" spans="1:29">
      <c r="A98" s="252"/>
      <c r="B98" s="47" t="s">
        <v>132</v>
      </c>
      <c r="C98" s="9">
        <f t="shared" si="16"/>
        <v>0</v>
      </c>
      <c r="D98" s="161">
        <f>SUMIFS(考核调整事项表!$C:$C,考核调整事项表!$G:$G,累计考核费用!$B98,考核调整事项表!$D:$D,累计考核费用!D$55)+SUMIFS(考核调整事项表!$E:$E,考核调整事项表!$G:$G,累计考核费用!$B98,考核调整事项表!$F:$F,累计考核费用!D$55)</f>
        <v>274503.2</v>
      </c>
      <c r="E98" s="161">
        <f>SUMIFS(考核调整事项表!$C:$C,考核调整事项表!$G:$G,累计考核费用!$B98,考核调整事项表!$D:$D,累计考核费用!E$55)+SUMIFS(考核调整事项表!$E:$E,考核调整事项表!$G:$G,累计考核费用!$B98,考核调整事项表!$F:$F,累计考核费用!E$55)</f>
        <v>0</v>
      </c>
      <c r="F98" s="161">
        <f>SUMIFS(考核调整事项表!$C:$C,考核调整事项表!$G:$G,累计考核费用!$B98,考核调整事项表!$D:$D,累计考核费用!F$55)+SUMIFS(考核调整事项表!$E:$E,考核调整事项表!$G:$G,累计考核费用!$B98,考核调整事项表!$F:$F,累计考核费用!F$55)</f>
        <v>641570.48</v>
      </c>
      <c r="G98" s="161">
        <f t="shared" si="1"/>
        <v>0</v>
      </c>
      <c r="H98" s="161">
        <f>SUMIFS(考核调整事项表!$C:$C,考核调整事项表!$G:$G,累计考核费用!$B98,考核调整事项表!$D:$D,累计考核费用!H$55)+SUMIFS(考核调整事项表!$E:$E,考核调整事项表!$G:$G,累计考核费用!$B98,考核调整事项表!$F:$F,累计考核费用!H$55)</f>
        <v>0</v>
      </c>
      <c r="I98" s="161">
        <f>SUMIFS(考核调整事项表!$C:$C,考核调整事项表!$G:$G,累计考核费用!$B98,考核调整事项表!$D:$D,累计考核费用!I$55)+SUMIFS(考核调整事项表!$E:$E,考核调整事项表!$G:$G,累计考核费用!$B98,考核调整事项表!$F:$F,累计考核费用!I$55)</f>
        <v>0</v>
      </c>
      <c r="J98" s="161">
        <f>SUMIFS(考核调整事项表!$C:$C,考核调整事项表!$G:$G,累计考核费用!$B98,考核调整事项表!$D:$D,累计考核费用!J$55)+SUMIFS(考核调整事项表!$E:$E,考核调整事项表!$G:$G,累计考核费用!$B98,考核调整事项表!$F:$F,累计考核费用!J$55)</f>
        <v>0</v>
      </c>
      <c r="K98" s="161">
        <f>SUMIFS(考核调整事项表!$C:$C,考核调整事项表!$G:$G,累计考核费用!$B98,考核调整事项表!$D:$D,累计考核费用!K$55)+SUMIFS(考核调整事项表!$E:$E,考核调整事项表!$G:$G,累计考核费用!$B98,考核调整事项表!$F:$F,累计考核费用!K$55)</f>
        <v>0</v>
      </c>
      <c r="L98" s="161">
        <f t="shared" si="2"/>
        <v>-916073.67999999993</v>
      </c>
      <c r="M98" s="161">
        <f>SUMIFS(考核调整事项表!$C:$C,考核调整事项表!$G:$G,累计考核费用!$B98,考核调整事项表!$D:$D,累计考核费用!M$55)+SUMIFS(考核调整事项表!$E:$E,考核调整事项表!$G:$G,累计考核费用!$B98,考核调整事项表!$F:$F,累计考核费用!M$55)</f>
        <v>0</v>
      </c>
      <c r="N98" s="161">
        <f>SUMIFS(考核调整事项表!$C:$C,考核调整事项表!$G:$G,累计考核费用!$B98,考核调整事项表!$D:$D,累计考核费用!N$55)+SUMIFS(考核调整事项表!$E:$E,考核调整事项表!$G:$G,累计考核费用!$B98,考核调整事项表!$F:$F,累计考核费用!N$55)</f>
        <v>0</v>
      </c>
      <c r="O98" s="161">
        <f>SUMIFS(考核调整事项表!$C:$C,考核调整事项表!$G:$G,累计考核费用!$B98,考核调整事项表!$D:$D,累计考核费用!O$55)+SUMIFS(考核调整事项表!$E:$E,考核调整事项表!$G:$G,累计考核费用!$B98,考核调整事项表!$F:$F,累计考核费用!O$55)</f>
        <v>0</v>
      </c>
      <c r="P98" s="161">
        <f>SUMIFS(考核调整事项表!$C:$C,考核调整事项表!$G:$G,累计考核费用!$B98,考核调整事项表!$D:$D,累计考核费用!P$55)+SUMIFS(考核调整事项表!$E:$E,考核调整事项表!$G:$G,累计考核费用!$B98,考核调整事项表!$F:$F,累计考核费用!P$55)</f>
        <v>0</v>
      </c>
      <c r="Q98" s="161">
        <f>SUMIFS(考核调整事项表!$C:$C,考核调整事项表!$G:$G,累计考核费用!$B98,考核调整事项表!$D:$D,累计考核费用!Q$55)+SUMIFS(考核调整事项表!$E:$E,考核调整事项表!$G:$G,累计考核费用!$B98,考核调整事项表!$F:$F,累计考核费用!Q$55)</f>
        <v>0</v>
      </c>
      <c r="R98" s="161">
        <f>SUMIFS(考核调整事项表!$C:$C,考核调整事项表!$G:$G,累计考核费用!$B98,考核调整事项表!$D:$D,累计考核费用!R$55)+SUMIFS(考核调整事项表!$E:$E,考核调整事项表!$G:$G,累计考核费用!$B98,考核调整事项表!$F:$F,累计考核费用!R$55)</f>
        <v>0</v>
      </c>
      <c r="S98" s="161">
        <f>SUMIFS(考核调整事项表!$C:$C,考核调整事项表!$G:$G,累计考核费用!$B98,考核调整事项表!$D:$D,累计考核费用!S$55)+SUMIFS(考核调整事项表!$E:$E,考核调整事项表!$G:$G,累计考核费用!$B98,考核调整事项表!$F:$F,累计考核费用!S$55)</f>
        <v>-916073.67999999993</v>
      </c>
      <c r="T98" s="164">
        <f>SUM(U98:AA98)</f>
        <v>0</v>
      </c>
      <c r="U98" s="161">
        <f>SUMIFS(考核调整事项表!$C:$C,考核调整事项表!$G:$G,累计考核费用!$B98,考核调整事项表!$D:$D,累计考核费用!U$55)+SUMIFS(考核调整事项表!$E:$E,考核调整事项表!$G:$G,累计考核费用!$B98,考核调整事项表!$F:$F,累计考核费用!U$55)</f>
        <v>0</v>
      </c>
      <c r="V98" s="161">
        <f>SUMIFS(考核调整事项表!$C:$C,考核调整事项表!$G:$G,累计考核费用!$B98,考核调整事项表!$D:$D,累计考核费用!V$55)+SUMIFS(考核调整事项表!$E:$E,考核调整事项表!$G:$G,累计考核费用!$B98,考核调整事项表!$F:$F,累计考核费用!V$55)</f>
        <v>0</v>
      </c>
      <c r="W98" s="161">
        <f>SUMIFS(考核调整事项表!$C:$C,考核调整事项表!$G:$G,累计考核费用!$B98,考核调整事项表!$D:$D,累计考核费用!W$55)+SUMIFS(考核调整事项表!$E:$E,考核调整事项表!$G:$G,累计考核费用!$B98,考核调整事项表!$F:$F,累计考核费用!W$55)</f>
        <v>0</v>
      </c>
      <c r="X98" s="161">
        <f>SUMIFS(考核调整事项表!$C:$C,考核调整事项表!$G:$G,累计考核费用!$B98,考核调整事项表!$D:$D,累计考核费用!X$55)+SUMIFS(考核调整事项表!$E:$E,考核调整事项表!$G:$G,累计考核费用!$B98,考核调整事项表!$F:$F,累计考核费用!X$55)</f>
        <v>0</v>
      </c>
      <c r="Y98" s="161">
        <f>SUMIFS(考核调整事项表!$C:$C,考核调整事项表!$G:$G,累计考核费用!$B98,考核调整事项表!$D:$D,累计考核费用!Y$55)+SUMIFS(考核调整事项表!$E:$E,考核调整事项表!$G:$G,累计考核费用!$B98,考核调整事项表!$F:$F,累计考核费用!Y$55)</f>
        <v>0</v>
      </c>
      <c r="Z98" s="161">
        <f>SUMIFS(考核调整事项表!$C:$C,考核调整事项表!$G:$G,累计考核费用!$B98,考核调整事项表!$D:$D,累计考核费用!Z$55)+SUMIFS(考核调整事项表!$E:$E,考核调整事项表!$G:$G,累计考核费用!$B98,考核调整事项表!$F:$F,累计考核费用!Z$55)</f>
        <v>0</v>
      </c>
      <c r="AA98" s="161">
        <f>SUMIFS(考核调整事项表!$C:$C,考核调整事项表!$G:$G,累计考核费用!$B98,考核调整事项表!$D:$D,累计考核费用!AA$55)+SUMIFS(考核调整事项表!$E:$E,考核调整事项表!$G:$G,累计考核费用!$B98,考核调整事项表!$F:$F,累计考核费用!AA$55)</f>
        <v>0</v>
      </c>
      <c r="AB98" s="161">
        <f>SUMIFS(考核调整事项表!$C:$C,考核调整事项表!$G:$G,累计考核费用!$B98,考核调整事项表!$D:$D,累计考核费用!AB$55)+SUMIFS(考核调整事项表!$E:$E,考核调整事项表!$G:$G,累计考核费用!$B98,考核调整事项表!$F:$F,累计考核费用!AB$55)</f>
        <v>0</v>
      </c>
      <c r="AC98" s="161">
        <f>SUMIFS(考核调整事项表!$C:$C,考核调整事项表!$G:$G,累计考核费用!$B98,考核调整事项表!$D:$D,累计考核费用!AC$55)+SUMIFS(考核调整事项表!$E:$E,考核调整事项表!$G:$G,累计考核费用!$B98,考核调整事项表!$F:$F,累计考核费用!AC$55)</f>
        <v>0</v>
      </c>
    </row>
    <row r="99" spans="1:29">
      <c r="A99" s="252"/>
      <c r="B99" s="47" t="s">
        <v>133</v>
      </c>
      <c r="C99" s="9">
        <f>SUM(D99:G99)+L99+T99+AC99+AB99</f>
        <v>0</v>
      </c>
      <c r="D99" s="161">
        <f>SUMIFS(考核调整事项表!$C:$C,考核调整事项表!$G:$G,累计考核费用!$B99,考核调整事项表!$D:$D,累计考核费用!D$55)+SUMIFS(考核调整事项表!$E:$E,考核调整事项表!$G:$G,累计考核费用!$B99,考核调整事项表!$F:$F,累计考核费用!D$55)</f>
        <v>-7776319.0599999996</v>
      </c>
      <c r="E99" s="161">
        <f>SUMIFS(考核调整事项表!$C:$C,考核调整事项表!$G:$G,累计考核费用!$B99,考核调整事项表!$D:$D,累计考核费用!E$55)+SUMIFS(考核调整事项表!$E:$E,考核调整事项表!$G:$G,累计考核费用!$B99,考核调整事项表!$F:$F,累计考核费用!E$55)</f>
        <v>-25615.4</v>
      </c>
      <c r="F99" s="161">
        <f>SUMIFS(考核调整事项表!$C:$C,考核调整事项表!$G:$G,累计考核费用!$B99,考核调整事项表!$D:$D,累计考核费用!F$55)+SUMIFS(考核调整事项表!$E:$E,考核调整事项表!$G:$G,累计考核费用!$B99,考核调整事项表!$F:$F,累计考核费用!F$55)</f>
        <v>7801934.46</v>
      </c>
      <c r="G99" s="161">
        <f t="shared" si="1"/>
        <v>0</v>
      </c>
      <c r="H99" s="161">
        <f>SUMIFS(考核调整事项表!$C:$C,考核调整事项表!$G:$G,累计考核费用!$B99,考核调整事项表!$D:$D,累计考核费用!H$55)+SUMIFS(考核调整事项表!$E:$E,考核调整事项表!$G:$G,累计考核费用!$B99,考核调整事项表!$F:$F,累计考核费用!H$55)</f>
        <v>0</v>
      </c>
      <c r="I99" s="161">
        <f>SUMIFS(考核调整事项表!$C:$C,考核调整事项表!$G:$G,累计考核费用!$B99,考核调整事项表!$D:$D,累计考核费用!I$55)+SUMIFS(考核调整事项表!$E:$E,考核调整事项表!$G:$G,累计考核费用!$B99,考核调整事项表!$F:$F,累计考核费用!I$55)</f>
        <v>0</v>
      </c>
      <c r="J99" s="161">
        <f>SUMIFS(考核调整事项表!$C:$C,考核调整事项表!$G:$G,累计考核费用!$B99,考核调整事项表!$D:$D,累计考核费用!J$55)+SUMIFS(考核调整事项表!$E:$E,考核调整事项表!$G:$G,累计考核费用!$B99,考核调整事项表!$F:$F,累计考核费用!J$55)</f>
        <v>0</v>
      </c>
      <c r="K99" s="161">
        <f>SUMIFS(考核调整事项表!$C:$C,考核调整事项表!$G:$G,累计考核费用!$B99,考核调整事项表!$D:$D,累计考核费用!K$55)+SUMIFS(考核调整事项表!$E:$E,考核调整事项表!$G:$G,累计考核费用!$B99,考核调整事项表!$F:$F,累计考核费用!K$55)</f>
        <v>0</v>
      </c>
      <c r="L99" s="161">
        <f t="shared" si="2"/>
        <v>0</v>
      </c>
      <c r="M99" s="161">
        <f>SUMIFS(考核调整事项表!$C:$C,考核调整事项表!$G:$G,累计考核费用!$B99,考核调整事项表!$D:$D,累计考核费用!M$55)+SUMIFS(考核调整事项表!$E:$E,考核调整事项表!$G:$G,累计考核费用!$B99,考核调整事项表!$F:$F,累计考核费用!M$55)</f>
        <v>0</v>
      </c>
      <c r="N99" s="161">
        <f>SUMIFS(考核调整事项表!$C:$C,考核调整事项表!$G:$G,累计考核费用!$B99,考核调整事项表!$D:$D,累计考核费用!N$55)+SUMIFS(考核调整事项表!$E:$E,考核调整事项表!$G:$G,累计考核费用!$B99,考核调整事项表!$F:$F,累计考核费用!N$55)</f>
        <v>0</v>
      </c>
      <c r="O99" s="161">
        <f>SUMIFS(考核调整事项表!$C:$C,考核调整事项表!$G:$G,累计考核费用!$B99,考核调整事项表!$D:$D,累计考核费用!O$55)+SUMIFS(考核调整事项表!$E:$E,考核调整事项表!$G:$G,累计考核费用!$B99,考核调整事项表!$F:$F,累计考核费用!O$55)</f>
        <v>0</v>
      </c>
      <c r="P99" s="161">
        <f>SUMIFS(考核调整事项表!$C:$C,考核调整事项表!$G:$G,累计考核费用!$B99,考核调整事项表!$D:$D,累计考核费用!P$55)+SUMIFS(考核调整事项表!$E:$E,考核调整事项表!$G:$G,累计考核费用!$B99,考核调整事项表!$F:$F,累计考核费用!P$55)</f>
        <v>0</v>
      </c>
      <c r="Q99" s="161">
        <f>SUMIFS(考核调整事项表!$C:$C,考核调整事项表!$G:$G,累计考核费用!$B99,考核调整事项表!$D:$D,累计考核费用!Q$55)+SUMIFS(考核调整事项表!$E:$E,考核调整事项表!$G:$G,累计考核费用!$B99,考核调整事项表!$F:$F,累计考核费用!Q$55)</f>
        <v>0</v>
      </c>
      <c r="R99" s="161">
        <f>SUMIFS(考核调整事项表!$C:$C,考核调整事项表!$G:$G,累计考核费用!$B99,考核调整事项表!$D:$D,累计考核费用!R$55)+SUMIFS(考核调整事项表!$E:$E,考核调整事项表!$G:$G,累计考核费用!$B99,考核调整事项表!$F:$F,累计考核费用!R$55)</f>
        <v>0</v>
      </c>
      <c r="S99" s="161">
        <f>SUMIFS(考核调整事项表!$C:$C,考核调整事项表!$G:$G,累计考核费用!$B99,考核调整事项表!$D:$D,累计考核费用!S$55)+SUMIFS(考核调整事项表!$E:$E,考核调整事项表!$G:$G,累计考核费用!$B99,考核调整事项表!$F:$F,累计考核费用!S$55)</f>
        <v>0</v>
      </c>
      <c r="T99" s="164">
        <f>SUM(U99:AA99)</f>
        <v>0</v>
      </c>
      <c r="U99" s="161">
        <f>SUMIFS(考核调整事项表!$C:$C,考核调整事项表!$G:$G,累计考核费用!$B99,考核调整事项表!$D:$D,累计考核费用!U$55)+SUMIFS(考核调整事项表!$E:$E,考核调整事项表!$G:$G,累计考核费用!$B99,考核调整事项表!$F:$F,累计考核费用!U$55)</f>
        <v>0</v>
      </c>
      <c r="V99" s="161">
        <f>SUMIFS(考核调整事项表!$C:$C,考核调整事项表!$G:$G,累计考核费用!$B99,考核调整事项表!$D:$D,累计考核费用!V$55)+SUMIFS(考核调整事项表!$E:$E,考核调整事项表!$G:$G,累计考核费用!$B99,考核调整事项表!$F:$F,累计考核费用!V$55)</f>
        <v>0</v>
      </c>
      <c r="W99" s="161">
        <f>SUMIFS(考核调整事项表!$C:$C,考核调整事项表!$G:$G,累计考核费用!$B99,考核调整事项表!$D:$D,累计考核费用!W$55)+SUMIFS(考核调整事项表!$E:$E,考核调整事项表!$G:$G,累计考核费用!$B99,考核调整事项表!$F:$F,累计考核费用!W$55)</f>
        <v>0</v>
      </c>
      <c r="X99" s="161">
        <f>SUMIFS(考核调整事项表!$C:$C,考核调整事项表!$G:$G,累计考核费用!$B99,考核调整事项表!$D:$D,累计考核费用!X$55)+SUMIFS(考核调整事项表!$E:$E,考核调整事项表!$G:$G,累计考核费用!$B99,考核调整事项表!$F:$F,累计考核费用!X$55)</f>
        <v>0</v>
      </c>
      <c r="Y99" s="161">
        <f>SUMIFS(考核调整事项表!$C:$C,考核调整事项表!$G:$G,累计考核费用!$B99,考核调整事项表!$D:$D,累计考核费用!Y$55)+SUMIFS(考核调整事项表!$E:$E,考核调整事项表!$G:$G,累计考核费用!$B99,考核调整事项表!$F:$F,累计考核费用!Y$55)</f>
        <v>0</v>
      </c>
      <c r="Z99" s="161">
        <f>SUMIFS(考核调整事项表!$C:$C,考核调整事项表!$G:$G,累计考核费用!$B99,考核调整事项表!$D:$D,累计考核费用!Z$55)+SUMIFS(考核调整事项表!$E:$E,考核调整事项表!$G:$G,累计考核费用!$B99,考核调整事项表!$F:$F,累计考核费用!Z$55)</f>
        <v>0</v>
      </c>
      <c r="AA99" s="161">
        <f>SUMIFS(考核调整事项表!$C:$C,考核调整事项表!$G:$G,累计考核费用!$B99,考核调整事项表!$D:$D,累计考核费用!AA$55)+SUMIFS(考核调整事项表!$E:$E,考核调整事项表!$G:$G,累计考核费用!$B99,考核调整事项表!$F:$F,累计考核费用!AA$55)</f>
        <v>0</v>
      </c>
      <c r="AB99" s="161">
        <f>SUMIFS(考核调整事项表!$C:$C,考核调整事项表!$G:$G,累计考核费用!$B99,考核调整事项表!$D:$D,累计考核费用!AB$55)+SUMIFS(考核调整事项表!$E:$E,考核调整事项表!$G:$G,累计考核费用!$B99,考核调整事项表!$F:$F,累计考核费用!AB$55)</f>
        <v>0</v>
      </c>
      <c r="AC99" s="161">
        <f>SUMIFS(考核调整事项表!$C:$C,考核调整事项表!$G:$G,累计考核费用!$B99,考核调整事项表!$D:$D,累计考核费用!AC$55)+SUMIFS(考核调整事项表!$E:$E,考核调整事项表!$G:$G,累计考核费用!$B99,考核调整事项表!$F:$F,累计考核费用!AC$55)</f>
        <v>0</v>
      </c>
    </row>
    <row r="100" spans="1:29">
      <c r="A100" s="252"/>
      <c r="B100" s="47" t="s">
        <v>134</v>
      </c>
      <c r="C100" s="9">
        <f t="shared" si="16"/>
        <v>0</v>
      </c>
      <c r="D100" s="161">
        <f>SUMIFS(考核调整事项表!$C:$C,考核调整事项表!$G:$G,累计考核费用!$B100,考核调整事项表!$D:$D,累计考核费用!D$55)+SUMIFS(考核调整事项表!$E:$E,考核调整事项表!$G:$G,累计考核费用!$B100,考核调整事项表!$F:$F,累计考核费用!D$55)</f>
        <v>0</v>
      </c>
      <c r="E100" s="161">
        <f>SUMIFS(考核调整事项表!$C:$C,考核调整事项表!$G:$G,累计考核费用!$B100,考核调整事项表!$D:$D,累计考核费用!E$55)+SUMIFS(考核调整事项表!$E:$E,考核调整事项表!$G:$G,累计考核费用!$B100,考核调整事项表!$F:$F,累计考核费用!E$55)</f>
        <v>0</v>
      </c>
      <c r="F100" s="161">
        <f>SUMIFS(考核调整事项表!$C:$C,考核调整事项表!$G:$G,累计考核费用!$B100,考核调整事项表!$D:$D,累计考核费用!F$55)+SUMIFS(考核调整事项表!$E:$E,考核调整事项表!$G:$G,累计考核费用!$B100,考核调整事项表!$F:$F,累计考核费用!F$55)</f>
        <v>0</v>
      </c>
      <c r="G100" s="161">
        <f t="shared" si="1"/>
        <v>0</v>
      </c>
      <c r="H100" s="161">
        <f>SUMIFS(考核调整事项表!$C:$C,考核调整事项表!$G:$G,累计考核费用!$B100,考核调整事项表!$D:$D,累计考核费用!H$55)+SUMIFS(考核调整事项表!$E:$E,考核调整事项表!$G:$G,累计考核费用!$B100,考核调整事项表!$F:$F,累计考核费用!H$55)</f>
        <v>0</v>
      </c>
      <c r="I100" s="161">
        <f>SUMIFS(考核调整事项表!$C:$C,考核调整事项表!$G:$G,累计考核费用!$B100,考核调整事项表!$D:$D,累计考核费用!I$55)+SUMIFS(考核调整事项表!$E:$E,考核调整事项表!$G:$G,累计考核费用!$B100,考核调整事项表!$F:$F,累计考核费用!I$55)</f>
        <v>0</v>
      </c>
      <c r="J100" s="161">
        <f>SUMIFS(考核调整事项表!$C:$C,考核调整事项表!$G:$G,累计考核费用!$B100,考核调整事项表!$D:$D,累计考核费用!J$55)+SUMIFS(考核调整事项表!$E:$E,考核调整事项表!$G:$G,累计考核费用!$B100,考核调整事项表!$F:$F,累计考核费用!J$55)</f>
        <v>0</v>
      </c>
      <c r="K100" s="161">
        <f>SUMIFS(考核调整事项表!$C:$C,考核调整事项表!$G:$G,累计考核费用!$B100,考核调整事项表!$D:$D,累计考核费用!K$55)+SUMIFS(考核调整事项表!$E:$E,考核调整事项表!$G:$G,累计考核费用!$B100,考核调整事项表!$F:$F,累计考核费用!K$55)</f>
        <v>0</v>
      </c>
      <c r="L100" s="161">
        <f t="shared" si="2"/>
        <v>0</v>
      </c>
      <c r="M100" s="161">
        <f>SUMIFS(考核调整事项表!$C:$C,考核调整事项表!$G:$G,累计考核费用!$B100,考核调整事项表!$D:$D,累计考核费用!M$55)+SUMIFS(考核调整事项表!$E:$E,考核调整事项表!$G:$G,累计考核费用!$B100,考核调整事项表!$F:$F,累计考核费用!M$55)</f>
        <v>0</v>
      </c>
      <c r="N100" s="161">
        <f>SUMIFS(考核调整事项表!$C:$C,考核调整事项表!$G:$G,累计考核费用!$B100,考核调整事项表!$D:$D,累计考核费用!N$55)+SUMIFS(考核调整事项表!$E:$E,考核调整事项表!$G:$G,累计考核费用!$B100,考核调整事项表!$F:$F,累计考核费用!N$55)</f>
        <v>0</v>
      </c>
      <c r="O100" s="161">
        <f>SUMIFS(考核调整事项表!$C:$C,考核调整事项表!$G:$G,累计考核费用!$B100,考核调整事项表!$D:$D,累计考核费用!O$55)+SUMIFS(考核调整事项表!$E:$E,考核调整事项表!$G:$G,累计考核费用!$B100,考核调整事项表!$F:$F,累计考核费用!O$55)</f>
        <v>0</v>
      </c>
      <c r="P100" s="161">
        <f>SUMIFS(考核调整事项表!$C:$C,考核调整事项表!$G:$G,累计考核费用!$B100,考核调整事项表!$D:$D,累计考核费用!P$55)+SUMIFS(考核调整事项表!$E:$E,考核调整事项表!$G:$G,累计考核费用!$B100,考核调整事项表!$F:$F,累计考核费用!P$55)</f>
        <v>0</v>
      </c>
      <c r="Q100" s="161">
        <f>SUMIFS(考核调整事项表!$C:$C,考核调整事项表!$G:$G,累计考核费用!$B100,考核调整事项表!$D:$D,累计考核费用!Q$55)+SUMIFS(考核调整事项表!$E:$E,考核调整事项表!$G:$G,累计考核费用!$B100,考核调整事项表!$F:$F,累计考核费用!Q$55)</f>
        <v>0</v>
      </c>
      <c r="R100" s="161">
        <f>SUMIFS(考核调整事项表!$C:$C,考核调整事项表!$G:$G,累计考核费用!$B100,考核调整事项表!$D:$D,累计考核费用!R$55)+SUMIFS(考核调整事项表!$E:$E,考核调整事项表!$G:$G,累计考核费用!$B100,考核调整事项表!$F:$F,累计考核费用!R$55)</f>
        <v>0</v>
      </c>
      <c r="S100" s="161">
        <f>SUMIFS(考核调整事项表!$C:$C,考核调整事项表!$G:$G,累计考核费用!$B100,考核调整事项表!$D:$D,累计考核费用!S$55)+SUMIFS(考核调整事项表!$E:$E,考核调整事项表!$G:$G,累计考核费用!$B100,考核调整事项表!$F:$F,累计考核费用!S$55)</f>
        <v>0</v>
      </c>
      <c r="T100" s="164">
        <f t="shared" ref="T100:T102" si="17">SUM(U100:AA100)</f>
        <v>0</v>
      </c>
      <c r="U100" s="161">
        <f>SUMIFS(考核调整事项表!$C:$C,考核调整事项表!$G:$G,累计考核费用!$B100,考核调整事项表!$D:$D,累计考核费用!U$55)+SUMIFS(考核调整事项表!$E:$E,考核调整事项表!$G:$G,累计考核费用!$B100,考核调整事项表!$F:$F,累计考核费用!U$55)</f>
        <v>0</v>
      </c>
      <c r="V100" s="161">
        <f>SUMIFS(考核调整事项表!$C:$C,考核调整事项表!$G:$G,累计考核费用!$B100,考核调整事项表!$D:$D,累计考核费用!V$55)+SUMIFS(考核调整事项表!$E:$E,考核调整事项表!$G:$G,累计考核费用!$B100,考核调整事项表!$F:$F,累计考核费用!V$55)</f>
        <v>0</v>
      </c>
      <c r="W100" s="161">
        <f>SUMIFS(考核调整事项表!$C:$C,考核调整事项表!$G:$G,累计考核费用!$B100,考核调整事项表!$D:$D,累计考核费用!W$55)+SUMIFS(考核调整事项表!$E:$E,考核调整事项表!$G:$G,累计考核费用!$B100,考核调整事项表!$F:$F,累计考核费用!W$55)</f>
        <v>0</v>
      </c>
      <c r="X100" s="161">
        <f>SUMIFS(考核调整事项表!$C:$C,考核调整事项表!$G:$G,累计考核费用!$B100,考核调整事项表!$D:$D,累计考核费用!X$55)+SUMIFS(考核调整事项表!$E:$E,考核调整事项表!$G:$G,累计考核费用!$B100,考核调整事项表!$F:$F,累计考核费用!X$55)</f>
        <v>0</v>
      </c>
      <c r="Y100" s="161">
        <f>SUMIFS(考核调整事项表!$C:$C,考核调整事项表!$G:$G,累计考核费用!$B100,考核调整事项表!$D:$D,累计考核费用!Y$55)+SUMIFS(考核调整事项表!$E:$E,考核调整事项表!$G:$G,累计考核费用!$B100,考核调整事项表!$F:$F,累计考核费用!Y$55)</f>
        <v>0</v>
      </c>
      <c r="Z100" s="161">
        <f>SUMIFS(考核调整事项表!$C:$C,考核调整事项表!$G:$G,累计考核费用!$B100,考核调整事项表!$D:$D,累计考核费用!Z$55)+SUMIFS(考核调整事项表!$E:$E,考核调整事项表!$G:$G,累计考核费用!$B100,考核调整事项表!$F:$F,累计考核费用!Z$55)</f>
        <v>0</v>
      </c>
      <c r="AA100" s="161">
        <f>SUMIFS(考核调整事项表!$C:$C,考核调整事项表!$G:$G,累计考核费用!$B100,考核调整事项表!$D:$D,累计考核费用!AA$55)+SUMIFS(考核调整事项表!$E:$E,考核调整事项表!$G:$G,累计考核费用!$B100,考核调整事项表!$F:$F,累计考核费用!AA$55)</f>
        <v>0</v>
      </c>
      <c r="AB100" s="161">
        <f>SUMIFS(考核调整事项表!$C:$C,考核调整事项表!$G:$G,累计考核费用!$B100,考核调整事项表!$D:$D,累计考核费用!AB$55)+SUMIFS(考核调整事项表!$E:$E,考核调整事项表!$G:$G,累计考核费用!$B100,考核调整事项表!$F:$F,累计考核费用!AB$55)</f>
        <v>0</v>
      </c>
      <c r="AC100" s="161">
        <f>SUMIFS(考核调整事项表!$C:$C,考核调整事项表!$G:$G,累计考核费用!$B100,考核调整事项表!$D:$D,累计考核费用!AC$55)+SUMIFS(考核调整事项表!$E:$E,考核调整事项表!$G:$G,累计考核费用!$B100,考核调整事项表!$F:$F,累计考核费用!AC$55)</f>
        <v>0</v>
      </c>
    </row>
    <row r="101" spans="1:29">
      <c r="A101" s="252"/>
      <c r="B101" s="47" t="s">
        <v>135</v>
      </c>
      <c r="C101" s="9">
        <f t="shared" si="16"/>
        <v>0</v>
      </c>
      <c r="D101" s="161">
        <f>SUMIFS(考核调整事项表!$C:$C,考核调整事项表!$G:$G,累计考核费用!$B101,考核调整事项表!$D:$D,累计考核费用!D$55)+SUMIFS(考核调整事项表!$E:$E,考核调整事项表!$G:$G,累计考核费用!$B101,考核调整事项表!$F:$F,累计考核费用!D$55)</f>
        <v>0</v>
      </c>
      <c r="E101" s="161">
        <f>SUMIFS(考核调整事项表!$C:$C,考核调整事项表!$G:$G,累计考核费用!$B101,考核调整事项表!$D:$D,累计考核费用!E$55)+SUMIFS(考核调整事项表!$E:$E,考核调整事项表!$G:$G,累计考核费用!$B101,考核调整事项表!$F:$F,累计考核费用!E$55)</f>
        <v>0</v>
      </c>
      <c r="F101" s="161">
        <f>SUMIFS(考核调整事项表!$C:$C,考核调整事项表!$G:$G,累计考核费用!$B101,考核调整事项表!$D:$D,累计考核费用!F$55)+SUMIFS(考核调整事项表!$E:$E,考核调整事项表!$G:$G,累计考核费用!$B101,考核调整事项表!$F:$F,累计考核费用!F$55)</f>
        <v>0</v>
      </c>
      <c r="G101" s="161">
        <f t="shared" si="1"/>
        <v>0</v>
      </c>
      <c r="H101" s="161">
        <f>SUMIFS(考核调整事项表!$C:$C,考核调整事项表!$G:$G,累计考核费用!$B101,考核调整事项表!$D:$D,累计考核费用!H$55)+SUMIFS(考核调整事项表!$E:$E,考核调整事项表!$G:$G,累计考核费用!$B101,考核调整事项表!$F:$F,累计考核费用!H$55)</f>
        <v>0</v>
      </c>
      <c r="I101" s="161">
        <f>SUMIFS(考核调整事项表!$C:$C,考核调整事项表!$G:$G,累计考核费用!$B101,考核调整事项表!$D:$D,累计考核费用!I$55)+SUMIFS(考核调整事项表!$E:$E,考核调整事项表!$G:$G,累计考核费用!$B101,考核调整事项表!$F:$F,累计考核费用!I$55)</f>
        <v>0</v>
      </c>
      <c r="J101" s="161">
        <f>SUMIFS(考核调整事项表!$C:$C,考核调整事项表!$G:$G,累计考核费用!$B101,考核调整事项表!$D:$D,累计考核费用!J$55)+SUMIFS(考核调整事项表!$E:$E,考核调整事项表!$G:$G,累计考核费用!$B101,考核调整事项表!$F:$F,累计考核费用!J$55)</f>
        <v>0</v>
      </c>
      <c r="K101" s="161">
        <f>SUMIFS(考核调整事项表!$C:$C,考核调整事项表!$G:$G,累计考核费用!$B101,考核调整事项表!$D:$D,累计考核费用!K$55)+SUMIFS(考核调整事项表!$E:$E,考核调整事项表!$G:$G,累计考核费用!$B101,考核调整事项表!$F:$F,累计考核费用!K$55)</f>
        <v>0</v>
      </c>
      <c r="L101" s="161">
        <f t="shared" si="2"/>
        <v>0</v>
      </c>
      <c r="M101" s="161">
        <f>SUMIFS(考核调整事项表!$C:$C,考核调整事项表!$G:$G,累计考核费用!$B101,考核调整事项表!$D:$D,累计考核费用!M$55)+SUMIFS(考核调整事项表!$E:$E,考核调整事项表!$G:$G,累计考核费用!$B101,考核调整事项表!$F:$F,累计考核费用!M$55)</f>
        <v>0</v>
      </c>
      <c r="N101" s="161">
        <f>SUMIFS(考核调整事项表!$C:$C,考核调整事项表!$G:$G,累计考核费用!$B101,考核调整事项表!$D:$D,累计考核费用!N$55)+SUMIFS(考核调整事项表!$E:$E,考核调整事项表!$G:$G,累计考核费用!$B101,考核调整事项表!$F:$F,累计考核费用!N$55)</f>
        <v>0</v>
      </c>
      <c r="O101" s="161">
        <f>SUMIFS(考核调整事项表!$C:$C,考核调整事项表!$G:$G,累计考核费用!$B101,考核调整事项表!$D:$D,累计考核费用!O$55)+SUMIFS(考核调整事项表!$E:$E,考核调整事项表!$G:$G,累计考核费用!$B101,考核调整事项表!$F:$F,累计考核费用!O$55)</f>
        <v>0</v>
      </c>
      <c r="P101" s="161">
        <f>SUMIFS(考核调整事项表!$C:$C,考核调整事项表!$G:$G,累计考核费用!$B101,考核调整事项表!$D:$D,累计考核费用!P$55)+SUMIFS(考核调整事项表!$E:$E,考核调整事项表!$G:$G,累计考核费用!$B101,考核调整事项表!$F:$F,累计考核费用!P$55)</f>
        <v>0</v>
      </c>
      <c r="Q101" s="161">
        <f>SUMIFS(考核调整事项表!$C:$C,考核调整事项表!$G:$G,累计考核费用!$B101,考核调整事项表!$D:$D,累计考核费用!Q$55)+SUMIFS(考核调整事项表!$E:$E,考核调整事项表!$G:$G,累计考核费用!$B101,考核调整事项表!$F:$F,累计考核费用!Q$55)</f>
        <v>0</v>
      </c>
      <c r="R101" s="161">
        <f>SUMIFS(考核调整事项表!$C:$C,考核调整事项表!$G:$G,累计考核费用!$B101,考核调整事项表!$D:$D,累计考核费用!R$55)+SUMIFS(考核调整事项表!$E:$E,考核调整事项表!$G:$G,累计考核费用!$B101,考核调整事项表!$F:$F,累计考核费用!R$55)</f>
        <v>0</v>
      </c>
      <c r="S101" s="161">
        <f>SUMIFS(考核调整事项表!$C:$C,考核调整事项表!$G:$G,累计考核费用!$B101,考核调整事项表!$D:$D,累计考核费用!S$55)+SUMIFS(考核调整事项表!$E:$E,考核调整事项表!$G:$G,累计考核费用!$B101,考核调整事项表!$F:$F,累计考核费用!S$55)</f>
        <v>0</v>
      </c>
      <c r="T101" s="164">
        <f t="shared" si="17"/>
        <v>0</v>
      </c>
      <c r="U101" s="161">
        <f>SUMIFS(考核调整事项表!$C:$C,考核调整事项表!$G:$G,累计考核费用!$B101,考核调整事项表!$D:$D,累计考核费用!U$55)+SUMIFS(考核调整事项表!$E:$E,考核调整事项表!$G:$G,累计考核费用!$B101,考核调整事项表!$F:$F,累计考核费用!U$55)</f>
        <v>0</v>
      </c>
      <c r="V101" s="161">
        <f>SUMIFS(考核调整事项表!$C:$C,考核调整事项表!$G:$G,累计考核费用!$B101,考核调整事项表!$D:$D,累计考核费用!V$55)+SUMIFS(考核调整事项表!$E:$E,考核调整事项表!$G:$G,累计考核费用!$B101,考核调整事项表!$F:$F,累计考核费用!V$55)</f>
        <v>0</v>
      </c>
      <c r="W101" s="161">
        <f>SUMIFS(考核调整事项表!$C:$C,考核调整事项表!$G:$G,累计考核费用!$B101,考核调整事项表!$D:$D,累计考核费用!W$55)+SUMIFS(考核调整事项表!$E:$E,考核调整事项表!$G:$G,累计考核费用!$B101,考核调整事项表!$F:$F,累计考核费用!W$55)</f>
        <v>0</v>
      </c>
      <c r="X101" s="161">
        <f>SUMIFS(考核调整事项表!$C:$C,考核调整事项表!$G:$G,累计考核费用!$B101,考核调整事项表!$D:$D,累计考核费用!X$55)+SUMIFS(考核调整事项表!$E:$E,考核调整事项表!$G:$G,累计考核费用!$B101,考核调整事项表!$F:$F,累计考核费用!X$55)</f>
        <v>0</v>
      </c>
      <c r="Y101" s="161">
        <f>SUMIFS(考核调整事项表!$C:$C,考核调整事项表!$G:$G,累计考核费用!$B101,考核调整事项表!$D:$D,累计考核费用!Y$55)+SUMIFS(考核调整事项表!$E:$E,考核调整事项表!$G:$G,累计考核费用!$B101,考核调整事项表!$F:$F,累计考核费用!Y$55)</f>
        <v>0</v>
      </c>
      <c r="Z101" s="161">
        <f>SUMIFS(考核调整事项表!$C:$C,考核调整事项表!$G:$G,累计考核费用!$B101,考核调整事项表!$D:$D,累计考核费用!Z$55)+SUMIFS(考核调整事项表!$E:$E,考核调整事项表!$G:$G,累计考核费用!$B101,考核调整事项表!$F:$F,累计考核费用!Z$55)</f>
        <v>0</v>
      </c>
      <c r="AA101" s="161">
        <f>SUMIFS(考核调整事项表!$C:$C,考核调整事项表!$G:$G,累计考核费用!$B101,考核调整事项表!$D:$D,累计考核费用!AA$55)+SUMIFS(考核调整事项表!$E:$E,考核调整事项表!$G:$G,累计考核费用!$B101,考核调整事项表!$F:$F,累计考核费用!AA$55)</f>
        <v>0</v>
      </c>
      <c r="AB101" s="161">
        <f>SUMIFS(考核调整事项表!$C:$C,考核调整事项表!$G:$G,累计考核费用!$B101,考核调整事项表!$D:$D,累计考核费用!AB$55)+SUMIFS(考核调整事项表!$E:$E,考核调整事项表!$G:$G,累计考核费用!$B101,考核调整事项表!$F:$F,累计考核费用!AB$55)</f>
        <v>0</v>
      </c>
      <c r="AC101" s="161">
        <f>SUMIFS(考核调整事项表!$C:$C,考核调整事项表!$G:$G,累计考核费用!$B101,考核调整事项表!$D:$D,累计考核费用!AC$55)+SUMIFS(考核调整事项表!$E:$E,考核调整事项表!$G:$G,累计考核费用!$B101,考核调整事项表!$F:$F,累计考核费用!AC$55)</f>
        <v>0</v>
      </c>
    </row>
    <row r="102" spans="1:29">
      <c r="A102" s="252"/>
      <c r="B102" s="47" t="s">
        <v>136</v>
      </c>
      <c r="C102" s="9">
        <f t="shared" si="16"/>
        <v>0</v>
      </c>
      <c r="D102" s="161">
        <f>SUMIFS(考核调整事项表!$C:$C,考核调整事项表!$G:$G,累计考核费用!$B102,考核调整事项表!$D:$D,累计考核费用!D$55)+SUMIFS(考核调整事项表!$E:$E,考核调整事项表!$G:$G,累计考核费用!$B102,考核调整事项表!$F:$F,累计考核费用!D$55)</f>
        <v>0</v>
      </c>
      <c r="E102" s="161">
        <f>SUMIFS(考核调整事项表!$C:$C,考核调整事项表!$G:$G,累计考核费用!$B102,考核调整事项表!$D:$D,累计考核费用!E$55)+SUMIFS(考核调整事项表!$E:$E,考核调整事项表!$G:$G,累计考核费用!$B102,考核调整事项表!$F:$F,累计考核费用!E$55)</f>
        <v>0</v>
      </c>
      <c r="F102" s="161">
        <f>SUMIFS(考核调整事项表!$C:$C,考核调整事项表!$G:$G,累计考核费用!$B102,考核调整事项表!$D:$D,累计考核费用!F$55)+SUMIFS(考核调整事项表!$E:$E,考核调整事项表!$G:$G,累计考核费用!$B102,考核调整事项表!$F:$F,累计考核费用!F$55)</f>
        <v>0</v>
      </c>
      <c r="G102" s="161">
        <f t="shared" si="1"/>
        <v>0</v>
      </c>
      <c r="H102" s="161">
        <f>SUMIFS(考核调整事项表!$C:$C,考核调整事项表!$G:$G,累计考核费用!$B102,考核调整事项表!$D:$D,累计考核费用!H$55)+SUMIFS(考核调整事项表!$E:$E,考核调整事项表!$G:$G,累计考核费用!$B102,考核调整事项表!$F:$F,累计考核费用!H$55)</f>
        <v>0</v>
      </c>
      <c r="I102" s="161">
        <f>SUMIFS(考核调整事项表!$C:$C,考核调整事项表!$G:$G,累计考核费用!$B102,考核调整事项表!$D:$D,累计考核费用!I$55)+SUMIFS(考核调整事项表!$E:$E,考核调整事项表!$G:$G,累计考核费用!$B102,考核调整事项表!$F:$F,累计考核费用!I$55)</f>
        <v>0</v>
      </c>
      <c r="J102" s="161">
        <f>SUMIFS(考核调整事项表!$C:$C,考核调整事项表!$G:$G,累计考核费用!$B102,考核调整事项表!$D:$D,累计考核费用!J$55)+SUMIFS(考核调整事项表!$E:$E,考核调整事项表!$G:$G,累计考核费用!$B102,考核调整事项表!$F:$F,累计考核费用!J$55)</f>
        <v>0</v>
      </c>
      <c r="K102" s="161">
        <f>SUMIFS(考核调整事项表!$C:$C,考核调整事项表!$G:$G,累计考核费用!$B102,考核调整事项表!$D:$D,累计考核费用!K$55)+SUMIFS(考核调整事项表!$E:$E,考核调整事项表!$G:$G,累计考核费用!$B102,考核调整事项表!$F:$F,累计考核费用!K$55)</f>
        <v>0</v>
      </c>
      <c r="L102" s="161">
        <f t="shared" si="2"/>
        <v>0</v>
      </c>
      <c r="M102" s="161">
        <f>SUMIFS(考核调整事项表!$C:$C,考核调整事项表!$G:$G,累计考核费用!$B102,考核调整事项表!$D:$D,累计考核费用!M$55)+SUMIFS(考核调整事项表!$E:$E,考核调整事项表!$G:$G,累计考核费用!$B102,考核调整事项表!$F:$F,累计考核费用!M$55)</f>
        <v>0</v>
      </c>
      <c r="N102" s="161">
        <f>SUMIFS(考核调整事项表!$C:$C,考核调整事项表!$G:$G,累计考核费用!$B102,考核调整事项表!$D:$D,累计考核费用!N$55)+SUMIFS(考核调整事项表!$E:$E,考核调整事项表!$G:$G,累计考核费用!$B102,考核调整事项表!$F:$F,累计考核费用!N$55)</f>
        <v>0</v>
      </c>
      <c r="O102" s="161">
        <f>SUMIFS(考核调整事项表!$C:$C,考核调整事项表!$G:$G,累计考核费用!$B102,考核调整事项表!$D:$D,累计考核费用!O$55)+SUMIFS(考核调整事项表!$E:$E,考核调整事项表!$G:$G,累计考核费用!$B102,考核调整事项表!$F:$F,累计考核费用!O$55)</f>
        <v>0</v>
      </c>
      <c r="P102" s="161">
        <f>SUMIFS(考核调整事项表!$C:$C,考核调整事项表!$G:$G,累计考核费用!$B102,考核调整事项表!$D:$D,累计考核费用!P$55)+SUMIFS(考核调整事项表!$E:$E,考核调整事项表!$G:$G,累计考核费用!$B102,考核调整事项表!$F:$F,累计考核费用!P$55)</f>
        <v>0</v>
      </c>
      <c r="Q102" s="161">
        <f>SUMIFS(考核调整事项表!$C:$C,考核调整事项表!$G:$G,累计考核费用!$B102,考核调整事项表!$D:$D,累计考核费用!Q$55)+SUMIFS(考核调整事项表!$E:$E,考核调整事项表!$G:$G,累计考核费用!$B102,考核调整事项表!$F:$F,累计考核费用!Q$55)</f>
        <v>0</v>
      </c>
      <c r="R102" s="161">
        <f>SUMIFS(考核调整事项表!$C:$C,考核调整事项表!$G:$G,累计考核费用!$B102,考核调整事项表!$D:$D,累计考核费用!R$55)+SUMIFS(考核调整事项表!$E:$E,考核调整事项表!$G:$G,累计考核费用!$B102,考核调整事项表!$F:$F,累计考核费用!R$55)</f>
        <v>0</v>
      </c>
      <c r="S102" s="161">
        <f>SUMIFS(考核调整事项表!$C:$C,考核调整事项表!$G:$G,累计考核费用!$B102,考核调整事项表!$D:$D,累计考核费用!S$55)+SUMIFS(考核调整事项表!$E:$E,考核调整事项表!$G:$G,累计考核费用!$B102,考核调整事项表!$F:$F,累计考核费用!S$55)</f>
        <v>0</v>
      </c>
      <c r="T102" s="164">
        <f t="shared" si="17"/>
        <v>0</v>
      </c>
      <c r="U102" s="161">
        <f>SUMIFS(考核调整事项表!$C:$C,考核调整事项表!$G:$G,累计考核费用!$B102,考核调整事项表!$D:$D,累计考核费用!U$55)+SUMIFS(考核调整事项表!$E:$E,考核调整事项表!$G:$G,累计考核费用!$B102,考核调整事项表!$F:$F,累计考核费用!U$55)</f>
        <v>0</v>
      </c>
      <c r="V102" s="161">
        <f>SUMIFS(考核调整事项表!$C:$C,考核调整事项表!$G:$G,累计考核费用!$B102,考核调整事项表!$D:$D,累计考核费用!V$55)+SUMIFS(考核调整事项表!$E:$E,考核调整事项表!$G:$G,累计考核费用!$B102,考核调整事项表!$F:$F,累计考核费用!V$55)</f>
        <v>0</v>
      </c>
      <c r="W102" s="161">
        <f>SUMIFS(考核调整事项表!$C:$C,考核调整事项表!$G:$G,累计考核费用!$B102,考核调整事项表!$D:$D,累计考核费用!W$55)+SUMIFS(考核调整事项表!$E:$E,考核调整事项表!$G:$G,累计考核费用!$B102,考核调整事项表!$F:$F,累计考核费用!W$55)</f>
        <v>0</v>
      </c>
      <c r="X102" s="161">
        <f>SUMIFS(考核调整事项表!$C:$C,考核调整事项表!$G:$G,累计考核费用!$B102,考核调整事项表!$D:$D,累计考核费用!X$55)+SUMIFS(考核调整事项表!$E:$E,考核调整事项表!$G:$G,累计考核费用!$B102,考核调整事项表!$F:$F,累计考核费用!X$55)</f>
        <v>0</v>
      </c>
      <c r="Y102" s="161">
        <f>SUMIFS(考核调整事项表!$C:$C,考核调整事项表!$G:$G,累计考核费用!$B102,考核调整事项表!$D:$D,累计考核费用!Y$55)+SUMIFS(考核调整事项表!$E:$E,考核调整事项表!$G:$G,累计考核费用!$B102,考核调整事项表!$F:$F,累计考核费用!Y$55)</f>
        <v>0</v>
      </c>
      <c r="Z102" s="161">
        <f>SUMIFS(考核调整事项表!$C:$C,考核调整事项表!$G:$G,累计考核费用!$B102,考核调整事项表!$D:$D,累计考核费用!Z$55)+SUMIFS(考核调整事项表!$E:$E,考核调整事项表!$G:$G,累计考核费用!$B102,考核调整事项表!$F:$F,累计考核费用!Z$55)</f>
        <v>0</v>
      </c>
      <c r="AA102" s="161">
        <f>SUMIFS(考核调整事项表!$C:$C,考核调整事项表!$G:$G,累计考核费用!$B102,考核调整事项表!$D:$D,累计考核费用!AA$55)+SUMIFS(考核调整事项表!$E:$E,考核调整事项表!$G:$G,累计考核费用!$B102,考核调整事项表!$F:$F,累计考核费用!AA$55)</f>
        <v>0</v>
      </c>
      <c r="AB102" s="161">
        <f>SUMIFS(考核调整事项表!$C:$C,考核调整事项表!$G:$G,累计考核费用!$B102,考核调整事项表!$D:$D,累计考核费用!AB$55)+SUMIFS(考核调整事项表!$E:$E,考核调整事项表!$G:$G,累计考核费用!$B102,考核调整事项表!$F:$F,累计考核费用!AB$55)</f>
        <v>0</v>
      </c>
      <c r="AC102" s="161">
        <f>SUMIFS(考核调整事项表!$C:$C,考核调整事项表!$G:$G,累计考核费用!$B102,考核调整事项表!$D:$D,累计考核费用!AC$55)+SUMIFS(考核调整事项表!$E:$E,考核调整事项表!$G:$G,累计考核费用!$B102,考核调整事项表!$F:$F,累计考核费用!AC$55)</f>
        <v>0</v>
      </c>
    </row>
    <row r="103" spans="1:29">
      <c r="A103" s="253"/>
      <c r="B103" s="57" t="s">
        <v>99</v>
      </c>
      <c r="C103" s="166">
        <f>SUM(C87:C102)</f>
        <v>-1.8189894035458565E-12</v>
      </c>
      <c r="D103" s="166">
        <f t="shared" ref="D103:AC103" si="18">SUM(D87:D102)</f>
        <v>-7468801.2599999998</v>
      </c>
      <c r="E103" s="166">
        <f t="shared" si="18"/>
        <v>-25615.4</v>
      </c>
      <c r="F103" s="166">
        <f t="shared" si="18"/>
        <v>8451448.3599999994</v>
      </c>
      <c r="G103" s="166">
        <f t="shared" si="18"/>
        <v>-33014.6</v>
      </c>
      <c r="H103" s="166">
        <f t="shared" si="18"/>
        <v>0</v>
      </c>
      <c r="I103" s="166">
        <f t="shared" si="18"/>
        <v>0</v>
      </c>
      <c r="J103" s="166">
        <f t="shared" si="18"/>
        <v>0</v>
      </c>
      <c r="K103" s="166">
        <f t="shared" si="18"/>
        <v>-33014.6</v>
      </c>
      <c r="L103" s="166">
        <f t="shared" si="18"/>
        <v>-924017.1</v>
      </c>
      <c r="M103" s="166">
        <f t="shared" si="18"/>
        <v>0</v>
      </c>
      <c r="N103" s="166">
        <f t="shared" si="18"/>
        <v>0</v>
      </c>
      <c r="O103" s="166">
        <f t="shared" si="18"/>
        <v>0</v>
      </c>
      <c r="P103" s="166">
        <f t="shared" si="18"/>
        <v>0</v>
      </c>
      <c r="Q103" s="166">
        <f t="shared" si="18"/>
        <v>0</v>
      </c>
      <c r="R103" s="166">
        <f t="shared" si="18"/>
        <v>0</v>
      </c>
      <c r="S103" s="166">
        <f t="shared" si="18"/>
        <v>-924017.1</v>
      </c>
      <c r="T103" s="166">
        <f t="shared" si="18"/>
        <v>0</v>
      </c>
      <c r="U103" s="166">
        <f t="shared" si="18"/>
        <v>0</v>
      </c>
      <c r="V103" s="166">
        <f t="shared" si="18"/>
        <v>0</v>
      </c>
      <c r="W103" s="166">
        <f t="shared" si="18"/>
        <v>0</v>
      </c>
      <c r="X103" s="166">
        <f t="shared" si="18"/>
        <v>0</v>
      </c>
      <c r="Y103" s="166">
        <f t="shared" si="18"/>
        <v>0</v>
      </c>
      <c r="Z103" s="166">
        <f t="shared" si="18"/>
        <v>0</v>
      </c>
      <c r="AA103" s="166">
        <f t="shared" ref="AA103" si="19">SUM(AA87:AA102)</f>
        <v>0</v>
      </c>
      <c r="AB103" s="166">
        <f t="shared" si="18"/>
        <v>0</v>
      </c>
      <c r="AC103" s="166">
        <f t="shared" si="18"/>
        <v>0</v>
      </c>
    </row>
    <row r="104" spans="1:29" ht="14.25" thickBot="1">
      <c r="A104" s="14"/>
      <c r="B104" s="59" t="s">
        <v>3</v>
      </c>
      <c r="C104" s="16">
        <f>C103+C86+C66+C72</f>
        <v>-4.5474735088646412E-11</v>
      </c>
      <c r="D104" s="16">
        <f t="shared" ref="D104:AC104" si="20">D103+D86+D66+D72</f>
        <v>128211.50999999978</v>
      </c>
      <c r="E104" s="16">
        <f>E103+E86+E66+E72</f>
        <v>18696920.300000001</v>
      </c>
      <c r="F104" s="16">
        <f t="shared" si="20"/>
        <v>-3898915.1900000004</v>
      </c>
      <c r="G104" s="16">
        <f t="shared" si="20"/>
        <v>684925.69999999984</v>
      </c>
      <c r="H104" s="16">
        <f t="shared" si="20"/>
        <v>-573531.54</v>
      </c>
      <c r="I104" s="16">
        <f t="shared" si="20"/>
        <v>24700</v>
      </c>
      <c r="J104" s="16">
        <f t="shared" si="20"/>
        <v>1197805.6599999999</v>
      </c>
      <c r="K104" s="16">
        <f t="shared" si="20"/>
        <v>35951.580000000075</v>
      </c>
      <c r="L104" s="16">
        <f t="shared" si="20"/>
        <v>-664115.07000000007</v>
      </c>
      <c r="M104" s="16">
        <f t="shared" si="20"/>
        <v>-101411.61</v>
      </c>
      <c r="N104" s="16">
        <f t="shared" si="20"/>
        <v>81816.709999999977</v>
      </c>
      <c r="O104" s="16">
        <f t="shared" si="20"/>
        <v>3851.6999999999989</v>
      </c>
      <c r="P104" s="16">
        <f t="shared" si="20"/>
        <v>168664.12999999998</v>
      </c>
      <c r="Q104" s="16">
        <f t="shared" si="20"/>
        <v>3136.4700000000003</v>
      </c>
      <c r="R104" s="16">
        <f t="shared" si="20"/>
        <v>103844.63</v>
      </c>
      <c r="S104" s="16">
        <f t="shared" si="20"/>
        <v>-924017.1</v>
      </c>
      <c r="T104" s="16">
        <f t="shared" si="20"/>
        <v>-16430914.689999999</v>
      </c>
      <c r="U104" s="16">
        <f t="shared" si="20"/>
        <v>53531.739999999991</v>
      </c>
      <c r="V104" s="16">
        <f t="shared" si="20"/>
        <v>-13383573.199999999</v>
      </c>
      <c r="W104" s="16">
        <f t="shared" si="20"/>
        <v>-3210278.88</v>
      </c>
      <c r="X104" s="16">
        <f t="shared" si="20"/>
        <v>0</v>
      </c>
      <c r="Y104" s="16">
        <f t="shared" si="20"/>
        <v>0</v>
      </c>
      <c r="Z104" s="16">
        <f t="shared" si="20"/>
        <v>0</v>
      </c>
      <c r="AA104" s="16">
        <f t="shared" ref="AA104" si="21">AA103+AA86+AA66+AA72</f>
        <v>109405.65</v>
      </c>
      <c r="AB104" s="16">
        <f t="shared" si="20"/>
        <v>1483887.4400000002</v>
      </c>
      <c r="AC104" s="16">
        <f t="shared" si="20"/>
        <v>0</v>
      </c>
    </row>
    <row r="106" spans="1:29" ht="14.25" thickBot="1">
      <c r="B106" s="152" t="s">
        <v>64</v>
      </c>
    </row>
    <row r="107" spans="1:29">
      <c r="A107" s="17" t="s">
        <v>86</v>
      </c>
      <c r="B107" s="18" t="s">
        <v>87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资管业务</v>
      </c>
      <c r="H107" s="24" t="str">
        <f>累计利润调整表!G3</f>
        <v>资产管理部</v>
      </c>
      <c r="I107" s="24" t="str">
        <f>累计利润调整表!H3</f>
        <v>权益产品投资部</v>
      </c>
      <c r="J107" s="24" t="str">
        <f>累计利润调整表!I3</f>
        <v>固收产品投资部</v>
      </c>
      <c r="K107" s="24" t="str">
        <f>累计利润调整表!J3</f>
        <v>量化产品投资部</v>
      </c>
      <c r="L107" s="19" t="str">
        <f>累计利润调整表!K3</f>
        <v>深分公司合计</v>
      </c>
      <c r="M107" s="24" t="str">
        <f>累计利润调整表!L3</f>
        <v>固定收益投资部</v>
      </c>
      <c r="N107" s="24" t="str">
        <f>N3</f>
        <v>固定收益市场部</v>
      </c>
      <c r="O107" s="24" t="str">
        <f>O3</f>
        <v>投顾业务部</v>
      </c>
      <c r="P107" s="24" t="str">
        <f>累计利润调整表!O3</f>
        <v>证券投资部</v>
      </c>
      <c r="Q107" s="24" t="str">
        <f>Q3</f>
        <v>做市业务部</v>
      </c>
      <c r="R107" s="24" t="str">
        <f>累计利润调整表!Q3</f>
        <v>金融衍生品部</v>
      </c>
      <c r="S107" s="24" t="str">
        <f>累计利润调整表!R3</f>
        <v>深圳管理总部</v>
      </c>
      <c r="T107" s="19" t="str">
        <f>累计利润调整表!S3</f>
        <v>投资银行合计</v>
      </c>
      <c r="U107" s="24" t="str">
        <f>累计利润调整表!T3</f>
        <v>投资银行三部</v>
      </c>
      <c r="V107" s="24" t="str">
        <f>累计利润调整表!U3</f>
        <v>投资银行一部</v>
      </c>
      <c r="W107" s="24" t="str">
        <f>累计利润调整表!V3</f>
        <v>投资银行二部</v>
      </c>
      <c r="X107" s="24" t="s">
        <v>24</v>
      </c>
      <c r="Y107" s="24" t="s">
        <v>25</v>
      </c>
      <c r="Z107" s="24" t="s">
        <v>26</v>
      </c>
      <c r="AA107" s="24" t="s">
        <v>505</v>
      </c>
      <c r="AB107" s="19" t="s">
        <v>488</v>
      </c>
      <c r="AC107" s="19" t="s">
        <v>487</v>
      </c>
    </row>
    <row r="108" spans="1:29" ht="13.5" customHeight="1">
      <c r="A108" s="257" t="s">
        <v>88</v>
      </c>
      <c r="B108" s="47" t="s">
        <v>89</v>
      </c>
      <c r="C108" s="9">
        <f>SUM(D108:G108)+L108+T108+AC108+AB108</f>
        <v>178639573.27999997</v>
      </c>
      <c r="D108" s="9">
        <f t="shared" ref="D108:Z108" si="22">D4+D56</f>
        <v>0</v>
      </c>
      <c r="E108" s="9">
        <f t="shared" si="22"/>
        <v>46607535.949999988</v>
      </c>
      <c r="F108" s="9">
        <f t="shared" si="22"/>
        <v>85147575.63000001</v>
      </c>
      <c r="G108" s="9">
        <f t="shared" si="22"/>
        <v>8228077.5499999989</v>
      </c>
      <c r="H108" s="9">
        <f t="shared" si="22"/>
        <v>2301080.9499999993</v>
      </c>
      <c r="I108" s="9">
        <f t="shared" si="22"/>
        <v>1899277.54</v>
      </c>
      <c r="J108" s="9">
        <f t="shared" si="22"/>
        <v>1392119.2</v>
      </c>
      <c r="K108" s="9">
        <f t="shared" si="22"/>
        <v>2635599.86</v>
      </c>
      <c r="L108" s="9">
        <f t="shared" si="22"/>
        <v>11369397.950000001</v>
      </c>
      <c r="M108" s="9">
        <f t="shared" si="22"/>
        <v>802647.28</v>
      </c>
      <c r="N108" s="9">
        <f t="shared" si="22"/>
        <v>1535575.0700000003</v>
      </c>
      <c r="O108" s="9">
        <f t="shared" si="22"/>
        <v>578530.90000000014</v>
      </c>
      <c r="P108" s="9">
        <f t="shared" si="22"/>
        <v>3314726.26</v>
      </c>
      <c r="Q108" s="9">
        <f t="shared" si="22"/>
        <v>1729592.11</v>
      </c>
      <c r="R108" s="9">
        <f t="shared" si="22"/>
        <v>1909214.5299999998</v>
      </c>
      <c r="S108" s="9">
        <f t="shared" si="22"/>
        <v>1499111.8000000003</v>
      </c>
      <c r="T108" s="9">
        <f>T4+T56</f>
        <v>19870224.09</v>
      </c>
      <c r="U108" s="9">
        <f t="shared" si="22"/>
        <v>4969968.25</v>
      </c>
      <c r="V108" s="9">
        <f t="shared" si="22"/>
        <v>6857196.9400000004</v>
      </c>
      <c r="W108" s="9">
        <f t="shared" si="22"/>
        <v>7372676.5299999993</v>
      </c>
      <c r="X108" s="9">
        <f t="shared" si="22"/>
        <v>221732</v>
      </c>
      <c r="Y108" s="9">
        <f t="shared" si="22"/>
        <v>322283.14</v>
      </c>
      <c r="Z108" s="9">
        <f t="shared" si="22"/>
        <v>126367.23</v>
      </c>
      <c r="AA108" s="9">
        <f t="shared" ref="AA108:AB108" si="23">AA4+AA56</f>
        <v>0</v>
      </c>
      <c r="AB108" s="9">
        <f t="shared" si="23"/>
        <v>4127321.51</v>
      </c>
      <c r="AC108" s="9">
        <f t="shared" ref="AC108" si="24">AC4+AC56</f>
        <v>3289440.5999999996</v>
      </c>
    </row>
    <row r="109" spans="1:29">
      <c r="A109" s="258"/>
      <c r="B109" s="47" t="s">
        <v>90</v>
      </c>
      <c r="C109" s="9">
        <f t="shared" ref="C109:C117" si="25">SUM(D109:G109)+L109+T109+AC109+AB109</f>
        <v>2862787.2999999993</v>
      </c>
      <c r="D109" s="9">
        <f t="shared" ref="D109:Z109" si="26">D5+D57</f>
        <v>0</v>
      </c>
      <c r="E109" s="9">
        <f t="shared" si="26"/>
        <v>917075.84999999986</v>
      </c>
      <c r="F109" s="9">
        <f t="shared" si="26"/>
        <v>1136759.1199999999</v>
      </c>
      <c r="G109" s="9">
        <f t="shared" si="26"/>
        <v>140135.92000000001</v>
      </c>
      <c r="H109" s="9">
        <f t="shared" si="26"/>
        <v>80690.739999999991</v>
      </c>
      <c r="I109" s="9">
        <f t="shared" si="26"/>
        <v>49877.08</v>
      </c>
      <c r="J109" s="9">
        <f t="shared" si="26"/>
        <v>4305.68</v>
      </c>
      <c r="K109" s="9">
        <f t="shared" si="26"/>
        <v>5262.42</v>
      </c>
      <c r="L109" s="9">
        <f t="shared" si="26"/>
        <v>50284.36</v>
      </c>
      <c r="M109" s="9">
        <f t="shared" si="26"/>
        <v>6530</v>
      </c>
      <c r="N109" s="9">
        <f t="shared" si="26"/>
        <v>3395</v>
      </c>
      <c r="O109" s="9">
        <f t="shared" si="26"/>
        <v>1630</v>
      </c>
      <c r="P109" s="9">
        <f t="shared" si="26"/>
        <v>19727.599999999999</v>
      </c>
      <c r="Q109" s="9">
        <f t="shared" si="26"/>
        <v>12040</v>
      </c>
      <c r="R109" s="9">
        <f t="shared" si="26"/>
        <v>3150.86</v>
      </c>
      <c r="S109" s="9">
        <f t="shared" si="26"/>
        <v>3810.9</v>
      </c>
      <c r="T109" s="9">
        <f t="shared" si="26"/>
        <v>382024.25</v>
      </c>
      <c r="U109" s="9">
        <f t="shared" si="26"/>
        <v>103500.62</v>
      </c>
      <c r="V109" s="9">
        <f t="shared" si="26"/>
        <v>189069.51</v>
      </c>
      <c r="W109" s="9">
        <f t="shared" si="26"/>
        <v>89209.12</v>
      </c>
      <c r="X109" s="9">
        <f t="shared" si="26"/>
        <v>245</v>
      </c>
      <c r="Y109" s="9">
        <f t="shared" si="26"/>
        <v>0</v>
      </c>
      <c r="Z109" s="9">
        <f t="shared" si="26"/>
        <v>0</v>
      </c>
      <c r="AA109" s="9">
        <f t="shared" ref="AA109:AB109" si="27">AA5+AA57</f>
        <v>0</v>
      </c>
      <c r="AB109" s="9">
        <f t="shared" si="27"/>
        <v>132302.79999999999</v>
      </c>
      <c r="AC109" s="9">
        <f t="shared" ref="AC109" si="28">AC5+AC57</f>
        <v>104205</v>
      </c>
    </row>
    <row r="110" spans="1:29">
      <c r="A110" s="258"/>
      <c r="B110" s="47" t="s">
        <v>91</v>
      </c>
      <c r="C110" s="9">
        <f t="shared" si="25"/>
        <v>5847150.0500000007</v>
      </c>
      <c r="D110" s="9">
        <f t="shared" ref="D110:Z110" si="29">D6+D58</f>
        <v>0</v>
      </c>
      <c r="E110" s="9">
        <f t="shared" si="29"/>
        <v>535967.05999999982</v>
      </c>
      <c r="F110" s="9">
        <f t="shared" si="29"/>
        <v>2991776.19</v>
      </c>
      <c r="G110" s="9">
        <f t="shared" si="29"/>
        <v>187385.12</v>
      </c>
      <c r="H110" s="9">
        <f t="shared" si="29"/>
        <v>56834.979999999996</v>
      </c>
      <c r="I110" s="9">
        <f t="shared" si="29"/>
        <v>38237.960000000006</v>
      </c>
      <c r="J110" s="9">
        <f t="shared" si="29"/>
        <v>28343.179999999997</v>
      </c>
      <c r="K110" s="9">
        <f t="shared" si="29"/>
        <v>63968.999999999993</v>
      </c>
      <c r="L110" s="9">
        <f t="shared" si="29"/>
        <v>230431.57</v>
      </c>
      <c r="M110" s="9">
        <f t="shared" si="29"/>
        <v>15839.72</v>
      </c>
      <c r="N110" s="9">
        <f t="shared" si="29"/>
        <v>31435.11</v>
      </c>
      <c r="O110" s="9">
        <f t="shared" si="29"/>
        <v>11763.81</v>
      </c>
      <c r="P110" s="9">
        <f t="shared" si="29"/>
        <v>67209.33</v>
      </c>
      <c r="Q110" s="9">
        <f t="shared" si="29"/>
        <v>35087.43</v>
      </c>
      <c r="R110" s="9">
        <f t="shared" si="29"/>
        <v>38769.490000000005</v>
      </c>
      <c r="S110" s="9">
        <f t="shared" si="29"/>
        <v>30326.68</v>
      </c>
      <c r="T110" s="9">
        <f t="shared" si="29"/>
        <v>1781586.2000000002</v>
      </c>
      <c r="U110" s="9">
        <f t="shared" si="29"/>
        <v>128661.03000000001</v>
      </c>
      <c r="V110" s="9">
        <f t="shared" si="29"/>
        <v>1352961.9500000002</v>
      </c>
      <c r="W110" s="9">
        <f t="shared" si="29"/>
        <v>286555.58</v>
      </c>
      <c r="X110" s="9">
        <f t="shared" si="29"/>
        <v>4434.6400000000003</v>
      </c>
      <c r="Y110" s="9">
        <f t="shared" si="29"/>
        <v>6445.66</v>
      </c>
      <c r="Z110" s="9">
        <f t="shared" si="29"/>
        <v>2527.34</v>
      </c>
      <c r="AA110" s="9">
        <f t="shared" ref="AA110:AB110" si="30">AA6+AA58</f>
        <v>0</v>
      </c>
      <c r="AB110" s="9">
        <f t="shared" si="30"/>
        <v>52670.569999999992</v>
      </c>
      <c r="AC110" s="9">
        <f t="shared" ref="AC110" si="31">AC6+AC58</f>
        <v>67333.34</v>
      </c>
    </row>
    <row r="111" spans="1:29">
      <c r="A111" s="258"/>
      <c r="B111" s="47" t="s">
        <v>92</v>
      </c>
      <c r="C111" s="9">
        <f t="shared" si="25"/>
        <v>4390523.2699999996</v>
      </c>
      <c r="D111" s="9">
        <f t="shared" ref="D111:Z111" si="32">D7+D59</f>
        <v>0</v>
      </c>
      <c r="E111" s="9">
        <f t="shared" si="32"/>
        <v>1620117.8900000006</v>
      </c>
      <c r="F111" s="9">
        <f t="shared" si="32"/>
        <v>1734085.73</v>
      </c>
      <c r="G111" s="9">
        <f t="shared" si="32"/>
        <v>112370.73000000001</v>
      </c>
      <c r="H111" s="9">
        <f t="shared" si="32"/>
        <v>47330.610000000008</v>
      </c>
      <c r="I111" s="9">
        <f t="shared" si="32"/>
        <v>15555.99</v>
      </c>
      <c r="J111" s="9">
        <f t="shared" si="32"/>
        <v>18873.52</v>
      </c>
      <c r="K111" s="9">
        <f t="shared" si="32"/>
        <v>30610.61</v>
      </c>
      <c r="L111" s="9">
        <f t="shared" si="32"/>
        <v>164470.88000000003</v>
      </c>
      <c r="M111" s="9">
        <f t="shared" si="32"/>
        <v>21940.5</v>
      </c>
      <c r="N111" s="9">
        <f t="shared" si="32"/>
        <v>37498.99</v>
      </c>
      <c r="O111" s="9">
        <f t="shared" si="32"/>
        <v>15033.65</v>
      </c>
      <c r="P111" s="9">
        <f t="shared" si="32"/>
        <v>29990.65</v>
      </c>
      <c r="Q111" s="9">
        <f t="shared" si="32"/>
        <v>18390.82</v>
      </c>
      <c r="R111" s="9">
        <f t="shared" si="32"/>
        <v>26324.42</v>
      </c>
      <c r="S111" s="9">
        <f t="shared" si="32"/>
        <v>15291.85</v>
      </c>
      <c r="T111" s="9">
        <f t="shared" si="32"/>
        <v>670849.35</v>
      </c>
      <c r="U111" s="9">
        <f t="shared" si="32"/>
        <v>77881.8</v>
      </c>
      <c r="V111" s="9">
        <f t="shared" si="32"/>
        <v>402417.86</v>
      </c>
      <c r="W111" s="9">
        <f t="shared" si="32"/>
        <v>186964.79</v>
      </c>
      <c r="X111" s="9">
        <f t="shared" si="32"/>
        <v>0</v>
      </c>
      <c r="Y111" s="9">
        <f t="shared" si="32"/>
        <v>0</v>
      </c>
      <c r="Z111" s="9">
        <f t="shared" si="32"/>
        <v>0</v>
      </c>
      <c r="AA111" s="9">
        <f t="shared" ref="AA111:AB111" si="33">AA7+AA59</f>
        <v>3584.9</v>
      </c>
      <c r="AB111" s="9">
        <f t="shared" si="33"/>
        <v>46603.010000000009</v>
      </c>
      <c r="AC111" s="9">
        <f t="shared" ref="AC111" si="34">AC7+AC59</f>
        <v>42025.679999999993</v>
      </c>
    </row>
    <row r="112" spans="1:29">
      <c r="A112" s="258"/>
      <c r="B112" s="47" t="s">
        <v>93</v>
      </c>
      <c r="C112" s="9">
        <f t="shared" si="25"/>
        <v>46424434.559999987</v>
      </c>
      <c r="D112" s="9">
        <f t="shared" ref="D112:Z112" si="35">D8+D60</f>
        <v>0</v>
      </c>
      <c r="E112" s="9">
        <f t="shared" si="35"/>
        <v>10013326.789999995</v>
      </c>
      <c r="F112" s="9">
        <f t="shared" si="35"/>
        <v>24876863.120000001</v>
      </c>
      <c r="G112" s="9">
        <f t="shared" si="35"/>
        <v>2112946.88</v>
      </c>
      <c r="H112" s="9">
        <f t="shared" si="35"/>
        <v>635284.84</v>
      </c>
      <c r="I112" s="9">
        <f t="shared" si="35"/>
        <v>586895.29999999993</v>
      </c>
      <c r="J112" s="9">
        <f t="shared" si="35"/>
        <v>340721.5</v>
      </c>
      <c r="K112" s="9">
        <f t="shared" si="35"/>
        <v>550045.24</v>
      </c>
      <c r="L112" s="9">
        <f t="shared" si="35"/>
        <v>2403856.34</v>
      </c>
      <c r="M112" s="9">
        <f t="shared" si="35"/>
        <v>118492.68</v>
      </c>
      <c r="N112" s="9">
        <f t="shared" si="35"/>
        <v>348288.22</v>
      </c>
      <c r="O112" s="9">
        <f t="shared" si="35"/>
        <v>100498.79999999999</v>
      </c>
      <c r="P112" s="9">
        <f t="shared" si="35"/>
        <v>780342.91999999993</v>
      </c>
      <c r="Q112" s="9">
        <f t="shared" si="35"/>
        <v>355181.51999999996</v>
      </c>
      <c r="R112" s="9">
        <f t="shared" si="35"/>
        <v>354808.29000000004</v>
      </c>
      <c r="S112" s="9">
        <f t="shared" si="35"/>
        <v>346243.91</v>
      </c>
      <c r="T112" s="9">
        <f t="shared" si="35"/>
        <v>5199765.72</v>
      </c>
      <c r="U112" s="9">
        <f t="shared" si="35"/>
        <v>1482968.81</v>
      </c>
      <c r="V112" s="9">
        <f t="shared" si="35"/>
        <v>1856378.7200000002</v>
      </c>
      <c r="W112" s="9">
        <f t="shared" si="35"/>
        <v>1599021.4799999997</v>
      </c>
      <c r="X112" s="9">
        <f t="shared" si="35"/>
        <v>35016</v>
      </c>
      <c r="Y112" s="9">
        <f t="shared" si="35"/>
        <v>159947.40999999997</v>
      </c>
      <c r="Z112" s="9">
        <f t="shared" si="35"/>
        <v>66433.3</v>
      </c>
      <c r="AA112" s="9">
        <f t="shared" ref="AA112:AB112" si="36">AA8+AA60</f>
        <v>0</v>
      </c>
      <c r="AB112" s="9">
        <f t="shared" si="36"/>
        <v>712504.40999999992</v>
      </c>
      <c r="AC112" s="9">
        <f t="shared" ref="AC112" si="37">AC8+AC60</f>
        <v>1105171.2999999998</v>
      </c>
    </row>
    <row r="113" spans="1:29">
      <c r="A113" s="258"/>
      <c r="B113" s="47" t="s">
        <v>94</v>
      </c>
      <c r="C113" s="9">
        <f t="shared" si="25"/>
        <v>359744.37</v>
      </c>
      <c r="D113" s="9">
        <f t="shared" ref="D113:Z113" si="38">D9+D61</f>
        <v>0</v>
      </c>
      <c r="E113" s="9">
        <f t="shared" si="38"/>
        <v>200000</v>
      </c>
      <c r="F113" s="9">
        <f t="shared" si="38"/>
        <v>112749</v>
      </c>
      <c r="G113" s="9">
        <f t="shared" si="38"/>
        <v>46995.37</v>
      </c>
      <c r="H113" s="9">
        <f t="shared" si="38"/>
        <v>0</v>
      </c>
      <c r="I113" s="9">
        <f t="shared" si="38"/>
        <v>0</v>
      </c>
      <c r="J113" s="9">
        <f t="shared" si="38"/>
        <v>0</v>
      </c>
      <c r="K113" s="9">
        <f t="shared" si="38"/>
        <v>46995.37</v>
      </c>
      <c r="L113" s="9">
        <f t="shared" si="38"/>
        <v>0</v>
      </c>
      <c r="M113" s="9">
        <f t="shared" si="38"/>
        <v>0</v>
      </c>
      <c r="N113" s="9">
        <f t="shared" si="38"/>
        <v>0</v>
      </c>
      <c r="O113" s="9">
        <f t="shared" si="38"/>
        <v>0</v>
      </c>
      <c r="P113" s="9">
        <f t="shared" si="38"/>
        <v>0</v>
      </c>
      <c r="Q113" s="9">
        <f t="shared" si="38"/>
        <v>0</v>
      </c>
      <c r="R113" s="9">
        <f t="shared" si="38"/>
        <v>0</v>
      </c>
      <c r="S113" s="9">
        <f t="shared" si="38"/>
        <v>0</v>
      </c>
      <c r="T113" s="9">
        <f t="shared" si="38"/>
        <v>0</v>
      </c>
      <c r="U113" s="9">
        <f t="shared" si="38"/>
        <v>0</v>
      </c>
      <c r="V113" s="9">
        <f t="shared" si="38"/>
        <v>0</v>
      </c>
      <c r="W113" s="9">
        <f t="shared" si="38"/>
        <v>0</v>
      </c>
      <c r="X113" s="9">
        <f t="shared" si="38"/>
        <v>0</v>
      </c>
      <c r="Y113" s="9">
        <f t="shared" si="38"/>
        <v>0</v>
      </c>
      <c r="Z113" s="9">
        <f t="shared" si="38"/>
        <v>0</v>
      </c>
      <c r="AA113" s="9">
        <f t="shared" ref="AA113:AB113" si="39">AA9+AA61</f>
        <v>0</v>
      </c>
      <c r="AB113" s="9">
        <f t="shared" si="39"/>
        <v>0</v>
      </c>
      <c r="AC113" s="9">
        <f t="shared" ref="AC113" si="40">AC9+AC61</f>
        <v>0</v>
      </c>
    </row>
    <row r="114" spans="1:29">
      <c r="A114" s="258"/>
      <c r="B114" s="47" t="s">
        <v>95</v>
      </c>
      <c r="C114" s="9">
        <f t="shared" si="25"/>
        <v>2717786.3699999996</v>
      </c>
      <c r="D114" s="9">
        <f t="shared" ref="D114:Z114" si="41">D10+D62</f>
        <v>0</v>
      </c>
      <c r="E114" s="9">
        <f t="shared" si="41"/>
        <v>2571462.1899999995</v>
      </c>
      <c r="F114" s="9">
        <f t="shared" si="41"/>
        <v>141491.78</v>
      </c>
      <c r="G114" s="9">
        <f t="shared" si="41"/>
        <v>12734.400000000001</v>
      </c>
      <c r="H114" s="9">
        <f t="shared" si="41"/>
        <v>14625</v>
      </c>
      <c r="I114" s="9">
        <f t="shared" si="41"/>
        <v>-945.3</v>
      </c>
      <c r="J114" s="9">
        <f t="shared" si="41"/>
        <v>0</v>
      </c>
      <c r="K114" s="9">
        <f t="shared" si="41"/>
        <v>-945.3</v>
      </c>
      <c r="L114" s="9">
        <f t="shared" si="41"/>
        <v>-945.3</v>
      </c>
      <c r="M114" s="9">
        <f t="shared" si="41"/>
        <v>0</v>
      </c>
      <c r="N114" s="9">
        <f t="shared" si="41"/>
        <v>0</v>
      </c>
      <c r="O114" s="9">
        <f t="shared" si="41"/>
        <v>0</v>
      </c>
      <c r="P114" s="9">
        <f t="shared" si="41"/>
        <v>0</v>
      </c>
      <c r="Q114" s="9">
        <f t="shared" si="41"/>
        <v>0</v>
      </c>
      <c r="R114" s="9">
        <f t="shared" si="41"/>
        <v>0</v>
      </c>
      <c r="S114" s="9">
        <f t="shared" si="41"/>
        <v>-945.3</v>
      </c>
      <c r="T114" s="9">
        <f t="shared" si="41"/>
        <v>-3950.9999999999995</v>
      </c>
      <c r="U114" s="9">
        <f t="shared" si="41"/>
        <v>-1115.0999999999999</v>
      </c>
      <c r="V114" s="9">
        <f t="shared" si="41"/>
        <v>-945.3</v>
      </c>
      <c r="W114" s="9">
        <f t="shared" si="41"/>
        <v>-1890.6</v>
      </c>
      <c r="X114" s="9">
        <f t="shared" si="41"/>
        <v>0</v>
      </c>
      <c r="Y114" s="9">
        <f t="shared" si="41"/>
        <v>0</v>
      </c>
      <c r="Z114" s="9">
        <f t="shared" si="41"/>
        <v>0</v>
      </c>
      <c r="AA114" s="9">
        <f t="shared" ref="AA114:AB114" si="42">AA10+AA62</f>
        <v>0</v>
      </c>
      <c r="AB114" s="9">
        <f t="shared" si="42"/>
        <v>-945.3</v>
      </c>
      <c r="AC114" s="9">
        <f t="shared" ref="AC114" si="43">AC10+AC62</f>
        <v>-2060.3999999999996</v>
      </c>
    </row>
    <row r="115" spans="1:29">
      <c r="A115" s="258"/>
      <c r="B115" s="47" t="s">
        <v>96</v>
      </c>
      <c r="C115" s="9">
        <f t="shared" si="25"/>
        <v>2325714.4899999998</v>
      </c>
      <c r="D115" s="9">
        <f t="shared" ref="D115:Z115" si="44">D11+D63</f>
        <v>0</v>
      </c>
      <c r="E115" s="9">
        <f t="shared" si="44"/>
        <v>437599.99999999953</v>
      </c>
      <c r="F115" s="9">
        <f t="shared" si="44"/>
        <v>1558166.2100000002</v>
      </c>
      <c r="G115" s="9">
        <f t="shared" si="44"/>
        <v>103940</v>
      </c>
      <c r="H115" s="9">
        <f t="shared" si="44"/>
        <v>26120</v>
      </c>
      <c r="I115" s="9">
        <f t="shared" si="44"/>
        <v>12620</v>
      </c>
      <c r="J115" s="9">
        <f t="shared" si="44"/>
        <v>25040</v>
      </c>
      <c r="K115" s="9">
        <f t="shared" si="44"/>
        <v>40160</v>
      </c>
      <c r="L115" s="9">
        <f t="shared" si="44"/>
        <v>148780</v>
      </c>
      <c r="M115" s="9">
        <f t="shared" si="44"/>
        <v>-10660</v>
      </c>
      <c r="N115" s="9">
        <f t="shared" si="44"/>
        <v>36180</v>
      </c>
      <c r="O115" s="9">
        <f t="shared" si="44"/>
        <v>9660</v>
      </c>
      <c r="P115" s="9">
        <f t="shared" si="44"/>
        <v>45740</v>
      </c>
      <c r="Q115" s="9">
        <f t="shared" si="44"/>
        <v>24780</v>
      </c>
      <c r="R115" s="9">
        <f t="shared" si="44"/>
        <v>25860</v>
      </c>
      <c r="S115" s="9">
        <f t="shared" si="44"/>
        <v>17220</v>
      </c>
      <c r="T115" s="9">
        <f t="shared" si="44"/>
        <v>0</v>
      </c>
      <c r="U115" s="9">
        <f t="shared" si="44"/>
        <v>0</v>
      </c>
      <c r="V115" s="9">
        <f t="shared" si="44"/>
        <v>0</v>
      </c>
      <c r="W115" s="9">
        <f t="shared" si="44"/>
        <v>0</v>
      </c>
      <c r="X115" s="9">
        <f t="shared" si="44"/>
        <v>0</v>
      </c>
      <c r="Y115" s="9">
        <f t="shared" si="44"/>
        <v>0</v>
      </c>
      <c r="Z115" s="9">
        <f t="shared" si="44"/>
        <v>0</v>
      </c>
      <c r="AA115" s="9">
        <f t="shared" ref="AA115:AB115" si="45">AA11+AA63</f>
        <v>0</v>
      </c>
      <c r="AB115" s="9">
        <f t="shared" si="45"/>
        <v>0</v>
      </c>
      <c r="AC115" s="9">
        <f t="shared" ref="AC115" si="46">AC11+AC63</f>
        <v>77228.28</v>
      </c>
    </row>
    <row r="116" spans="1:29">
      <c r="A116" s="258"/>
      <c r="B116" s="47" t="s">
        <v>97</v>
      </c>
      <c r="C116" s="9">
        <f t="shared" si="25"/>
        <v>3398813.2000000007</v>
      </c>
      <c r="D116" s="9">
        <f t="shared" ref="D116:Z116" si="47">D12+D64</f>
        <v>0</v>
      </c>
      <c r="E116" s="9">
        <f t="shared" si="47"/>
        <v>1261860.1500000004</v>
      </c>
      <c r="F116" s="9">
        <f t="shared" si="47"/>
        <v>906097.62</v>
      </c>
      <c r="G116" s="9">
        <f t="shared" si="47"/>
        <v>0</v>
      </c>
      <c r="H116" s="9">
        <f t="shared" si="47"/>
        <v>0</v>
      </c>
      <c r="I116" s="9">
        <f t="shared" si="47"/>
        <v>0</v>
      </c>
      <c r="J116" s="9">
        <f t="shared" si="47"/>
        <v>0</v>
      </c>
      <c r="K116" s="9">
        <f t="shared" si="47"/>
        <v>0</v>
      </c>
      <c r="L116" s="9">
        <f t="shared" si="47"/>
        <v>347920.97</v>
      </c>
      <c r="M116" s="9">
        <f t="shared" si="47"/>
        <v>0</v>
      </c>
      <c r="N116" s="9">
        <f t="shared" si="47"/>
        <v>0</v>
      </c>
      <c r="O116" s="9">
        <f t="shared" si="47"/>
        <v>0</v>
      </c>
      <c r="P116" s="9">
        <f t="shared" si="47"/>
        <v>0</v>
      </c>
      <c r="Q116" s="9">
        <f t="shared" si="47"/>
        <v>0</v>
      </c>
      <c r="R116" s="9">
        <f t="shared" si="47"/>
        <v>0</v>
      </c>
      <c r="S116" s="9">
        <f t="shared" si="47"/>
        <v>347920.97</v>
      </c>
      <c r="T116" s="9">
        <f t="shared" si="47"/>
        <v>0</v>
      </c>
      <c r="U116" s="9">
        <f t="shared" si="47"/>
        <v>0</v>
      </c>
      <c r="V116" s="9">
        <f t="shared" si="47"/>
        <v>0</v>
      </c>
      <c r="W116" s="9">
        <f t="shared" si="47"/>
        <v>0</v>
      </c>
      <c r="X116" s="9">
        <f t="shared" si="47"/>
        <v>0</v>
      </c>
      <c r="Y116" s="9">
        <f t="shared" si="47"/>
        <v>0</v>
      </c>
      <c r="Z116" s="9">
        <f t="shared" si="47"/>
        <v>0</v>
      </c>
      <c r="AA116" s="9">
        <f t="shared" ref="AA116:AB116" si="48">AA12+AA64</f>
        <v>0</v>
      </c>
      <c r="AB116" s="9">
        <f t="shared" si="48"/>
        <v>108940.67999999998</v>
      </c>
      <c r="AC116" s="9">
        <f t="shared" ref="AC116" si="49">AC12+AC64</f>
        <v>773993.78</v>
      </c>
    </row>
    <row r="117" spans="1:29">
      <c r="A117" s="258"/>
      <c r="B117" s="47" t="s">
        <v>98</v>
      </c>
      <c r="C117" s="9">
        <f t="shared" si="25"/>
        <v>17500000</v>
      </c>
      <c r="D117" s="9">
        <f t="shared" ref="D117:Z117" si="50">D13+D65</f>
        <v>0</v>
      </c>
      <c r="E117" s="9">
        <f t="shared" si="50"/>
        <v>17500000</v>
      </c>
      <c r="F117" s="9">
        <f t="shared" si="50"/>
        <v>0</v>
      </c>
      <c r="G117" s="9">
        <f t="shared" si="50"/>
        <v>0</v>
      </c>
      <c r="H117" s="9">
        <f t="shared" si="50"/>
        <v>0</v>
      </c>
      <c r="I117" s="9">
        <f t="shared" si="50"/>
        <v>0</v>
      </c>
      <c r="J117" s="9">
        <f t="shared" si="50"/>
        <v>0</v>
      </c>
      <c r="K117" s="9">
        <f t="shared" si="50"/>
        <v>0</v>
      </c>
      <c r="L117" s="9">
        <f t="shared" si="50"/>
        <v>0</v>
      </c>
      <c r="M117" s="9">
        <f t="shared" si="50"/>
        <v>0</v>
      </c>
      <c r="N117" s="9">
        <f t="shared" si="50"/>
        <v>0</v>
      </c>
      <c r="O117" s="9">
        <f t="shared" si="50"/>
        <v>0</v>
      </c>
      <c r="P117" s="9">
        <f t="shared" si="50"/>
        <v>0</v>
      </c>
      <c r="Q117" s="9">
        <f t="shared" si="50"/>
        <v>0</v>
      </c>
      <c r="R117" s="9">
        <f t="shared" si="50"/>
        <v>0</v>
      </c>
      <c r="S117" s="9">
        <f t="shared" si="50"/>
        <v>0</v>
      </c>
      <c r="T117" s="9">
        <f t="shared" si="50"/>
        <v>0</v>
      </c>
      <c r="U117" s="9">
        <f t="shared" si="50"/>
        <v>0</v>
      </c>
      <c r="V117" s="9">
        <f t="shared" si="50"/>
        <v>0</v>
      </c>
      <c r="W117" s="9">
        <f t="shared" si="50"/>
        <v>0</v>
      </c>
      <c r="X117" s="9">
        <f t="shared" si="50"/>
        <v>0</v>
      </c>
      <c r="Y117" s="9">
        <f t="shared" si="50"/>
        <v>0</v>
      </c>
      <c r="Z117" s="9">
        <f t="shared" si="50"/>
        <v>0</v>
      </c>
      <c r="AA117" s="9">
        <f t="shared" ref="AA117:AB117" si="51">AA13+AA65</f>
        <v>0</v>
      </c>
      <c r="AB117" s="9">
        <f t="shared" si="51"/>
        <v>0</v>
      </c>
      <c r="AC117" s="9">
        <f t="shared" ref="AC117" si="52">AC13+AC65</f>
        <v>0</v>
      </c>
    </row>
    <row r="118" spans="1:29" ht="13.5" customHeight="1">
      <c r="A118" s="259"/>
      <c r="B118" s="57" t="s">
        <v>99</v>
      </c>
      <c r="C118" s="165">
        <f>SUM(C108:C117)</f>
        <v>264466526.88999999</v>
      </c>
      <c r="D118" s="165">
        <f t="shared" ref="D118:U118" si="53">SUM(D108:D117)</f>
        <v>0</v>
      </c>
      <c r="E118" s="165">
        <f t="shared" si="53"/>
        <v>81664945.879999995</v>
      </c>
      <c r="F118" s="165">
        <f t="shared" si="53"/>
        <v>118605564.40000002</v>
      </c>
      <c r="G118" s="165">
        <f t="shared" si="53"/>
        <v>10944585.969999999</v>
      </c>
      <c r="H118" s="165">
        <f t="shared" ref="H118" si="54">SUM(H108:H117)</f>
        <v>3161967.1199999992</v>
      </c>
      <c r="I118" s="165">
        <f t="shared" ref="I118:K118" si="55">SUM(I108:I117)</f>
        <v>2601518.5700000003</v>
      </c>
      <c r="J118" s="165">
        <f t="shared" si="55"/>
        <v>1809403.0799999998</v>
      </c>
      <c r="K118" s="165">
        <f t="shared" si="55"/>
        <v>3371697.2</v>
      </c>
      <c r="L118" s="165">
        <f t="shared" si="53"/>
        <v>14714196.770000001</v>
      </c>
      <c r="M118" s="165">
        <f t="shared" si="53"/>
        <v>954790.17999999993</v>
      </c>
      <c r="N118" s="165">
        <f t="shared" ref="N118:O118" si="56">SUM(N108:N117)</f>
        <v>1992372.3900000004</v>
      </c>
      <c r="O118" s="165">
        <f t="shared" si="56"/>
        <v>717117.16000000015</v>
      </c>
      <c r="P118" s="165">
        <f t="shared" si="53"/>
        <v>4257736.76</v>
      </c>
      <c r="Q118" s="165">
        <f t="shared" si="53"/>
        <v>2175071.88</v>
      </c>
      <c r="R118" s="165">
        <f t="shared" si="53"/>
        <v>2358127.59</v>
      </c>
      <c r="S118" s="165">
        <f t="shared" si="53"/>
        <v>2258980.81</v>
      </c>
      <c r="T118" s="165">
        <f t="shared" si="53"/>
        <v>27900498.609999999</v>
      </c>
      <c r="U118" s="165">
        <f t="shared" si="53"/>
        <v>6761865.4100000001</v>
      </c>
      <c r="V118" s="165">
        <f t="shared" ref="V118:W118" si="57">SUM(V108:V117)</f>
        <v>10657079.68</v>
      </c>
      <c r="W118" s="165">
        <f t="shared" si="57"/>
        <v>9532536.9000000004</v>
      </c>
      <c r="X118" s="165">
        <f t="shared" ref="X118:Z118" si="58">SUM(X108:X117)</f>
        <v>261427.64</v>
      </c>
      <c r="Y118" s="165">
        <f t="shared" si="58"/>
        <v>488676.20999999996</v>
      </c>
      <c r="Z118" s="165">
        <f t="shared" si="58"/>
        <v>195327.87</v>
      </c>
      <c r="AA118" s="165">
        <f t="shared" ref="AA118:AB118" si="59">SUM(AA108:AA117)</f>
        <v>3584.9</v>
      </c>
      <c r="AB118" s="165">
        <f t="shared" si="59"/>
        <v>5179397.68</v>
      </c>
      <c r="AC118" s="165">
        <f t="shared" ref="AC118" si="60">SUM(AC108:AC117)</f>
        <v>5457337.5800000001</v>
      </c>
    </row>
    <row r="119" spans="1:29" ht="13.5" customHeight="1">
      <c r="A119" s="254" t="s">
        <v>100</v>
      </c>
      <c r="B119" s="47" t="s">
        <v>101</v>
      </c>
      <c r="C119" s="9">
        <f>SUM(D119:G119)+L119+T119+AC119+AB119</f>
        <v>91529612.999999985</v>
      </c>
      <c r="D119" s="9">
        <f t="shared" ref="D119:Z119" si="61">D15+D67</f>
        <v>-1740787.68</v>
      </c>
      <c r="E119" s="9">
        <f t="shared" si="61"/>
        <v>-1.4901161193847656E-8</v>
      </c>
      <c r="F119" s="9">
        <f t="shared" si="61"/>
        <v>23296374.280000001</v>
      </c>
      <c r="G119" s="9">
        <f t="shared" si="61"/>
        <v>2255335.6799999997</v>
      </c>
      <c r="H119" s="9">
        <f t="shared" si="61"/>
        <v>0</v>
      </c>
      <c r="I119" s="9">
        <f t="shared" si="61"/>
        <v>0</v>
      </c>
      <c r="J119" s="9">
        <f t="shared" si="61"/>
        <v>1246655.68</v>
      </c>
      <c r="K119" s="9">
        <f t="shared" si="61"/>
        <v>1008680</v>
      </c>
      <c r="L119" s="9">
        <f t="shared" si="61"/>
        <v>3400</v>
      </c>
      <c r="M119" s="9">
        <f t="shared" si="61"/>
        <v>0</v>
      </c>
      <c r="N119" s="9">
        <f t="shared" si="61"/>
        <v>0</v>
      </c>
      <c r="O119" s="9">
        <f t="shared" si="61"/>
        <v>0</v>
      </c>
      <c r="P119" s="9">
        <f t="shared" si="61"/>
        <v>0</v>
      </c>
      <c r="Q119" s="9">
        <f t="shared" si="61"/>
        <v>0</v>
      </c>
      <c r="R119" s="9">
        <f t="shared" si="61"/>
        <v>3400</v>
      </c>
      <c r="S119" s="9">
        <f t="shared" si="61"/>
        <v>0</v>
      </c>
      <c r="T119" s="9">
        <f t="shared" si="61"/>
        <v>67715290.719999999</v>
      </c>
      <c r="U119" s="9">
        <f t="shared" si="61"/>
        <v>1463083</v>
      </c>
      <c r="V119" s="9">
        <f t="shared" si="61"/>
        <v>60790900</v>
      </c>
      <c r="W119" s="9">
        <f t="shared" si="61"/>
        <v>5461307.7199999997</v>
      </c>
      <c r="X119" s="9">
        <f t="shared" si="61"/>
        <v>0</v>
      </c>
      <c r="Y119" s="9">
        <f t="shared" si="61"/>
        <v>0</v>
      </c>
      <c r="Z119" s="9">
        <f t="shared" si="61"/>
        <v>0</v>
      </c>
      <c r="AA119" s="9">
        <f t="shared" ref="AA119:AB119" si="62">AA15+AA67</f>
        <v>0</v>
      </c>
      <c r="AB119" s="9">
        <f t="shared" si="62"/>
        <v>0</v>
      </c>
      <c r="AC119" s="9">
        <f t="shared" ref="AC119" si="63">AC15+AC67</f>
        <v>0</v>
      </c>
    </row>
    <row r="120" spans="1:29">
      <c r="A120" s="255"/>
      <c r="B120" s="47" t="s">
        <v>102</v>
      </c>
      <c r="C120" s="9">
        <f t="shared" ref="C120:C122" si="64">SUM(D120:G120)+L120+T120+AC120+AB120</f>
        <v>61972909.859999999</v>
      </c>
      <c r="D120" s="9">
        <f t="shared" ref="D120:Z120" si="65">D16+D68</f>
        <v>0</v>
      </c>
      <c r="E120" s="9">
        <f t="shared" si="65"/>
        <v>16109864.329999994</v>
      </c>
      <c r="F120" s="9">
        <f t="shared" si="65"/>
        <v>58315267.260000005</v>
      </c>
      <c r="G120" s="9">
        <f t="shared" si="65"/>
        <v>0</v>
      </c>
      <c r="H120" s="9">
        <f t="shared" si="65"/>
        <v>0</v>
      </c>
      <c r="I120" s="9">
        <f t="shared" si="65"/>
        <v>0</v>
      </c>
      <c r="J120" s="9">
        <f t="shared" si="65"/>
        <v>0</v>
      </c>
      <c r="K120" s="9">
        <f t="shared" si="65"/>
        <v>0</v>
      </c>
      <c r="L120" s="9">
        <f t="shared" si="65"/>
        <v>0</v>
      </c>
      <c r="M120" s="9">
        <f t="shared" si="65"/>
        <v>0</v>
      </c>
      <c r="N120" s="9">
        <f t="shared" si="65"/>
        <v>0</v>
      </c>
      <c r="O120" s="9">
        <f t="shared" si="65"/>
        <v>0</v>
      </c>
      <c r="P120" s="9">
        <f t="shared" si="65"/>
        <v>0</v>
      </c>
      <c r="Q120" s="9">
        <f t="shared" si="65"/>
        <v>0</v>
      </c>
      <c r="R120" s="9">
        <f t="shared" si="65"/>
        <v>0</v>
      </c>
      <c r="S120" s="9">
        <f t="shared" si="65"/>
        <v>0</v>
      </c>
      <c r="T120" s="9">
        <f t="shared" si="65"/>
        <v>-12465458.6</v>
      </c>
      <c r="U120" s="9">
        <f t="shared" si="65"/>
        <v>278041.45</v>
      </c>
      <c r="V120" s="9">
        <f t="shared" si="65"/>
        <v>-13721940.57</v>
      </c>
      <c r="W120" s="9">
        <f t="shared" si="65"/>
        <v>978440.52</v>
      </c>
      <c r="X120" s="9">
        <f t="shared" si="65"/>
        <v>0</v>
      </c>
      <c r="Y120" s="9">
        <f t="shared" si="65"/>
        <v>0</v>
      </c>
      <c r="Z120" s="9">
        <f t="shared" si="65"/>
        <v>0</v>
      </c>
      <c r="AA120" s="9">
        <f t="shared" ref="AA120:AB120" si="66">AA16+AA68</f>
        <v>0</v>
      </c>
      <c r="AB120" s="9">
        <f t="shared" si="66"/>
        <v>0</v>
      </c>
      <c r="AC120" s="9">
        <f t="shared" ref="AC120" si="67">AC16+AC68</f>
        <v>13236.87</v>
      </c>
    </row>
    <row r="121" spans="1:29">
      <c r="A121" s="255"/>
      <c r="B121" s="47" t="s">
        <v>103</v>
      </c>
      <c r="C121" s="9">
        <f t="shared" si="64"/>
        <v>16772946.85</v>
      </c>
      <c r="D121" s="9">
        <f t="shared" ref="D121:Z121" si="68">D17+D69</f>
        <v>-220929.05000000002</v>
      </c>
      <c r="E121" s="9">
        <f t="shared" si="68"/>
        <v>-3434707.69</v>
      </c>
      <c r="F121" s="9">
        <f t="shared" si="68"/>
        <v>13554023.82</v>
      </c>
      <c r="G121" s="9">
        <f t="shared" si="68"/>
        <v>-686500.64</v>
      </c>
      <c r="H121" s="9">
        <f t="shared" si="68"/>
        <v>139504.18000000002</v>
      </c>
      <c r="I121" s="9">
        <f t="shared" si="68"/>
        <v>-870981.32000000007</v>
      </c>
      <c r="J121" s="9">
        <f t="shared" si="68"/>
        <v>110246.44</v>
      </c>
      <c r="K121" s="9">
        <f t="shared" si="68"/>
        <v>-65269.939999999995</v>
      </c>
      <c r="L121" s="9">
        <f t="shared" si="68"/>
        <v>3136380.03</v>
      </c>
      <c r="M121" s="9">
        <f t="shared" si="68"/>
        <v>947400.00000000012</v>
      </c>
      <c r="N121" s="9">
        <f t="shared" si="68"/>
        <v>555436.98</v>
      </c>
      <c r="O121" s="9">
        <f t="shared" si="68"/>
        <v>78267.67</v>
      </c>
      <c r="P121" s="9">
        <f t="shared" si="68"/>
        <v>1533834.9699999997</v>
      </c>
      <c r="Q121" s="9">
        <f t="shared" si="68"/>
        <v>-32128.05999999999</v>
      </c>
      <c r="R121" s="9">
        <f t="shared" si="68"/>
        <v>53454.630000000005</v>
      </c>
      <c r="S121" s="9">
        <f t="shared" si="68"/>
        <v>113.84000000000002</v>
      </c>
      <c r="T121" s="9">
        <f t="shared" si="68"/>
        <v>4425241.08</v>
      </c>
      <c r="U121" s="9">
        <f t="shared" si="68"/>
        <v>209454.61000000002</v>
      </c>
      <c r="V121" s="9">
        <f t="shared" si="68"/>
        <v>3741337.6499999994</v>
      </c>
      <c r="W121" s="9">
        <f t="shared" si="68"/>
        <v>456631.09</v>
      </c>
      <c r="X121" s="9">
        <f t="shared" si="68"/>
        <v>17817.73</v>
      </c>
      <c r="Y121" s="9">
        <f t="shared" si="68"/>
        <v>0</v>
      </c>
      <c r="Z121" s="9">
        <f t="shared" si="68"/>
        <v>0</v>
      </c>
      <c r="AA121" s="9">
        <f t="shared" ref="AA121:AB121" si="69">AA17+AA69</f>
        <v>0</v>
      </c>
      <c r="AB121" s="9">
        <f t="shared" si="69"/>
        <v>-560.70000000000073</v>
      </c>
      <c r="AC121" s="9">
        <f t="shared" ref="AC121" si="70">AC17+AC69</f>
        <v>0</v>
      </c>
    </row>
    <row r="122" spans="1:29">
      <c r="A122" s="255"/>
      <c r="B122" s="47" t="s">
        <v>104</v>
      </c>
      <c r="C122" s="9">
        <f t="shared" si="64"/>
        <v>560481.71000000008</v>
      </c>
      <c r="D122" s="9">
        <f t="shared" ref="D122:Z122" si="71">D18+D70</f>
        <v>0</v>
      </c>
      <c r="E122" s="9">
        <f t="shared" si="71"/>
        <v>304499.99999999994</v>
      </c>
      <c r="F122" s="9">
        <f t="shared" si="71"/>
        <v>242294.54000000004</v>
      </c>
      <c r="G122" s="9">
        <f t="shared" si="71"/>
        <v>0</v>
      </c>
      <c r="H122" s="9">
        <f t="shared" si="71"/>
        <v>0</v>
      </c>
      <c r="I122" s="9">
        <f t="shared" si="71"/>
        <v>0</v>
      </c>
      <c r="J122" s="9">
        <f t="shared" si="71"/>
        <v>0</v>
      </c>
      <c r="K122" s="9">
        <f t="shared" si="71"/>
        <v>0</v>
      </c>
      <c r="L122" s="9">
        <f t="shared" si="71"/>
        <v>13687.17</v>
      </c>
      <c r="M122" s="9">
        <f t="shared" si="71"/>
        <v>0</v>
      </c>
      <c r="N122" s="9">
        <f t="shared" si="71"/>
        <v>0</v>
      </c>
      <c r="O122" s="9">
        <f t="shared" si="71"/>
        <v>0</v>
      </c>
      <c r="P122" s="9">
        <f t="shared" si="71"/>
        <v>0</v>
      </c>
      <c r="Q122" s="9">
        <f t="shared" si="71"/>
        <v>0</v>
      </c>
      <c r="R122" s="9">
        <f t="shared" si="71"/>
        <v>0</v>
      </c>
      <c r="S122" s="9">
        <f t="shared" si="71"/>
        <v>13687.17</v>
      </c>
      <c r="T122" s="9">
        <f t="shared" si="71"/>
        <v>0</v>
      </c>
      <c r="U122" s="9">
        <f t="shared" si="71"/>
        <v>0</v>
      </c>
      <c r="V122" s="9">
        <f t="shared" si="71"/>
        <v>0</v>
      </c>
      <c r="W122" s="9">
        <f t="shared" si="71"/>
        <v>0</v>
      </c>
      <c r="X122" s="9">
        <f t="shared" si="71"/>
        <v>0</v>
      </c>
      <c r="Y122" s="9">
        <f t="shared" si="71"/>
        <v>0</v>
      </c>
      <c r="Z122" s="9">
        <f t="shared" si="71"/>
        <v>0</v>
      </c>
      <c r="AA122" s="9">
        <f t="shared" ref="AA122:AB122" si="72">AA18+AA70</f>
        <v>0</v>
      </c>
      <c r="AB122" s="9">
        <f t="shared" si="72"/>
        <v>0</v>
      </c>
      <c r="AC122" s="9">
        <f t="shared" ref="AC122" si="73">AC18+AC70</f>
        <v>0</v>
      </c>
    </row>
    <row r="123" spans="1:29" ht="13.5" customHeight="1">
      <c r="A123" s="255"/>
      <c r="B123" s="47" t="s">
        <v>105</v>
      </c>
      <c r="C123" s="9">
        <f>SUM(D123:G123)+L123+T123+AC123+AB123</f>
        <v>111603.77</v>
      </c>
      <c r="D123" s="9">
        <f t="shared" ref="D123:Z123" si="74">D19+D71</f>
        <v>0</v>
      </c>
      <c r="E123" s="9">
        <f t="shared" si="74"/>
        <v>0</v>
      </c>
      <c r="F123" s="9">
        <f t="shared" si="74"/>
        <v>0</v>
      </c>
      <c r="G123" s="9">
        <f t="shared" si="74"/>
        <v>0</v>
      </c>
      <c r="H123" s="9">
        <f t="shared" si="74"/>
        <v>0</v>
      </c>
      <c r="I123" s="9">
        <f t="shared" si="74"/>
        <v>0</v>
      </c>
      <c r="J123" s="9">
        <f t="shared" si="74"/>
        <v>0</v>
      </c>
      <c r="K123" s="9">
        <f t="shared" si="74"/>
        <v>0</v>
      </c>
      <c r="L123" s="9">
        <f t="shared" si="74"/>
        <v>111603.77</v>
      </c>
      <c r="M123" s="9">
        <f t="shared" si="74"/>
        <v>48333.34</v>
      </c>
      <c r="N123" s="9">
        <f t="shared" si="74"/>
        <v>44937.1</v>
      </c>
      <c r="O123" s="9">
        <f t="shared" si="74"/>
        <v>18333.330000000002</v>
      </c>
      <c r="P123" s="9">
        <f t="shared" si="74"/>
        <v>0</v>
      </c>
      <c r="Q123" s="9">
        <f t="shared" si="74"/>
        <v>0</v>
      </c>
      <c r="R123" s="9">
        <f t="shared" si="74"/>
        <v>0</v>
      </c>
      <c r="S123" s="9">
        <f t="shared" si="74"/>
        <v>0</v>
      </c>
      <c r="T123" s="9">
        <f t="shared" si="74"/>
        <v>0</v>
      </c>
      <c r="U123" s="9">
        <f t="shared" si="74"/>
        <v>0</v>
      </c>
      <c r="V123" s="9">
        <f t="shared" si="74"/>
        <v>0</v>
      </c>
      <c r="W123" s="9">
        <f t="shared" si="74"/>
        <v>0</v>
      </c>
      <c r="X123" s="9">
        <f t="shared" si="74"/>
        <v>0</v>
      </c>
      <c r="Y123" s="9">
        <f t="shared" si="74"/>
        <v>0</v>
      </c>
      <c r="Z123" s="9">
        <f t="shared" si="74"/>
        <v>0</v>
      </c>
      <c r="AA123" s="9">
        <f t="shared" ref="AA123:AB123" si="75">AA19+AA71</f>
        <v>0</v>
      </c>
      <c r="AB123" s="9">
        <f t="shared" si="75"/>
        <v>0</v>
      </c>
      <c r="AC123" s="9">
        <f t="shared" ref="AC123" si="76">AC19+AC71</f>
        <v>0</v>
      </c>
    </row>
    <row r="124" spans="1:29">
      <c r="A124" s="256"/>
      <c r="B124" s="57" t="s">
        <v>99</v>
      </c>
      <c r="C124" s="165">
        <f>SUM(C119:C123)</f>
        <v>170947555.19</v>
      </c>
      <c r="D124" s="165">
        <f t="shared" ref="D124:U124" si="77">SUM(D119:D123)</f>
        <v>-1961716.73</v>
      </c>
      <c r="E124" s="165">
        <f t="shared" si="77"/>
        <v>12979656.63999998</v>
      </c>
      <c r="F124" s="165">
        <f t="shared" si="77"/>
        <v>95407959.900000021</v>
      </c>
      <c r="G124" s="165">
        <f t="shared" si="77"/>
        <v>1568835.0399999996</v>
      </c>
      <c r="H124" s="165">
        <f t="shared" ref="H124" si="78">SUM(H119:H123)</f>
        <v>139504.18000000002</v>
      </c>
      <c r="I124" s="165">
        <f t="shared" ref="I124:K124" si="79">SUM(I119:I123)</f>
        <v>-870981.32000000007</v>
      </c>
      <c r="J124" s="165">
        <f t="shared" si="79"/>
        <v>1356902.1199999999</v>
      </c>
      <c r="K124" s="165">
        <f t="shared" si="79"/>
        <v>943410.06</v>
      </c>
      <c r="L124" s="165">
        <f t="shared" si="77"/>
        <v>3265070.9699999997</v>
      </c>
      <c r="M124" s="165">
        <f t="shared" si="77"/>
        <v>995733.34000000008</v>
      </c>
      <c r="N124" s="165">
        <f t="shared" ref="N124:O124" si="80">SUM(N119:N123)</f>
        <v>600374.07999999996</v>
      </c>
      <c r="O124" s="165">
        <f t="shared" si="80"/>
        <v>96601</v>
      </c>
      <c r="P124" s="165">
        <f t="shared" si="77"/>
        <v>1533834.9699999997</v>
      </c>
      <c r="Q124" s="165">
        <f t="shared" si="77"/>
        <v>-32128.05999999999</v>
      </c>
      <c r="R124" s="165">
        <f t="shared" si="77"/>
        <v>56854.630000000005</v>
      </c>
      <c r="S124" s="165">
        <f t="shared" si="77"/>
        <v>13801.01</v>
      </c>
      <c r="T124" s="165">
        <f t="shared" si="77"/>
        <v>59675073.199999996</v>
      </c>
      <c r="U124" s="165">
        <f t="shared" si="77"/>
        <v>1950579.06</v>
      </c>
      <c r="V124" s="165">
        <f t="shared" ref="V124:W124" si="81">SUM(V119:V123)</f>
        <v>50810297.079999998</v>
      </c>
      <c r="W124" s="165">
        <f t="shared" si="81"/>
        <v>6896379.3300000001</v>
      </c>
      <c r="X124" s="165">
        <f t="shared" ref="X124:Z124" si="82">SUM(X119:X123)</f>
        <v>17817.73</v>
      </c>
      <c r="Y124" s="165">
        <f t="shared" si="82"/>
        <v>0</v>
      </c>
      <c r="Z124" s="165">
        <f t="shared" si="82"/>
        <v>0</v>
      </c>
      <c r="AA124" s="165">
        <f t="shared" ref="AA124:AB124" si="83">SUM(AA119:AA123)</f>
        <v>0</v>
      </c>
      <c r="AB124" s="165">
        <f t="shared" si="83"/>
        <v>-560.70000000000073</v>
      </c>
      <c r="AC124" s="165">
        <f t="shared" ref="AC124" si="84">SUM(AC119:AC123)</f>
        <v>13236.87</v>
      </c>
    </row>
    <row r="125" spans="1:29" ht="13.5" customHeight="1">
      <c r="A125" s="251" t="s">
        <v>106</v>
      </c>
      <c r="B125" s="47" t="s">
        <v>107</v>
      </c>
      <c r="C125" s="9">
        <f>SUM(D125:G125)+L125+T125+AC125+AB125</f>
        <v>21863788.77</v>
      </c>
      <c r="D125" s="9">
        <f t="shared" ref="D125:Z125" si="85">D21+D73</f>
        <v>0</v>
      </c>
      <c r="E125" s="9">
        <f t="shared" si="85"/>
        <v>1928535.1299999971</v>
      </c>
      <c r="F125" s="9">
        <f t="shared" si="85"/>
        <v>10324789.090000002</v>
      </c>
      <c r="G125" s="9">
        <f t="shared" si="85"/>
        <v>905792.48</v>
      </c>
      <c r="H125" s="9">
        <f t="shared" si="85"/>
        <v>274336.81</v>
      </c>
      <c r="I125" s="9">
        <f t="shared" si="85"/>
        <v>314286.40999999997</v>
      </c>
      <c r="J125" s="9">
        <f t="shared" si="85"/>
        <v>74238.06</v>
      </c>
      <c r="K125" s="9">
        <f t="shared" si="85"/>
        <v>242931.20000000001</v>
      </c>
      <c r="L125" s="9">
        <f t="shared" si="85"/>
        <v>1140317.8299999998</v>
      </c>
      <c r="M125" s="9">
        <f t="shared" si="85"/>
        <v>126863.4</v>
      </c>
      <c r="N125" s="9">
        <f t="shared" si="85"/>
        <v>158208.19999999998</v>
      </c>
      <c r="O125" s="9">
        <f t="shared" si="85"/>
        <v>142710.9</v>
      </c>
      <c r="P125" s="9">
        <f t="shared" si="85"/>
        <v>177473.94</v>
      </c>
      <c r="Q125" s="9">
        <f t="shared" si="85"/>
        <v>162188.25</v>
      </c>
      <c r="R125" s="9">
        <f t="shared" si="85"/>
        <v>187243.84</v>
      </c>
      <c r="S125" s="9">
        <f t="shared" si="85"/>
        <v>185629.3</v>
      </c>
      <c r="T125" s="9">
        <f t="shared" si="85"/>
        <v>7100955.7300000004</v>
      </c>
      <c r="U125" s="9">
        <f t="shared" si="85"/>
        <v>706676.22</v>
      </c>
      <c r="V125" s="9">
        <f t="shared" si="85"/>
        <v>4725261.18</v>
      </c>
      <c r="W125" s="9">
        <f t="shared" si="85"/>
        <v>1314749.3400000003</v>
      </c>
      <c r="X125" s="9">
        <f t="shared" si="85"/>
        <v>74311.289999999994</v>
      </c>
      <c r="Y125" s="9">
        <f t="shared" si="85"/>
        <v>233890.03</v>
      </c>
      <c r="Z125" s="9">
        <f t="shared" si="85"/>
        <v>14000</v>
      </c>
      <c r="AA125" s="9">
        <f t="shared" ref="AA125:AB125" si="86">AA21+AA73</f>
        <v>32067.67</v>
      </c>
      <c r="AB125" s="9">
        <f t="shared" si="86"/>
        <v>308799.40999999997</v>
      </c>
      <c r="AC125" s="9">
        <f t="shared" ref="AC125" si="87">AC21+AC73</f>
        <v>154599.1</v>
      </c>
    </row>
    <row r="126" spans="1:29">
      <c r="A126" s="252"/>
      <c r="B126" s="47" t="s">
        <v>108</v>
      </c>
      <c r="C126" s="9">
        <f t="shared" ref="C126:C128" si="88">SUM(D126:G126)+L126+T126+AC126+AB126</f>
        <v>13370911.699999999</v>
      </c>
      <c r="D126" s="9">
        <f t="shared" ref="D126:Z126" si="89">D22+D74</f>
        <v>0</v>
      </c>
      <c r="E126" s="9">
        <f t="shared" si="89"/>
        <v>1745742.4799999993</v>
      </c>
      <c r="F126" s="9">
        <f t="shared" si="89"/>
        <v>2637038.5499999998</v>
      </c>
      <c r="G126" s="9">
        <f t="shared" si="89"/>
        <v>593834.98</v>
      </c>
      <c r="H126" s="9">
        <f t="shared" si="89"/>
        <v>126854.04</v>
      </c>
      <c r="I126" s="9">
        <f t="shared" si="89"/>
        <v>183697.5</v>
      </c>
      <c r="J126" s="9">
        <f t="shared" si="89"/>
        <v>62875.869999999995</v>
      </c>
      <c r="K126" s="9">
        <f t="shared" si="89"/>
        <v>220407.56999999998</v>
      </c>
      <c r="L126" s="9">
        <f t="shared" si="89"/>
        <v>948356.45000000019</v>
      </c>
      <c r="M126" s="9">
        <f t="shared" si="89"/>
        <v>97717.969999999987</v>
      </c>
      <c r="N126" s="9">
        <f t="shared" si="89"/>
        <v>91273.680000000008</v>
      </c>
      <c r="O126" s="9">
        <f t="shared" si="89"/>
        <v>114856.18000000001</v>
      </c>
      <c r="P126" s="9">
        <f t="shared" si="89"/>
        <v>122189.73999999999</v>
      </c>
      <c r="Q126" s="9">
        <f t="shared" si="89"/>
        <v>185193.53000000003</v>
      </c>
      <c r="R126" s="9">
        <f t="shared" si="89"/>
        <v>161471.17000000001</v>
      </c>
      <c r="S126" s="9">
        <f t="shared" si="89"/>
        <v>175654.18000000002</v>
      </c>
      <c r="T126" s="9">
        <f t="shared" si="89"/>
        <v>6983483.3999999994</v>
      </c>
      <c r="U126" s="9">
        <f t="shared" si="89"/>
        <v>823162</v>
      </c>
      <c r="V126" s="9">
        <f t="shared" si="89"/>
        <v>4226819.1399999997</v>
      </c>
      <c r="W126" s="9">
        <f t="shared" si="89"/>
        <v>1192593.1799999997</v>
      </c>
      <c r="X126" s="9">
        <f t="shared" si="89"/>
        <v>75941.88</v>
      </c>
      <c r="Y126" s="9">
        <f t="shared" si="89"/>
        <v>544536.93000000005</v>
      </c>
      <c r="Z126" s="9">
        <f t="shared" si="89"/>
        <v>46677.19</v>
      </c>
      <c r="AA126" s="9">
        <f t="shared" ref="AA126:AB126" si="90">AA22+AA74</f>
        <v>73753.08</v>
      </c>
      <c r="AB126" s="9">
        <f t="shared" si="90"/>
        <v>414009.74</v>
      </c>
      <c r="AC126" s="9">
        <f t="shared" ref="AC126" si="91">AC22+AC74</f>
        <v>48446.1</v>
      </c>
    </row>
    <row r="127" spans="1:29">
      <c r="A127" s="252"/>
      <c r="B127" s="47" t="s">
        <v>109</v>
      </c>
      <c r="C127" s="9">
        <f t="shared" si="88"/>
        <v>4720176.07</v>
      </c>
      <c r="D127" s="9">
        <f t="shared" ref="D127:Z127" si="92">D23+D75</f>
        <v>0</v>
      </c>
      <c r="E127" s="9">
        <f t="shared" si="92"/>
        <v>1353188.6000000006</v>
      </c>
      <c r="F127" s="9">
        <f t="shared" si="92"/>
        <v>1880318.81</v>
      </c>
      <c r="G127" s="9">
        <f t="shared" si="92"/>
        <v>207428.05000000002</v>
      </c>
      <c r="H127" s="9">
        <f t="shared" si="92"/>
        <v>99448.430000000008</v>
      </c>
      <c r="I127" s="9">
        <f t="shared" si="92"/>
        <v>92590</v>
      </c>
      <c r="J127" s="9">
        <f t="shared" si="92"/>
        <v>6469.42</v>
      </c>
      <c r="K127" s="9">
        <f t="shared" si="92"/>
        <v>8920.2000000000007</v>
      </c>
      <c r="L127" s="9">
        <f t="shared" si="92"/>
        <v>68596.17</v>
      </c>
      <c r="M127" s="9">
        <f t="shared" si="92"/>
        <v>5444.9800000000005</v>
      </c>
      <c r="N127" s="9">
        <f t="shared" si="92"/>
        <v>10162.57</v>
      </c>
      <c r="O127" s="9">
        <f t="shared" si="92"/>
        <v>4304.9699999999993</v>
      </c>
      <c r="P127" s="9">
        <f t="shared" si="92"/>
        <v>14859.980000000001</v>
      </c>
      <c r="Q127" s="9">
        <f t="shared" si="92"/>
        <v>8815.1</v>
      </c>
      <c r="R127" s="9">
        <f t="shared" si="92"/>
        <v>24455.559999999998</v>
      </c>
      <c r="S127" s="9">
        <f t="shared" si="92"/>
        <v>553.00999999999931</v>
      </c>
      <c r="T127" s="9">
        <f t="shared" si="92"/>
        <v>1100536.07</v>
      </c>
      <c r="U127" s="9">
        <f t="shared" si="92"/>
        <v>161754.25000000003</v>
      </c>
      <c r="V127" s="9">
        <f t="shared" si="92"/>
        <v>695949.72</v>
      </c>
      <c r="W127" s="9">
        <f t="shared" si="92"/>
        <v>236804.59</v>
      </c>
      <c r="X127" s="9">
        <f t="shared" si="92"/>
        <v>0</v>
      </c>
      <c r="Y127" s="9">
        <f t="shared" si="92"/>
        <v>5417.1100000000006</v>
      </c>
      <c r="Z127" s="9">
        <f t="shared" si="92"/>
        <v>610.4</v>
      </c>
      <c r="AA127" s="9">
        <f t="shared" ref="AA127:AB127" si="93">AA23+AA75</f>
        <v>0</v>
      </c>
      <c r="AB127" s="9">
        <f t="shared" si="93"/>
        <v>89410.15</v>
      </c>
      <c r="AC127" s="9">
        <f t="shared" ref="AC127" si="94">AC23+AC75</f>
        <v>20698.22</v>
      </c>
    </row>
    <row r="128" spans="1:29">
      <c r="A128" s="252"/>
      <c r="B128" s="47" t="s">
        <v>110</v>
      </c>
      <c r="C128" s="9">
        <f t="shared" si="88"/>
        <v>2073649.5399999996</v>
      </c>
      <c r="D128" s="9">
        <f t="shared" ref="D128:Z128" si="95">D24+D76</f>
        <v>0</v>
      </c>
      <c r="E128" s="9">
        <f t="shared" si="95"/>
        <v>382511.06999999966</v>
      </c>
      <c r="F128" s="9">
        <f t="shared" si="95"/>
        <v>1021583.2599999999</v>
      </c>
      <c r="G128" s="9">
        <f t="shared" si="95"/>
        <v>82762.75</v>
      </c>
      <c r="H128" s="9">
        <f t="shared" si="95"/>
        <v>59321.570000000007</v>
      </c>
      <c r="I128" s="9">
        <f t="shared" si="95"/>
        <v>13033.37</v>
      </c>
      <c r="J128" s="9">
        <f t="shared" si="95"/>
        <v>6127.01</v>
      </c>
      <c r="K128" s="9">
        <f t="shared" si="95"/>
        <v>4280.7999999999993</v>
      </c>
      <c r="L128" s="9">
        <f t="shared" si="95"/>
        <v>23942.170000000002</v>
      </c>
      <c r="M128" s="9">
        <f t="shared" si="95"/>
        <v>2466.3100000000004</v>
      </c>
      <c r="N128" s="9">
        <f t="shared" si="95"/>
        <v>4265.32</v>
      </c>
      <c r="O128" s="9">
        <f t="shared" si="95"/>
        <v>2466.3199999999997</v>
      </c>
      <c r="P128" s="9">
        <f t="shared" si="95"/>
        <v>327.45</v>
      </c>
      <c r="Q128" s="9">
        <f t="shared" si="95"/>
        <v>719.76</v>
      </c>
      <c r="R128" s="9">
        <f t="shared" si="95"/>
        <v>6019.6500000000005</v>
      </c>
      <c r="S128" s="9">
        <f t="shared" si="95"/>
        <v>7677.36</v>
      </c>
      <c r="T128" s="9">
        <f t="shared" si="95"/>
        <v>508638.25000000012</v>
      </c>
      <c r="U128" s="9">
        <f t="shared" si="95"/>
        <v>55195.069999999992</v>
      </c>
      <c r="V128" s="9">
        <f t="shared" si="95"/>
        <v>314552.01000000007</v>
      </c>
      <c r="W128" s="9">
        <f t="shared" si="95"/>
        <v>138891.17000000001</v>
      </c>
      <c r="X128" s="9">
        <f t="shared" si="95"/>
        <v>0</v>
      </c>
      <c r="Y128" s="9">
        <f t="shared" si="95"/>
        <v>0</v>
      </c>
      <c r="Z128" s="9">
        <f t="shared" si="95"/>
        <v>0</v>
      </c>
      <c r="AA128" s="9">
        <f t="shared" ref="AA128:AB128" si="96">AA24+AA76</f>
        <v>0</v>
      </c>
      <c r="AB128" s="9">
        <f t="shared" si="96"/>
        <v>39456.479999999996</v>
      </c>
      <c r="AC128" s="9">
        <f t="shared" ref="AC128" si="97">AC24+AC76</f>
        <v>14755.56</v>
      </c>
    </row>
    <row r="129" spans="1:29">
      <c r="A129" s="252"/>
      <c r="B129" s="47" t="s">
        <v>111</v>
      </c>
      <c r="C129" s="9">
        <f>SUM(D129:G129)+L129+T129+AC129+AB129</f>
        <v>4016824.0199999996</v>
      </c>
      <c r="D129" s="9">
        <f t="shared" ref="D129:Z129" si="98">D25+D77</f>
        <v>8789056.6199999992</v>
      </c>
      <c r="E129" s="9">
        <f t="shared" si="98"/>
        <v>2149136.2600000002</v>
      </c>
      <c r="F129" s="9">
        <f t="shared" si="98"/>
        <v>-6924129.629999999</v>
      </c>
      <c r="G129" s="9">
        <f t="shared" si="98"/>
        <v>113.21</v>
      </c>
      <c r="H129" s="9">
        <f t="shared" si="98"/>
        <v>113.21</v>
      </c>
      <c r="I129" s="9">
        <f t="shared" si="98"/>
        <v>0</v>
      </c>
      <c r="J129" s="9">
        <f t="shared" si="98"/>
        <v>0</v>
      </c>
      <c r="K129" s="9">
        <f t="shared" si="98"/>
        <v>0</v>
      </c>
      <c r="L129" s="9">
        <f t="shared" si="98"/>
        <v>1139.6299999999999</v>
      </c>
      <c r="M129" s="9">
        <f t="shared" si="98"/>
        <v>0</v>
      </c>
      <c r="N129" s="9">
        <f t="shared" si="98"/>
        <v>0</v>
      </c>
      <c r="O129" s="9">
        <f t="shared" si="98"/>
        <v>0</v>
      </c>
      <c r="P129" s="9">
        <f t="shared" si="98"/>
        <v>7.55</v>
      </c>
      <c r="Q129" s="9">
        <f t="shared" si="98"/>
        <v>0</v>
      </c>
      <c r="R129" s="9">
        <f t="shared" si="98"/>
        <v>0</v>
      </c>
      <c r="S129" s="9">
        <f t="shared" si="98"/>
        <v>1132.08</v>
      </c>
      <c r="T129" s="9">
        <f t="shared" si="98"/>
        <v>1011.3199999999999</v>
      </c>
      <c r="U129" s="9">
        <f t="shared" si="98"/>
        <v>339.62</v>
      </c>
      <c r="V129" s="9">
        <f t="shared" si="98"/>
        <v>384.91</v>
      </c>
      <c r="W129" s="9">
        <f t="shared" si="98"/>
        <v>286.79000000000002</v>
      </c>
      <c r="X129" s="9">
        <f t="shared" si="98"/>
        <v>0</v>
      </c>
      <c r="Y129" s="9">
        <f t="shared" si="98"/>
        <v>0</v>
      </c>
      <c r="Z129" s="9">
        <f t="shared" si="98"/>
        <v>0</v>
      </c>
      <c r="AA129" s="9">
        <f t="shared" ref="AA129:AB129" si="99">AA25+AA77</f>
        <v>0</v>
      </c>
      <c r="AB129" s="9">
        <f t="shared" si="99"/>
        <v>113.21</v>
      </c>
      <c r="AC129" s="9">
        <f t="shared" ref="AC129" si="100">AC25+AC77</f>
        <v>383.4</v>
      </c>
    </row>
    <row r="130" spans="1:29">
      <c r="A130" s="252"/>
      <c r="B130" s="47" t="s">
        <v>112</v>
      </c>
      <c r="C130" s="9">
        <f t="shared" ref="C130:C137" si="101">SUM(D130:G130)+L130+T130+AC130+AB130</f>
        <v>3366527.8400000003</v>
      </c>
      <c r="D130" s="9">
        <f t="shared" ref="D130:Z130" si="102">D26+D78</f>
        <v>815533.98</v>
      </c>
      <c r="E130" s="9">
        <f t="shared" si="102"/>
        <v>976776.97</v>
      </c>
      <c r="F130" s="9">
        <f t="shared" si="102"/>
        <v>1162221.54</v>
      </c>
      <c r="G130" s="9">
        <f t="shared" si="102"/>
        <v>70534.189999999944</v>
      </c>
      <c r="H130" s="9">
        <f t="shared" si="102"/>
        <v>7296</v>
      </c>
      <c r="I130" s="9">
        <f t="shared" si="102"/>
        <v>32579.02</v>
      </c>
      <c r="J130" s="9">
        <f t="shared" si="102"/>
        <v>0</v>
      </c>
      <c r="K130" s="9">
        <f t="shared" si="102"/>
        <v>30659.170000000042</v>
      </c>
      <c r="L130" s="9">
        <f t="shared" si="102"/>
        <v>122847.96</v>
      </c>
      <c r="M130" s="9">
        <f t="shared" si="102"/>
        <v>29175.73</v>
      </c>
      <c r="N130" s="9">
        <f t="shared" si="102"/>
        <v>29175.739999999998</v>
      </c>
      <c r="O130" s="9">
        <f t="shared" si="102"/>
        <v>14583.74</v>
      </c>
      <c r="P130" s="9">
        <f t="shared" si="102"/>
        <v>30515.919999999998</v>
      </c>
      <c r="Q130" s="9">
        <f t="shared" si="102"/>
        <v>11044.23</v>
      </c>
      <c r="R130" s="9">
        <f t="shared" si="102"/>
        <v>4704.6000000000004</v>
      </c>
      <c r="S130" s="9">
        <f t="shared" si="102"/>
        <v>3648</v>
      </c>
      <c r="T130" s="9">
        <f t="shared" si="102"/>
        <v>211317.2</v>
      </c>
      <c r="U130" s="9">
        <f t="shared" si="102"/>
        <v>196725.2</v>
      </c>
      <c r="V130" s="9">
        <f t="shared" si="102"/>
        <v>7296</v>
      </c>
      <c r="W130" s="9">
        <f t="shared" si="102"/>
        <v>7296</v>
      </c>
      <c r="X130" s="9">
        <f t="shared" si="102"/>
        <v>0</v>
      </c>
      <c r="Y130" s="9">
        <f t="shared" si="102"/>
        <v>0</v>
      </c>
      <c r="Z130" s="9">
        <f t="shared" si="102"/>
        <v>0</v>
      </c>
      <c r="AA130" s="9">
        <f t="shared" ref="AA130:AB130" si="103">AA26+AA78</f>
        <v>0</v>
      </c>
      <c r="AB130" s="9">
        <f t="shared" si="103"/>
        <v>7296</v>
      </c>
      <c r="AC130" s="9">
        <f t="shared" ref="AC130" si="104">AC26+AC78</f>
        <v>0</v>
      </c>
    </row>
    <row r="131" spans="1:29">
      <c r="A131" s="252"/>
      <c r="B131" s="47" t="s">
        <v>113</v>
      </c>
      <c r="C131" s="9">
        <f t="shared" si="101"/>
        <v>2331526.5499999998</v>
      </c>
      <c r="D131" s="9">
        <f t="shared" ref="D131:Z131" si="105">D27+D79</f>
        <v>0</v>
      </c>
      <c r="E131" s="9">
        <f t="shared" si="105"/>
        <v>1243736.3299999998</v>
      </c>
      <c r="F131" s="9">
        <f t="shared" si="105"/>
        <v>703872.2300000001</v>
      </c>
      <c r="G131" s="9">
        <f t="shared" si="105"/>
        <v>0</v>
      </c>
      <c r="H131" s="9">
        <f t="shared" si="105"/>
        <v>0</v>
      </c>
      <c r="I131" s="9">
        <f t="shared" si="105"/>
        <v>0</v>
      </c>
      <c r="J131" s="9">
        <f t="shared" si="105"/>
        <v>0</v>
      </c>
      <c r="K131" s="9">
        <f t="shared" si="105"/>
        <v>0</v>
      </c>
      <c r="L131" s="9">
        <f t="shared" si="105"/>
        <v>32038.839999999997</v>
      </c>
      <c r="M131" s="9">
        <f t="shared" si="105"/>
        <v>9708.74</v>
      </c>
      <c r="N131" s="9">
        <f t="shared" si="105"/>
        <v>19730.099999999999</v>
      </c>
      <c r="O131" s="9">
        <f t="shared" si="105"/>
        <v>2600</v>
      </c>
      <c r="P131" s="9">
        <f t="shared" si="105"/>
        <v>0</v>
      </c>
      <c r="Q131" s="9">
        <f t="shared" si="105"/>
        <v>0</v>
      </c>
      <c r="R131" s="9">
        <f t="shared" si="105"/>
        <v>0</v>
      </c>
      <c r="S131" s="9">
        <f t="shared" si="105"/>
        <v>0</v>
      </c>
      <c r="T131" s="9">
        <f t="shared" si="105"/>
        <v>314574.14</v>
      </c>
      <c r="U131" s="9">
        <f t="shared" si="105"/>
        <v>71177.94</v>
      </c>
      <c r="V131" s="9">
        <f t="shared" si="105"/>
        <v>178079.35999999999</v>
      </c>
      <c r="W131" s="9">
        <f t="shared" si="105"/>
        <v>65316.840000000004</v>
      </c>
      <c r="X131" s="9">
        <f t="shared" si="105"/>
        <v>0</v>
      </c>
      <c r="Y131" s="9">
        <f t="shared" si="105"/>
        <v>0</v>
      </c>
      <c r="Z131" s="9">
        <f t="shared" si="105"/>
        <v>0</v>
      </c>
      <c r="AA131" s="9">
        <f t="shared" ref="AA131:AB131" si="106">AA27+AA79</f>
        <v>0</v>
      </c>
      <c r="AB131" s="9">
        <f t="shared" si="106"/>
        <v>34773.51</v>
      </c>
      <c r="AC131" s="9">
        <f t="shared" ref="AC131" si="107">AC27+AC79</f>
        <v>2531.5</v>
      </c>
    </row>
    <row r="132" spans="1:29">
      <c r="A132" s="252"/>
      <c r="B132" s="47" t="s">
        <v>114</v>
      </c>
      <c r="C132" s="9">
        <f t="shared" si="101"/>
        <v>881700.83000000007</v>
      </c>
      <c r="D132" s="9">
        <f t="shared" ref="D132:Z132" si="108">D28+D80</f>
        <v>0</v>
      </c>
      <c r="E132" s="9">
        <f t="shared" si="108"/>
        <v>117825.04999999997</v>
      </c>
      <c r="F132" s="9">
        <f t="shared" si="108"/>
        <v>407927.49000000005</v>
      </c>
      <c r="G132" s="9">
        <f t="shared" si="108"/>
        <v>20125.599999999999</v>
      </c>
      <c r="H132" s="9">
        <f t="shared" si="108"/>
        <v>15793.5</v>
      </c>
      <c r="I132" s="9">
        <f t="shared" si="108"/>
        <v>1130.0999999999999</v>
      </c>
      <c r="J132" s="9">
        <f t="shared" si="108"/>
        <v>453</v>
      </c>
      <c r="K132" s="9">
        <f t="shared" si="108"/>
        <v>2749</v>
      </c>
      <c r="L132" s="9">
        <f t="shared" si="108"/>
        <v>18398.489999999998</v>
      </c>
      <c r="M132" s="9">
        <f t="shared" si="108"/>
        <v>1694.3400000000001</v>
      </c>
      <c r="N132" s="9">
        <f t="shared" si="108"/>
        <v>2460.33</v>
      </c>
      <c r="O132" s="9">
        <f t="shared" si="108"/>
        <v>1563.33</v>
      </c>
      <c r="P132" s="9">
        <f t="shared" si="108"/>
        <v>2305.08</v>
      </c>
      <c r="Q132" s="9">
        <f t="shared" si="108"/>
        <v>1643</v>
      </c>
      <c r="R132" s="9">
        <f t="shared" si="108"/>
        <v>1386</v>
      </c>
      <c r="S132" s="9">
        <f t="shared" si="108"/>
        <v>7346.41</v>
      </c>
      <c r="T132" s="9">
        <f t="shared" si="108"/>
        <v>281700.89999999997</v>
      </c>
      <c r="U132" s="9">
        <f t="shared" si="108"/>
        <v>14953.050000000001</v>
      </c>
      <c r="V132" s="9">
        <f t="shared" si="108"/>
        <v>201103.34</v>
      </c>
      <c r="W132" s="9">
        <f t="shared" si="108"/>
        <v>55868.1</v>
      </c>
      <c r="X132" s="9">
        <f t="shared" si="108"/>
        <v>818</v>
      </c>
      <c r="Y132" s="9">
        <f t="shared" si="108"/>
        <v>6621.16</v>
      </c>
      <c r="Z132" s="9">
        <f t="shared" si="108"/>
        <v>2337.25</v>
      </c>
      <c r="AA132" s="9">
        <f t="shared" ref="AA132:AB132" si="109">AA28+AA80</f>
        <v>0</v>
      </c>
      <c r="AB132" s="9">
        <f t="shared" si="109"/>
        <v>33987.379999999997</v>
      </c>
      <c r="AC132" s="9">
        <f t="shared" ref="AC132" si="110">AC28+AC80</f>
        <v>1735.9199999999998</v>
      </c>
    </row>
    <row r="133" spans="1:29">
      <c r="A133" s="252"/>
      <c r="B133" s="47" t="s">
        <v>115</v>
      </c>
      <c r="C133" s="9">
        <f t="shared" si="101"/>
        <v>208044.32000000004</v>
      </c>
      <c r="D133" s="9">
        <f t="shared" ref="D133:Z133" si="111">D29+D81</f>
        <v>0</v>
      </c>
      <c r="E133" s="9">
        <f t="shared" si="111"/>
        <v>32240.900000000016</v>
      </c>
      <c r="F133" s="9">
        <f t="shared" si="111"/>
        <v>154610.93</v>
      </c>
      <c r="G133" s="9">
        <f t="shared" si="111"/>
        <v>4677.4400000000005</v>
      </c>
      <c r="H133" s="9">
        <f t="shared" si="111"/>
        <v>1705.25</v>
      </c>
      <c r="I133" s="9">
        <f t="shared" si="111"/>
        <v>1166.75</v>
      </c>
      <c r="J133" s="9">
        <f t="shared" si="111"/>
        <v>798</v>
      </c>
      <c r="K133" s="9">
        <f t="shared" si="111"/>
        <v>1007.44</v>
      </c>
      <c r="L133" s="9">
        <f t="shared" si="111"/>
        <v>7206.38</v>
      </c>
      <c r="M133" s="9">
        <f t="shared" si="111"/>
        <v>290.65999999999997</v>
      </c>
      <c r="N133" s="9">
        <f t="shared" si="111"/>
        <v>290.67</v>
      </c>
      <c r="O133" s="9">
        <f t="shared" si="111"/>
        <v>290.67</v>
      </c>
      <c r="P133" s="9">
        <f t="shared" si="111"/>
        <v>1930.8</v>
      </c>
      <c r="Q133" s="9">
        <f t="shared" si="111"/>
        <v>390.5</v>
      </c>
      <c r="R133" s="9">
        <f t="shared" si="111"/>
        <v>132.4</v>
      </c>
      <c r="S133" s="9">
        <f t="shared" si="111"/>
        <v>3880.68</v>
      </c>
      <c r="T133" s="9">
        <f t="shared" si="111"/>
        <v>7028.6699999999992</v>
      </c>
      <c r="U133" s="9">
        <f t="shared" si="111"/>
        <v>663.15</v>
      </c>
      <c r="V133" s="9">
        <f t="shared" si="111"/>
        <v>3740</v>
      </c>
      <c r="W133" s="9">
        <f t="shared" si="111"/>
        <v>1696.82</v>
      </c>
      <c r="X133" s="9">
        <f t="shared" si="111"/>
        <v>398</v>
      </c>
      <c r="Y133" s="9">
        <f t="shared" si="111"/>
        <v>530.70000000000005</v>
      </c>
      <c r="Z133" s="9">
        <f t="shared" si="111"/>
        <v>0</v>
      </c>
      <c r="AA133" s="9">
        <f t="shared" ref="AA133:AB133" si="112">AA29+AA81</f>
        <v>0</v>
      </c>
      <c r="AB133" s="9">
        <f t="shared" si="112"/>
        <v>840</v>
      </c>
      <c r="AC133" s="9">
        <f t="shared" ref="AC133" si="113">AC29+AC81</f>
        <v>1440</v>
      </c>
    </row>
    <row r="134" spans="1:29">
      <c r="A134" s="252"/>
      <c r="B134" s="47" t="s">
        <v>116</v>
      </c>
      <c r="C134" s="9">
        <f t="shared" si="101"/>
        <v>715746.5199999999</v>
      </c>
      <c r="D134" s="9">
        <f t="shared" ref="D134:Z134" si="114">D30+D82</f>
        <v>0</v>
      </c>
      <c r="E134" s="9">
        <f t="shared" si="114"/>
        <v>170655.43999999992</v>
      </c>
      <c r="F134" s="9">
        <f t="shared" si="114"/>
        <v>305636.5</v>
      </c>
      <c r="G134" s="9">
        <f t="shared" si="114"/>
        <v>41060.42</v>
      </c>
      <c r="H134" s="9">
        <f t="shared" si="114"/>
        <v>9189.4399999999987</v>
      </c>
      <c r="I134" s="9">
        <f t="shared" si="114"/>
        <v>2435.29</v>
      </c>
      <c r="J134" s="9">
        <f t="shared" si="114"/>
        <v>1836.2599999999998</v>
      </c>
      <c r="K134" s="9">
        <f t="shared" si="114"/>
        <v>27599.43</v>
      </c>
      <c r="L134" s="9">
        <f t="shared" si="114"/>
        <v>60344.149999999987</v>
      </c>
      <c r="M134" s="9">
        <f t="shared" si="114"/>
        <v>2671.12</v>
      </c>
      <c r="N134" s="9">
        <f t="shared" si="114"/>
        <v>3945.89</v>
      </c>
      <c r="O134" s="9">
        <f t="shared" si="114"/>
        <v>3539.16</v>
      </c>
      <c r="P134" s="9">
        <f t="shared" si="114"/>
        <v>3712.6099999999997</v>
      </c>
      <c r="Q134" s="9">
        <f t="shared" si="114"/>
        <v>5698.4</v>
      </c>
      <c r="R134" s="9">
        <f t="shared" si="114"/>
        <v>31129.949999999993</v>
      </c>
      <c r="S134" s="9">
        <f t="shared" si="114"/>
        <v>9647.0199999999986</v>
      </c>
      <c r="T134" s="9">
        <f t="shared" si="114"/>
        <v>124798.39</v>
      </c>
      <c r="U134" s="9">
        <f t="shared" si="114"/>
        <v>55715.66</v>
      </c>
      <c r="V134" s="9">
        <f t="shared" si="114"/>
        <v>36723.270000000004</v>
      </c>
      <c r="W134" s="9">
        <f t="shared" si="114"/>
        <v>27082.879999999997</v>
      </c>
      <c r="X134" s="9">
        <f t="shared" si="114"/>
        <v>3471.58</v>
      </c>
      <c r="Y134" s="9">
        <f t="shared" si="114"/>
        <v>0</v>
      </c>
      <c r="Z134" s="9">
        <f t="shared" si="114"/>
        <v>1805</v>
      </c>
      <c r="AA134" s="9">
        <f t="shared" ref="AA134:AB134" si="115">AA30+AA82</f>
        <v>0</v>
      </c>
      <c r="AB134" s="9">
        <f t="shared" si="115"/>
        <v>11011.64</v>
      </c>
      <c r="AC134" s="9">
        <f t="shared" ref="AC134" si="116">AC30+AC82</f>
        <v>2239.98</v>
      </c>
    </row>
    <row r="135" spans="1:29">
      <c r="A135" s="252"/>
      <c r="B135" s="47" t="s">
        <v>117</v>
      </c>
      <c r="C135" s="9">
        <f t="shared" si="101"/>
        <v>2260658.0999999996</v>
      </c>
      <c r="D135" s="9">
        <f t="shared" ref="D135:Z135" si="117">D31+D83</f>
        <v>0</v>
      </c>
      <c r="E135" s="9">
        <f t="shared" si="117"/>
        <v>795235.68999999959</v>
      </c>
      <c r="F135" s="9">
        <f t="shared" si="117"/>
        <v>1227852.42</v>
      </c>
      <c r="G135" s="9">
        <f t="shared" si="117"/>
        <v>52241.63</v>
      </c>
      <c r="H135" s="9">
        <f t="shared" si="117"/>
        <v>15934</v>
      </c>
      <c r="I135" s="9">
        <f t="shared" si="117"/>
        <v>31193</v>
      </c>
      <c r="J135" s="9">
        <f t="shared" si="117"/>
        <v>5114.63</v>
      </c>
      <c r="K135" s="9">
        <f t="shared" si="117"/>
        <v>0</v>
      </c>
      <c r="L135" s="9">
        <f t="shared" si="117"/>
        <v>156451.68000000002</v>
      </c>
      <c r="M135" s="9">
        <f t="shared" si="117"/>
        <v>5114.63</v>
      </c>
      <c r="N135" s="9">
        <f t="shared" si="117"/>
        <v>15703.630000000001</v>
      </c>
      <c r="O135" s="9">
        <f t="shared" si="117"/>
        <v>5114.63</v>
      </c>
      <c r="P135" s="9">
        <f t="shared" si="117"/>
        <v>0</v>
      </c>
      <c r="Q135" s="9">
        <f t="shared" si="117"/>
        <v>0</v>
      </c>
      <c r="R135" s="9">
        <f t="shared" si="117"/>
        <v>0</v>
      </c>
      <c r="S135" s="9">
        <f t="shared" si="117"/>
        <v>130518.79000000001</v>
      </c>
      <c r="T135" s="9">
        <f t="shared" si="117"/>
        <v>5711</v>
      </c>
      <c r="U135" s="9">
        <f t="shared" si="117"/>
        <v>0</v>
      </c>
      <c r="V135" s="9">
        <f t="shared" si="117"/>
        <v>1857</v>
      </c>
      <c r="W135" s="9">
        <f t="shared" si="117"/>
        <v>3854</v>
      </c>
      <c r="X135" s="9">
        <f t="shared" si="117"/>
        <v>0</v>
      </c>
      <c r="Y135" s="9">
        <f t="shared" si="117"/>
        <v>0</v>
      </c>
      <c r="Z135" s="9">
        <f t="shared" si="117"/>
        <v>0</v>
      </c>
      <c r="AA135" s="9">
        <f t="shared" ref="AA135:AB135" si="118">AA31+AA83</f>
        <v>0</v>
      </c>
      <c r="AB135" s="9">
        <f t="shared" si="118"/>
        <v>23165.68</v>
      </c>
      <c r="AC135" s="9">
        <f t="shared" ref="AC135" si="119">AC31+AC83</f>
        <v>0</v>
      </c>
    </row>
    <row r="136" spans="1:29">
      <c r="A136" s="252"/>
      <c r="B136" s="47" t="s">
        <v>118</v>
      </c>
      <c r="C136" s="9">
        <f t="shared" si="101"/>
        <v>3184880.2900000005</v>
      </c>
      <c r="D136" s="9">
        <f t="shared" ref="D136:Z136" si="120">D32+D84</f>
        <v>0</v>
      </c>
      <c r="E136" s="9">
        <f t="shared" si="120"/>
        <v>0</v>
      </c>
      <c r="F136" s="9">
        <f t="shared" si="120"/>
        <v>3184880.2900000005</v>
      </c>
      <c r="G136" s="9">
        <f t="shared" si="120"/>
        <v>0</v>
      </c>
      <c r="H136" s="9">
        <f t="shared" si="120"/>
        <v>0</v>
      </c>
      <c r="I136" s="9">
        <f t="shared" si="120"/>
        <v>0</v>
      </c>
      <c r="J136" s="9">
        <f t="shared" si="120"/>
        <v>0</v>
      </c>
      <c r="K136" s="9">
        <f t="shared" si="120"/>
        <v>0</v>
      </c>
      <c r="L136" s="9">
        <f t="shared" si="120"/>
        <v>0</v>
      </c>
      <c r="M136" s="9">
        <f t="shared" si="120"/>
        <v>0</v>
      </c>
      <c r="N136" s="9">
        <f t="shared" si="120"/>
        <v>0</v>
      </c>
      <c r="O136" s="9">
        <f t="shared" si="120"/>
        <v>0</v>
      </c>
      <c r="P136" s="9">
        <f t="shared" si="120"/>
        <v>0</v>
      </c>
      <c r="Q136" s="9">
        <f t="shared" si="120"/>
        <v>0</v>
      </c>
      <c r="R136" s="9">
        <f t="shared" si="120"/>
        <v>0</v>
      </c>
      <c r="S136" s="9">
        <f t="shared" si="120"/>
        <v>0</v>
      </c>
      <c r="T136" s="9">
        <f t="shared" si="120"/>
        <v>0</v>
      </c>
      <c r="U136" s="9">
        <f t="shared" si="120"/>
        <v>0</v>
      </c>
      <c r="V136" s="9">
        <f t="shared" si="120"/>
        <v>0</v>
      </c>
      <c r="W136" s="9">
        <f t="shared" si="120"/>
        <v>0</v>
      </c>
      <c r="X136" s="9">
        <f t="shared" si="120"/>
        <v>0</v>
      </c>
      <c r="Y136" s="9">
        <f t="shared" si="120"/>
        <v>0</v>
      </c>
      <c r="Z136" s="9">
        <f t="shared" si="120"/>
        <v>0</v>
      </c>
      <c r="AA136" s="9">
        <f t="shared" ref="AA136:AB136" si="121">AA32+AA84</f>
        <v>0</v>
      </c>
      <c r="AB136" s="9">
        <f t="shared" si="121"/>
        <v>0</v>
      </c>
      <c r="AC136" s="9">
        <f t="shared" ref="AC136" si="122">AC32+AC84</f>
        <v>0</v>
      </c>
    </row>
    <row r="137" spans="1:29">
      <c r="A137" s="252"/>
      <c r="B137" s="47" t="s">
        <v>119</v>
      </c>
      <c r="C137" s="9">
        <f t="shared" si="101"/>
        <v>57542.5</v>
      </c>
      <c r="D137" s="9">
        <f t="shared" ref="D137:Z137" si="123">D33+D85</f>
        <v>0</v>
      </c>
      <c r="E137" s="9">
        <f t="shared" si="123"/>
        <v>0</v>
      </c>
      <c r="F137" s="9">
        <f t="shared" si="123"/>
        <v>50420</v>
      </c>
      <c r="G137" s="9">
        <f t="shared" si="123"/>
        <v>0</v>
      </c>
      <c r="H137" s="9">
        <f t="shared" si="123"/>
        <v>0</v>
      </c>
      <c r="I137" s="9">
        <f t="shared" si="123"/>
        <v>0</v>
      </c>
      <c r="J137" s="9">
        <f t="shared" si="123"/>
        <v>0</v>
      </c>
      <c r="K137" s="9">
        <f t="shared" si="123"/>
        <v>0</v>
      </c>
      <c r="L137" s="9">
        <f t="shared" si="123"/>
        <v>400</v>
      </c>
      <c r="M137" s="9">
        <f t="shared" si="123"/>
        <v>0</v>
      </c>
      <c r="N137" s="9">
        <f t="shared" si="123"/>
        <v>0</v>
      </c>
      <c r="O137" s="9">
        <f t="shared" si="123"/>
        <v>0</v>
      </c>
      <c r="P137" s="9">
        <f t="shared" si="123"/>
        <v>0</v>
      </c>
      <c r="Q137" s="9">
        <f t="shared" si="123"/>
        <v>0</v>
      </c>
      <c r="R137" s="9">
        <f t="shared" si="123"/>
        <v>0</v>
      </c>
      <c r="S137" s="9">
        <f t="shared" si="123"/>
        <v>400</v>
      </c>
      <c r="T137" s="9">
        <f t="shared" si="123"/>
        <v>0</v>
      </c>
      <c r="U137" s="9">
        <f t="shared" si="123"/>
        <v>0</v>
      </c>
      <c r="V137" s="9">
        <f t="shared" si="123"/>
        <v>0</v>
      </c>
      <c r="W137" s="9">
        <f t="shared" si="123"/>
        <v>0</v>
      </c>
      <c r="X137" s="9">
        <f t="shared" si="123"/>
        <v>0</v>
      </c>
      <c r="Y137" s="9">
        <f t="shared" si="123"/>
        <v>0</v>
      </c>
      <c r="Z137" s="9">
        <f t="shared" si="123"/>
        <v>0</v>
      </c>
      <c r="AA137" s="9">
        <f t="shared" ref="AA137:AB137" si="124">AA33+AA85</f>
        <v>0</v>
      </c>
      <c r="AB137" s="9">
        <f t="shared" si="124"/>
        <v>0</v>
      </c>
      <c r="AC137" s="9">
        <f t="shared" ref="AC137" si="125">AC33+AC85</f>
        <v>6722.5</v>
      </c>
    </row>
    <row r="138" spans="1:29">
      <c r="A138" s="253"/>
      <c r="B138" s="57" t="s">
        <v>99</v>
      </c>
      <c r="C138" s="165">
        <f>SUM(C125:C137)</f>
        <v>59051977.049999997</v>
      </c>
      <c r="D138" s="165">
        <f t="shared" ref="D138:U138" si="126">SUM(D125:D137)</f>
        <v>9604590.5999999996</v>
      </c>
      <c r="E138" s="165">
        <f t="shared" si="126"/>
        <v>10895583.919999998</v>
      </c>
      <c r="F138" s="165">
        <f t="shared" si="126"/>
        <v>16137021.480000002</v>
      </c>
      <c r="G138" s="165">
        <f t="shared" si="126"/>
        <v>1978570.7499999998</v>
      </c>
      <c r="H138" s="165">
        <f t="shared" ref="H138" si="127">SUM(H125:H137)</f>
        <v>609992.24999999988</v>
      </c>
      <c r="I138" s="165">
        <f t="shared" ref="I138:K138" si="128">SUM(I125:I137)</f>
        <v>672111.44</v>
      </c>
      <c r="J138" s="165">
        <f t="shared" si="128"/>
        <v>157912.25000000003</v>
      </c>
      <c r="K138" s="165">
        <f t="shared" si="128"/>
        <v>538554.81000000006</v>
      </c>
      <c r="L138" s="165">
        <f t="shared" si="126"/>
        <v>2580039.75</v>
      </c>
      <c r="M138" s="165">
        <f t="shared" si="126"/>
        <v>281147.88</v>
      </c>
      <c r="N138" s="165">
        <f t="shared" ref="N138:O138" si="129">SUM(N125:N137)</f>
        <v>335216.13</v>
      </c>
      <c r="O138" s="165">
        <f t="shared" si="129"/>
        <v>292029.89999999997</v>
      </c>
      <c r="P138" s="165">
        <f t="shared" si="126"/>
        <v>353323.06999999995</v>
      </c>
      <c r="Q138" s="165">
        <f t="shared" si="126"/>
        <v>375692.77</v>
      </c>
      <c r="R138" s="165">
        <f t="shared" si="126"/>
        <v>416543.17000000004</v>
      </c>
      <c r="S138" s="165">
        <f t="shared" si="126"/>
        <v>526086.82999999996</v>
      </c>
      <c r="T138" s="165">
        <f t="shared" si="126"/>
        <v>16639755.07</v>
      </c>
      <c r="U138" s="165">
        <f t="shared" si="126"/>
        <v>2086362.16</v>
      </c>
      <c r="V138" s="165">
        <f t="shared" ref="V138:W138" si="130">SUM(V125:V137)</f>
        <v>10391765.93</v>
      </c>
      <c r="W138" s="165">
        <f t="shared" si="130"/>
        <v>3044439.7099999995</v>
      </c>
      <c r="X138" s="165">
        <f t="shared" ref="X138:Z138" si="131">SUM(X125:X137)</f>
        <v>154940.74999999997</v>
      </c>
      <c r="Y138" s="165">
        <f t="shared" si="131"/>
        <v>790995.93</v>
      </c>
      <c r="Z138" s="165">
        <f t="shared" si="131"/>
        <v>65429.840000000004</v>
      </c>
      <c r="AA138" s="165">
        <f t="shared" ref="AA138:AB138" si="132">SUM(AA125:AA137)</f>
        <v>105820.75</v>
      </c>
      <c r="AB138" s="165">
        <f t="shared" si="132"/>
        <v>962863.2</v>
      </c>
      <c r="AC138" s="165">
        <f t="shared" ref="AC138" si="133">SUM(AC125:AC137)</f>
        <v>253552.28000000003</v>
      </c>
    </row>
    <row r="139" spans="1:29" ht="13.5" customHeight="1">
      <c r="A139" s="251" t="s">
        <v>120</v>
      </c>
      <c r="B139" s="47" t="s">
        <v>121</v>
      </c>
      <c r="C139" s="9">
        <f t="shared" ref="C139:C140" si="134">SUM(D139:G139)+L139+T139+AC139+AB139</f>
        <v>3600526.9899999993</v>
      </c>
      <c r="D139" s="9">
        <f t="shared" ref="D139:Z139" si="135">D35+D87</f>
        <v>29235.599999999999</v>
      </c>
      <c r="E139" s="9">
        <f t="shared" si="135"/>
        <v>976389.35999999929</v>
      </c>
      <c r="F139" s="9">
        <f t="shared" si="135"/>
        <v>2360959.6500000004</v>
      </c>
      <c r="G139" s="9">
        <f t="shared" si="135"/>
        <v>9689.2500000000073</v>
      </c>
      <c r="H139" s="9">
        <f t="shared" si="135"/>
        <v>0</v>
      </c>
      <c r="I139" s="9">
        <f t="shared" si="135"/>
        <v>0</v>
      </c>
      <c r="J139" s="9">
        <f t="shared" si="135"/>
        <v>16315.54</v>
      </c>
      <c r="K139" s="9">
        <f t="shared" si="135"/>
        <v>-6626.2899999999972</v>
      </c>
      <c r="L139" s="9">
        <f t="shared" si="135"/>
        <v>139618.52999999997</v>
      </c>
      <c r="M139" s="9">
        <f t="shared" si="135"/>
        <v>18205.55</v>
      </c>
      <c r="N139" s="9">
        <f t="shared" si="135"/>
        <v>18205.55</v>
      </c>
      <c r="O139" s="9">
        <f t="shared" si="135"/>
        <v>18205.55</v>
      </c>
      <c r="P139" s="9">
        <f t="shared" si="135"/>
        <v>21693.31</v>
      </c>
      <c r="Q139" s="9">
        <f t="shared" si="135"/>
        <v>18351.560000000001</v>
      </c>
      <c r="R139" s="9">
        <f t="shared" si="135"/>
        <v>21657.31</v>
      </c>
      <c r="S139" s="9">
        <f t="shared" si="135"/>
        <v>23299.700000000004</v>
      </c>
      <c r="T139" s="9">
        <f t="shared" si="135"/>
        <v>71883.41</v>
      </c>
      <c r="U139" s="9">
        <f t="shared" si="135"/>
        <v>0</v>
      </c>
      <c r="V139" s="9">
        <f t="shared" si="135"/>
        <v>44405.17</v>
      </c>
      <c r="W139" s="9">
        <f t="shared" si="135"/>
        <v>27478.239999999998</v>
      </c>
      <c r="X139" s="9">
        <f t="shared" si="135"/>
        <v>0</v>
      </c>
      <c r="Y139" s="9">
        <f t="shared" si="135"/>
        <v>0</v>
      </c>
      <c r="Z139" s="9">
        <f t="shared" si="135"/>
        <v>0</v>
      </c>
      <c r="AA139" s="9">
        <f t="shared" ref="AA139:AB139" si="136">AA35+AA87</f>
        <v>0</v>
      </c>
      <c r="AB139" s="9">
        <f t="shared" si="136"/>
        <v>12751.19</v>
      </c>
      <c r="AC139" s="9">
        <f t="shared" ref="AC139" si="137">AC35+AC87</f>
        <v>0</v>
      </c>
    </row>
    <row r="140" spans="1:29">
      <c r="A140" s="252"/>
      <c r="B140" s="47" t="s">
        <v>122</v>
      </c>
      <c r="C140" s="9">
        <f t="shared" si="134"/>
        <v>2308065.4899999993</v>
      </c>
      <c r="D140" s="9">
        <f t="shared" ref="D140:Z140" si="138">D36+D88</f>
        <v>3779</v>
      </c>
      <c r="E140" s="9">
        <f t="shared" si="138"/>
        <v>449544.42999999982</v>
      </c>
      <c r="F140" s="9">
        <f t="shared" si="138"/>
        <v>1467781.8399999999</v>
      </c>
      <c r="G140" s="9">
        <f t="shared" si="138"/>
        <v>59641</v>
      </c>
      <c r="H140" s="9">
        <f t="shared" si="138"/>
        <v>17894.539999999997</v>
      </c>
      <c r="I140" s="9">
        <f t="shared" si="138"/>
        <v>6274.2999999999993</v>
      </c>
      <c r="J140" s="9">
        <f t="shared" si="138"/>
        <v>7060.9400000000005</v>
      </c>
      <c r="K140" s="9">
        <f t="shared" si="138"/>
        <v>28411.22</v>
      </c>
      <c r="L140" s="9">
        <f t="shared" si="138"/>
        <v>238816.83000000002</v>
      </c>
      <c r="M140" s="9">
        <f t="shared" si="138"/>
        <v>16984.230000000003</v>
      </c>
      <c r="N140" s="9">
        <f t="shared" si="138"/>
        <v>18961.129999999997</v>
      </c>
      <c r="O140" s="9">
        <f t="shared" si="138"/>
        <v>15414.650000000001</v>
      </c>
      <c r="P140" s="9">
        <f t="shared" si="138"/>
        <v>16029.189999999999</v>
      </c>
      <c r="Q140" s="9">
        <f t="shared" si="138"/>
        <v>7227.16</v>
      </c>
      <c r="R140" s="9">
        <f t="shared" si="138"/>
        <v>15591.380000000001</v>
      </c>
      <c r="S140" s="9">
        <f t="shared" si="138"/>
        <v>148609.09</v>
      </c>
      <c r="T140" s="9">
        <f t="shared" si="138"/>
        <v>44338.51</v>
      </c>
      <c r="U140" s="9">
        <f t="shared" si="138"/>
        <v>17205.02</v>
      </c>
      <c r="V140" s="9">
        <f t="shared" si="138"/>
        <v>18351.850000000002</v>
      </c>
      <c r="W140" s="9">
        <f t="shared" si="138"/>
        <v>6819.77</v>
      </c>
      <c r="X140" s="9">
        <f t="shared" si="138"/>
        <v>40</v>
      </c>
      <c r="Y140" s="9">
        <f t="shared" si="138"/>
        <v>1792.87</v>
      </c>
      <c r="Z140" s="9">
        <f t="shared" si="138"/>
        <v>129</v>
      </c>
      <c r="AA140" s="9">
        <f t="shared" ref="AA140:AB140" si="139">AA36+AA88</f>
        <v>0</v>
      </c>
      <c r="AB140" s="9">
        <f t="shared" si="139"/>
        <v>12772.31</v>
      </c>
      <c r="AC140" s="9">
        <f t="shared" ref="AC140" si="140">AC36+AC88</f>
        <v>31391.57</v>
      </c>
    </row>
    <row r="141" spans="1:29">
      <c r="A141" s="252"/>
      <c r="B141" s="47" t="s">
        <v>123</v>
      </c>
      <c r="C141" s="9">
        <f>SUM(D141:G141)+L141+T141+AC141+AB141</f>
        <v>2167616.5300000003</v>
      </c>
      <c r="D141" s="9">
        <f t="shared" ref="D141:Z141" si="141">D37+D89</f>
        <v>0</v>
      </c>
      <c r="E141" s="9">
        <f t="shared" si="141"/>
        <v>1922058.7300000002</v>
      </c>
      <c r="F141" s="9">
        <f t="shared" si="141"/>
        <v>0</v>
      </c>
      <c r="G141" s="9">
        <f t="shared" si="141"/>
        <v>0</v>
      </c>
      <c r="H141" s="9">
        <f t="shared" si="141"/>
        <v>0</v>
      </c>
      <c r="I141" s="9">
        <f t="shared" si="141"/>
        <v>0</v>
      </c>
      <c r="J141" s="9">
        <f t="shared" si="141"/>
        <v>0</v>
      </c>
      <c r="K141" s="9">
        <f t="shared" si="141"/>
        <v>0</v>
      </c>
      <c r="L141" s="9">
        <f t="shared" si="141"/>
        <v>0</v>
      </c>
      <c r="M141" s="9">
        <f t="shared" si="141"/>
        <v>0</v>
      </c>
      <c r="N141" s="9">
        <f t="shared" si="141"/>
        <v>0</v>
      </c>
      <c r="O141" s="9">
        <f t="shared" si="141"/>
        <v>0</v>
      </c>
      <c r="P141" s="9">
        <f t="shared" si="141"/>
        <v>0</v>
      </c>
      <c r="Q141" s="9">
        <f t="shared" si="141"/>
        <v>0</v>
      </c>
      <c r="R141" s="9">
        <f t="shared" si="141"/>
        <v>0</v>
      </c>
      <c r="S141" s="9">
        <f t="shared" si="141"/>
        <v>0</v>
      </c>
      <c r="T141" s="9">
        <f t="shared" si="141"/>
        <v>245557.8</v>
      </c>
      <c r="U141" s="9">
        <f t="shared" si="141"/>
        <v>0</v>
      </c>
      <c r="V141" s="9">
        <f t="shared" si="141"/>
        <v>245557.8</v>
      </c>
      <c r="W141" s="9">
        <f t="shared" si="141"/>
        <v>0</v>
      </c>
      <c r="X141" s="9">
        <f t="shared" si="141"/>
        <v>0</v>
      </c>
      <c r="Y141" s="9">
        <f t="shared" si="141"/>
        <v>0</v>
      </c>
      <c r="Z141" s="9">
        <f t="shared" si="141"/>
        <v>0</v>
      </c>
      <c r="AA141" s="9">
        <f t="shared" ref="AA141:AB141" si="142">AA37+AA89</f>
        <v>0</v>
      </c>
      <c r="AB141" s="9">
        <f t="shared" si="142"/>
        <v>0</v>
      </c>
      <c r="AC141" s="9">
        <f t="shared" ref="AC141" si="143">AC37+AC89</f>
        <v>0</v>
      </c>
    </row>
    <row r="142" spans="1:29">
      <c r="A142" s="252"/>
      <c r="B142" s="47" t="s">
        <v>124</v>
      </c>
      <c r="C142" s="9">
        <f t="shared" ref="C142:C154" si="144">SUM(D142:G142)+L142+T142+AC142+AB142</f>
        <v>2097035.6400000001</v>
      </c>
      <c r="D142" s="9">
        <f t="shared" ref="D142:Z142" si="145">D38+D90</f>
        <v>0</v>
      </c>
      <c r="E142" s="9">
        <f t="shared" si="145"/>
        <v>265887.28000000026</v>
      </c>
      <c r="F142" s="9">
        <f t="shared" si="145"/>
        <v>1717934.5699999998</v>
      </c>
      <c r="G142" s="9">
        <f t="shared" si="145"/>
        <v>21089.57</v>
      </c>
      <c r="H142" s="9">
        <f t="shared" si="145"/>
        <v>0</v>
      </c>
      <c r="I142" s="9">
        <f t="shared" si="145"/>
        <v>0</v>
      </c>
      <c r="J142" s="9">
        <f t="shared" si="145"/>
        <v>8056.6899999999987</v>
      </c>
      <c r="K142" s="9">
        <f t="shared" si="145"/>
        <v>13032.88</v>
      </c>
      <c r="L142" s="9">
        <f t="shared" si="145"/>
        <v>78434.22</v>
      </c>
      <c r="M142" s="9">
        <f t="shared" si="145"/>
        <v>9833.909999999998</v>
      </c>
      <c r="N142" s="9">
        <f t="shared" si="145"/>
        <v>9833.9</v>
      </c>
      <c r="O142" s="9">
        <f t="shared" si="145"/>
        <v>9833.9</v>
      </c>
      <c r="P142" s="9">
        <f t="shared" si="145"/>
        <v>13032.88</v>
      </c>
      <c r="Q142" s="9">
        <f t="shared" si="145"/>
        <v>9833.91</v>
      </c>
      <c r="R142" s="9">
        <f t="shared" si="145"/>
        <v>13032.88</v>
      </c>
      <c r="S142" s="9">
        <f t="shared" si="145"/>
        <v>13032.839999999998</v>
      </c>
      <c r="T142" s="9">
        <f t="shared" si="145"/>
        <v>0</v>
      </c>
      <c r="U142" s="9">
        <f t="shared" si="145"/>
        <v>0</v>
      </c>
      <c r="V142" s="9">
        <f t="shared" si="145"/>
        <v>0</v>
      </c>
      <c r="W142" s="9">
        <f t="shared" si="145"/>
        <v>0</v>
      </c>
      <c r="X142" s="9">
        <f t="shared" si="145"/>
        <v>0</v>
      </c>
      <c r="Y142" s="9">
        <f t="shared" si="145"/>
        <v>0</v>
      </c>
      <c r="Z142" s="9">
        <f t="shared" si="145"/>
        <v>0</v>
      </c>
      <c r="AA142" s="9">
        <f t="shared" ref="AA142:AB142" si="146">AA38+AA90</f>
        <v>0</v>
      </c>
      <c r="AB142" s="9">
        <f t="shared" si="146"/>
        <v>0</v>
      </c>
      <c r="AC142" s="9">
        <f t="shared" ref="AC142" si="147">AC38+AC90</f>
        <v>13690</v>
      </c>
    </row>
    <row r="143" spans="1:29">
      <c r="A143" s="252"/>
      <c r="B143" s="47" t="s">
        <v>125</v>
      </c>
      <c r="C143" s="9">
        <f t="shared" si="144"/>
        <v>237658.46999999997</v>
      </c>
      <c r="D143" s="9">
        <f t="shared" ref="D143:Z143" si="148">D39+D91</f>
        <v>0</v>
      </c>
      <c r="E143" s="9">
        <f t="shared" si="148"/>
        <v>237658.46999999997</v>
      </c>
      <c r="F143" s="9">
        <f t="shared" si="148"/>
        <v>0</v>
      </c>
      <c r="G143" s="9">
        <f t="shared" si="148"/>
        <v>0</v>
      </c>
      <c r="H143" s="9">
        <f t="shared" si="148"/>
        <v>0</v>
      </c>
      <c r="I143" s="9">
        <f t="shared" si="148"/>
        <v>0</v>
      </c>
      <c r="J143" s="9">
        <f t="shared" si="148"/>
        <v>0</v>
      </c>
      <c r="K143" s="9">
        <f t="shared" si="148"/>
        <v>0</v>
      </c>
      <c r="L143" s="9">
        <f t="shared" si="148"/>
        <v>0</v>
      </c>
      <c r="M143" s="9">
        <f t="shared" si="148"/>
        <v>0</v>
      </c>
      <c r="N143" s="9">
        <f t="shared" si="148"/>
        <v>0</v>
      </c>
      <c r="O143" s="9">
        <f t="shared" si="148"/>
        <v>0</v>
      </c>
      <c r="P143" s="9">
        <f t="shared" si="148"/>
        <v>0</v>
      </c>
      <c r="Q143" s="9">
        <f t="shared" si="148"/>
        <v>0</v>
      </c>
      <c r="R143" s="9">
        <f t="shared" si="148"/>
        <v>0</v>
      </c>
      <c r="S143" s="9">
        <f t="shared" si="148"/>
        <v>0</v>
      </c>
      <c r="T143" s="9">
        <f t="shared" si="148"/>
        <v>0</v>
      </c>
      <c r="U143" s="9">
        <f t="shared" si="148"/>
        <v>0</v>
      </c>
      <c r="V143" s="9">
        <f t="shared" si="148"/>
        <v>0</v>
      </c>
      <c r="W143" s="9">
        <f t="shared" si="148"/>
        <v>0</v>
      </c>
      <c r="X143" s="9">
        <f t="shared" si="148"/>
        <v>0</v>
      </c>
      <c r="Y143" s="9">
        <f t="shared" si="148"/>
        <v>0</v>
      </c>
      <c r="Z143" s="9">
        <f t="shared" si="148"/>
        <v>0</v>
      </c>
      <c r="AA143" s="9">
        <f t="shared" ref="AA143:AB143" si="149">AA39+AA91</f>
        <v>0</v>
      </c>
      <c r="AB143" s="9">
        <f t="shared" si="149"/>
        <v>0</v>
      </c>
      <c r="AC143" s="9">
        <f t="shared" ref="AC143" si="150">AC39+AC91</f>
        <v>0</v>
      </c>
    </row>
    <row r="144" spans="1:29">
      <c r="A144" s="252"/>
      <c r="B144" s="47" t="s">
        <v>126</v>
      </c>
      <c r="C144" s="9">
        <f t="shared" si="144"/>
        <v>558734.31000000006</v>
      </c>
      <c r="D144" s="9">
        <f t="shared" ref="D144:Z144" si="151">D40+D92</f>
        <v>0</v>
      </c>
      <c r="E144" s="9">
        <f t="shared" si="151"/>
        <v>279017.89</v>
      </c>
      <c r="F144" s="9">
        <f t="shared" si="151"/>
        <v>258827.22000000003</v>
      </c>
      <c r="G144" s="9">
        <f t="shared" si="151"/>
        <v>400</v>
      </c>
      <c r="H144" s="9">
        <f t="shared" si="151"/>
        <v>0</v>
      </c>
      <c r="I144" s="9">
        <f t="shared" si="151"/>
        <v>0</v>
      </c>
      <c r="J144" s="9">
        <f t="shared" si="151"/>
        <v>0</v>
      </c>
      <c r="K144" s="9">
        <f t="shared" si="151"/>
        <v>400</v>
      </c>
      <c r="L144" s="9">
        <f t="shared" si="151"/>
        <v>12412.939999999999</v>
      </c>
      <c r="M144" s="9">
        <f t="shared" si="151"/>
        <v>0</v>
      </c>
      <c r="N144" s="9">
        <f t="shared" si="151"/>
        <v>0</v>
      </c>
      <c r="O144" s="9">
        <f t="shared" si="151"/>
        <v>0</v>
      </c>
      <c r="P144" s="9">
        <f t="shared" si="151"/>
        <v>6020.49</v>
      </c>
      <c r="Q144" s="9">
        <f t="shared" si="151"/>
        <v>0</v>
      </c>
      <c r="R144" s="9">
        <f t="shared" si="151"/>
        <v>0</v>
      </c>
      <c r="S144" s="9">
        <f t="shared" si="151"/>
        <v>6392.45</v>
      </c>
      <c r="T144" s="9">
        <f t="shared" si="151"/>
        <v>1646.26</v>
      </c>
      <c r="U144" s="9">
        <f t="shared" si="151"/>
        <v>0</v>
      </c>
      <c r="V144" s="9">
        <f t="shared" si="151"/>
        <v>741.6</v>
      </c>
      <c r="W144" s="9">
        <f t="shared" si="151"/>
        <v>904.66</v>
      </c>
      <c r="X144" s="9">
        <f t="shared" si="151"/>
        <v>0</v>
      </c>
      <c r="Y144" s="9">
        <f t="shared" si="151"/>
        <v>0</v>
      </c>
      <c r="Z144" s="9">
        <f t="shared" si="151"/>
        <v>0</v>
      </c>
      <c r="AA144" s="9">
        <f t="shared" ref="AA144:AB144" si="152">AA40+AA92</f>
        <v>0</v>
      </c>
      <c r="AB144" s="9">
        <f t="shared" si="152"/>
        <v>6100</v>
      </c>
      <c r="AC144" s="9">
        <f t="shared" ref="AC144" si="153">AC40+AC92</f>
        <v>330</v>
      </c>
    </row>
    <row r="145" spans="1:29">
      <c r="A145" s="252"/>
      <c r="B145" s="47" t="s">
        <v>127</v>
      </c>
      <c r="C145" s="9">
        <f t="shared" si="144"/>
        <v>989630</v>
      </c>
      <c r="D145" s="9">
        <f t="shared" ref="D145:Z145" si="154">D41+D93</f>
        <v>0</v>
      </c>
      <c r="E145" s="9">
        <f t="shared" si="154"/>
        <v>460000</v>
      </c>
      <c r="F145" s="9">
        <f t="shared" si="154"/>
        <v>521630</v>
      </c>
      <c r="G145" s="9">
        <f t="shared" si="154"/>
        <v>0</v>
      </c>
      <c r="H145" s="9">
        <f t="shared" si="154"/>
        <v>0</v>
      </c>
      <c r="I145" s="9">
        <f t="shared" si="154"/>
        <v>0</v>
      </c>
      <c r="J145" s="9">
        <f t="shared" si="154"/>
        <v>0</v>
      </c>
      <c r="K145" s="9">
        <f t="shared" si="154"/>
        <v>0</v>
      </c>
      <c r="L145" s="9">
        <f t="shared" si="154"/>
        <v>8000</v>
      </c>
      <c r="M145" s="9">
        <f t="shared" si="154"/>
        <v>0</v>
      </c>
      <c r="N145" s="9">
        <f t="shared" si="154"/>
        <v>0</v>
      </c>
      <c r="O145" s="9">
        <f t="shared" si="154"/>
        <v>0</v>
      </c>
      <c r="P145" s="9">
        <f t="shared" si="154"/>
        <v>0</v>
      </c>
      <c r="Q145" s="9">
        <f t="shared" si="154"/>
        <v>0</v>
      </c>
      <c r="R145" s="9">
        <f t="shared" si="154"/>
        <v>0</v>
      </c>
      <c r="S145" s="9">
        <f t="shared" si="154"/>
        <v>8000</v>
      </c>
      <c r="T145" s="9">
        <f t="shared" si="154"/>
        <v>0</v>
      </c>
      <c r="U145" s="9">
        <f t="shared" si="154"/>
        <v>0</v>
      </c>
      <c r="V145" s="9">
        <f t="shared" si="154"/>
        <v>0</v>
      </c>
      <c r="W145" s="9">
        <f t="shared" si="154"/>
        <v>0</v>
      </c>
      <c r="X145" s="9">
        <f t="shared" si="154"/>
        <v>0</v>
      </c>
      <c r="Y145" s="9">
        <f t="shared" si="154"/>
        <v>0</v>
      </c>
      <c r="Z145" s="9">
        <f t="shared" si="154"/>
        <v>0</v>
      </c>
      <c r="AA145" s="9">
        <f t="shared" ref="AA145:AB145" si="155">AA41+AA93</f>
        <v>0</v>
      </c>
      <c r="AB145" s="9">
        <f t="shared" si="155"/>
        <v>0</v>
      </c>
      <c r="AC145" s="9">
        <f t="shared" ref="AC145" si="156">AC41+AC93</f>
        <v>0</v>
      </c>
    </row>
    <row r="146" spans="1:29">
      <c r="A146" s="252"/>
      <c r="B146" s="47" t="s">
        <v>128</v>
      </c>
      <c r="C146" s="9">
        <f t="shared" si="144"/>
        <v>769405.54999999993</v>
      </c>
      <c r="D146" s="9">
        <f t="shared" ref="D146:Z146" si="157">D42+D94</f>
        <v>0</v>
      </c>
      <c r="E146" s="9">
        <f t="shared" si="157"/>
        <v>431999.04999999993</v>
      </c>
      <c r="F146" s="9">
        <f t="shared" si="157"/>
        <v>81590.42</v>
      </c>
      <c r="G146" s="9">
        <f t="shared" si="157"/>
        <v>0</v>
      </c>
      <c r="H146" s="9">
        <f t="shared" si="157"/>
        <v>0</v>
      </c>
      <c r="I146" s="9">
        <f t="shared" si="157"/>
        <v>0</v>
      </c>
      <c r="J146" s="9">
        <f t="shared" si="157"/>
        <v>0</v>
      </c>
      <c r="K146" s="9">
        <f t="shared" si="157"/>
        <v>0</v>
      </c>
      <c r="L146" s="9">
        <f t="shared" si="157"/>
        <v>0</v>
      </c>
      <c r="M146" s="9">
        <f t="shared" si="157"/>
        <v>0</v>
      </c>
      <c r="N146" s="9">
        <f t="shared" si="157"/>
        <v>0</v>
      </c>
      <c r="O146" s="9">
        <f t="shared" si="157"/>
        <v>0</v>
      </c>
      <c r="P146" s="9">
        <f t="shared" si="157"/>
        <v>0</v>
      </c>
      <c r="Q146" s="9">
        <f t="shared" si="157"/>
        <v>0</v>
      </c>
      <c r="R146" s="9">
        <f t="shared" si="157"/>
        <v>0</v>
      </c>
      <c r="S146" s="9">
        <f t="shared" si="157"/>
        <v>0</v>
      </c>
      <c r="T146" s="9">
        <f t="shared" si="157"/>
        <v>255816.08</v>
      </c>
      <c r="U146" s="9">
        <f t="shared" si="157"/>
        <v>0</v>
      </c>
      <c r="V146" s="9">
        <f t="shared" si="157"/>
        <v>226964.63999999998</v>
      </c>
      <c r="W146" s="9">
        <f t="shared" si="157"/>
        <v>28851.440000000002</v>
      </c>
      <c r="X146" s="9">
        <f t="shared" si="157"/>
        <v>0</v>
      </c>
      <c r="Y146" s="9">
        <f t="shared" si="157"/>
        <v>0</v>
      </c>
      <c r="Z146" s="9">
        <f t="shared" si="157"/>
        <v>0</v>
      </c>
      <c r="AA146" s="9">
        <f t="shared" ref="AA146:AB146" si="158">AA42+AA94</f>
        <v>0</v>
      </c>
      <c r="AB146" s="9">
        <f t="shared" si="158"/>
        <v>0</v>
      </c>
      <c r="AC146" s="9">
        <f t="shared" ref="AC146" si="159">AC42+AC94</f>
        <v>0</v>
      </c>
    </row>
    <row r="147" spans="1:29">
      <c r="A147" s="252"/>
      <c r="B147" s="47" t="s">
        <v>129</v>
      </c>
      <c r="C147" s="9">
        <f t="shared" si="144"/>
        <v>0</v>
      </c>
      <c r="D147" s="9">
        <f t="shared" ref="D147:Z147" si="160">D43+D95</f>
        <v>0</v>
      </c>
      <c r="E147" s="9">
        <f t="shared" si="160"/>
        <v>0</v>
      </c>
      <c r="F147" s="9">
        <f t="shared" si="160"/>
        <v>0</v>
      </c>
      <c r="G147" s="9">
        <f t="shared" si="160"/>
        <v>0</v>
      </c>
      <c r="H147" s="9">
        <f t="shared" si="160"/>
        <v>0</v>
      </c>
      <c r="I147" s="9">
        <f t="shared" si="160"/>
        <v>0</v>
      </c>
      <c r="J147" s="9">
        <f t="shared" si="160"/>
        <v>0</v>
      </c>
      <c r="K147" s="9">
        <f t="shared" si="160"/>
        <v>0</v>
      </c>
      <c r="L147" s="9">
        <f t="shared" si="160"/>
        <v>0</v>
      </c>
      <c r="M147" s="9">
        <f t="shared" si="160"/>
        <v>0</v>
      </c>
      <c r="N147" s="9">
        <f t="shared" si="160"/>
        <v>0</v>
      </c>
      <c r="O147" s="9">
        <f t="shared" si="160"/>
        <v>0</v>
      </c>
      <c r="P147" s="9">
        <f t="shared" si="160"/>
        <v>0</v>
      </c>
      <c r="Q147" s="9">
        <f t="shared" si="160"/>
        <v>0</v>
      </c>
      <c r="R147" s="9">
        <f t="shared" si="160"/>
        <v>0</v>
      </c>
      <c r="S147" s="9">
        <f t="shared" si="160"/>
        <v>0</v>
      </c>
      <c r="T147" s="9">
        <f t="shared" si="160"/>
        <v>0</v>
      </c>
      <c r="U147" s="9">
        <f t="shared" si="160"/>
        <v>0</v>
      </c>
      <c r="V147" s="9">
        <f t="shared" si="160"/>
        <v>0</v>
      </c>
      <c r="W147" s="9">
        <f t="shared" si="160"/>
        <v>0</v>
      </c>
      <c r="X147" s="9">
        <f t="shared" si="160"/>
        <v>0</v>
      </c>
      <c r="Y147" s="9">
        <f t="shared" si="160"/>
        <v>0</v>
      </c>
      <c r="Z147" s="9">
        <f t="shared" si="160"/>
        <v>0</v>
      </c>
      <c r="AA147" s="9">
        <f t="shared" ref="AA147:AB147" si="161">AA43+AA95</f>
        <v>0</v>
      </c>
      <c r="AB147" s="9">
        <f t="shared" si="161"/>
        <v>0</v>
      </c>
      <c r="AC147" s="9">
        <f t="shared" ref="AC147" si="162">AC43+AC95</f>
        <v>0</v>
      </c>
    </row>
    <row r="148" spans="1:29" ht="13.5" customHeight="1">
      <c r="A148" s="252"/>
      <c r="B148" s="47" t="s">
        <v>130</v>
      </c>
      <c r="C148" s="9">
        <f t="shared" si="144"/>
        <v>13021373.189999998</v>
      </c>
      <c r="D148" s="9">
        <f t="shared" ref="D148:Z148" si="163">D44+D96</f>
        <v>0</v>
      </c>
      <c r="E148" s="9">
        <f t="shared" si="163"/>
        <v>8110199.0600000005</v>
      </c>
      <c r="F148" s="9">
        <f t="shared" si="163"/>
        <v>4638192.9799999986</v>
      </c>
      <c r="G148" s="9">
        <f t="shared" si="163"/>
        <v>154827.78</v>
      </c>
      <c r="H148" s="9">
        <f t="shared" si="163"/>
        <v>0</v>
      </c>
      <c r="I148" s="9">
        <f t="shared" si="163"/>
        <v>13181.72</v>
      </c>
      <c r="J148" s="9">
        <f t="shared" si="163"/>
        <v>13181.72</v>
      </c>
      <c r="K148" s="9">
        <f t="shared" si="163"/>
        <v>128464.34</v>
      </c>
      <c r="L148" s="9">
        <f t="shared" si="163"/>
        <v>118153.37</v>
      </c>
      <c r="M148" s="9">
        <f t="shared" si="163"/>
        <v>33959.019999999997</v>
      </c>
      <c r="N148" s="9">
        <f t="shared" si="163"/>
        <v>15068.3</v>
      </c>
      <c r="O148" s="9">
        <f t="shared" si="163"/>
        <v>6146.91</v>
      </c>
      <c r="P148" s="9">
        <f t="shared" si="163"/>
        <v>26363.439999999999</v>
      </c>
      <c r="Q148" s="9">
        <f t="shared" si="163"/>
        <v>0</v>
      </c>
      <c r="R148" s="9">
        <f t="shared" si="163"/>
        <v>26363.439999999999</v>
      </c>
      <c r="S148" s="9">
        <f t="shared" si="163"/>
        <v>10252.26</v>
      </c>
      <c r="T148" s="9">
        <f t="shared" si="163"/>
        <v>0</v>
      </c>
      <c r="U148" s="9">
        <f t="shared" si="163"/>
        <v>0</v>
      </c>
      <c r="V148" s="9">
        <f t="shared" si="163"/>
        <v>0</v>
      </c>
      <c r="W148" s="9">
        <f t="shared" si="163"/>
        <v>0</v>
      </c>
      <c r="X148" s="9">
        <f t="shared" si="163"/>
        <v>0</v>
      </c>
      <c r="Y148" s="9">
        <f t="shared" si="163"/>
        <v>0</v>
      </c>
      <c r="Z148" s="9">
        <f t="shared" si="163"/>
        <v>0</v>
      </c>
      <c r="AA148" s="9">
        <f t="shared" ref="AA148:AB148" si="164">AA44+AA96</f>
        <v>0</v>
      </c>
      <c r="AB148" s="9">
        <f t="shared" si="164"/>
        <v>0</v>
      </c>
      <c r="AC148" s="9">
        <f t="shared" ref="AC148" si="165">AC44+AC96</f>
        <v>0</v>
      </c>
    </row>
    <row r="149" spans="1:29">
      <c r="A149" s="252"/>
      <c r="B149" s="47" t="s">
        <v>131</v>
      </c>
      <c r="C149" s="9">
        <f t="shared" si="144"/>
        <v>3260180.3599999994</v>
      </c>
      <c r="D149" s="9">
        <f t="shared" ref="D149:Z149" si="166">D45+D97</f>
        <v>0</v>
      </c>
      <c r="E149" s="9">
        <f t="shared" si="166"/>
        <v>950708.36999999953</v>
      </c>
      <c r="F149" s="9">
        <f t="shared" si="166"/>
        <v>1985075.39</v>
      </c>
      <c r="G149" s="9">
        <f t="shared" si="166"/>
        <v>251774.63</v>
      </c>
      <c r="H149" s="9">
        <f t="shared" si="166"/>
        <v>0</v>
      </c>
      <c r="I149" s="9">
        <f t="shared" si="166"/>
        <v>29750.7</v>
      </c>
      <c r="J149" s="9">
        <f t="shared" si="166"/>
        <v>30882.77</v>
      </c>
      <c r="K149" s="9">
        <f t="shared" si="166"/>
        <v>191141.16</v>
      </c>
      <c r="L149" s="9">
        <f t="shared" si="166"/>
        <v>60779.320000000007</v>
      </c>
      <c r="M149" s="9">
        <f t="shared" si="166"/>
        <v>5397.64</v>
      </c>
      <c r="N149" s="9">
        <f t="shared" si="166"/>
        <v>5397.64</v>
      </c>
      <c r="O149" s="9">
        <f t="shared" si="166"/>
        <v>7533.96</v>
      </c>
      <c r="P149" s="9">
        <f t="shared" si="166"/>
        <v>13315.560000000001</v>
      </c>
      <c r="Q149" s="9">
        <f t="shared" si="166"/>
        <v>14258.960000000001</v>
      </c>
      <c r="R149" s="9">
        <f t="shared" si="166"/>
        <v>13315.560000000001</v>
      </c>
      <c r="S149" s="9">
        <f t="shared" si="166"/>
        <v>1560</v>
      </c>
      <c r="T149" s="9">
        <f t="shared" si="166"/>
        <v>4106.79</v>
      </c>
      <c r="U149" s="9">
        <f t="shared" si="166"/>
        <v>2886.79</v>
      </c>
      <c r="V149" s="9">
        <f t="shared" si="166"/>
        <v>1220</v>
      </c>
      <c r="W149" s="9">
        <f t="shared" si="166"/>
        <v>0</v>
      </c>
      <c r="X149" s="9">
        <f t="shared" si="166"/>
        <v>0</v>
      </c>
      <c r="Y149" s="9">
        <f t="shared" si="166"/>
        <v>0</v>
      </c>
      <c r="Z149" s="9">
        <f t="shared" si="166"/>
        <v>0</v>
      </c>
      <c r="AA149" s="9">
        <f t="shared" ref="AA149:AB149" si="167">AA45+AA97</f>
        <v>0</v>
      </c>
      <c r="AB149" s="9">
        <f t="shared" si="167"/>
        <v>5471.7</v>
      </c>
      <c r="AC149" s="9">
        <f t="shared" ref="AC149" si="168">AC45+AC97</f>
        <v>2264.16</v>
      </c>
    </row>
    <row r="150" spans="1:29">
      <c r="A150" s="252"/>
      <c r="B150" s="47" t="s">
        <v>132</v>
      </c>
      <c r="C150" s="9">
        <f t="shared" si="144"/>
        <v>30191584.470000003</v>
      </c>
      <c r="D150" s="9">
        <f t="shared" ref="D150:Z150" si="169">D46+D98</f>
        <v>274503.2</v>
      </c>
      <c r="E150" s="9">
        <f t="shared" si="169"/>
        <v>1746539.1600000067</v>
      </c>
      <c r="F150" s="9">
        <f t="shared" si="169"/>
        <v>22638096.979999997</v>
      </c>
      <c r="G150" s="9">
        <f t="shared" si="169"/>
        <v>423113.83999999997</v>
      </c>
      <c r="H150" s="9">
        <f t="shared" si="169"/>
        <v>1895</v>
      </c>
      <c r="I150" s="9">
        <f t="shared" si="169"/>
        <v>0</v>
      </c>
      <c r="J150" s="9">
        <f t="shared" si="169"/>
        <v>160386.4</v>
      </c>
      <c r="K150" s="9">
        <f t="shared" si="169"/>
        <v>260832.44</v>
      </c>
      <c r="L150" s="9">
        <f t="shared" si="169"/>
        <v>4304784.1100000003</v>
      </c>
      <c r="M150" s="9">
        <f t="shared" si="169"/>
        <v>211476.12999999998</v>
      </c>
      <c r="N150" s="9">
        <f t="shared" si="169"/>
        <v>212194</v>
      </c>
      <c r="O150" s="9">
        <f t="shared" si="169"/>
        <v>211223.13</v>
      </c>
      <c r="P150" s="9">
        <f t="shared" si="169"/>
        <v>271512.05</v>
      </c>
      <c r="Q150" s="9">
        <f t="shared" si="169"/>
        <v>216724.71999999997</v>
      </c>
      <c r="R150" s="9">
        <f t="shared" si="169"/>
        <v>260832.44</v>
      </c>
      <c r="S150" s="9">
        <f t="shared" si="169"/>
        <v>2920821.6399999997</v>
      </c>
      <c r="T150" s="9">
        <f t="shared" si="169"/>
        <v>571480.04999999993</v>
      </c>
      <c r="U150" s="9">
        <f t="shared" si="169"/>
        <v>0</v>
      </c>
      <c r="V150" s="9">
        <f t="shared" si="169"/>
        <v>353745.81999999995</v>
      </c>
      <c r="W150" s="9">
        <f t="shared" si="169"/>
        <v>217650.22999999998</v>
      </c>
      <c r="X150" s="9">
        <f t="shared" si="169"/>
        <v>0</v>
      </c>
      <c r="Y150" s="9">
        <f t="shared" si="169"/>
        <v>84</v>
      </c>
      <c r="Z150" s="9">
        <f t="shared" si="169"/>
        <v>0</v>
      </c>
      <c r="AA150" s="9">
        <f t="shared" ref="AA150:AB150" si="170">AA46+AA98</f>
        <v>0</v>
      </c>
      <c r="AB150" s="9">
        <f t="shared" si="170"/>
        <v>113027.13</v>
      </c>
      <c r="AC150" s="9">
        <f t="shared" ref="AC150" si="171">AC46+AC98</f>
        <v>120040</v>
      </c>
    </row>
    <row r="151" spans="1:29">
      <c r="A151" s="252"/>
      <c r="B151" s="47" t="s">
        <v>133</v>
      </c>
      <c r="C151" s="9">
        <f t="shared" si="144"/>
        <v>14636156.489999998</v>
      </c>
      <c r="D151" s="9">
        <f t="shared" ref="D151:Z151" si="172">D47+D99</f>
        <v>-7776319.0599999996</v>
      </c>
      <c r="E151" s="9">
        <f t="shared" si="172"/>
        <v>11064168.579999998</v>
      </c>
      <c r="F151" s="9">
        <f t="shared" si="172"/>
        <v>10817431.970000001</v>
      </c>
      <c r="G151" s="9">
        <f t="shared" si="172"/>
        <v>6711.29</v>
      </c>
      <c r="H151" s="9">
        <f t="shared" si="172"/>
        <v>0</v>
      </c>
      <c r="I151" s="9">
        <f t="shared" si="172"/>
        <v>0</v>
      </c>
      <c r="J151" s="9">
        <f t="shared" si="172"/>
        <v>1852.93</v>
      </c>
      <c r="K151" s="9">
        <f t="shared" si="172"/>
        <v>4858.3599999999997</v>
      </c>
      <c r="L151" s="9">
        <f t="shared" si="172"/>
        <v>524163.71</v>
      </c>
      <c r="M151" s="9">
        <f t="shared" si="172"/>
        <v>21600.03</v>
      </c>
      <c r="N151" s="9">
        <f t="shared" si="172"/>
        <v>21600.04</v>
      </c>
      <c r="O151" s="9">
        <f t="shared" si="172"/>
        <v>21984.560000000001</v>
      </c>
      <c r="P151" s="9">
        <f t="shared" si="172"/>
        <v>22031.129999999997</v>
      </c>
      <c r="Q151" s="9">
        <f t="shared" si="172"/>
        <v>2983.84</v>
      </c>
      <c r="R151" s="9">
        <f t="shared" si="172"/>
        <v>10145.719999999999</v>
      </c>
      <c r="S151" s="9">
        <f t="shared" si="172"/>
        <v>423818.39</v>
      </c>
      <c r="T151" s="9">
        <f t="shared" si="172"/>
        <v>0</v>
      </c>
      <c r="U151" s="9">
        <f t="shared" si="172"/>
        <v>0</v>
      </c>
      <c r="V151" s="9">
        <f t="shared" si="172"/>
        <v>0</v>
      </c>
      <c r="W151" s="9">
        <f t="shared" si="172"/>
        <v>0</v>
      </c>
      <c r="X151" s="9">
        <f t="shared" si="172"/>
        <v>0</v>
      </c>
      <c r="Y151" s="9">
        <f t="shared" si="172"/>
        <v>0</v>
      </c>
      <c r="Z151" s="9">
        <f t="shared" si="172"/>
        <v>0</v>
      </c>
      <c r="AA151" s="9">
        <f t="shared" ref="AA151:AB151" si="173">AA47+AA99</f>
        <v>0</v>
      </c>
      <c r="AB151" s="9">
        <f t="shared" si="173"/>
        <v>0</v>
      </c>
      <c r="AC151" s="9">
        <f t="shared" ref="AC151" si="174">AC47+AC99</f>
        <v>0</v>
      </c>
    </row>
    <row r="152" spans="1:29">
      <c r="A152" s="252"/>
      <c r="B152" s="47" t="s">
        <v>134</v>
      </c>
      <c r="C152" s="9">
        <f t="shared" si="144"/>
        <v>6974094.7000000011</v>
      </c>
      <c r="D152" s="9">
        <f t="shared" ref="D152:Z152" si="175">D48+D100</f>
        <v>0</v>
      </c>
      <c r="E152" s="9">
        <f t="shared" si="175"/>
        <v>6350392.8200000012</v>
      </c>
      <c r="F152" s="9">
        <f t="shared" si="175"/>
        <v>528315.28000000014</v>
      </c>
      <c r="G152" s="9">
        <f t="shared" si="175"/>
        <v>0</v>
      </c>
      <c r="H152" s="9">
        <f t="shared" si="175"/>
        <v>0</v>
      </c>
      <c r="I152" s="9">
        <f t="shared" si="175"/>
        <v>0</v>
      </c>
      <c r="J152" s="9">
        <f t="shared" si="175"/>
        <v>0</v>
      </c>
      <c r="K152" s="9">
        <f t="shared" si="175"/>
        <v>0</v>
      </c>
      <c r="L152" s="9">
        <f t="shared" si="175"/>
        <v>92870.840000000011</v>
      </c>
      <c r="M152" s="9">
        <f t="shared" si="175"/>
        <v>71438.3</v>
      </c>
      <c r="N152" s="9">
        <f t="shared" si="175"/>
        <v>10716.27</v>
      </c>
      <c r="O152" s="9">
        <f t="shared" si="175"/>
        <v>10716.27</v>
      </c>
      <c r="P152" s="9">
        <f t="shared" si="175"/>
        <v>0</v>
      </c>
      <c r="Q152" s="9">
        <f t="shared" si="175"/>
        <v>0</v>
      </c>
      <c r="R152" s="9">
        <f t="shared" si="175"/>
        <v>0</v>
      </c>
      <c r="S152" s="9">
        <f t="shared" si="175"/>
        <v>0</v>
      </c>
      <c r="T152" s="9">
        <f t="shared" si="175"/>
        <v>0</v>
      </c>
      <c r="U152" s="9">
        <f t="shared" si="175"/>
        <v>0</v>
      </c>
      <c r="V152" s="9">
        <f t="shared" si="175"/>
        <v>0</v>
      </c>
      <c r="W152" s="9">
        <f t="shared" si="175"/>
        <v>0</v>
      </c>
      <c r="X152" s="9">
        <f t="shared" si="175"/>
        <v>0</v>
      </c>
      <c r="Y152" s="9">
        <f t="shared" si="175"/>
        <v>0</v>
      </c>
      <c r="Z152" s="9">
        <f t="shared" si="175"/>
        <v>0</v>
      </c>
      <c r="AA152" s="9">
        <f t="shared" ref="AA152:AB152" si="176">AA48+AA100</f>
        <v>0</v>
      </c>
      <c r="AB152" s="9">
        <f t="shared" si="176"/>
        <v>0</v>
      </c>
      <c r="AC152" s="9">
        <f t="shared" ref="AC152" si="177">AC48+AC100</f>
        <v>2515.7600000000002</v>
      </c>
    </row>
    <row r="153" spans="1:29">
      <c r="A153" s="252"/>
      <c r="B153" s="47" t="s">
        <v>135</v>
      </c>
      <c r="C153" s="9">
        <f t="shared" si="144"/>
        <v>6675432.9299999997</v>
      </c>
      <c r="D153" s="9">
        <f t="shared" ref="D153:Z153" si="178">D49+D101</f>
        <v>0</v>
      </c>
      <c r="E153" s="9">
        <f t="shared" si="178"/>
        <v>1657360.15</v>
      </c>
      <c r="F153" s="9">
        <f t="shared" si="178"/>
        <v>4676078.26</v>
      </c>
      <c r="G153" s="9">
        <f t="shared" si="178"/>
        <v>108062.06</v>
      </c>
      <c r="H153" s="9">
        <f t="shared" si="178"/>
        <v>8608.2400000000016</v>
      </c>
      <c r="I153" s="9">
        <f t="shared" si="178"/>
        <v>1670.26</v>
      </c>
      <c r="J153" s="9">
        <f t="shared" si="178"/>
        <v>28938.45</v>
      </c>
      <c r="K153" s="9">
        <f t="shared" si="178"/>
        <v>68845.11</v>
      </c>
      <c r="L153" s="9">
        <f t="shared" si="178"/>
        <v>218250.46</v>
      </c>
      <c r="M153" s="9">
        <f t="shared" si="178"/>
        <v>25698.719999999998</v>
      </c>
      <c r="N153" s="9">
        <f t="shared" si="178"/>
        <v>25034.710000000003</v>
      </c>
      <c r="O153" s="9">
        <f t="shared" si="178"/>
        <v>25226.97</v>
      </c>
      <c r="P153" s="9">
        <f t="shared" si="178"/>
        <v>59747.590000000011</v>
      </c>
      <c r="Q153" s="9">
        <f t="shared" si="178"/>
        <v>19674.52</v>
      </c>
      <c r="R153" s="9">
        <f t="shared" si="178"/>
        <v>34639.160000000003</v>
      </c>
      <c r="S153" s="9">
        <f t="shared" si="178"/>
        <v>28228.790000000005</v>
      </c>
      <c r="T153" s="9">
        <f t="shared" si="178"/>
        <v>15682.000000000004</v>
      </c>
      <c r="U153" s="9">
        <f t="shared" si="178"/>
        <v>0</v>
      </c>
      <c r="V153" s="9">
        <f t="shared" si="178"/>
        <v>1566.7</v>
      </c>
      <c r="W153" s="9">
        <f t="shared" si="178"/>
        <v>14115.300000000003</v>
      </c>
      <c r="X153" s="9">
        <f t="shared" si="178"/>
        <v>0</v>
      </c>
      <c r="Y153" s="9">
        <f t="shared" si="178"/>
        <v>0</v>
      </c>
      <c r="Z153" s="9">
        <f t="shared" si="178"/>
        <v>0</v>
      </c>
      <c r="AA153" s="9">
        <f t="shared" ref="AA153:AB153" si="179">AA49+AA101</f>
        <v>0</v>
      </c>
      <c r="AB153" s="9">
        <f t="shared" si="179"/>
        <v>0</v>
      </c>
      <c r="AC153" s="9">
        <f t="shared" ref="AC153" si="180">AC49+AC101</f>
        <v>0</v>
      </c>
    </row>
    <row r="154" spans="1:29">
      <c r="A154" s="252"/>
      <c r="B154" s="47" t="s">
        <v>136</v>
      </c>
      <c r="C154" s="9">
        <f t="shared" si="144"/>
        <v>710141.83000000007</v>
      </c>
      <c r="D154" s="9">
        <f t="shared" ref="D154:Z154" si="181">D50+D102</f>
        <v>0</v>
      </c>
      <c r="E154" s="9">
        <f t="shared" si="181"/>
        <v>132641.52000000011</v>
      </c>
      <c r="F154" s="9">
        <f t="shared" si="181"/>
        <v>437515.91</v>
      </c>
      <c r="G154" s="9">
        <f t="shared" si="181"/>
        <v>15712.56</v>
      </c>
      <c r="H154" s="9">
        <f t="shared" si="181"/>
        <v>13112.56</v>
      </c>
      <c r="I154" s="9">
        <f t="shared" si="181"/>
        <v>1100</v>
      </c>
      <c r="J154" s="9">
        <f t="shared" si="181"/>
        <v>1500</v>
      </c>
      <c r="K154" s="9">
        <f t="shared" si="181"/>
        <v>0</v>
      </c>
      <c r="L154" s="9">
        <f t="shared" si="181"/>
        <v>124271.84</v>
      </c>
      <c r="M154" s="9">
        <f t="shared" si="181"/>
        <v>0</v>
      </c>
      <c r="N154" s="9">
        <f t="shared" si="181"/>
        <v>0</v>
      </c>
      <c r="O154" s="9">
        <f t="shared" si="181"/>
        <v>0</v>
      </c>
      <c r="P154" s="9">
        <f t="shared" si="181"/>
        <v>0</v>
      </c>
      <c r="Q154" s="9">
        <f t="shared" si="181"/>
        <v>0</v>
      </c>
      <c r="R154" s="9">
        <f t="shared" si="181"/>
        <v>124271.84</v>
      </c>
      <c r="S154" s="9">
        <f t="shared" si="181"/>
        <v>0</v>
      </c>
      <c r="T154" s="9">
        <f t="shared" si="181"/>
        <v>0</v>
      </c>
      <c r="U154" s="9">
        <f t="shared" si="181"/>
        <v>0</v>
      </c>
      <c r="V154" s="9">
        <f t="shared" si="181"/>
        <v>0</v>
      </c>
      <c r="W154" s="9">
        <f t="shared" si="181"/>
        <v>0</v>
      </c>
      <c r="X154" s="9">
        <f t="shared" si="181"/>
        <v>0</v>
      </c>
      <c r="Y154" s="9">
        <f t="shared" si="181"/>
        <v>0</v>
      </c>
      <c r="Z154" s="9">
        <f t="shared" si="181"/>
        <v>0</v>
      </c>
      <c r="AA154" s="9">
        <f t="shared" ref="AA154:AB154" si="182">AA50+AA102</f>
        <v>0</v>
      </c>
      <c r="AB154" s="9">
        <f t="shared" si="182"/>
        <v>0</v>
      </c>
      <c r="AC154" s="9">
        <f t="shared" ref="AC154" si="183">AC50+AC102</f>
        <v>0</v>
      </c>
    </row>
    <row r="155" spans="1:29">
      <c r="A155" s="253"/>
      <c r="B155" s="57" t="s">
        <v>99</v>
      </c>
      <c r="C155" s="166">
        <f>SUM(C139:C154)</f>
        <v>88197636.950000003</v>
      </c>
      <c r="D155" s="166">
        <f>SUM(D139:D154)</f>
        <v>-7468801.2599999998</v>
      </c>
      <c r="E155" s="166">
        <f t="shared" ref="E155:U155" si="184">SUM(E139:E154)</f>
        <v>35034564.870000005</v>
      </c>
      <c r="F155" s="166">
        <f t="shared" si="184"/>
        <v>52129430.469999991</v>
      </c>
      <c r="G155" s="166">
        <f t="shared" si="184"/>
        <v>1051021.98</v>
      </c>
      <c r="H155" s="166">
        <f t="shared" ref="H155" si="185">SUM(H139:H154)</f>
        <v>41510.339999999997</v>
      </c>
      <c r="I155" s="166">
        <f t="shared" ref="I155:K155" si="186">SUM(I139:I154)</f>
        <v>51976.98</v>
      </c>
      <c r="J155" s="166">
        <f t="shared" si="186"/>
        <v>268175.44</v>
      </c>
      <c r="K155" s="166">
        <f t="shared" si="186"/>
        <v>689359.22</v>
      </c>
      <c r="L155" s="166">
        <f t="shared" si="184"/>
        <v>5920556.1699999999</v>
      </c>
      <c r="M155" s="166">
        <f t="shared" si="184"/>
        <v>414593.52999999997</v>
      </c>
      <c r="N155" s="166">
        <f t="shared" ref="N155:O155" si="187">SUM(N139:N154)</f>
        <v>337011.54000000004</v>
      </c>
      <c r="O155" s="166">
        <f t="shared" si="187"/>
        <v>326285.90000000002</v>
      </c>
      <c r="P155" s="166">
        <f t="shared" si="184"/>
        <v>449745.64</v>
      </c>
      <c r="Q155" s="166">
        <f t="shared" si="184"/>
        <v>289054.67000000004</v>
      </c>
      <c r="R155" s="166">
        <f t="shared" si="184"/>
        <v>519849.73</v>
      </c>
      <c r="S155" s="166">
        <f t="shared" si="184"/>
        <v>3584015.1599999997</v>
      </c>
      <c r="T155" s="166">
        <f t="shared" si="184"/>
        <v>1210510.8999999999</v>
      </c>
      <c r="U155" s="166">
        <f t="shared" si="184"/>
        <v>20091.810000000001</v>
      </c>
      <c r="V155" s="166">
        <f t="shared" ref="V155:W155" si="188">SUM(V139:V154)</f>
        <v>892553.57999999984</v>
      </c>
      <c r="W155" s="166">
        <f t="shared" si="188"/>
        <v>295819.63999999996</v>
      </c>
      <c r="X155" s="166">
        <f t="shared" ref="X155:Z155" si="189">SUM(X139:X154)</f>
        <v>40</v>
      </c>
      <c r="Y155" s="166">
        <f t="shared" si="189"/>
        <v>1876.87</v>
      </c>
      <c r="Z155" s="166">
        <f t="shared" si="189"/>
        <v>129</v>
      </c>
      <c r="AA155" s="166">
        <f t="shared" ref="AA155:AB155" si="190">SUM(AA139:AA154)</f>
        <v>0</v>
      </c>
      <c r="AB155" s="166">
        <f t="shared" si="190"/>
        <v>150122.33000000002</v>
      </c>
      <c r="AC155" s="166">
        <f t="shared" ref="AC155" si="191">SUM(AC139:AC154)</f>
        <v>170231.49</v>
      </c>
    </row>
    <row r="156" spans="1:29" ht="14.25" thickBot="1">
      <c r="A156" s="14"/>
      <c r="B156" s="59" t="s">
        <v>3</v>
      </c>
      <c r="C156" s="16">
        <f>C155+C138+C118+C124</f>
        <v>582663696.07999992</v>
      </c>
      <c r="D156" s="16">
        <f t="shared" ref="D156:Z156" si="192">D155+D138+D118+D124</f>
        <v>174072.60999999987</v>
      </c>
      <c r="E156" s="16">
        <f t="shared" si="192"/>
        <v>140574751.30999997</v>
      </c>
      <c r="F156" s="16">
        <f>F155+F138+F118+F124</f>
        <v>282279976.25000006</v>
      </c>
      <c r="G156" s="16">
        <f t="shared" si="192"/>
        <v>15543013.739999998</v>
      </c>
      <c r="H156" s="16">
        <f t="shared" si="192"/>
        <v>3952973.8899999992</v>
      </c>
      <c r="I156" s="16">
        <f t="shared" si="192"/>
        <v>2454625.67</v>
      </c>
      <c r="J156" s="16">
        <f t="shared" si="192"/>
        <v>3592392.8899999997</v>
      </c>
      <c r="K156" s="16">
        <f t="shared" si="192"/>
        <v>5543021.290000001</v>
      </c>
      <c r="L156" s="16">
        <f t="shared" si="192"/>
        <v>26479863.66</v>
      </c>
      <c r="M156" s="16">
        <f t="shared" si="192"/>
        <v>2646264.9299999997</v>
      </c>
      <c r="N156" s="16">
        <f t="shared" si="192"/>
        <v>3264974.1400000006</v>
      </c>
      <c r="O156" s="16">
        <f t="shared" si="192"/>
        <v>1432033.9600000002</v>
      </c>
      <c r="P156" s="16">
        <f t="shared" si="192"/>
        <v>6594640.4399999995</v>
      </c>
      <c r="Q156" s="16">
        <f t="shared" si="192"/>
        <v>2807691.26</v>
      </c>
      <c r="R156" s="16">
        <f t="shared" si="192"/>
        <v>3351375.1199999996</v>
      </c>
      <c r="S156" s="16">
        <f t="shared" si="192"/>
        <v>6382883.8099999996</v>
      </c>
      <c r="T156" s="16">
        <f t="shared" si="192"/>
        <v>105425837.78</v>
      </c>
      <c r="U156" s="16">
        <f t="shared" si="192"/>
        <v>10818898.439999999</v>
      </c>
      <c r="V156" s="16">
        <f t="shared" si="192"/>
        <v>72751696.269999996</v>
      </c>
      <c r="W156" s="16">
        <f t="shared" si="192"/>
        <v>19769175.579999998</v>
      </c>
      <c r="X156" s="16">
        <f t="shared" si="192"/>
        <v>434226.12</v>
      </c>
      <c r="Y156" s="16">
        <f t="shared" si="192"/>
        <v>1281549.01</v>
      </c>
      <c r="Z156" s="16">
        <f t="shared" si="192"/>
        <v>260886.71</v>
      </c>
      <c r="AA156" s="16">
        <f t="shared" ref="AA156:AB156" si="193">AA155+AA138+AA118+AA124</f>
        <v>109405.65</v>
      </c>
      <c r="AB156" s="16">
        <f t="shared" si="193"/>
        <v>6291822.5099999998</v>
      </c>
      <c r="AC156" s="16">
        <f t="shared" ref="AC156" si="194">AC155+AC138+AC118+AC124</f>
        <v>5894358.2199999997</v>
      </c>
    </row>
    <row r="157" spans="1:29">
      <c r="C157" s="167"/>
    </row>
    <row r="158" spans="1:29" s="146" customFormat="1" ht="12">
      <c r="B158" s="168" t="s">
        <v>58</v>
      </c>
      <c r="C158" s="168">
        <f>C156-累计利润调整表!B78</f>
        <v>0</v>
      </c>
      <c r="D158" s="146">
        <f>D156-累计利润调整表!C78</f>
        <v>0</v>
      </c>
      <c r="E158" s="146">
        <f>E156-累计利润调整表!D78</f>
        <v>0</v>
      </c>
      <c r="F158" s="146">
        <f>F156-累计利润调整表!E78</f>
        <v>0</v>
      </c>
      <c r="G158" s="146">
        <f>G156-累计利润调整表!F78</f>
        <v>0</v>
      </c>
      <c r="H158" s="146">
        <f>H156-累计利润调整表!G78</f>
        <v>0</v>
      </c>
      <c r="I158" s="146">
        <f>I156-累计利润调整表!H78</f>
        <v>0</v>
      </c>
      <c r="J158" s="146">
        <f>J156-累计利润调整表!I78</f>
        <v>0</v>
      </c>
      <c r="K158" s="146">
        <f>K156-累计利润调整表!J78</f>
        <v>0</v>
      </c>
      <c r="L158" s="146">
        <f>L156-累计利润调整表!K78</f>
        <v>0</v>
      </c>
      <c r="M158" s="146">
        <f>M156-累计利润调整表!L78</f>
        <v>0</v>
      </c>
      <c r="N158" s="146">
        <f>N156-累计利润调整表!M78</f>
        <v>0</v>
      </c>
      <c r="O158" s="146">
        <f>O156-累计利润调整表!N78</f>
        <v>0</v>
      </c>
      <c r="P158" s="146">
        <f>P156-累计利润调整表!O78</f>
        <v>0</v>
      </c>
      <c r="Q158" s="146">
        <f>Q156-累计利润调整表!P78</f>
        <v>0</v>
      </c>
      <c r="R158" s="146">
        <f>R156-累计利润调整表!Q78</f>
        <v>0</v>
      </c>
      <c r="S158" s="146">
        <f>S156-累计利润调整表!R78</f>
        <v>0</v>
      </c>
      <c r="T158" s="146">
        <f>T156-累计利润调整表!S78</f>
        <v>0</v>
      </c>
      <c r="U158" s="146">
        <f>U156-累计利润调整表!T78</f>
        <v>0</v>
      </c>
      <c r="V158" s="146">
        <f>V156-累计利润调整表!U78</f>
        <v>0</v>
      </c>
      <c r="W158" s="146">
        <f>W156-累计利润调整表!V78</f>
        <v>0</v>
      </c>
      <c r="X158" s="146">
        <f>X156-累计利润调整表!W78</f>
        <v>0</v>
      </c>
      <c r="Y158" s="146">
        <f>Y156-累计利润调整表!X78</f>
        <v>0</v>
      </c>
      <c r="Z158" s="146">
        <f>Z156-累计利润调整表!Y78</f>
        <v>0</v>
      </c>
      <c r="AA158" s="146">
        <f>AA156-累计利润调整表!Z78</f>
        <v>0</v>
      </c>
      <c r="AB158" s="146">
        <f>AB156-累计利润调整表!AA78</f>
        <v>0</v>
      </c>
      <c r="AC158" s="146">
        <f>AC156-累计利润调整表!AB78</f>
        <v>0</v>
      </c>
    </row>
    <row r="160" spans="1:29">
      <c r="T160" s="147"/>
      <c r="U160" s="147"/>
      <c r="V160" s="147"/>
    </row>
  </sheetData>
  <mergeCells count="12">
    <mergeCell ref="A4:A14"/>
    <mergeCell ref="A15:A20"/>
    <mergeCell ref="A21:A34"/>
    <mergeCell ref="A35:A51"/>
    <mergeCell ref="A56:A66"/>
    <mergeCell ref="A125:A138"/>
    <mergeCell ref="A139:A155"/>
    <mergeCell ref="A67:A72"/>
    <mergeCell ref="A73:A86"/>
    <mergeCell ref="A87:A103"/>
    <mergeCell ref="A108:A118"/>
    <mergeCell ref="A119:A124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7"/>
  <sheetViews>
    <sheetView tabSelected="1" topLeftCell="A60" zoomScale="90" zoomScaleNormal="90" workbookViewId="0">
      <selection activeCell="H99" sqref="H99"/>
    </sheetView>
  </sheetViews>
  <sheetFormatPr defaultColWidth="9" defaultRowHeight="16.5"/>
  <cols>
    <col min="1" max="1" width="6.875" style="69" customWidth="1"/>
    <col min="2" max="2" width="22.375" style="69" customWidth="1"/>
    <col min="3" max="3" width="16.875" style="70" customWidth="1"/>
    <col min="4" max="4" width="17" style="71" customWidth="1"/>
    <col min="5" max="5" width="17.125" style="71" customWidth="1"/>
    <col min="6" max="6" width="20.875" style="71" customWidth="1"/>
    <col min="7" max="7" width="17.375" style="71" customWidth="1"/>
    <col min="8" max="8" width="42" style="72" customWidth="1"/>
    <col min="9" max="9" width="27.625" style="73" customWidth="1"/>
    <col min="10" max="10" width="14" style="73" customWidth="1"/>
    <col min="11" max="11" width="14.625" style="73" customWidth="1"/>
    <col min="12" max="12" width="13.5" style="73" customWidth="1"/>
    <col min="13" max="15" width="14" style="73" customWidth="1"/>
    <col min="16" max="16" width="12.25" style="73" customWidth="1"/>
    <col min="17" max="19" width="9" style="73"/>
    <col min="20" max="20" width="15.125" style="73" customWidth="1"/>
    <col min="21" max="22" width="9" style="73"/>
    <col min="23" max="16384" width="9" style="71"/>
  </cols>
  <sheetData>
    <row r="1" spans="1:25" ht="21.75" hidden="1" customHeight="1">
      <c r="A1" s="71"/>
      <c r="B1" s="71"/>
      <c r="C1" s="74"/>
      <c r="H1" s="71"/>
      <c r="I1" s="73" t="s">
        <v>73</v>
      </c>
      <c r="K1" s="73" t="s">
        <v>4</v>
      </c>
      <c r="M1" s="73" t="s">
        <v>89</v>
      </c>
      <c r="N1" s="91"/>
      <c r="O1" s="91"/>
      <c r="R1" s="91"/>
      <c r="T1" s="73" t="s">
        <v>89</v>
      </c>
      <c r="U1" s="91">
        <f t="shared" ref="U1:U44" si="0">VLOOKUP(T1,$M$1:$Q$44,2,0)</f>
        <v>0</v>
      </c>
      <c r="V1" s="91">
        <v>0</v>
      </c>
      <c r="W1" s="73" t="s">
        <v>89</v>
      </c>
      <c r="X1" s="73" t="s">
        <v>138</v>
      </c>
      <c r="Y1" s="91">
        <f t="shared" ref="Y1:Y44" si="1">VLOOKUP(W1,$M$1:$O$44,3,0)</f>
        <v>0</v>
      </c>
    </row>
    <row r="2" spans="1:25" hidden="1">
      <c r="A2" s="71"/>
      <c r="B2" s="71"/>
      <c r="C2" s="74"/>
      <c r="H2" s="71"/>
      <c r="I2" s="73" t="s">
        <v>36</v>
      </c>
      <c r="K2" s="73" t="s">
        <v>5</v>
      </c>
      <c r="M2" s="73" t="s">
        <v>90</v>
      </c>
      <c r="N2" s="91"/>
      <c r="O2" s="91"/>
      <c r="R2" s="91"/>
      <c r="T2" s="73" t="s">
        <v>90</v>
      </c>
      <c r="U2" s="91">
        <f t="shared" si="0"/>
        <v>0</v>
      </c>
      <c r="V2" s="91">
        <v>0</v>
      </c>
      <c r="W2" s="73" t="s">
        <v>90</v>
      </c>
      <c r="X2" s="73" t="s">
        <v>138</v>
      </c>
      <c r="Y2" s="91">
        <f t="shared" si="1"/>
        <v>0</v>
      </c>
    </row>
    <row r="3" spans="1:25" hidden="1">
      <c r="A3" s="71"/>
      <c r="B3" s="71"/>
      <c r="C3" s="74"/>
      <c r="H3" s="71"/>
      <c r="I3" s="73" t="s">
        <v>37</v>
      </c>
      <c r="K3" s="73" t="s">
        <v>6</v>
      </c>
      <c r="M3" s="73" t="s">
        <v>91</v>
      </c>
      <c r="N3" s="91"/>
      <c r="O3" s="91"/>
      <c r="R3" s="91"/>
      <c r="T3" s="73" t="s">
        <v>91</v>
      </c>
      <c r="U3" s="91">
        <f t="shared" si="0"/>
        <v>0</v>
      </c>
      <c r="V3" s="91">
        <v>0</v>
      </c>
      <c r="W3" s="73" t="s">
        <v>91</v>
      </c>
      <c r="X3" s="73" t="s">
        <v>138</v>
      </c>
      <c r="Y3" s="91">
        <f t="shared" si="1"/>
        <v>0</v>
      </c>
    </row>
    <row r="4" spans="1:25" hidden="1">
      <c r="A4" s="71"/>
      <c r="B4" s="71"/>
      <c r="C4" s="74"/>
      <c r="H4" s="71"/>
      <c r="I4" s="73" t="s">
        <v>38</v>
      </c>
      <c r="K4" s="73" t="s">
        <v>8</v>
      </c>
      <c r="M4" s="73" t="s">
        <v>92</v>
      </c>
      <c r="N4" s="91"/>
      <c r="O4" s="91"/>
      <c r="R4" s="91"/>
      <c r="T4" s="73" t="s">
        <v>93</v>
      </c>
      <c r="U4" s="91">
        <f t="shared" si="0"/>
        <v>0</v>
      </c>
      <c r="V4" s="91">
        <v>0</v>
      </c>
      <c r="W4" s="73" t="s">
        <v>92</v>
      </c>
      <c r="X4" s="73" t="s">
        <v>138</v>
      </c>
      <c r="Y4" s="91">
        <f t="shared" si="1"/>
        <v>0</v>
      </c>
    </row>
    <row r="5" spans="1:25" hidden="1">
      <c r="A5" s="71"/>
      <c r="B5" s="71"/>
      <c r="C5" s="74"/>
      <c r="H5" s="71"/>
      <c r="I5" s="73" t="s">
        <v>74</v>
      </c>
      <c r="K5" s="73" t="s">
        <v>13</v>
      </c>
      <c r="M5" s="73" t="s">
        <v>93</v>
      </c>
      <c r="N5" s="91"/>
      <c r="O5" s="91"/>
      <c r="R5" s="91"/>
      <c r="T5" s="73" t="s">
        <v>94</v>
      </c>
      <c r="U5" s="91">
        <f t="shared" si="0"/>
        <v>0</v>
      </c>
      <c r="V5" s="91">
        <v>0</v>
      </c>
      <c r="W5" s="73" t="s">
        <v>93</v>
      </c>
      <c r="X5" s="73" t="s">
        <v>138</v>
      </c>
      <c r="Y5" s="91">
        <f t="shared" si="1"/>
        <v>0</v>
      </c>
    </row>
    <row r="6" spans="1:25" hidden="1">
      <c r="A6" s="71"/>
      <c r="B6" s="71"/>
      <c r="C6" s="74"/>
      <c r="H6" s="71"/>
      <c r="I6" s="73" t="s">
        <v>40</v>
      </c>
      <c r="K6" s="73" t="s">
        <v>16</v>
      </c>
      <c r="M6" s="73" t="s">
        <v>94</v>
      </c>
      <c r="N6" s="91"/>
      <c r="O6" s="91"/>
      <c r="R6" s="91"/>
      <c r="T6" s="73" t="s">
        <v>95</v>
      </c>
      <c r="U6" s="91">
        <f t="shared" si="0"/>
        <v>0</v>
      </c>
      <c r="V6" s="91">
        <v>0</v>
      </c>
      <c r="W6" s="73" t="s">
        <v>94</v>
      </c>
      <c r="X6" s="73" t="s">
        <v>138</v>
      </c>
      <c r="Y6" s="91">
        <f t="shared" si="1"/>
        <v>0</v>
      </c>
    </row>
    <row r="7" spans="1:25" hidden="1">
      <c r="A7" s="71"/>
      <c r="B7" s="71"/>
      <c r="C7" s="74"/>
      <c r="H7" s="71"/>
      <c r="I7" s="73" t="s">
        <v>42</v>
      </c>
      <c r="K7" s="73" t="s">
        <v>491</v>
      </c>
      <c r="M7" s="73" t="s">
        <v>95</v>
      </c>
      <c r="N7" s="91"/>
      <c r="O7" s="91"/>
      <c r="R7" s="91"/>
      <c r="T7" s="73" t="s">
        <v>96</v>
      </c>
      <c r="U7" s="91">
        <f t="shared" si="0"/>
        <v>0</v>
      </c>
      <c r="V7" s="91">
        <v>0</v>
      </c>
      <c r="W7" s="73" t="s">
        <v>95</v>
      </c>
      <c r="X7" s="73" t="s">
        <v>138</v>
      </c>
      <c r="Y7" s="91">
        <f t="shared" si="1"/>
        <v>0</v>
      </c>
    </row>
    <row r="8" spans="1:25" hidden="1">
      <c r="A8" s="71"/>
      <c r="B8" s="71"/>
      <c r="C8" s="74"/>
      <c r="H8" s="71"/>
      <c r="I8" s="73" t="s">
        <v>76</v>
      </c>
      <c r="K8" s="73" t="s">
        <v>68</v>
      </c>
      <c r="M8" s="73" t="s">
        <v>96</v>
      </c>
      <c r="N8" s="91"/>
      <c r="O8" s="91"/>
      <c r="R8" s="91"/>
      <c r="T8" s="73" t="s">
        <v>139</v>
      </c>
      <c r="U8" s="91" t="e">
        <f t="shared" si="0"/>
        <v>#N/A</v>
      </c>
      <c r="V8" s="91">
        <v>0</v>
      </c>
      <c r="W8" s="73" t="s">
        <v>96</v>
      </c>
      <c r="X8" s="73" t="s">
        <v>138</v>
      </c>
      <c r="Y8" s="91">
        <f t="shared" si="1"/>
        <v>0</v>
      </c>
    </row>
    <row r="9" spans="1:25" hidden="1">
      <c r="A9" s="71"/>
      <c r="B9" s="71"/>
      <c r="C9" s="74"/>
      <c r="H9" s="71"/>
      <c r="I9" s="73" t="s">
        <v>77</v>
      </c>
      <c r="K9" s="73" t="s">
        <v>19</v>
      </c>
      <c r="M9" s="73" t="s">
        <v>97</v>
      </c>
      <c r="N9" s="91"/>
      <c r="O9" s="91"/>
      <c r="R9" s="91"/>
      <c r="T9" s="73" t="s">
        <v>98</v>
      </c>
      <c r="U9" s="91">
        <f t="shared" si="0"/>
        <v>0</v>
      </c>
      <c r="V9" s="91">
        <v>0</v>
      </c>
      <c r="W9" s="73" t="s">
        <v>97</v>
      </c>
      <c r="X9" s="73" t="s">
        <v>138</v>
      </c>
      <c r="Y9" s="91">
        <f t="shared" si="1"/>
        <v>0</v>
      </c>
    </row>
    <row r="10" spans="1:25" hidden="1">
      <c r="A10" s="71"/>
      <c r="B10" s="71"/>
      <c r="C10" s="74"/>
      <c r="H10" s="71"/>
      <c r="I10" s="73" t="s">
        <v>78</v>
      </c>
      <c r="K10" s="73" t="s">
        <v>11</v>
      </c>
      <c r="M10" s="73" t="s">
        <v>98</v>
      </c>
      <c r="N10" s="91"/>
      <c r="O10" s="91"/>
      <c r="R10" s="91"/>
      <c r="T10" s="73" t="s">
        <v>101</v>
      </c>
      <c r="U10" s="91">
        <f t="shared" si="0"/>
        <v>0</v>
      </c>
      <c r="V10" s="91">
        <v>0</v>
      </c>
      <c r="W10" s="73" t="s">
        <v>98</v>
      </c>
      <c r="X10" s="73" t="s">
        <v>138</v>
      </c>
      <c r="Y10" s="91">
        <f t="shared" si="1"/>
        <v>0</v>
      </c>
    </row>
    <row r="11" spans="1:25" hidden="1">
      <c r="A11" s="71"/>
      <c r="B11" s="71"/>
      <c r="C11" s="74"/>
      <c r="H11" s="71"/>
      <c r="I11" s="73" t="s">
        <v>79</v>
      </c>
      <c r="K11" s="73" t="s">
        <v>21</v>
      </c>
      <c r="M11" s="73" t="s">
        <v>101</v>
      </c>
      <c r="N11" s="91"/>
      <c r="O11" s="91"/>
      <c r="R11" s="91"/>
      <c r="T11" s="73" t="s">
        <v>140</v>
      </c>
      <c r="U11" s="91" t="e">
        <f t="shared" si="0"/>
        <v>#N/A</v>
      </c>
      <c r="V11" s="91">
        <v>0</v>
      </c>
      <c r="W11" s="73" t="s">
        <v>101</v>
      </c>
      <c r="X11" s="73" t="s">
        <v>138</v>
      </c>
      <c r="Y11" s="91">
        <f t="shared" si="1"/>
        <v>0</v>
      </c>
    </row>
    <row r="12" spans="1:25" hidden="1">
      <c r="A12" s="71"/>
      <c r="B12" s="71"/>
      <c r="C12" s="74"/>
      <c r="H12" s="71"/>
      <c r="I12" s="73" t="s">
        <v>80</v>
      </c>
      <c r="K12" s="73" t="s">
        <v>71</v>
      </c>
      <c r="M12" s="73" t="s">
        <v>102</v>
      </c>
      <c r="N12" s="91"/>
      <c r="O12" s="91"/>
      <c r="R12" s="91"/>
      <c r="T12" s="73" t="s">
        <v>103</v>
      </c>
      <c r="U12" s="91">
        <f t="shared" si="0"/>
        <v>0</v>
      </c>
      <c r="V12" s="91">
        <v>0</v>
      </c>
      <c r="W12" s="73" t="s">
        <v>102</v>
      </c>
      <c r="X12" s="73" t="s">
        <v>138</v>
      </c>
      <c r="Y12" s="91">
        <f t="shared" si="1"/>
        <v>0</v>
      </c>
    </row>
    <row r="13" spans="1:25" hidden="1">
      <c r="A13" s="71"/>
      <c r="B13" s="71"/>
      <c r="C13" s="74"/>
      <c r="H13" s="71"/>
      <c r="I13" s="73" t="s">
        <v>81</v>
      </c>
      <c r="K13" s="73" t="s">
        <v>22</v>
      </c>
      <c r="M13" s="73" t="s">
        <v>103</v>
      </c>
      <c r="N13" s="91"/>
      <c r="O13" s="91"/>
      <c r="R13" s="91"/>
      <c r="T13" s="73" t="s">
        <v>105</v>
      </c>
      <c r="U13" s="91">
        <f t="shared" si="0"/>
        <v>0</v>
      </c>
      <c r="V13" s="91">
        <v>0</v>
      </c>
      <c r="W13" s="73" t="s">
        <v>103</v>
      </c>
      <c r="X13" s="73" t="s">
        <v>138</v>
      </c>
      <c r="Y13" s="91">
        <f t="shared" si="1"/>
        <v>0</v>
      </c>
    </row>
    <row r="14" spans="1:25" hidden="1">
      <c r="A14" s="71"/>
      <c r="B14" s="71"/>
      <c r="C14" s="74"/>
      <c r="H14" s="71"/>
      <c r="I14" s="73" t="s">
        <v>82</v>
      </c>
      <c r="K14" s="73" t="s">
        <v>23</v>
      </c>
      <c r="M14" s="73" t="s">
        <v>104</v>
      </c>
      <c r="N14" s="91"/>
      <c r="O14" s="91"/>
      <c r="R14" s="91"/>
      <c r="T14" s="73" t="s">
        <v>107</v>
      </c>
      <c r="U14" s="91">
        <f t="shared" si="0"/>
        <v>0</v>
      </c>
      <c r="V14" s="91">
        <v>0</v>
      </c>
      <c r="W14" s="73" t="s">
        <v>104</v>
      </c>
      <c r="X14" s="73" t="s">
        <v>138</v>
      </c>
      <c r="Y14" s="91">
        <f t="shared" si="1"/>
        <v>0</v>
      </c>
    </row>
    <row r="15" spans="1:25" hidden="1">
      <c r="A15" s="71"/>
      <c r="B15" s="71"/>
      <c r="C15" s="74"/>
      <c r="H15" s="71"/>
      <c r="I15" s="73" t="s">
        <v>83</v>
      </c>
      <c r="K15" s="73" t="s">
        <v>27</v>
      </c>
      <c r="M15" s="73" t="s">
        <v>105</v>
      </c>
      <c r="N15" s="91"/>
      <c r="O15" s="91"/>
      <c r="R15" s="91"/>
      <c r="T15" s="73" t="s">
        <v>108</v>
      </c>
      <c r="U15" s="91">
        <f t="shared" si="0"/>
        <v>0</v>
      </c>
      <c r="V15" s="91">
        <v>0</v>
      </c>
      <c r="W15" s="73" t="s">
        <v>105</v>
      </c>
      <c r="X15" s="73" t="s">
        <v>138</v>
      </c>
      <c r="Y15" s="91">
        <f t="shared" si="1"/>
        <v>0</v>
      </c>
    </row>
    <row r="16" spans="1:25" hidden="1">
      <c r="I16" s="73" t="s">
        <v>84</v>
      </c>
      <c r="K16" s="73" t="s">
        <v>29</v>
      </c>
      <c r="M16" s="73" t="s">
        <v>107</v>
      </c>
      <c r="N16" s="91"/>
      <c r="O16" s="91"/>
      <c r="R16" s="91"/>
      <c r="T16" s="73" t="s">
        <v>121</v>
      </c>
      <c r="U16" s="91">
        <f t="shared" si="0"/>
        <v>0</v>
      </c>
      <c r="V16" s="91">
        <v>0</v>
      </c>
      <c r="W16" s="73" t="s">
        <v>107</v>
      </c>
      <c r="X16" s="73" t="s">
        <v>138</v>
      </c>
      <c r="Y16" s="91">
        <f t="shared" si="1"/>
        <v>0</v>
      </c>
    </row>
    <row r="17" spans="9:25" hidden="1">
      <c r="I17" s="73" t="s">
        <v>56</v>
      </c>
      <c r="K17" s="73" t="s">
        <v>30</v>
      </c>
      <c r="M17" s="73" t="s">
        <v>108</v>
      </c>
      <c r="N17" s="91"/>
      <c r="O17" s="91"/>
      <c r="R17" s="91"/>
      <c r="T17" s="73" t="s">
        <v>122</v>
      </c>
      <c r="U17" s="91">
        <f t="shared" si="0"/>
        <v>0</v>
      </c>
      <c r="V17" s="91">
        <v>0</v>
      </c>
      <c r="W17" s="73" t="s">
        <v>108</v>
      </c>
      <c r="X17" s="73" t="s">
        <v>138</v>
      </c>
      <c r="Y17" s="91">
        <f t="shared" si="1"/>
        <v>0</v>
      </c>
    </row>
    <row r="18" spans="9:25" hidden="1">
      <c r="K18" s="73" t="s">
        <v>31</v>
      </c>
      <c r="M18" s="73" t="s">
        <v>109</v>
      </c>
      <c r="N18" s="91"/>
      <c r="O18" s="91"/>
      <c r="R18" s="91"/>
      <c r="T18" s="73" t="s">
        <v>109</v>
      </c>
      <c r="U18" s="91">
        <f t="shared" si="0"/>
        <v>0</v>
      </c>
      <c r="V18" s="91">
        <v>0</v>
      </c>
      <c r="W18" s="73" t="s">
        <v>109</v>
      </c>
      <c r="X18" s="73" t="s">
        <v>138</v>
      </c>
      <c r="Y18" s="91">
        <f t="shared" si="1"/>
        <v>0</v>
      </c>
    </row>
    <row r="19" spans="9:25" hidden="1">
      <c r="K19" s="73" t="s">
        <v>15</v>
      </c>
      <c r="M19" s="73" t="s">
        <v>110</v>
      </c>
      <c r="N19" s="91"/>
      <c r="O19" s="91"/>
      <c r="R19" s="91"/>
      <c r="T19" s="73" t="s">
        <v>110</v>
      </c>
      <c r="U19" s="91">
        <f t="shared" si="0"/>
        <v>0</v>
      </c>
      <c r="V19" s="91">
        <v>0</v>
      </c>
      <c r="W19" s="73" t="s">
        <v>110</v>
      </c>
      <c r="X19" s="73" t="s">
        <v>138</v>
      </c>
      <c r="Y19" s="91">
        <f t="shared" si="1"/>
        <v>0</v>
      </c>
    </row>
    <row r="20" spans="9:25" hidden="1">
      <c r="K20" s="73" t="s">
        <v>17</v>
      </c>
      <c r="M20" s="73" t="s">
        <v>111</v>
      </c>
      <c r="N20" s="91"/>
      <c r="O20" s="91"/>
      <c r="R20" s="91"/>
      <c r="T20" s="73" t="s">
        <v>92</v>
      </c>
      <c r="U20" s="91">
        <f t="shared" si="0"/>
        <v>0</v>
      </c>
      <c r="V20" s="91">
        <v>0</v>
      </c>
      <c r="W20" s="73" t="s">
        <v>111</v>
      </c>
      <c r="X20" s="73" t="s">
        <v>138</v>
      </c>
      <c r="Y20" s="91">
        <f t="shared" si="1"/>
        <v>0</v>
      </c>
    </row>
    <row r="21" spans="9:25" hidden="1">
      <c r="K21" s="73" t="s">
        <v>32</v>
      </c>
      <c r="M21" s="73" t="s">
        <v>112</v>
      </c>
      <c r="N21" s="91"/>
      <c r="O21" s="91"/>
      <c r="R21" s="91"/>
      <c r="T21" s="73" t="s">
        <v>123</v>
      </c>
      <c r="U21" s="91">
        <f t="shared" si="0"/>
        <v>0</v>
      </c>
      <c r="V21" s="91">
        <v>0</v>
      </c>
      <c r="W21" s="73" t="s">
        <v>112</v>
      </c>
      <c r="X21" s="73" t="s">
        <v>138</v>
      </c>
      <c r="Y21" s="91">
        <f t="shared" si="1"/>
        <v>0</v>
      </c>
    </row>
    <row r="22" spans="9:25" hidden="1">
      <c r="K22" s="73" t="s">
        <v>9</v>
      </c>
      <c r="M22" s="73" t="s">
        <v>113</v>
      </c>
      <c r="N22" s="91"/>
      <c r="O22" s="91"/>
      <c r="R22" s="91"/>
      <c r="T22" s="73" t="s">
        <v>111</v>
      </c>
      <c r="U22" s="91">
        <f t="shared" si="0"/>
        <v>0</v>
      </c>
      <c r="V22" s="91">
        <v>0</v>
      </c>
      <c r="W22" s="73" t="s">
        <v>113</v>
      </c>
      <c r="X22" s="73" t="s">
        <v>138</v>
      </c>
      <c r="Y22" s="91">
        <f t="shared" si="1"/>
        <v>0</v>
      </c>
    </row>
    <row r="23" spans="9:25" hidden="1">
      <c r="K23" s="73" t="s">
        <v>10</v>
      </c>
      <c r="M23" s="73" t="s">
        <v>114</v>
      </c>
      <c r="N23" s="91"/>
      <c r="O23" s="91"/>
      <c r="R23" s="91"/>
      <c r="T23" s="73" t="s">
        <v>118</v>
      </c>
      <c r="U23" s="91">
        <f t="shared" si="0"/>
        <v>0</v>
      </c>
      <c r="V23" s="91">
        <v>0</v>
      </c>
      <c r="W23" s="73" t="s">
        <v>114</v>
      </c>
      <c r="X23" s="73" t="s">
        <v>138</v>
      </c>
      <c r="Y23" s="91">
        <f t="shared" si="1"/>
        <v>0</v>
      </c>
    </row>
    <row r="24" spans="9:25" hidden="1">
      <c r="K24" s="73" t="s">
        <v>11</v>
      </c>
      <c r="M24" s="73" t="s">
        <v>115</v>
      </c>
      <c r="N24" s="91"/>
      <c r="O24" s="91"/>
      <c r="R24" s="91"/>
      <c r="T24" s="73" t="s">
        <v>112</v>
      </c>
      <c r="U24" s="91">
        <f t="shared" si="0"/>
        <v>0</v>
      </c>
      <c r="V24" s="91">
        <v>0</v>
      </c>
      <c r="W24" s="73" t="s">
        <v>115</v>
      </c>
      <c r="X24" s="73" t="s">
        <v>138</v>
      </c>
      <c r="Y24" s="91">
        <f t="shared" si="1"/>
        <v>0</v>
      </c>
    </row>
    <row r="25" spans="9:25" hidden="1">
      <c r="K25" s="73" t="s">
        <v>14</v>
      </c>
      <c r="M25" s="73" t="s">
        <v>116</v>
      </c>
      <c r="N25" s="91"/>
      <c r="O25" s="91"/>
      <c r="R25" s="91"/>
      <c r="T25" s="73" t="s">
        <v>124</v>
      </c>
      <c r="U25" s="91">
        <f t="shared" si="0"/>
        <v>0</v>
      </c>
      <c r="V25" s="91">
        <v>0</v>
      </c>
      <c r="W25" s="73" t="s">
        <v>116</v>
      </c>
      <c r="X25" s="73" t="s">
        <v>138</v>
      </c>
      <c r="Y25" s="91">
        <f t="shared" si="1"/>
        <v>0</v>
      </c>
    </row>
    <row r="26" spans="9:25" hidden="1">
      <c r="K26" s="73" t="s">
        <v>25</v>
      </c>
      <c r="M26" s="73" t="s">
        <v>117</v>
      </c>
      <c r="N26" s="91"/>
      <c r="O26" s="91"/>
      <c r="R26" s="91"/>
      <c r="T26" s="73" t="s">
        <v>113</v>
      </c>
      <c r="U26" s="91">
        <f t="shared" si="0"/>
        <v>0</v>
      </c>
      <c r="V26" s="91">
        <v>0</v>
      </c>
      <c r="W26" s="73" t="s">
        <v>117</v>
      </c>
      <c r="X26" s="73" t="s">
        <v>138</v>
      </c>
      <c r="Y26" s="91">
        <f t="shared" si="1"/>
        <v>0</v>
      </c>
    </row>
    <row r="27" spans="9:25" hidden="1">
      <c r="K27" s="73" t="s">
        <v>26</v>
      </c>
      <c r="M27" s="73" t="s">
        <v>118</v>
      </c>
      <c r="N27" s="91"/>
      <c r="O27" s="91"/>
      <c r="R27" s="91"/>
      <c r="T27" s="73" t="s">
        <v>114</v>
      </c>
      <c r="U27" s="91">
        <f t="shared" si="0"/>
        <v>0</v>
      </c>
      <c r="V27" s="91">
        <v>0</v>
      </c>
      <c r="W27" s="73" t="s">
        <v>118</v>
      </c>
      <c r="X27" s="73" t="s">
        <v>138</v>
      </c>
      <c r="Y27" s="91">
        <f t="shared" si="1"/>
        <v>0</v>
      </c>
    </row>
    <row r="28" spans="9:25" hidden="1">
      <c r="K28" s="73" t="s">
        <v>500</v>
      </c>
      <c r="M28" s="73" t="s">
        <v>119</v>
      </c>
      <c r="N28" s="91"/>
      <c r="O28" s="91"/>
      <c r="R28" s="91"/>
      <c r="T28" s="73" t="s">
        <v>117</v>
      </c>
      <c r="U28" s="91">
        <f t="shared" si="0"/>
        <v>0</v>
      </c>
      <c r="V28" s="91">
        <v>0</v>
      </c>
      <c r="W28" s="73" t="s">
        <v>119</v>
      </c>
      <c r="X28" s="73" t="s">
        <v>138</v>
      </c>
      <c r="Y28" s="91">
        <f t="shared" si="1"/>
        <v>0</v>
      </c>
    </row>
    <row r="29" spans="9:25" hidden="1">
      <c r="K29" s="73" t="s">
        <v>506</v>
      </c>
      <c r="M29" s="73" t="s">
        <v>121</v>
      </c>
      <c r="N29" s="91"/>
      <c r="O29" s="91"/>
      <c r="R29" s="91"/>
      <c r="T29" s="73" t="s">
        <v>125</v>
      </c>
      <c r="U29" s="91">
        <f t="shared" si="0"/>
        <v>0</v>
      </c>
      <c r="V29" s="91">
        <v>0</v>
      </c>
      <c r="W29" s="73" t="s">
        <v>121</v>
      </c>
      <c r="X29" s="73" t="s">
        <v>138</v>
      </c>
      <c r="Y29" s="91">
        <f t="shared" si="1"/>
        <v>0</v>
      </c>
    </row>
    <row r="30" spans="9:25" hidden="1">
      <c r="M30" s="73" t="s">
        <v>122</v>
      </c>
      <c r="N30" s="91"/>
      <c r="O30" s="91"/>
      <c r="R30" s="91"/>
      <c r="T30" s="73" t="s">
        <v>126</v>
      </c>
      <c r="U30" s="91">
        <f t="shared" si="0"/>
        <v>0</v>
      </c>
      <c r="V30" s="91">
        <v>0</v>
      </c>
      <c r="W30" s="73" t="s">
        <v>122</v>
      </c>
      <c r="X30" s="73" t="s">
        <v>138</v>
      </c>
      <c r="Y30" s="91">
        <f t="shared" si="1"/>
        <v>0</v>
      </c>
    </row>
    <row r="31" spans="9:25" hidden="1">
      <c r="M31" s="73" t="s">
        <v>123</v>
      </c>
      <c r="N31" s="91"/>
      <c r="O31" s="91"/>
      <c r="R31" s="91"/>
      <c r="T31" s="73" t="s">
        <v>115</v>
      </c>
      <c r="U31" s="91">
        <f t="shared" si="0"/>
        <v>0</v>
      </c>
      <c r="V31" s="91">
        <v>0</v>
      </c>
      <c r="W31" s="73" t="s">
        <v>123</v>
      </c>
      <c r="X31" s="73" t="s">
        <v>138</v>
      </c>
      <c r="Y31" s="91">
        <f t="shared" si="1"/>
        <v>0</v>
      </c>
    </row>
    <row r="32" spans="9:25" hidden="1">
      <c r="M32" s="73" t="s">
        <v>124</v>
      </c>
      <c r="N32" s="91"/>
      <c r="O32" s="91"/>
      <c r="R32" s="91"/>
      <c r="T32" s="73" t="s">
        <v>116</v>
      </c>
      <c r="U32" s="91">
        <f t="shared" si="0"/>
        <v>0</v>
      </c>
      <c r="V32" s="91">
        <v>0</v>
      </c>
      <c r="W32" s="73" t="s">
        <v>124</v>
      </c>
      <c r="X32" s="73" t="s">
        <v>138</v>
      </c>
      <c r="Y32" s="91">
        <f t="shared" si="1"/>
        <v>0</v>
      </c>
    </row>
    <row r="33" spans="1:25" hidden="1">
      <c r="M33" s="73" t="s">
        <v>125</v>
      </c>
      <c r="N33" s="91"/>
      <c r="O33" s="91"/>
      <c r="R33" s="91"/>
      <c r="T33" s="73" t="s">
        <v>127</v>
      </c>
      <c r="U33" s="91">
        <f t="shared" si="0"/>
        <v>0</v>
      </c>
      <c r="V33" s="91">
        <v>0</v>
      </c>
      <c r="W33" s="73" t="s">
        <v>125</v>
      </c>
      <c r="X33" s="73" t="s">
        <v>138</v>
      </c>
      <c r="Y33" s="91">
        <f t="shared" si="1"/>
        <v>0</v>
      </c>
    </row>
    <row r="34" spans="1:25" hidden="1">
      <c r="M34" s="73" t="s">
        <v>126</v>
      </c>
      <c r="N34" s="91"/>
      <c r="O34" s="91"/>
      <c r="R34" s="91"/>
      <c r="T34" s="73" t="s">
        <v>104</v>
      </c>
      <c r="U34" s="91">
        <f t="shared" si="0"/>
        <v>0</v>
      </c>
      <c r="V34" s="91">
        <v>0</v>
      </c>
      <c r="W34" s="73" t="s">
        <v>126</v>
      </c>
      <c r="X34" s="73" t="s">
        <v>138</v>
      </c>
      <c r="Y34" s="91">
        <f t="shared" si="1"/>
        <v>0</v>
      </c>
    </row>
    <row r="35" spans="1:25" hidden="1">
      <c r="M35" s="73" t="s">
        <v>127</v>
      </c>
      <c r="N35" s="91"/>
      <c r="O35" s="91"/>
      <c r="R35" s="91"/>
      <c r="T35" s="73" t="s">
        <v>128</v>
      </c>
      <c r="U35" s="91">
        <f t="shared" si="0"/>
        <v>0</v>
      </c>
      <c r="V35" s="91">
        <v>0</v>
      </c>
      <c r="W35" s="73" t="s">
        <v>127</v>
      </c>
      <c r="X35" s="73" t="s">
        <v>138</v>
      </c>
      <c r="Y35" s="91">
        <f t="shared" si="1"/>
        <v>0</v>
      </c>
    </row>
    <row r="36" spans="1:25" hidden="1">
      <c r="M36" s="73" t="s">
        <v>128</v>
      </c>
      <c r="N36" s="91"/>
      <c r="O36" s="91"/>
      <c r="R36" s="91"/>
      <c r="T36" s="73" t="s">
        <v>129</v>
      </c>
      <c r="U36" s="91">
        <f t="shared" si="0"/>
        <v>0</v>
      </c>
      <c r="V36" s="91">
        <v>0</v>
      </c>
      <c r="W36" s="73" t="s">
        <v>128</v>
      </c>
      <c r="X36" s="73" t="s">
        <v>138</v>
      </c>
      <c r="Y36" s="91">
        <f t="shared" si="1"/>
        <v>0</v>
      </c>
    </row>
    <row r="37" spans="1:25" hidden="1">
      <c r="M37" s="73" t="s">
        <v>129</v>
      </c>
      <c r="N37" s="91"/>
      <c r="O37" s="91"/>
      <c r="R37" s="91"/>
      <c r="T37" s="73" t="s">
        <v>141</v>
      </c>
      <c r="U37" s="91" t="e">
        <f t="shared" si="0"/>
        <v>#N/A</v>
      </c>
      <c r="V37" s="91">
        <v>0</v>
      </c>
      <c r="W37" s="73" t="s">
        <v>129</v>
      </c>
      <c r="X37" s="73" t="s">
        <v>138</v>
      </c>
      <c r="Y37" s="91">
        <f t="shared" si="1"/>
        <v>0</v>
      </c>
    </row>
    <row r="38" spans="1:25" hidden="1">
      <c r="M38" s="73" t="s">
        <v>130</v>
      </c>
      <c r="N38" s="91"/>
      <c r="O38" s="91"/>
      <c r="R38" s="91"/>
      <c r="T38" s="73" t="s">
        <v>130</v>
      </c>
      <c r="U38" s="91">
        <f t="shared" si="0"/>
        <v>0</v>
      </c>
      <c r="V38" s="91">
        <v>0</v>
      </c>
      <c r="W38" s="73" t="s">
        <v>130</v>
      </c>
      <c r="X38" s="73" t="s">
        <v>138</v>
      </c>
      <c r="Y38" s="91">
        <f t="shared" si="1"/>
        <v>0</v>
      </c>
    </row>
    <row r="39" spans="1:25" hidden="1">
      <c r="M39" s="73" t="s">
        <v>131</v>
      </c>
      <c r="N39" s="91"/>
      <c r="O39" s="91"/>
      <c r="R39" s="91"/>
      <c r="T39" s="73" t="s">
        <v>131</v>
      </c>
      <c r="U39" s="91">
        <f t="shared" si="0"/>
        <v>0</v>
      </c>
      <c r="V39" s="91">
        <v>0</v>
      </c>
      <c r="W39" s="73" t="s">
        <v>131</v>
      </c>
      <c r="X39" s="73" t="s">
        <v>138</v>
      </c>
      <c r="Y39" s="91">
        <f t="shared" si="1"/>
        <v>0</v>
      </c>
    </row>
    <row r="40" spans="1:25" hidden="1">
      <c r="M40" s="73" t="s">
        <v>132</v>
      </c>
      <c r="N40" s="91"/>
      <c r="O40" s="91"/>
      <c r="R40" s="91"/>
      <c r="T40" s="73" t="s">
        <v>132</v>
      </c>
      <c r="U40" s="91">
        <f t="shared" si="0"/>
        <v>0</v>
      </c>
      <c r="V40" s="91">
        <v>0</v>
      </c>
      <c r="W40" s="73" t="s">
        <v>132</v>
      </c>
      <c r="X40" s="73" t="s">
        <v>138</v>
      </c>
      <c r="Y40" s="91">
        <f t="shared" si="1"/>
        <v>0</v>
      </c>
    </row>
    <row r="41" spans="1:25" hidden="1">
      <c r="C41" s="75"/>
      <c r="M41" s="73" t="s">
        <v>133</v>
      </c>
      <c r="N41" s="91"/>
      <c r="O41" s="91"/>
      <c r="R41" s="91"/>
      <c r="T41" s="73" t="s">
        <v>133</v>
      </c>
      <c r="U41" s="91">
        <f t="shared" si="0"/>
        <v>0</v>
      </c>
      <c r="V41" s="91">
        <v>0</v>
      </c>
      <c r="W41" s="73" t="s">
        <v>133</v>
      </c>
      <c r="X41" s="73" t="s">
        <v>138</v>
      </c>
      <c r="Y41" s="91">
        <f t="shared" si="1"/>
        <v>0</v>
      </c>
    </row>
    <row r="42" spans="1:25" hidden="1">
      <c r="M42" s="73" t="s">
        <v>134</v>
      </c>
      <c r="N42" s="91"/>
      <c r="O42" s="91"/>
      <c r="R42" s="91"/>
      <c r="T42" s="73" t="s">
        <v>134</v>
      </c>
      <c r="U42" s="91">
        <f t="shared" si="0"/>
        <v>0</v>
      </c>
      <c r="V42" s="91">
        <v>0</v>
      </c>
      <c r="W42" s="73" t="s">
        <v>134</v>
      </c>
      <c r="X42" s="73" t="s">
        <v>138</v>
      </c>
      <c r="Y42" s="91">
        <f t="shared" si="1"/>
        <v>0</v>
      </c>
    </row>
    <row r="43" spans="1:25" hidden="1">
      <c r="M43" s="73" t="s">
        <v>135</v>
      </c>
      <c r="N43" s="91"/>
      <c r="O43" s="91"/>
      <c r="R43" s="91"/>
      <c r="T43" s="73" t="s">
        <v>135</v>
      </c>
      <c r="U43" s="91">
        <f t="shared" si="0"/>
        <v>0</v>
      </c>
      <c r="V43" s="91">
        <v>0</v>
      </c>
      <c r="W43" s="73" t="s">
        <v>135</v>
      </c>
      <c r="X43" s="73" t="s">
        <v>138</v>
      </c>
      <c r="Y43" s="91">
        <f t="shared" si="1"/>
        <v>0</v>
      </c>
    </row>
    <row r="44" spans="1:25" hidden="1">
      <c r="M44" s="73" t="s">
        <v>136</v>
      </c>
      <c r="N44" s="91"/>
      <c r="O44" s="91"/>
      <c r="R44" s="91"/>
      <c r="T44" s="73" t="s">
        <v>142</v>
      </c>
      <c r="U44" s="91" t="e">
        <f t="shared" si="0"/>
        <v>#N/A</v>
      </c>
      <c r="V44" s="91">
        <v>0</v>
      </c>
      <c r="W44" s="73" t="s">
        <v>136</v>
      </c>
      <c r="X44" s="73" t="s">
        <v>138</v>
      </c>
      <c r="Y44" s="91">
        <f t="shared" si="1"/>
        <v>0</v>
      </c>
    </row>
    <row r="45" spans="1:25" ht="17.25">
      <c r="A45" s="76"/>
      <c r="B45" s="76"/>
      <c r="C45" s="77"/>
      <c r="D45" s="76"/>
      <c r="E45" s="76"/>
      <c r="F45" s="76"/>
      <c r="G45" s="76"/>
      <c r="H45" s="76"/>
    </row>
    <row r="46" spans="1:25">
      <c r="A46" s="78"/>
      <c r="B46" s="78"/>
      <c r="C46" s="79"/>
      <c r="D46" s="68"/>
      <c r="E46" s="73"/>
      <c r="F46" s="73"/>
      <c r="G46" s="73"/>
      <c r="H46" s="73" t="s">
        <v>1</v>
      </c>
    </row>
    <row r="47" spans="1:25">
      <c r="A47" s="78"/>
      <c r="B47" s="78"/>
      <c r="C47" s="79"/>
      <c r="D47" s="68"/>
      <c r="E47" s="73"/>
      <c r="F47" s="73"/>
      <c r="G47" s="73"/>
      <c r="H47" s="73"/>
    </row>
    <row r="48" spans="1:25" ht="21" thickBot="1">
      <c r="A48" s="260" t="s">
        <v>490</v>
      </c>
      <c r="B48" s="260"/>
      <c r="C48" s="260"/>
      <c r="D48" s="260"/>
      <c r="E48" s="260"/>
      <c r="F48" s="260"/>
      <c r="G48" s="260"/>
      <c r="H48" s="260"/>
      <c r="I48" s="260"/>
    </row>
    <row r="49" spans="1:22">
      <c r="A49" s="80" t="s">
        <v>143</v>
      </c>
      <c r="B49" s="80" t="s">
        <v>2</v>
      </c>
      <c r="C49" s="80" t="s">
        <v>144</v>
      </c>
      <c r="D49" s="80" t="s">
        <v>145</v>
      </c>
      <c r="E49" s="80" t="s">
        <v>146</v>
      </c>
      <c r="F49" s="81" t="s">
        <v>147</v>
      </c>
      <c r="G49" s="81" t="s">
        <v>148</v>
      </c>
      <c r="H49" s="81" t="s">
        <v>149</v>
      </c>
      <c r="I49" s="81" t="s">
        <v>150</v>
      </c>
    </row>
    <row r="50" spans="1:22">
      <c r="A50" s="82"/>
      <c r="B50" s="82" t="s">
        <v>151</v>
      </c>
      <c r="C50" s="83"/>
      <c r="D50" s="84"/>
      <c r="E50" s="84"/>
      <c r="F50" s="85"/>
      <c r="G50" s="85"/>
      <c r="H50" s="85"/>
      <c r="I50" s="85"/>
    </row>
    <row r="51" spans="1:22">
      <c r="A51" s="82"/>
      <c r="B51" s="82" t="s">
        <v>152</v>
      </c>
      <c r="C51" s="86">
        <f>SUM(C52:C104)</f>
        <v>39971857.741251558</v>
      </c>
      <c r="D51" s="86"/>
      <c r="E51" s="86">
        <f>SUM(E52:E104)</f>
        <v>-39971857.741251558</v>
      </c>
      <c r="F51" s="85"/>
      <c r="G51" s="85"/>
      <c r="H51" s="85"/>
      <c r="I51" s="85"/>
    </row>
    <row r="52" spans="1:22" s="265" customFormat="1">
      <c r="A52" s="261" t="s">
        <v>138</v>
      </c>
      <c r="B52" s="261" t="s">
        <v>74</v>
      </c>
      <c r="C52" s="262">
        <f>-6487303.85</f>
        <v>-6487303.8499999996</v>
      </c>
      <c r="D52" s="263" t="s">
        <v>509</v>
      </c>
      <c r="E52" s="263">
        <f t="shared" ref="E52:E77" si="2">-C52</f>
        <v>6487303.8499999996</v>
      </c>
      <c r="F52" s="263" t="s">
        <v>5</v>
      </c>
      <c r="G52" s="263"/>
      <c r="H52" s="263" t="s">
        <v>153</v>
      </c>
      <c r="I52" s="263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</row>
    <row r="53" spans="1:22" s="265" customFormat="1">
      <c r="A53" s="261" t="s">
        <v>154</v>
      </c>
      <c r="B53" s="261" t="s">
        <v>36</v>
      </c>
      <c r="C53" s="262">
        <f>-1272436.05/1.06</f>
        <v>-1200411.3679245282</v>
      </c>
      <c r="D53" s="263" t="s">
        <v>6</v>
      </c>
      <c r="E53" s="263">
        <f t="shared" si="2"/>
        <v>1200411.3679245282</v>
      </c>
      <c r="F53" s="263" t="s">
        <v>14</v>
      </c>
      <c r="G53" s="263"/>
      <c r="H53" s="263" t="s">
        <v>523</v>
      </c>
      <c r="I53" s="263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</row>
    <row r="54" spans="1:22" s="265" customFormat="1">
      <c r="A54" s="261" t="s">
        <v>155</v>
      </c>
      <c r="B54" s="261" t="s">
        <v>42</v>
      </c>
      <c r="C54" s="262">
        <v>6189228.1200000001</v>
      </c>
      <c r="D54" s="263" t="s">
        <v>16</v>
      </c>
      <c r="E54" s="263">
        <f t="shared" si="2"/>
        <v>-6189228.1200000001</v>
      </c>
      <c r="F54" s="263" t="s">
        <v>13</v>
      </c>
      <c r="G54" s="263"/>
      <c r="H54" s="263" t="s">
        <v>156</v>
      </c>
      <c r="I54" s="263" t="s">
        <v>157</v>
      </c>
      <c r="J54" s="266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</row>
    <row r="55" spans="1:22" s="265" customFormat="1">
      <c r="A55" s="261" t="s">
        <v>158</v>
      </c>
      <c r="B55" s="261" t="s">
        <v>42</v>
      </c>
      <c r="C55" s="262">
        <v>2391186.86</v>
      </c>
      <c r="D55" s="263" t="s">
        <v>16</v>
      </c>
      <c r="E55" s="263">
        <f t="shared" si="2"/>
        <v>-2391186.86</v>
      </c>
      <c r="F55" s="263" t="s">
        <v>414</v>
      </c>
      <c r="G55" s="263"/>
      <c r="H55" s="263" t="s">
        <v>159</v>
      </c>
      <c r="I55" s="263" t="s">
        <v>157</v>
      </c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</row>
    <row r="56" spans="1:22" s="265" customFormat="1">
      <c r="A56" s="261" t="s">
        <v>160</v>
      </c>
      <c r="B56" s="261" t="s">
        <v>42</v>
      </c>
      <c r="C56" s="262">
        <v>6187398.5</v>
      </c>
      <c r="D56" s="263" t="s">
        <v>16</v>
      </c>
      <c r="E56" s="263">
        <f t="shared" si="2"/>
        <v>-6187398.5</v>
      </c>
      <c r="F56" s="263" t="s">
        <v>11</v>
      </c>
      <c r="G56" s="263"/>
      <c r="H56" s="263" t="s">
        <v>492</v>
      </c>
      <c r="I56" s="263" t="s">
        <v>157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</row>
    <row r="57" spans="1:22" s="265" customFormat="1">
      <c r="A57" s="261" t="s">
        <v>161</v>
      </c>
      <c r="B57" s="261" t="s">
        <v>40</v>
      </c>
      <c r="C57" s="262">
        <v>81551.59</v>
      </c>
      <c r="D57" s="263" t="s">
        <v>16</v>
      </c>
      <c r="E57" s="263">
        <f t="shared" si="2"/>
        <v>-81551.59</v>
      </c>
      <c r="F57" s="263" t="s">
        <v>13</v>
      </c>
      <c r="G57" s="263"/>
      <c r="H57" s="263" t="s">
        <v>162</v>
      </c>
      <c r="I57" s="263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</row>
    <row r="58" spans="1:22" s="265" customFormat="1">
      <c r="A58" s="261" t="s">
        <v>163</v>
      </c>
      <c r="B58" s="261" t="s">
        <v>42</v>
      </c>
      <c r="C58" s="262">
        <v>-171035.29</v>
      </c>
      <c r="D58" s="263" t="s">
        <v>16</v>
      </c>
      <c r="E58" s="263">
        <f t="shared" si="2"/>
        <v>171035.29</v>
      </c>
      <c r="F58" s="263" t="s">
        <v>13</v>
      </c>
      <c r="G58" s="263"/>
      <c r="H58" s="263" t="s">
        <v>164</v>
      </c>
      <c r="I58" s="263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</row>
    <row r="59" spans="1:22" s="265" customFormat="1">
      <c r="A59" s="261" t="s">
        <v>168</v>
      </c>
      <c r="B59" s="261" t="s">
        <v>37</v>
      </c>
      <c r="C59" s="262">
        <v>-1182641.51</v>
      </c>
      <c r="D59" s="263" t="s">
        <v>21</v>
      </c>
      <c r="E59" s="263">
        <f t="shared" si="2"/>
        <v>1182641.51</v>
      </c>
      <c r="F59" s="263" t="s">
        <v>6</v>
      </c>
      <c r="G59" s="263"/>
      <c r="H59" s="263" t="s">
        <v>524</v>
      </c>
      <c r="I59" s="263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</row>
    <row r="60" spans="1:22" s="265" customFormat="1">
      <c r="A60" s="261" t="s">
        <v>169</v>
      </c>
      <c r="B60" s="261" t="s">
        <v>40</v>
      </c>
      <c r="C60" s="262">
        <f>112500+150000+155000+390916.67+155400+562500</f>
        <v>1526316.67</v>
      </c>
      <c r="D60" s="263" t="s">
        <v>14</v>
      </c>
      <c r="E60" s="263">
        <f t="shared" si="2"/>
        <v>-1526316.67</v>
      </c>
      <c r="F60" s="263" t="s">
        <v>4</v>
      </c>
      <c r="G60" s="263"/>
      <c r="H60" s="263" t="s">
        <v>510</v>
      </c>
      <c r="I60" s="263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</row>
    <row r="61" spans="1:22" s="265" customFormat="1">
      <c r="A61" s="261" t="s">
        <v>170</v>
      </c>
      <c r="B61" s="261" t="s">
        <v>40</v>
      </c>
      <c r="C61" s="262">
        <f>-412631.027-507822.35-403223.28-495178.2-1031069.14-360429.77-423301.89-479477.29-329112.68-209523.29</f>
        <v>-4651768.9170000004</v>
      </c>
      <c r="D61" s="263" t="s">
        <v>14</v>
      </c>
      <c r="E61" s="263">
        <f t="shared" si="2"/>
        <v>4651768.9170000004</v>
      </c>
      <c r="F61" s="263" t="s">
        <v>5</v>
      </c>
      <c r="G61" s="263"/>
      <c r="H61" s="263" t="s">
        <v>171</v>
      </c>
      <c r="I61" s="263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</row>
    <row r="62" spans="1:22" s="265" customFormat="1">
      <c r="A62" s="261" t="s">
        <v>172</v>
      </c>
      <c r="B62" s="261" t="s">
        <v>42</v>
      </c>
      <c r="C62" s="262">
        <f>5724835.61+4772399.01-6299727.59+8188280.69-18249500-2741400.97-1294007.32+62474.59+5088138.58-3409303.57-1854850</f>
        <v>-10012660.969999999</v>
      </c>
      <c r="D62" s="263" t="s">
        <v>14</v>
      </c>
      <c r="E62" s="263">
        <f t="shared" si="2"/>
        <v>10012660.969999999</v>
      </c>
      <c r="F62" s="263" t="s">
        <v>4</v>
      </c>
      <c r="G62" s="263"/>
      <c r="H62" s="263" t="s">
        <v>173</v>
      </c>
      <c r="I62" s="263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</row>
    <row r="63" spans="1:22" s="265" customFormat="1">
      <c r="A63" s="261" t="s">
        <v>174</v>
      </c>
      <c r="B63" s="261" t="s">
        <v>77</v>
      </c>
      <c r="C63" s="262">
        <v>1046767.35</v>
      </c>
      <c r="D63" s="263" t="s">
        <v>6</v>
      </c>
      <c r="E63" s="263">
        <f t="shared" si="2"/>
        <v>-1046767.35</v>
      </c>
      <c r="F63" s="263" t="s">
        <v>4</v>
      </c>
      <c r="G63" s="263"/>
      <c r="H63" s="267" t="s">
        <v>496</v>
      </c>
      <c r="I63" s="263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</row>
    <row r="64" spans="1:22" s="265" customFormat="1">
      <c r="A64" s="261" t="s">
        <v>175</v>
      </c>
      <c r="B64" s="261" t="s">
        <v>74</v>
      </c>
      <c r="C64" s="262">
        <v>20461170.229999989</v>
      </c>
      <c r="D64" s="263" t="s">
        <v>6</v>
      </c>
      <c r="E64" s="263">
        <f t="shared" si="2"/>
        <v>-20461170.229999989</v>
      </c>
      <c r="F64" s="263" t="s">
        <v>5</v>
      </c>
      <c r="G64" s="263"/>
      <c r="H64" s="263" t="s">
        <v>176</v>
      </c>
      <c r="I64" s="263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</row>
    <row r="65" spans="1:22" s="265" customFormat="1">
      <c r="A65" s="261" t="s">
        <v>177</v>
      </c>
      <c r="B65" s="261" t="s">
        <v>74</v>
      </c>
      <c r="C65" s="262">
        <v>2968888.89</v>
      </c>
      <c r="D65" s="263" t="s">
        <v>22</v>
      </c>
      <c r="E65" s="263">
        <f t="shared" si="2"/>
        <v>-2968888.89</v>
      </c>
      <c r="F65" s="263" t="s">
        <v>5</v>
      </c>
      <c r="G65" s="263"/>
      <c r="H65" s="263" t="s">
        <v>178</v>
      </c>
      <c r="I65" s="263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</row>
    <row r="66" spans="1:22" s="265" customFormat="1">
      <c r="A66" s="261" t="s">
        <v>179</v>
      </c>
      <c r="B66" s="261" t="s">
        <v>74</v>
      </c>
      <c r="C66" s="262">
        <v>160666.66666666669</v>
      </c>
      <c r="D66" s="263" t="s">
        <v>23</v>
      </c>
      <c r="E66" s="263">
        <f t="shared" si="2"/>
        <v>-160666.66666666669</v>
      </c>
      <c r="F66" s="263" t="s">
        <v>5</v>
      </c>
      <c r="G66" s="263"/>
      <c r="H66" s="263" t="s">
        <v>180</v>
      </c>
      <c r="I66" s="263"/>
      <c r="J66" s="264"/>
      <c r="K66" s="268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</row>
    <row r="67" spans="1:22" s="265" customFormat="1">
      <c r="A67" s="261" t="s">
        <v>183</v>
      </c>
      <c r="B67" s="263" t="s">
        <v>74</v>
      </c>
      <c r="C67" s="262">
        <v>-273781.44</v>
      </c>
      <c r="D67" s="263" t="s">
        <v>11</v>
      </c>
      <c r="E67" s="263">
        <f t="shared" si="2"/>
        <v>273781.44</v>
      </c>
      <c r="F67" s="263" t="s">
        <v>5</v>
      </c>
      <c r="G67" s="263"/>
      <c r="H67" s="263" t="s">
        <v>514</v>
      </c>
      <c r="I67" s="263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</row>
    <row r="68" spans="1:22" s="265" customFormat="1">
      <c r="A68" s="261" t="s">
        <v>184</v>
      </c>
      <c r="B68" s="263" t="s">
        <v>40</v>
      </c>
      <c r="C68" s="262">
        <v>-1008115.98</v>
      </c>
      <c r="D68" s="263" t="s">
        <v>13</v>
      </c>
      <c r="E68" s="263">
        <f t="shared" si="2"/>
        <v>1008115.98</v>
      </c>
      <c r="F68" s="263" t="s">
        <v>5</v>
      </c>
      <c r="G68" s="263"/>
      <c r="H68" s="267" t="s">
        <v>185</v>
      </c>
      <c r="I68" s="263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</row>
    <row r="69" spans="1:22" s="265" customFormat="1">
      <c r="A69" s="261" t="s">
        <v>186</v>
      </c>
      <c r="B69" s="263" t="s">
        <v>37</v>
      </c>
      <c r="C69" s="262">
        <v>2628820.7599999998</v>
      </c>
      <c r="D69" s="263" t="s">
        <v>6</v>
      </c>
      <c r="E69" s="263">
        <f t="shared" si="2"/>
        <v>-2628820.7599999998</v>
      </c>
      <c r="F69" s="263" t="s">
        <v>4</v>
      </c>
      <c r="G69" s="263"/>
      <c r="H69" s="269" t="s">
        <v>497</v>
      </c>
      <c r="I69" s="263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</row>
    <row r="70" spans="1:22" s="265" customFormat="1">
      <c r="A70" s="261" t="s">
        <v>187</v>
      </c>
      <c r="B70" s="269" t="s">
        <v>74</v>
      </c>
      <c r="C70" s="262">
        <v>-100997.03</v>
      </c>
      <c r="D70" s="269" t="s">
        <v>414</v>
      </c>
      <c r="E70" s="269">
        <f t="shared" si="2"/>
        <v>100997.03</v>
      </c>
      <c r="F70" s="269" t="s">
        <v>5</v>
      </c>
      <c r="G70" s="269"/>
      <c r="H70" s="269" t="s">
        <v>188</v>
      </c>
      <c r="I70" s="263"/>
      <c r="J70" s="270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</row>
    <row r="71" spans="1:22" s="265" customFormat="1">
      <c r="A71" s="261" t="s">
        <v>189</v>
      </c>
      <c r="B71" s="263" t="s">
        <v>77</v>
      </c>
      <c r="C71" s="262">
        <v>2255335.6800000002</v>
      </c>
      <c r="D71" s="263" t="s">
        <v>6</v>
      </c>
      <c r="E71" s="263">
        <f t="shared" si="2"/>
        <v>-2255335.6800000002</v>
      </c>
      <c r="F71" s="263" t="s">
        <v>4</v>
      </c>
      <c r="G71" s="263"/>
      <c r="H71" s="263" t="s">
        <v>495</v>
      </c>
      <c r="I71" s="263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</row>
    <row r="72" spans="1:22" s="265" customFormat="1">
      <c r="A72" s="261" t="s">
        <v>190</v>
      </c>
      <c r="B72" s="263" t="s">
        <v>37</v>
      </c>
      <c r="C72" s="262">
        <v>566037.73</v>
      </c>
      <c r="D72" s="263" t="s">
        <v>22</v>
      </c>
      <c r="E72" s="263">
        <f t="shared" si="2"/>
        <v>-566037.73</v>
      </c>
      <c r="F72" s="271" t="s">
        <v>27</v>
      </c>
      <c r="G72" s="271"/>
      <c r="H72" s="263" t="s">
        <v>547</v>
      </c>
      <c r="I72" s="271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</row>
    <row r="73" spans="1:22" s="265" customFormat="1">
      <c r="A73" s="261" t="s">
        <v>190</v>
      </c>
      <c r="B73" s="263" t="s">
        <v>37</v>
      </c>
      <c r="C73" s="262"/>
      <c r="D73" s="263" t="s">
        <v>23</v>
      </c>
      <c r="E73" s="263">
        <f t="shared" si="2"/>
        <v>0</v>
      </c>
      <c r="F73" s="271" t="s">
        <v>27</v>
      </c>
      <c r="G73" s="271"/>
      <c r="H73" s="263"/>
      <c r="I73" s="271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</row>
    <row r="74" spans="1:22" s="265" customFormat="1" ht="18.75" customHeight="1">
      <c r="A74" s="261" t="s">
        <v>191</v>
      </c>
      <c r="B74" s="263" t="s">
        <v>38</v>
      </c>
      <c r="C74" s="262">
        <f>-644032.1</f>
        <v>-644032.1</v>
      </c>
      <c r="D74" s="263" t="s">
        <v>10</v>
      </c>
      <c r="E74" s="263">
        <f t="shared" si="2"/>
        <v>644032.1</v>
      </c>
      <c r="F74" s="271" t="s">
        <v>6</v>
      </c>
      <c r="G74" s="271"/>
      <c r="H74" s="263" t="s">
        <v>192</v>
      </c>
      <c r="I74" s="272" t="s">
        <v>193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</row>
    <row r="75" spans="1:22" s="265" customFormat="1">
      <c r="A75" s="261" t="s">
        <v>194</v>
      </c>
      <c r="B75" s="261" t="s">
        <v>38</v>
      </c>
      <c r="C75" s="262">
        <v>-387613.01886792498</v>
      </c>
      <c r="D75" s="263" t="s">
        <v>8</v>
      </c>
      <c r="E75" s="263">
        <f t="shared" si="2"/>
        <v>387613.01886792498</v>
      </c>
      <c r="F75" s="263" t="s">
        <v>6</v>
      </c>
      <c r="G75" s="263"/>
      <c r="H75" s="263" t="s">
        <v>195</v>
      </c>
      <c r="I75" s="263" t="s">
        <v>196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</row>
    <row r="76" spans="1:22" s="265" customFormat="1">
      <c r="A76" s="261" t="s">
        <v>197</v>
      </c>
      <c r="B76" s="263" t="s">
        <v>38</v>
      </c>
      <c r="C76" s="262">
        <v>-1575985.55</v>
      </c>
      <c r="D76" s="263" t="s">
        <v>8</v>
      </c>
      <c r="E76" s="263">
        <f t="shared" si="2"/>
        <v>1575985.55</v>
      </c>
      <c r="F76" s="271" t="s">
        <v>4</v>
      </c>
      <c r="G76" s="271"/>
      <c r="H76" s="263" t="s">
        <v>198</v>
      </c>
      <c r="I76" s="271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</row>
    <row r="77" spans="1:22" s="265" customFormat="1">
      <c r="A77" s="261" t="s">
        <v>181</v>
      </c>
      <c r="B77" s="263" t="s">
        <v>40</v>
      </c>
      <c r="C77" s="262">
        <v>1575985.55</v>
      </c>
      <c r="D77" s="263" t="s">
        <v>8</v>
      </c>
      <c r="E77" s="263">
        <f t="shared" si="2"/>
        <v>-1575985.55</v>
      </c>
      <c r="F77" s="263" t="s">
        <v>4</v>
      </c>
      <c r="G77" s="263"/>
      <c r="H77" s="263" t="s">
        <v>182</v>
      </c>
      <c r="I77" s="263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</row>
    <row r="78" spans="1:22" s="265" customFormat="1">
      <c r="A78" s="261" t="s">
        <v>201</v>
      </c>
      <c r="B78" s="263" t="s">
        <v>38</v>
      </c>
      <c r="C78" s="262">
        <f>-358490.57</f>
        <v>-358490.57</v>
      </c>
      <c r="D78" s="263" t="s">
        <v>8</v>
      </c>
      <c r="E78" s="263">
        <f t="shared" ref="E78:E84" si="3">-C78</f>
        <v>358490.57</v>
      </c>
      <c r="F78" s="263" t="s">
        <v>22</v>
      </c>
      <c r="G78" s="263"/>
      <c r="H78" s="263" t="s">
        <v>537</v>
      </c>
      <c r="I78" s="263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</row>
    <row r="79" spans="1:22" s="265" customFormat="1">
      <c r="A79" s="261" t="s">
        <v>202</v>
      </c>
      <c r="B79" s="261" t="s">
        <v>42</v>
      </c>
      <c r="C79" s="262">
        <f>-28488.35</f>
        <v>-28488.35</v>
      </c>
      <c r="D79" s="263" t="s">
        <v>17</v>
      </c>
      <c r="E79" s="263">
        <f t="shared" si="3"/>
        <v>28488.35</v>
      </c>
      <c r="F79" s="263" t="s">
        <v>21</v>
      </c>
      <c r="G79" s="263"/>
      <c r="H79" s="263" t="s">
        <v>203</v>
      </c>
      <c r="I79" s="263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</row>
    <row r="80" spans="1:22" s="265" customFormat="1">
      <c r="A80" s="261" t="s">
        <v>204</v>
      </c>
      <c r="B80" s="261" t="s">
        <v>40</v>
      </c>
      <c r="C80" s="262">
        <v>74686.820000000007</v>
      </c>
      <c r="D80" s="263" t="s">
        <v>17</v>
      </c>
      <c r="E80" s="263">
        <f t="shared" si="3"/>
        <v>-74686.820000000007</v>
      </c>
      <c r="F80" s="263" t="s">
        <v>21</v>
      </c>
      <c r="G80" s="263"/>
      <c r="H80" s="263" t="s">
        <v>203</v>
      </c>
      <c r="I80" s="263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</row>
    <row r="81" spans="1:22" s="265" customFormat="1">
      <c r="A81" s="261" t="s">
        <v>206</v>
      </c>
      <c r="B81" s="261" t="s">
        <v>42</v>
      </c>
      <c r="C81" s="262">
        <v>1280910.8999999999</v>
      </c>
      <c r="D81" s="263" t="s">
        <v>13</v>
      </c>
      <c r="E81" s="263">
        <f t="shared" si="3"/>
        <v>-1280910.8999999999</v>
      </c>
      <c r="F81" s="263" t="s">
        <v>15</v>
      </c>
      <c r="G81" s="263"/>
      <c r="H81" s="273" t="s">
        <v>207</v>
      </c>
      <c r="I81" s="263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</row>
    <row r="82" spans="1:22" s="265" customFormat="1">
      <c r="A82" s="261" t="s">
        <v>208</v>
      </c>
      <c r="B82" s="261" t="s">
        <v>38</v>
      </c>
      <c r="C82" s="262">
        <v>-2054954.6</v>
      </c>
      <c r="D82" s="263" t="s">
        <v>10</v>
      </c>
      <c r="E82" s="263">
        <f t="shared" si="3"/>
        <v>2054954.6</v>
      </c>
      <c r="F82" s="263" t="s">
        <v>15</v>
      </c>
      <c r="G82" s="263"/>
      <c r="H82" s="263" t="s">
        <v>209</v>
      </c>
      <c r="I82" s="263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</row>
    <row r="83" spans="1:22" s="265" customFormat="1">
      <c r="A83" s="261" t="s">
        <v>210</v>
      </c>
      <c r="B83" s="261" t="s">
        <v>38</v>
      </c>
      <c r="C83" s="274">
        <v>-3759.94</v>
      </c>
      <c r="D83" s="263" t="s">
        <v>10</v>
      </c>
      <c r="E83" s="263">
        <f t="shared" si="3"/>
        <v>3759.94</v>
      </c>
      <c r="F83" s="263" t="s">
        <v>15</v>
      </c>
      <c r="G83" s="263"/>
      <c r="H83" s="269" t="s">
        <v>512</v>
      </c>
      <c r="I83" s="263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</row>
    <row r="84" spans="1:22" s="265" customFormat="1">
      <c r="A84" s="261" t="s">
        <v>211</v>
      </c>
      <c r="B84" s="261" t="s">
        <v>38</v>
      </c>
      <c r="C84" s="262">
        <v>-107289.83</v>
      </c>
      <c r="D84" s="263" t="s">
        <v>10</v>
      </c>
      <c r="E84" s="263">
        <f t="shared" si="3"/>
        <v>107289.83</v>
      </c>
      <c r="F84" s="263" t="s">
        <v>15</v>
      </c>
      <c r="G84" s="263"/>
      <c r="H84" s="263" t="s">
        <v>212</v>
      </c>
      <c r="I84" s="263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</row>
    <row r="85" spans="1:22" s="265" customFormat="1">
      <c r="A85" s="261" t="s">
        <v>213</v>
      </c>
      <c r="B85" s="263" t="s">
        <v>38</v>
      </c>
      <c r="C85" s="275">
        <f>-13392.88</f>
        <v>-13392.88</v>
      </c>
      <c r="D85" s="263" t="s">
        <v>10</v>
      </c>
      <c r="E85" s="263">
        <f>-C85</f>
        <v>13392.88</v>
      </c>
      <c r="F85" s="263" t="s">
        <v>15</v>
      </c>
      <c r="G85" s="271"/>
      <c r="H85" s="263" t="s">
        <v>513</v>
      </c>
      <c r="I85" s="271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</row>
    <row r="86" spans="1:22" s="265" customFormat="1">
      <c r="A86" s="261"/>
      <c r="B86" s="263" t="s">
        <v>42</v>
      </c>
      <c r="C86" s="276"/>
      <c r="D86" s="263"/>
      <c r="E86" s="263"/>
      <c r="F86" s="271"/>
      <c r="G86" s="271"/>
      <c r="H86" s="271"/>
      <c r="I86" s="271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</row>
    <row r="87" spans="1:22" s="265" customFormat="1">
      <c r="A87" s="261" t="s">
        <v>215</v>
      </c>
      <c r="B87" s="263" t="s">
        <v>38</v>
      </c>
      <c r="C87" s="262">
        <f>-(540000-80000)/1.06</f>
        <v>-433962.26415094337</v>
      </c>
      <c r="D87" s="263" t="s">
        <v>8</v>
      </c>
      <c r="E87" s="263">
        <f t="shared" ref="E87:E102" si="4">-C87</f>
        <v>433962.26415094337</v>
      </c>
      <c r="F87" s="271" t="s">
        <v>6</v>
      </c>
      <c r="G87" s="271"/>
      <c r="H87" s="271" t="s">
        <v>216</v>
      </c>
      <c r="I87" s="271" t="s">
        <v>217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</row>
    <row r="88" spans="1:22" s="265" customFormat="1">
      <c r="A88" s="261" t="s">
        <v>218</v>
      </c>
      <c r="B88" s="261" t="s">
        <v>38</v>
      </c>
      <c r="C88" s="263">
        <f>-(71707.72+36247.86)*0.9</f>
        <v>-97160.021999999997</v>
      </c>
      <c r="D88" s="263" t="s">
        <v>8</v>
      </c>
      <c r="E88" s="263">
        <f t="shared" si="4"/>
        <v>97160.021999999997</v>
      </c>
      <c r="F88" s="263" t="s">
        <v>6</v>
      </c>
      <c r="G88" s="263"/>
      <c r="H88" s="263" t="s">
        <v>219</v>
      </c>
      <c r="I88" s="263" t="s">
        <v>220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</row>
    <row r="89" spans="1:22" s="265" customFormat="1">
      <c r="A89" s="261" t="s">
        <v>221</v>
      </c>
      <c r="B89" s="261" t="s">
        <v>38</v>
      </c>
      <c r="C89" s="263">
        <f>-(241666.67-20000+370555.56-20000+370555.56-20000)/1.06</f>
        <v>-870545.08490566036</v>
      </c>
      <c r="D89" s="263" t="s">
        <v>8</v>
      </c>
      <c r="E89" s="263">
        <f t="shared" si="4"/>
        <v>870545.08490566036</v>
      </c>
      <c r="F89" s="263" t="s">
        <v>6</v>
      </c>
      <c r="G89" s="263"/>
      <c r="H89" s="263" t="s">
        <v>222</v>
      </c>
      <c r="I89" s="263" t="s">
        <v>223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</row>
    <row r="90" spans="1:22" s="265" customFormat="1">
      <c r="A90" s="261" t="s">
        <v>224</v>
      </c>
      <c r="B90" s="261" t="s">
        <v>38</v>
      </c>
      <c r="C90" s="262">
        <v>-115761.179245283</v>
      </c>
      <c r="D90" s="263" t="s">
        <v>8</v>
      </c>
      <c r="E90" s="263">
        <f t="shared" si="4"/>
        <v>115761.179245283</v>
      </c>
      <c r="F90" s="263" t="s">
        <v>6</v>
      </c>
      <c r="G90" s="263"/>
      <c r="H90" s="263" t="s">
        <v>225</v>
      </c>
      <c r="I90" s="263" t="s">
        <v>226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</row>
    <row r="91" spans="1:22" s="265" customFormat="1">
      <c r="A91" s="261" t="s">
        <v>228</v>
      </c>
      <c r="B91" s="261" t="s">
        <v>37</v>
      </c>
      <c r="C91" s="262">
        <v>-1235974.8400000001</v>
      </c>
      <c r="D91" s="263" t="s">
        <v>21</v>
      </c>
      <c r="E91" s="263">
        <f t="shared" si="4"/>
        <v>1235974.8400000001</v>
      </c>
      <c r="F91" s="271" t="s">
        <v>4</v>
      </c>
      <c r="G91" s="271"/>
      <c r="H91" s="277" t="s">
        <v>167</v>
      </c>
      <c r="I91" s="271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</row>
    <row r="92" spans="1:22" s="265" customFormat="1">
      <c r="A92" s="261" t="s">
        <v>229</v>
      </c>
      <c r="B92" s="261" t="s">
        <v>37</v>
      </c>
      <c r="C92" s="262">
        <v>-47169.81</v>
      </c>
      <c r="D92" s="263" t="s">
        <v>23</v>
      </c>
      <c r="E92" s="263">
        <f t="shared" si="4"/>
        <v>47169.81</v>
      </c>
      <c r="F92" s="271" t="s">
        <v>4</v>
      </c>
      <c r="G92" s="271"/>
      <c r="H92" s="277" t="s">
        <v>167</v>
      </c>
      <c r="I92" s="271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</row>
    <row r="93" spans="1:22" s="265" customFormat="1">
      <c r="A93" s="261" t="s">
        <v>230</v>
      </c>
      <c r="B93" s="261" t="s">
        <v>40</v>
      </c>
      <c r="C93" s="262">
        <v>6817860.8300000001</v>
      </c>
      <c r="D93" s="263" t="s">
        <v>16</v>
      </c>
      <c r="E93" s="263">
        <f t="shared" si="4"/>
        <v>-6817860.8300000001</v>
      </c>
      <c r="F93" s="263" t="s">
        <v>11</v>
      </c>
      <c r="G93" s="271"/>
      <c r="H93" s="263" t="s">
        <v>231</v>
      </c>
      <c r="I93" s="271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</row>
    <row r="94" spans="1:22" s="265" customFormat="1">
      <c r="A94" s="261" t="s">
        <v>232</v>
      </c>
      <c r="B94" s="263" t="s">
        <v>42</v>
      </c>
      <c r="C94" s="262">
        <f>-3541211.59</f>
        <v>-3541211.59</v>
      </c>
      <c r="D94" s="263" t="s">
        <v>16</v>
      </c>
      <c r="E94" s="263">
        <f t="shared" si="4"/>
        <v>3541211.59</v>
      </c>
      <c r="F94" s="271" t="s">
        <v>11</v>
      </c>
      <c r="G94" s="271"/>
      <c r="H94" s="263" t="s">
        <v>233</v>
      </c>
      <c r="I94" s="271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</row>
    <row r="95" spans="1:22" s="265" customFormat="1">
      <c r="A95" s="261" t="s">
        <v>234</v>
      </c>
      <c r="B95" s="263" t="s">
        <v>74</v>
      </c>
      <c r="C95" s="262">
        <v>-2604102.4</v>
      </c>
      <c r="D95" s="263" t="s">
        <v>16</v>
      </c>
      <c r="E95" s="263">
        <f t="shared" si="4"/>
        <v>2604102.4</v>
      </c>
      <c r="F95" s="271" t="s">
        <v>11</v>
      </c>
      <c r="G95" s="271"/>
      <c r="H95" s="263" t="s">
        <v>235</v>
      </c>
      <c r="I95" s="271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</row>
    <row r="96" spans="1:22" s="265" customFormat="1">
      <c r="A96" s="261" t="s">
        <v>236</v>
      </c>
      <c r="B96" s="263" t="s">
        <v>36</v>
      </c>
      <c r="C96" s="262">
        <v>-37735.85</v>
      </c>
      <c r="D96" s="263" t="s">
        <v>16</v>
      </c>
      <c r="E96" s="263">
        <f t="shared" si="4"/>
        <v>37735.85</v>
      </c>
      <c r="F96" s="271" t="s">
        <v>11</v>
      </c>
      <c r="G96" s="271"/>
      <c r="H96" s="271" t="s">
        <v>237</v>
      </c>
      <c r="I96" s="271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</row>
    <row r="97" spans="1:22" s="265" customFormat="1">
      <c r="A97" s="261" t="s">
        <v>238</v>
      </c>
      <c r="B97" s="261" t="s">
        <v>40</v>
      </c>
      <c r="C97" s="262">
        <v>6785820</v>
      </c>
      <c r="D97" s="263" t="s">
        <v>414</v>
      </c>
      <c r="E97" s="263">
        <f t="shared" si="4"/>
        <v>-6785820</v>
      </c>
      <c r="F97" s="263" t="s">
        <v>4</v>
      </c>
      <c r="G97" s="271"/>
      <c r="H97" s="263" t="s">
        <v>239</v>
      </c>
      <c r="I97" s="271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</row>
    <row r="98" spans="1:22" s="265" customFormat="1">
      <c r="A98" s="261"/>
      <c r="B98" s="263" t="s">
        <v>40</v>
      </c>
      <c r="C98" s="262">
        <v>15600000</v>
      </c>
      <c r="D98" s="263" t="s">
        <v>14</v>
      </c>
      <c r="E98" s="263">
        <f t="shared" si="4"/>
        <v>-15600000</v>
      </c>
      <c r="F98" s="271" t="s">
        <v>4</v>
      </c>
      <c r="G98" s="271"/>
      <c r="H98" s="271" t="s">
        <v>543</v>
      </c>
      <c r="I98" s="271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</row>
    <row r="99" spans="1:22" s="265" customFormat="1">
      <c r="A99" s="261" t="s">
        <v>243</v>
      </c>
      <c r="B99" s="261" t="s">
        <v>38</v>
      </c>
      <c r="C99" s="263">
        <f>-(11666.67+38333.33)*0.47/1.06</f>
        <v>-22169.811320754718</v>
      </c>
      <c r="D99" s="263" t="s">
        <v>8</v>
      </c>
      <c r="E99" s="263">
        <f t="shared" si="4"/>
        <v>22169.811320754718</v>
      </c>
      <c r="F99" s="271" t="s">
        <v>6</v>
      </c>
      <c r="G99" s="271"/>
      <c r="H99" s="263" t="s">
        <v>244</v>
      </c>
      <c r="I99" s="263" t="s">
        <v>245</v>
      </c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</row>
    <row r="100" spans="1:22" s="265" customFormat="1">
      <c r="A100" s="261" t="s">
        <v>246</v>
      </c>
      <c r="B100" s="261" t="s">
        <v>38</v>
      </c>
      <c r="C100" s="278">
        <v>50244.53</v>
      </c>
      <c r="D100" s="263" t="s">
        <v>8</v>
      </c>
      <c r="E100" s="263">
        <f t="shared" si="4"/>
        <v>-50244.53</v>
      </c>
      <c r="F100" s="271" t="s">
        <v>6</v>
      </c>
      <c r="G100" s="271"/>
      <c r="H100" s="263" t="s">
        <v>247</v>
      </c>
      <c r="I100" s="279" t="s">
        <v>248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</row>
    <row r="101" spans="1:22" s="281" customFormat="1">
      <c r="A101" s="261" t="s">
        <v>181</v>
      </c>
      <c r="B101" s="263" t="s">
        <v>73</v>
      </c>
      <c r="C101" s="278">
        <v>650943</v>
      </c>
      <c r="D101" s="263" t="s">
        <v>14</v>
      </c>
      <c r="E101" s="263">
        <f t="shared" si="4"/>
        <v>-650943</v>
      </c>
      <c r="F101" s="263" t="s">
        <v>15</v>
      </c>
      <c r="G101" s="263"/>
      <c r="H101" s="263" t="s">
        <v>249</v>
      </c>
      <c r="I101" s="263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</row>
    <row r="102" spans="1:22" s="265" customFormat="1">
      <c r="A102" s="261"/>
      <c r="B102" s="261" t="s">
        <v>73</v>
      </c>
      <c r="C102" s="278">
        <v>-59446.89</v>
      </c>
      <c r="D102" s="263" t="s">
        <v>15</v>
      </c>
      <c r="E102" s="263">
        <f t="shared" si="4"/>
        <v>59446.89</v>
      </c>
      <c r="F102" s="271" t="s">
        <v>6</v>
      </c>
      <c r="G102" s="271"/>
      <c r="H102" s="271" t="s">
        <v>536</v>
      </c>
      <c r="I102" s="279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</row>
    <row r="103" spans="1:22" s="67" customFormat="1">
      <c r="A103" s="88"/>
      <c r="B103" s="89"/>
      <c r="C103" s="93"/>
      <c r="D103" s="89"/>
      <c r="E103" s="89"/>
      <c r="F103" s="89"/>
      <c r="G103" s="89"/>
      <c r="H103" s="89"/>
      <c r="I103" s="89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</row>
    <row r="104" spans="1:22">
      <c r="A104" s="88" t="s">
        <v>250</v>
      </c>
      <c r="B104" s="89"/>
      <c r="C104" s="94"/>
      <c r="D104" s="89"/>
      <c r="E104" s="89"/>
      <c r="F104" s="95"/>
      <c r="G104" s="95"/>
      <c r="H104" s="95"/>
      <c r="I104" s="95"/>
    </row>
    <row r="105" spans="1:22">
      <c r="A105" s="82"/>
      <c r="B105" s="82" t="s">
        <v>251</v>
      </c>
      <c r="C105" s="86">
        <f>SUM(C106:C160)</f>
        <v>145799.18000000005</v>
      </c>
      <c r="D105" s="87"/>
      <c r="E105" s="87">
        <f>SUM(E106:E162)</f>
        <v>-145799.18000000005</v>
      </c>
      <c r="F105" s="85"/>
      <c r="G105" s="85"/>
      <c r="H105" s="85"/>
      <c r="I105" s="85"/>
    </row>
    <row r="106" spans="1:22">
      <c r="A106" s="88" t="s">
        <v>138</v>
      </c>
      <c r="B106" s="88" t="s">
        <v>78</v>
      </c>
      <c r="C106" s="97">
        <f t="shared" ref="C106:C116" si="5">ROUND(IF(OR(LEFT(B52,1)="2",(LEFT(B52,1)="4")),0,C52*0.06*0.12),2)</f>
        <v>0</v>
      </c>
      <c r="D106" s="89" t="str">
        <f t="shared" ref="D106:D137" si="6">D52</f>
        <v>证券投资部</v>
      </c>
      <c r="E106" s="89">
        <f>-C106</f>
        <v>0</v>
      </c>
      <c r="F106" s="89" t="str">
        <f t="shared" ref="F106:F137" si="7">F52</f>
        <v>总部中后台</v>
      </c>
      <c r="G106" s="98"/>
      <c r="H106" s="98"/>
      <c r="I106" s="98"/>
    </row>
    <row r="107" spans="1:22" s="231" customFormat="1">
      <c r="A107" s="229" t="s">
        <v>154</v>
      </c>
      <c r="B107" s="229" t="s">
        <v>78</v>
      </c>
      <c r="C107" s="228">
        <f t="shared" si="5"/>
        <v>-8642.9599999999991</v>
      </c>
      <c r="D107" s="96" t="str">
        <f t="shared" si="6"/>
        <v>经纪业务部</v>
      </c>
      <c r="E107" s="96">
        <f t="shared" ref="E107:E109" si="8">-C107</f>
        <v>8642.9599999999991</v>
      </c>
      <c r="F107" s="96" t="str">
        <f t="shared" si="7"/>
        <v>固定收益市场部</v>
      </c>
      <c r="G107" s="249"/>
      <c r="H107" s="249"/>
      <c r="I107" s="249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</row>
    <row r="108" spans="1:22">
      <c r="A108" s="88" t="s">
        <v>155</v>
      </c>
      <c r="B108" s="88" t="s">
        <v>78</v>
      </c>
      <c r="C108" s="97">
        <f t="shared" si="5"/>
        <v>0</v>
      </c>
      <c r="D108" s="89" t="str">
        <f t="shared" si="6"/>
        <v>证券投资部</v>
      </c>
      <c r="E108" s="89">
        <f t="shared" si="8"/>
        <v>0</v>
      </c>
      <c r="F108" s="89" t="str">
        <f t="shared" si="7"/>
        <v>固定收益投资部</v>
      </c>
      <c r="G108" s="98"/>
      <c r="H108" s="98"/>
      <c r="I108" s="98"/>
    </row>
    <row r="109" spans="1:22">
      <c r="A109" s="88" t="s">
        <v>158</v>
      </c>
      <c r="B109" s="88" t="s">
        <v>78</v>
      </c>
      <c r="C109" s="97">
        <f t="shared" si="5"/>
        <v>0</v>
      </c>
      <c r="D109" s="89" t="str">
        <f t="shared" si="6"/>
        <v>证券投资部</v>
      </c>
      <c r="E109" s="89">
        <f t="shared" si="8"/>
        <v>0</v>
      </c>
      <c r="F109" s="89" t="str">
        <f t="shared" si="7"/>
        <v>金融衍生品部</v>
      </c>
      <c r="G109" s="98"/>
      <c r="H109" s="98"/>
      <c r="I109" s="98"/>
    </row>
    <row r="110" spans="1:22">
      <c r="A110" s="88" t="s">
        <v>160</v>
      </c>
      <c r="B110" s="88" t="s">
        <v>78</v>
      </c>
      <c r="C110" s="97">
        <f t="shared" si="5"/>
        <v>0</v>
      </c>
      <c r="D110" s="89" t="str">
        <f t="shared" si="6"/>
        <v>证券投资部</v>
      </c>
      <c r="E110" s="89">
        <f t="shared" ref="E110:E122" si="9">-C110</f>
        <v>0</v>
      </c>
      <c r="F110" s="89" t="str">
        <f t="shared" si="7"/>
        <v>量化产品投资部</v>
      </c>
      <c r="G110" s="98"/>
      <c r="H110" s="98"/>
      <c r="I110" s="98"/>
    </row>
    <row r="111" spans="1:22">
      <c r="A111" s="88" t="s">
        <v>161</v>
      </c>
      <c r="B111" s="88" t="s">
        <v>78</v>
      </c>
      <c r="C111" s="97">
        <f t="shared" si="5"/>
        <v>587.16999999999996</v>
      </c>
      <c r="D111" s="89" t="str">
        <f t="shared" si="6"/>
        <v>证券投资部</v>
      </c>
      <c r="E111" s="89">
        <f t="shared" si="9"/>
        <v>-587.16999999999996</v>
      </c>
      <c r="F111" s="89" t="str">
        <f t="shared" si="7"/>
        <v>固定收益投资部</v>
      </c>
      <c r="G111" s="98"/>
      <c r="H111" s="98"/>
      <c r="I111" s="98"/>
    </row>
    <row r="112" spans="1:22">
      <c r="A112" s="88" t="s">
        <v>163</v>
      </c>
      <c r="B112" s="88" t="s">
        <v>78</v>
      </c>
      <c r="C112" s="97">
        <f t="shared" si="5"/>
        <v>0</v>
      </c>
      <c r="D112" s="89" t="str">
        <f t="shared" si="6"/>
        <v>证券投资部</v>
      </c>
      <c r="E112" s="89">
        <f t="shared" si="9"/>
        <v>0</v>
      </c>
      <c r="F112" s="89" t="str">
        <f t="shared" si="7"/>
        <v>固定收益投资部</v>
      </c>
      <c r="G112" s="98"/>
      <c r="H112" s="98"/>
      <c r="I112" s="98"/>
    </row>
    <row r="113" spans="1:9">
      <c r="A113" s="88" t="s">
        <v>165</v>
      </c>
      <c r="B113" s="88" t="s">
        <v>78</v>
      </c>
      <c r="C113" s="97">
        <f t="shared" si="5"/>
        <v>-8515.02</v>
      </c>
      <c r="D113" s="89" t="str">
        <f t="shared" si="6"/>
        <v>投资银行三部</v>
      </c>
      <c r="E113" s="96">
        <f>-C113</f>
        <v>8515.02</v>
      </c>
      <c r="F113" s="89" t="str">
        <f t="shared" si="7"/>
        <v>经纪业务部</v>
      </c>
      <c r="G113" s="98"/>
      <c r="H113" s="98"/>
      <c r="I113" s="98"/>
    </row>
    <row r="114" spans="1:9">
      <c r="A114" s="88" t="s">
        <v>166</v>
      </c>
      <c r="B114" s="88" t="s">
        <v>78</v>
      </c>
      <c r="C114" s="97">
        <f t="shared" si="5"/>
        <v>10989.48</v>
      </c>
      <c r="D114" s="89" t="str">
        <f t="shared" si="6"/>
        <v>固定收益市场部</v>
      </c>
      <c r="E114" s="89">
        <f t="shared" si="9"/>
        <v>-10989.48</v>
      </c>
      <c r="F114" s="89" t="str">
        <f t="shared" si="7"/>
        <v>其他</v>
      </c>
      <c r="G114" s="98"/>
      <c r="H114" s="98"/>
      <c r="I114" s="98"/>
    </row>
    <row r="115" spans="1:9">
      <c r="A115" s="88" t="s">
        <v>168</v>
      </c>
      <c r="B115" s="88" t="s">
        <v>78</v>
      </c>
      <c r="C115" s="97">
        <f t="shared" si="5"/>
        <v>-33492.74</v>
      </c>
      <c r="D115" s="89" t="str">
        <f t="shared" si="6"/>
        <v>固定收益市场部</v>
      </c>
      <c r="E115" s="89">
        <f t="shared" si="9"/>
        <v>33492.74</v>
      </c>
      <c r="F115" s="89" t="str">
        <f t="shared" si="7"/>
        <v>总部中后台</v>
      </c>
      <c r="G115" s="98"/>
      <c r="H115" s="98"/>
      <c r="I115" s="98"/>
    </row>
    <row r="116" spans="1:9">
      <c r="A116" s="88" t="s">
        <v>169</v>
      </c>
      <c r="B116" s="88" t="s">
        <v>78</v>
      </c>
      <c r="C116" s="97">
        <f t="shared" si="5"/>
        <v>0</v>
      </c>
      <c r="D116" s="89" t="str">
        <f t="shared" si="6"/>
        <v>固定收益市场部</v>
      </c>
      <c r="E116" s="89">
        <f t="shared" si="9"/>
        <v>0</v>
      </c>
      <c r="F116" s="89" t="str">
        <f t="shared" si="7"/>
        <v>其他</v>
      </c>
      <c r="G116" s="98"/>
      <c r="H116" s="98"/>
      <c r="I116" s="98"/>
    </row>
    <row r="117" spans="1:9">
      <c r="A117" s="88" t="s">
        <v>170</v>
      </c>
      <c r="B117" s="88" t="s">
        <v>78</v>
      </c>
      <c r="C117" s="228"/>
      <c r="D117" s="89" t="str">
        <f t="shared" si="6"/>
        <v>经纪业务部</v>
      </c>
      <c r="E117" s="89">
        <f t="shared" si="9"/>
        <v>0</v>
      </c>
      <c r="F117" s="89" t="str">
        <f t="shared" si="7"/>
        <v>其他</v>
      </c>
      <c r="G117" s="98"/>
      <c r="H117" s="99" t="s">
        <v>525</v>
      </c>
      <c r="I117" s="99"/>
    </row>
    <row r="118" spans="1:9">
      <c r="A118" s="88" t="s">
        <v>172</v>
      </c>
      <c r="B118" s="88" t="s">
        <v>78</v>
      </c>
      <c r="C118" s="97">
        <f t="shared" ref="C118:C124" si="10">ROUND(IF(OR(LEFT(B64,1)="2",(LEFT(B64,1)="4")),0,C64*0.06*0.12),2)</f>
        <v>0</v>
      </c>
      <c r="D118" s="89" t="str">
        <f t="shared" si="6"/>
        <v>经纪业务部</v>
      </c>
      <c r="E118" s="89">
        <f t="shared" si="9"/>
        <v>0</v>
      </c>
      <c r="F118" s="89" t="str">
        <f t="shared" si="7"/>
        <v>总部中后台</v>
      </c>
      <c r="G118" s="98"/>
      <c r="H118" s="99"/>
      <c r="I118" s="99"/>
    </row>
    <row r="119" spans="1:9">
      <c r="A119" s="88" t="s">
        <v>174</v>
      </c>
      <c r="B119" s="88" t="s">
        <v>78</v>
      </c>
      <c r="C119" s="97">
        <f t="shared" si="10"/>
        <v>0</v>
      </c>
      <c r="D119" s="89" t="str">
        <f t="shared" si="6"/>
        <v>投资银行一部</v>
      </c>
      <c r="E119" s="89">
        <f t="shared" si="9"/>
        <v>0</v>
      </c>
      <c r="F119" s="89" t="str">
        <f t="shared" si="7"/>
        <v>总部中后台</v>
      </c>
      <c r="G119" s="98"/>
      <c r="H119" s="100"/>
      <c r="I119" s="99"/>
    </row>
    <row r="120" spans="1:9">
      <c r="A120" s="88" t="s">
        <v>175</v>
      </c>
      <c r="B120" s="88" t="s">
        <v>78</v>
      </c>
      <c r="C120" s="97">
        <f t="shared" si="10"/>
        <v>0</v>
      </c>
      <c r="D120" s="89" t="str">
        <f t="shared" si="6"/>
        <v>投资银行二部</v>
      </c>
      <c r="E120" s="89">
        <f t="shared" si="9"/>
        <v>0</v>
      </c>
      <c r="F120" s="89" t="str">
        <f t="shared" si="7"/>
        <v>总部中后台</v>
      </c>
      <c r="G120" s="98"/>
      <c r="H120" s="99"/>
      <c r="I120" s="99"/>
    </row>
    <row r="121" spans="1:9">
      <c r="A121" s="88" t="s">
        <v>177</v>
      </c>
      <c r="B121" s="88" t="s">
        <v>78</v>
      </c>
      <c r="C121" s="97">
        <f t="shared" si="10"/>
        <v>0</v>
      </c>
      <c r="D121" s="89" t="str">
        <f t="shared" si="6"/>
        <v>量化产品投资部</v>
      </c>
      <c r="E121" s="89">
        <f t="shared" si="9"/>
        <v>0</v>
      </c>
      <c r="F121" s="89" t="str">
        <f t="shared" si="7"/>
        <v>总部中后台</v>
      </c>
      <c r="G121" s="98"/>
      <c r="H121" s="99"/>
      <c r="I121" s="99"/>
    </row>
    <row r="122" spans="1:9">
      <c r="A122" s="88" t="s">
        <v>179</v>
      </c>
      <c r="B122" s="88" t="s">
        <v>78</v>
      </c>
      <c r="C122" s="97">
        <f t="shared" si="10"/>
        <v>-7258.44</v>
      </c>
      <c r="D122" s="89" t="str">
        <f t="shared" si="6"/>
        <v>固定收益投资部</v>
      </c>
      <c r="E122" s="89">
        <f t="shared" si="9"/>
        <v>7258.44</v>
      </c>
      <c r="F122" s="89" t="str">
        <f t="shared" si="7"/>
        <v>总部中后台</v>
      </c>
      <c r="G122" s="98"/>
      <c r="H122" s="99"/>
      <c r="I122" s="99"/>
    </row>
    <row r="123" spans="1:9">
      <c r="A123" s="88" t="s">
        <v>181</v>
      </c>
      <c r="B123" s="88" t="s">
        <v>78</v>
      </c>
      <c r="C123" s="228">
        <f t="shared" si="10"/>
        <v>18927.509999999998</v>
      </c>
      <c r="D123" s="89" t="str">
        <f t="shared" si="6"/>
        <v>经纪业务部</v>
      </c>
      <c r="E123" s="89">
        <f t="shared" ref="E123:E155" si="11">-C123</f>
        <v>-18927.509999999998</v>
      </c>
      <c r="F123" s="89" t="str">
        <f t="shared" si="7"/>
        <v>其他</v>
      </c>
      <c r="G123" s="98"/>
      <c r="H123" s="98"/>
      <c r="I123" s="99"/>
    </row>
    <row r="124" spans="1:9">
      <c r="A124" s="88" t="s">
        <v>183</v>
      </c>
      <c r="B124" s="88" t="s">
        <v>78</v>
      </c>
      <c r="C124" s="97">
        <f t="shared" si="10"/>
        <v>0</v>
      </c>
      <c r="D124" s="89" t="str">
        <f t="shared" si="6"/>
        <v>金融衍生品部</v>
      </c>
      <c r="E124" s="89">
        <f t="shared" si="11"/>
        <v>0</v>
      </c>
      <c r="F124" s="89" t="str">
        <f t="shared" si="7"/>
        <v>总部中后台</v>
      </c>
      <c r="G124" s="98"/>
      <c r="H124" s="98"/>
      <c r="I124" s="99"/>
    </row>
    <row r="125" spans="1:9">
      <c r="A125" s="88" t="s">
        <v>184</v>
      </c>
      <c r="B125" s="88" t="s">
        <v>78</v>
      </c>
      <c r="C125" s="228"/>
      <c r="D125" s="96" t="str">
        <f t="shared" si="6"/>
        <v>经纪业务部</v>
      </c>
      <c r="E125" s="96">
        <f t="shared" si="11"/>
        <v>0</v>
      </c>
      <c r="F125" s="89" t="str">
        <f t="shared" si="7"/>
        <v>其他</v>
      </c>
      <c r="G125" s="98"/>
      <c r="H125" s="98" t="s">
        <v>529</v>
      </c>
      <c r="I125" s="99"/>
    </row>
    <row r="126" spans="1:9">
      <c r="A126" s="88" t="s">
        <v>186</v>
      </c>
      <c r="B126" s="88" t="s">
        <v>78</v>
      </c>
      <c r="C126" s="97">
        <f t="shared" ref="C126:C157" si="12">ROUND(IF(OR(LEFT(B72,1)="2",(LEFT(B72,1)="4")),0,C72*0.06*0.12),2)</f>
        <v>4075.47</v>
      </c>
      <c r="D126" s="89" t="str">
        <f t="shared" si="6"/>
        <v>投资银行一部</v>
      </c>
      <c r="E126" s="89">
        <f t="shared" si="11"/>
        <v>-4075.47</v>
      </c>
      <c r="F126" s="89" t="str">
        <f t="shared" si="7"/>
        <v>投资银行管理部</v>
      </c>
      <c r="G126" s="98"/>
      <c r="H126" s="98"/>
      <c r="I126" s="99"/>
    </row>
    <row r="127" spans="1:9">
      <c r="A127" s="88" t="s">
        <v>187</v>
      </c>
      <c r="B127" s="88" t="s">
        <v>78</v>
      </c>
      <c r="C127" s="97">
        <f t="shared" si="12"/>
        <v>0</v>
      </c>
      <c r="D127" s="89" t="str">
        <f t="shared" si="6"/>
        <v>投资银行二部</v>
      </c>
      <c r="E127" s="89">
        <f t="shared" si="11"/>
        <v>0</v>
      </c>
      <c r="F127" s="89" t="str">
        <f t="shared" si="7"/>
        <v>投资银行管理部</v>
      </c>
      <c r="G127" s="98"/>
      <c r="H127" s="99"/>
      <c r="I127" s="99"/>
    </row>
    <row r="128" spans="1:9">
      <c r="A128" s="88" t="s">
        <v>189</v>
      </c>
      <c r="B128" s="88" t="s">
        <v>78</v>
      </c>
      <c r="C128" s="97">
        <f t="shared" si="12"/>
        <v>-4637.03</v>
      </c>
      <c r="D128" s="89" t="str">
        <f t="shared" si="6"/>
        <v>固收产品投资部</v>
      </c>
      <c r="E128" s="96">
        <f t="shared" si="11"/>
        <v>4637.03</v>
      </c>
      <c r="F128" s="89" t="str">
        <f t="shared" si="7"/>
        <v>经纪业务部</v>
      </c>
      <c r="G128" s="98"/>
      <c r="H128" s="99"/>
      <c r="I128" s="99"/>
    </row>
    <row r="129" spans="1:22">
      <c r="A129" s="88" t="s">
        <v>190</v>
      </c>
      <c r="B129" s="88" t="s">
        <v>78</v>
      </c>
      <c r="C129" s="97">
        <f t="shared" si="12"/>
        <v>-2790.81</v>
      </c>
      <c r="D129" s="89" t="str">
        <f t="shared" si="6"/>
        <v>资产管理部</v>
      </c>
      <c r="E129" s="96">
        <f t="shared" si="11"/>
        <v>2790.81</v>
      </c>
      <c r="F129" s="89" t="str">
        <f t="shared" si="7"/>
        <v>经纪业务部</v>
      </c>
      <c r="G129" s="98"/>
      <c r="H129" s="99"/>
      <c r="I129" s="99"/>
    </row>
    <row r="130" spans="1:22" s="68" customFormat="1">
      <c r="A130" s="88" t="s">
        <v>191</v>
      </c>
      <c r="B130" s="88" t="s">
        <v>78</v>
      </c>
      <c r="C130" s="97">
        <f t="shared" si="12"/>
        <v>-11347.1</v>
      </c>
      <c r="D130" s="89" t="str">
        <f t="shared" si="6"/>
        <v>资产管理部</v>
      </c>
      <c r="E130" s="89">
        <f t="shared" si="11"/>
        <v>11347.1</v>
      </c>
      <c r="F130" s="89" t="str">
        <f t="shared" si="7"/>
        <v>其他</v>
      </c>
      <c r="G130" s="102"/>
      <c r="H130" s="103"/>
      <c r="I130" s="10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>
      <c r="A131" s="88" t="s">
        <v>194</v>
      </c>
      <c r="B131" s="88" t="s">
        <v>78</v>
      </c>
      <c r="C131" s="97">
        <f t="shared" si="12"/>
        <v>11347.1</v>
      </c>
      <c r="D131" s="89" t="str">
        <f t="shared" si="6"/>
        <v>资产管理部</v>
      </c>
      <c r="E131" s="89">
        <f t="shared" ref="E131" si="13">-C131</f>
        <v>-11347.1</v>
      </c>
      <c r="F131" s="89" t="str">
        <f t="shared" si="7"/>
        <v>其他</v>
      </c>
      <c r="G131" s="98"/>
      <c r="H131" s="99"/>
      <c r="I131" s="99"/>
    </row>
    <row r="132" spans="1:22">
      <c r="A132" s="88" t="s">
        <v>197</v>
      </c>
      <c r="B132" s="88" t="s">
        <v>78</v>
      </c>
      <c r="C132" s="97">
        <f t="shared" si="12"/>
        <v>-2581.13</v>
      </c>
      <c r="D132" s="89" t="str">
        <f t="shared" si="6"/>
        <v>资产管理部</v>
      </c>
      <c r="E132" s="89">
        <f t="shared" si="11"/>
        <v>2581.13</v>
      </c>
      <c r="F132" s="89" t="str">
        <f t="shared" si="7"/>
        <v>投资银行一部</v>
      </c>
      <c r="G132" s="98"/>
      <c r="H132" s="99"/>
      <c r="I132" s="99"/>
    </row>
    <row r="133" spans="1:22">
      <c r="A133" s="88" t="s">
        <v>199</v>
      </c>
      <c r="B133" s="88" t="s">
        <v>78</v>
      </c>
      <c r="C133" s="97">
        <f t="shared" si="12"/>
        <v>0</v>
      </c>
      <c r="D133" s="89" t="str">
        <f t="shared" si="6"/>
        <v>做市业务部</v>
      </c>
      <c r="E133" s="89">
        <f t="shared" si="11"/>
        <v>0</v>
      </c>
      <c r="F133" s="89" t="str">
        <f t="shared" si="7"/>
        <v>投资银行三部</v>
      </c>
      <c r="G133" s="98"/>
      <c r="H133" s="99"/>
      <c r="I133" s="99"/>
    </row>
    <row r="134" spans="1:22">
      <c r="A134" s="88" t="s">
        <v>200</v>
      </c>
      <c r="B134" s="88" t="s">
        <v>78</v>
      </c>
      <c r="C134" s="97">
        <f t="shared" si="12"/>
        <v>537.75</v>
      </c>
      <c r="D134" s="89" t="str">
        <f t="shared" si="6"/>
        <v>做市业务部</v>
      </c>
      <c r="E134" s="89">
        <f t="shared" si="11"/>
        <v>-537.75</v>
      </c>
      <c r="F134" s="89" t="str">
        <f t="shared" si="7"/>
        <v>投资银行三部</v>
      </c>
      <c r="G134" s="98"/>
      <c r="H134" s="99"/>
      <c r="I134" s="99"/>
    </row>
    <row r="135" spans="1:22">
      <c r="A135" s="88" t="s">
        <v>201</v>
      </c>
      <c r="B135" s="88" t="s">
        <v>78</v>
      </c>
      <c r="C135" s="97">
        <f t="shared" si="12"/>
        <v>0</v>
      </c>
      <c r="D135" s="89" t="str">
        <f t="shared" si="6"/>
        <v>固定收益投资部</v>
      </c>
      <c r="E135" s="89">
        <f t="shared" si="11"/>
        <v>0</v>
      </c>
      <c r="F135" s="89" t="str">
        <f t="shared" si="7"/>
        <v>投顾业务部</v>
      </c>
      <c r="G135" s="98"/>
      <c r="H135" s="99"/>
      <c r="I135" s="99"/>
    </row>
    <row r="136" spans="1:22">
      <c r="A136" s="88" t="s">
        <v>202</v>
      </c>
      <c r="B136" s="88" t="s">
        <v>78</v>
      </c>
      <c r="C136" s="97">
        <f t="shared" si="12"/>
        <v>-14795.67</v>
      </c>
      <c r="D136" s="89" t="str">
        <f t="shared" si="6"/>
        <v>固收产品投资部</v>
      </c>
      <c r="E136" s="89">
        <f t="shared" si="11"/>
        <v>14795.67</v>
      </c>
      <c r="F136" s="89" t="str">
        <f t="shared" si="7"/>
        <v>投顾业务部</v>
      </c>
      <c r="G136" s="98"/>
      <c r="H136" s="99"/>
      <c r="I136" s="99"/>
    </row>
    <row r="137" spans="1:22">
      <c r="A137" s="88" t="s">
        <v>204</v>
      </c>
      <c r="B137" s="88" t="s">
        <v>78</v>
      </c>
      <c r="C137" s="97">
        <f t="shared" si="12"/>
        <v>-27.07</v>
      </c>
      <c r="D137" s="89" t="str">
        <f t="shared" si="6"/>
        <v>固收产品投资部</v>
      </c>
      <c r="E137" s="89">
        <f t="shared" si="11"/>
        <v>27.07</v>
      </c>
      <c r="F137" s="89" t="str">
        <f t="shared" si="7"/>
        <v>投顾业务部</v>
      </c>
      <c r="G137" s="98"/>
      <c r="H137" s="99"/>
      <c r="I137" s="99"/>
    </row>
    <row r="138" spans="1:22">
      <c r="A138" s="88" t="s">
        <v>205</v>
      </c>
      <c r="B138" s="88" t="s">
        <v>78</v>
      </c>
      <c r="C138" s="97">
        <f t="shared" si="12"/>
        <v>-772.49</v>
      </c>
      <c r="D138" s="89" t="str">
        <f t="shared" ref="D138:D157" si="14">D84</f>
        <v>固收产品投资部</v>
      </c>
      <c r="E138" s="89">
        <f t="shared" si="11"/>
        <v>772.49</v>
      </c>
      <c r="F138" s="89" t="str">
        <f t="shared" ref="F138:F157" si="15">F84</f>
        <v>投顾业务部</v>
      </c>
      <c r="G138" s="98"/>
      <c r="H138" s="99"/>
      <c r="I138" s="99"/>
    </row>
    <row r="139" spans="1:22">
      <c r="A139" s="88" t="s">
        <v>206</v>
      </c>
      <c r="B139" s="88" t="s">
        <v>78</v>
      </c>
      <c r="C139" s="97">
        <f t="shared" si="12"/>
        <v>-96.43</v>
      </c>
      <c r="D139" s="89" t="str">
        <f t="shared" si="14"/>
        <v>固收产品投资部</v>
      </c>
      <c r="E139" s="89">
        <f t="shared" si="11"/>
        <v>96.43</v>
      </c>
      <c r="F139" s="89" t="str">
        <f t="shared" si="15"/>
        <v>投顾业务部</v>
      </c>
      <c r="G139" s="98"/>
      <c r="H139" s="99"/>
      <c r="I139" s="99"/>
    </row>
    <row r="140" spans="1:22">
      <c r="A140" s="88"/>
      <c r="B140" s="88" t="s">
        <v>533</v>
      </c>
      <c r="C140" s="97">
        <f t="shared" si="12"/>
        <v>0</v>
      </c>
      <c r="D140" s="89">
        <f t="shared" si="14"/>
        <v>0</v>
      </c>
      <c r="E140" s="89">
        <f t="shared" ref="E140" si="16">-C140</f>
        <v>0</v>
      </c>
      <c r="F140" s="89">
        <f t="shared" si="15"/>
        <v>0</v>
      </c>
      <c r="G140" s="98"/>
      <c r="H140" s="99"/>
      <c r="I140" s="99"/>
    </row>
    <row r="141" spans="1:22">
      <c r="A141" s="88" t="s">
        <v>208</v>
      </c>
      <c r="B141" s="88" t="s">
        <v>78</v>
      </c>
      <c r="C141" s="97">
        <f t="shared" si="12"/>
        <v>-3124.53</v>
      </c>
      <c r="D141" s="89" t="str">
        <f t="shared" si="14"/>
        <v>资产管理部</v>
      </c>
      <c r="E141" s="96">
        <f t="shared" si="11"/>
        <v>3124.53</v>
      </c>
      <c r="F141" s="89" t="str">
        <f t="shared" si="15"/>
        <v>经纪业务部</v>
      </c>
      <c r="G141" s="98"/>
      <c r="H141" s="99"/>
      <c r="I141" s="99"/>
    </row>
    <row r="142" spans="1:22">
      <c r="A142" s="88" t="s">
        <v>210</v>
      </c>
      <c r="B142" s="88" t="s">
        <v>78</v>
      </c>
      <c r="C142" s="97">
        <f t="shared" si="12"/>
        <v>-699.55</v>
      </c>
      <c r="D142" s="89" t="str">
        <f t="shared" si="14"/>
        <v>资产管理部</v>
      </c>
      <c r="E142" s="96">
        <f t="shared" si="11"/>
        <v>699.55</v>
      </c>
      <c r="F142" s="89" t="str">
        <f t="shared" si="15"/>
        <v>经纪业务部</v>
      </c>
      <c r="G142" s="98"/>
      <c r="H142" s="99"/>
      <c r="I142" s="99"/>
    </row>
    <row r="143" spans="1:22">
      <c r="A143" s="88" t="s">
        <v>211</v>
      </c>
      <c r="B143" s="88" t="s">
        <v>78</v>
      </c>
      <c r="C143" s="97">
        <f t="shared" si="12"/>
        <v>-6267.92</v>
      </c>
      <c r="D143" s="89" t="str">
        <f t="shared" si="14"/>
        <v>资产管理部</v>
      </c>
      <c r="E143" s="96">
        <f t="shared" si="11"/>
        <v>6267.92</v>
      </c>
      <c r="F143" s="89" t="str">
        <f t="shared" si="15"/>
        <v>经纪业务部</v>
      </c>
      <c r="G143" s="98"/>
      <c r="H143" s="99"/>
      <c r="I143" s="99"/>
    </row>
    <row r="144" spans="1:22">
      <c r="A144" s="88" t="s">
        <v>213</v>
      </c>
      <c r="B144" s="88" t="s">
        <v>78</v>
      </c>
      <c r="C144" s="97">
        <f t="shared" si="12"/>
        <v>-833.48</v>
      </c>
      <c r="D144" s="89" t="str">
        <f t="shared" si="14"/>
        <v>资产管理部</v>
      </c>
      <c r="E144" s="96">
        <f t="shared" si="11"/>
        <v>833.48</v>
      </c>
      <c r="F144" s="89" t="str">
        <f t="shared" si="15"/>
        <v>经纪业务部</v>
      </c>
      <c r="G144" s="98"/>
      <c r="H144" s="104"/>
      <c r="I144" s="99"/>
    </row>
    <row r="145" spans="1:9">
      <c r="A145" s="88" t="s">
        <v>214</v>
      </c>
      <c r="B145" s="88" t="s">
        <v>78</v>
      </c>
      <c r="C145" s="97">
        <f t="shared" si="12"/>
        <v>-8899.02</v>
      </c>
      <c r="D145" s="89" t="str">
        <f t="shared" si="14"/>
        <v>投资银行三部</v>
      </c>
      <c r="E145" s="89">
        <f t="shared" si="11"/>
        <v>8899.02</v>
      </c>
      <c r="F145" s="89" t="str">
        <f t="shared" si="15"/>
        <v>其他</v>
      </c>
      <c r="G145" s="98"/>
      <c r="H145" s="99"/>
      <c r="I145" s="99"/>
    </row>
    <row r="146" spans="1:9">
      <c r="A146" s="88" t="s">
        <v>215</v>
      </c>
      <c r="B146" s="88" t="s">
        <v>78</v>
      </c>
      <c r="C146" s="97">
        <f t="shared" si="12"/>
        <v>-339.62</v>
      </c>
      <c r="D146" s="89" t="str">
        <f t="shared" si="14"/>
        <v>投资银行二部</v>
      </c>
      <c r="E146" s="89">
        <f t="shared" si="11"/>
        <v>339.62</v>
      </c>
      <c r="F146" s="89" t="str">
        <f t="shared" si="15"/>
        <v>其他</v>
      </c>
      <c r="G146" s="98"/>
      <c r="H146" s="99"/>
      <c r="I146" s="99"/>
    </row>
    <row r="147" spans="1:9">
      <c r="A147" s="88" t="s">
        <v>218</v>
      </c>
      <c r="B147" s="88" t="s">
        <v>78</v>
      </c>
      <c r="C147" s="97">
        <f t="shared" si="12"/>
        <v>49088.6</v>
      </c>
      <c r="D147" s="89" t="str">
        <f t="shared" si="14"/>
        <v>证券投资部</v>
      </c>
      <c r="E147" s="89">
        <f t="shared" si="11"/>
        <v>-49088.6</v>
      </c>
      <c r="F147" s="89" t="str">
        <f t="shared" si="15"/>
        <v>量化产品投资部</v>
      </c>
      <c r="G147" s="98"/>
      <c r="H147" s="99"/>
      <c r="I147" s="99"/>
    </row>
    <row r="148" spans="1:9">
      <c r="A148" s="88" t="s">
        <v>221</v>
      </c>
      <c r="B148" s="88" t="s">
        <v>78</v>
      </c>
      <c r="C148" s="97">
        <f t="shared" si="12"/>
        <v>0</v>
      </c>
      <c r="D148" s="89" t="str">
        <f t="shared" si="14"/>
        <v>证券投资部</v>
      </c>
      <c r="E148" s="89">
        <f t="shared" si="11"/>
        <v>0</v>
      </c>
      <c r="F148" s="89" t="str">
        <f t="shared" si="15"/>
        <v>量化产品投资部</v>
      </c>
      <c r="G148" s="98"/>
      <c r="H148" s="99"/>
      <c r="I148" s="99"/>
    </row>
    <row r="149" spans="1:9">
      <c r="A149" s="88" t="s">
        <v>224</v>
      </c>
      <c r="B149" s="88" t="s">
        <v>78</v>
      </c>
      <c r="C149" s="97">
        <f t="shared" si="12"/>
        <v>0</v>
      </c>
      <c r="D149" s="89" t="str">
        <f t="shared" si="14"/>
        <v>证券投资部</v>
      </c>
      <c r="E149" s="89">
        <f t="shared" si="11"/>
        <v>0</v>
      </c>
      <c r="F149" s="89" t="str">
        <f t="shared" si="15"/>
        <v>量化产品投资部</v>
      </c>
      <c r="G149" s="98"/>
      <c r="H149" s="99"/>
      <c r="I149" s="99"/>
    </row>
    <row r="150" spans="1:9">
      <c r="A150" s="88" t="s">
        <v>227</v>
      </c>
      <c r="B150" s="88" t="s">
        <v>78</v>
      </c>
      <c r="C150" s="97">
        <f t="shared" si="12"/>
        <v>-271.7</v>
      </c>
      <c r="D150" s="89" t="str">
        <f t="shared" si="14"/>
        <v>证券投资部</v>
      </c>
      <c r="E150" s="89">
        <f t="shared" si="11"/>
        <v>271.7</v>
      </c>
      <c r="F150" s="89" t="str">
        <f t="shared" si="15"/>
        <v>量化产品投资部</v>
      </c>
      <c r="G150" s="98"/>
      <c r="H150" s="99"/>
      <c r="I150" s="99"/>
    </row>
    <row r="151" spans="1:9">
      <c r="A151" s="88" t="s">
        <v>228</v>
      </c>
      <c r="B151" s="88" t="s">
        <v>78</v>
      </c>
      <c r="C151" s="97">
        <f t="shared" si="12"/>
        <v>48857.9</v>
      </c>
      <c r="D151" s="89" t="str">
        <f t="shared" si="14"/>
        <v>金融衍生品部</v>
      </c>
      <c r="E151" s="89">
        <f t="shared" si="11"/>
        <v>-48857.9</v>
      </c>
      <c r="F151" s="89" t="str">
        <f t="shared" si="15"/>
        <v>其他</v>
      </c>
      <c r="G151" s="98"/>
      <c r="H151" s="99"/>
      <c r="I151" s="99"/>
    </row>
    <row r="152" spans="1:9">
      <c r="A152" s="88" t="s">
        <v>229</v>
      </c>
      <c r="B152" s="88" t="s">
        <v>78</v>
      </c>
      <c r="C152" s="97">
        <f t="shared" si="12"/>
        <v>112320</v>
      </c>
      <c r="D152" s="89" t="str">
        <f t="shared" si="14"/>
        <v>固定收益市场部</v>
      </c>
      <c r="E152" s="89">
        <f t="shared" si="11"/>
        <v>-112320</v>
      </c>
      <c r="F152" s="89" t="str">
        <f t="shared" si="15"/>
        <v>其他</v>
      </c>
      <c r="G152" s="98"/>
      <c r="H152" s="99"/>
      <c r="I152" s="99"/>
    </row>
    <row r="153" spans="1:9">
      <c r="A153" s="88" t="s">
        <v>230</v>
      </c>
      <c r="B153" s="88" t="s">
        <v>78</v>
      </c>
      <c r="C153" s="97">
        <f t="shared" si="12"/>
        <v>-159.62</v>
      </c>
      <c r="D153" s="89" t="str">
        <f t="shared" si="14"/>
        <v>资产管理部</v>
      </c>
      <c r="E153" s="96">
        <f t="shared" si="11"/>
        <v>159.62</v>
      </c>
      <c r="F153" s="89" t="str">
        <f t="shared" si="15"/>
        <v>经纪业务部</v>
      </c>
      <c r="G153" s="98"/>
      <c r="H153" s="99"/>
      <c r="I153" s="99"/>
    </row>
    <row r="154" spans="1:9">
      <c r="A154" s="88" t="s">
        <v>232</v>
      </c>
      <c r="B154" s="88" t="s">
        <v>78</v>
      </c>
      <c r="C154" s="97">
        <f t="shared" si="12"/>
        <v>361.76</v>
      </c>
      <c r="D154" s="89" t="str">
        <f t="shared" si="14"/>
        <v>资产管理部</v>
      </c>
      <c r="E154" s="96">
        <f t="shared" si="11"/>
        <v>-361.76</v>
      </c>
      <c r="F154" s="89" t="str">
        <f t="shared" si="15"/>
        <v>经纪业务部</v>
      </c>
      <c r="G154" s="98"/>
      <c r="H154" s="99"/>
      <c r="I154" s="99"/>
    </row>
    <row r="155" spans="1:9">
      <c r="A155" s="88" t="s">
        <v>234</v>
      </c>
      <c r="B155" s="88" t="s">
        <v>78</v>
      </c>
      <c r="C155" s="97">
        <f t="shared" si="12"/>
        <v>4686.79</v>
      </c>
      <c r="D155" s="89" t="str">
        <f t="shared" si="14"/>
        <v>固定收益市场部</v>
      </c>
      <c r="E155" s="89">
        <f t="shared" si="11"/>
        <v>-4686.79</v>
      </c>
      <c r="F155" s="89" t="str">
        <f t="shared" si="15"/>
        <v>投顾业务部</v>
      </c>
      <c r="G155" s="98"/>
      <c r="H155" s="99"/>
      <c r="I155" s="99"/>
    </row>
    <row r="156" spans="1:9">
      <c r="A156" s="88" t="s">
        <v>236</v>
      </c>
      <c r="B156" s="88" t="s">
        <v>78</v>
      </c>
      <c r="C156" s="97">
        <f t="shared" si="12"/>
        <v>-428.02</v>
      </c>
      <c r="D156" s="89" t="str">
        <f t="shared" si="14"/>
        <v>投顾业务部</v>
      </c>
      <c r="E156" s="89">
        <f t="shared" ref="E156:E157" si="17">-C156</f>
        <v>428.02</v>
      </c>
      <c r="F156" s="89" t="str">
        <f t="shared" si="15"/>
        <v>经纪业务部</v>
      </c>
      <c r="G156" s="98"/>
      <c r="H156" s="99"/>
      <c r="I156" s="99"/>
    </row>
    <row r="157" spans="1:9">
      <c r="A157" s="88" t="s">
        <v>238</v>
      </c>
      <c r="B157" s="88" t="s">
        <v>78</v>
      </c>
      <c r="C157" s="97">
        <f t="shared" si="12"/>
        <v>0</v>
      </c>
      <c r="D157" s="89">
        <f t="shared" si="14"/>
        <v>0</v>
      </c>
      <c r="E157" s="89">
        <f t="shared" si="17"/>
        <v>0</v>
      </c>
      <c r="F157" s="89">
        <f t="shared" si="15"/>
        <v>0</v>
      </c>
      <c r="G157" s="98"/>
      <c r="H157" s="99"/>
      <c r="I157" s="99"/>
    </row>
    <row r="158" spans="1:9">
      <c r="A158" s="88" t="s">
        <v>240</v>
      </c>
      <c r="B158" s="88" t="s">
        <v>78</v>
      </c>
      <c r="C158" s="97"/>
      <c r="D158" s="89"/>
      <c r="E158" s="89">
        <f t="shared" ref="E158:E160" si="18">-C158</f>
        <v>0</v>
      </c>
      <c r="F158" s="89"/>
      <c r="G158" s="98"/>
      <c r="H158" s="99"/>
      <c r="I158" s="99"/>
    </row>
    <row r="159" spans="1:9">
      <c r="A159" s="88" t="s">
        <v>241</v>
      </c>
      <c r="B159" s="88" t="s">
        <v>78</v>
      </c>
      <c r="C159" s="97"/>
      <c r="D159" s="89"/>
      <c r="E159" s="89">
        <f t="shared" si="18"/>
        <v>0</v>
      </c>
      <c r="F159" s="89"/>
      <c r="G159" s="98"/>
      <c r="H159" s="99"/>
      <c r="I159" s="99"/>
    </row>
    <row r="160" spans="1:9">
      <c r="A160" s="88" t="s">
        <v>242</v>
      </c>
      <c r="B160" s="88" t="s">
        <v>78</v>
      </c>
      <c r="C160" s="97"/>
      <c r="D160" s="89"/>
      <c r="E160" s="89">
        <f t="shared" si="18"/>
        <v>0</v>
      </c>
      <c r="F160" s="89"/>
      <c r="G160" s="98"/>
      <c r="H160" s="99"/>
      <c r="I160" s="99"/>
    </row>
    <row r="161" spans="1:9">
      <c r="A161" s="88" t="s">
        <v>243</v>
      </c>
      <c r="B161" s="88" t="s">
        <v>78</v>
      </c>
      <c r="C161" s="97"/>
      <c r="D161" s="89"/>
      <c r="E161" s="89">
        <f t="shared" ref="E161:E163" si="19">-C161</f>
        <v>0</v>
      </c>
      <c r="F161" s="89"/>
      <c r="G161" s="98"/>
      <c r="H161" s="99"/>
      <c r="I161" s="99"/>
    </row>
    <row r="162" spans="1:9">
      <c r="A162" s="88" t="s">
        <v>246</v>
      </c>
      <c r="B162" s="88" t="s">
        <v>78</v>
      </c>
      <c r="C162" s="97"/>
      <c r="D162" s="89"/>
      <c r="E162" s="89">
        <f t="shared" si="19"/>
        <v>0</v>
      </c>
      <c r="F162" s="89"/>
      <c r="G162" s="98"/>
      <c r="H162" s="99"/>
      <c r="I162" s="99"/>
    </row>
    <row r="163" spans="1:9">
      <c r="A163" s="88" t="s">
        <v>252</v>
      </c>
      <c r="B163" s="88" t="s">
        <v>78</v>
      </c>
      <c r="C163" s="97"/>
      <c r="D163" s="89" t="str">
        <f t="shared" ref="D163" si="20">D102</f>
        <v>投顾业务部</v>
      </c>
      <c r="E163" s="89">
        <f t="shared" si="19"/>
        <v>0</v>
      </c>
      <c r="F163" s="89" t="str">
        <f>F102</f>
        <v>经纪业务部</v>
      </c>
      <c r="G163" s="98"/>
      <c r="H163" s="99"/>
      <c r="I163" s="99"/>
    </row>
    <row r="164" spans="1:9">
      <c r="A164" s="88"/>
      <c r="B164" s="88" t="s">
        <v>78</v>
      </c>
      <c r="C164" s="97"/>
      <c r="D164" s="89">
        <f>D103</f>
        <v>0</v>
      </c>
      <c r="E164" s="89"/>
      <c r="F164" s="89">
        <f>F103</f>
        <v>0</v>
      </c>
      <c r="G164" s="98"/>
      <c r="H164" s="99"/>
      <c r="I164" s="99"/>
    </row>
    <row r="165" spans="1:9">
      <c r="A165" s="88"/>
      <c r="B165" s="88" t="s">
        <v>78</v>
      </c>
      <c r="C165" s="97"/>
      <c r="D165" s="89">
        <f>D104</f>
        <v>0</v>
      </c>
      <c r="E165" s="89">
        <f t="shared" ref="E165" si="21">-C165</f>
        <v>0</v>
      </c>
      <c r="F165" s="89">
        <f>F104</f>
        <v>0</v>
      </c>
      <c r="G165" s="106"/>
      <c r="H165" s="106" t="s">
        <v>253</v>
      </c>
      <c r="I165" s="99"/>
    </row>
    <row r="166" spans="1:9">
      <c r="A166" s="88" t="s">
        <v>250</v>
      </c>
      <c r="B166" s="88" t="s">
        <v>78</v>
      </c>
      <c r="C166" s="97"/>
      <c r="D166" s="89"/>
      <c r="E166" s="89"/>
      <c r="F166" s="89"/>
      <c r="G166" s="106"/>
      <c r="H166" s="106" t="s">
        <v>253</v>
      </c>
      <c r="I166" s="99"/>
    </row>
    <row r="167" spans="1:9">
      <c r="A167" s="82"/>
      <c r="B167" s="82" t="s">
        <v>254</v>
      </c>
      <c r="C167" s="86">
        <f>SUM(C168:C267)</f>
        <v>-3590018.8199999989</v>
      </c>
      <c r="D167" s="87"/>
      <c r="E167" s="86">
        <f>SUM(E168:E267)</f>
        <v>3590018.8199999989</v>
      </c>
      <c r="F167" s="107"/>
      <c r="G167" s="82" t="s">
        <v>148</v>
      </c>
      <c r="H167" s="107" t="s">
        <v>149</v>
      </c>
      <c r="I167" s="107" t="s">
        <v>150</v>
      </c>
    </row>
    <row r="168" spans="1:9">
      <c r="A168" s="88" t="s">
        <v>138</v>
      </c>
      <c r="B168" s="108" t="s">
        <v>79</v>
      </c>
      <c r="C168" s="109">
        <f t="shared" ref="C168:C178" si="22">ROUND(C52*0.0175,2)</f>
        <v>-113527.82</v>
      </c>
      <c r="D168" s="105" t="str">
        <f t="shared" ref="D168:D199" si="23">D52</f>
        <v>证券投资部</v>
      </c>
      <c r="E168" s="105">
        <f>-C168</f>
        <v>113527.82</v>
      </c>
      <c r="F168" s="105" t="str">
        <f t="shared" ref="F168:F199" si="24">F52</f>
        <v>总部中后台</v>
      </c>
      <c r="G168" s="89" t="s">
        <v>103</v>
      </c>
      <c r="H168" s="100"/>
      <c r="I168" s="100"/>
    </row>
    <row r="169" spans="1:9">
      <c r="A169" s="88" t="s">
        <v>154</v>
      </c>
      <c r="B169" s="108" t="s">
        <v>79</v>
      </c>
      <c r="C169" s="109">
        <f t="shared" si="22"/>
        <v>-21007.200000000001</v>
      </c>
      <c r="D169" s="105" t="str">
        <f t="shared" si="23"/>
        <v>经纪业务部</v>
      </c>
      <c r="E169" s="105">
        <f t="shared" ref="E169:E218" si="25">-C169</f>
        <v>21007.200000000001</v>
      </c>
      <c r="F169" s="105" t="str">
        <f t="shared" si="24"/>
        <v>固定收益市场部</v>
      </c>
      <c r="G169" s="89" t="s">
        <v>103</v>
      </c>
      <c r="H169" s="100"/>
      <c r="I169" s="100"/>
    </row>
    <row r="170" spans="1:9">
      <c r="A170" s="88" t="s">
        <v>155</v>
      </c>
      <c r="B170" s="108" t="s">
        <v>79</v>
      </c>
      <c r="C170" s="109">
        <f t="shared" si="22"/>
        <v>108311.49</v>
      </c>
      <c r="D170" s="105" t="str">
        <f t="shared" si="23"/>
        <v>证券投资部</v>
      </c>
      <c r="E170" s="105">
        <f t="shared" si="25"/>
        <v>-108311.49</v>
      </c>
      <c r="F170" s="105" t="str">
        <f t="shared" si="24"/>
        <v>固定收益投资部</v>
      </c>
      <c r="G170" s="89" t="s">
        <v>103</v>
      </c>
      <c r="H170" s="100"/>
      <c r="I170" s="100"/>
    </row>
    <row r="171" spans="1:9">
      <c r="A171" s="88" t="s">
        <v>158</v>
      </c>
      <c r="B171" s="108" t="s">
        <v>79</v>
      </c>
      <c r="C171" s="109">
        <f t="shared" si="22"/>
        <v>41845.769999999997</v>
      </c>
      <c r="D171" s="105" t="str">
        <f t="shared" si="23"/>
        <v>证券投资部</v>
      </c>
      <c r="E171" s="105">
        <f t="shared" si="25"/>
        <v>-41845.769999999997</v>
      </c>
      <c r="F171" s="105" t="str">
        <f t="shared" si="24"/>
        <v>金融衍生品部</v>
      </c>
      <c r="G171" s="89" t="s">
        <v>103</v>
      </c>
      <c r="H171" s="100"/>
      <c r="I171" s="100"/>
    </row>
    <row r="172" spans="1:9">
      <c r="A172" s="88" t="s">
        <v>160</v>
      </c>
      <c r="B172" s="108" t="s">
        <v>79</v>
      </c>
      <c r="C172" s="109">
        <f t="shared" si="22"/>
        <v>108279.47</v>
      </c>
      <c r="D172" s="105" t="str">
        <f t="shared" si="23"/>
        <v>证券投资部</v>
      </c>
      <c r="E172" s="105">
        <f t="shared" si="25"/>
        <v>-108279.47</v>
      </c>
      <c r="F172" s="105" t="str">
        <f t="shared" si="24"/>
        <v>量化产品投资部</v>
      </c>
      <c r="G172" s="89" t="s">
        <v>103</v>
      </c>
      <c r="H172" s="100"/>
      <c r="I172" s="100"/>
    </row>
    <row r="173" spans="1:9">
      <c r="A173" s="88" t="s">
        <v>161</v>
      </c>
      <c r="B173" s="108" t="s">
        <v>79</v>
      </c>
      <c r="C173" s="109">
        <f t="shared" si="22"/>
        <v>1427.15</v>
      </c>
      <c r="D173" s="105" t="str">
        <f t="shared" si="23"/>
        <v>证券投资部</v>
      </c>
      <c r="E173" s="105">
        <f t="shared" si="25"/>
        <v>-1427.15</v>
      </c>
      <c r="F173" s="105" t="str">
        <f t="shared" si="24"/>
        <v>固定收益投资部</v>
      </c>
      <c r="G173" s="89" t="s">
        <v>103</v>
      </c>
      <c r="H173" s="100"/>
      <c r="I173" s="100"/>
    </row>
    <row r="174" spans="1:9">
      <c r="A174" s="88" t="s">
        <v>163</v>
      </c>
      <c r="B174" s="108" t="s">
        <v>79</v>
      </c>
      <c r="C174" s="109">
        <f t="shared" si="22"/>
        <v>-2993.12</v>
      </c>
      <c r="D174" s="105" t="str">
        <f t="shared" si="23"/>
        <v>证券投资部</v>
      </c>
      <c r="E174" s="105">
        <f t="shared" si="25"/>
        <v>2993.12</v>
      </c>
      <c r="F174" s="105" t="str">
        <f t="shared" si="24"/>
        <v>固定收益投资部</v>
      </c>
      <c r="G174" s="89" t="s">
        <v>103</v>
      </c>
      <c r="H174" s="100"/>
      <c r="I174" s="100"/>
    </row>
    <row r="175" spans="1:9">
      <c r="A175" s="88" t="s">
        <v>165</v>
      </c>
      <c r="B175" s="108" t="s">
        <v>79</v>
      </c>
      <c r="C175" s="109">
        <f t="shared" si="22"/>
        <v>-20696.23</v>
      </c>
      <c r="D175" s="105" t="str">
        <f t="shared" si="23"/>
        <v>投资银行三部</v>
      </c>
      <c r="E175" s="105">
        <f>-C175</f>
        <v>20696.23</v>
      </c>
      <c r="F175" s="105" t="str">
        <f t="shared" si="24"/>
        <v>经纪业务部</v>
      </c>
      <c r="G175" s="89" t="s">
        <v>103</v>
      </c>
      <c r="H175" s="100"/>
      <c r="I175" s="100"/>
    </row>
    <row r="176" spans="1:9">
      <c r="A176" s="88" t="s">
        <v>166</v>
      </c>
      <c r="B176" s="108" t="s">
        <v>79</v>
      </c>
      <c r="C176" s="109">
        <f t="shared" si="22"/>
        <v>26710.54</v>
      </c>
      <c r="D176" s="105" t="str">
        <f t="shared" si="23"/>
        <v>固定收益市场部</v>
      </c>
      <c r="E176" s="105">
        <f t="shared" si="25"/>
        <v>-26710.54</v>
      </c>
      <c r="F176" s="105" t="str">
        <f t="shared" si="24"/>
        <v>其他</v>
      </c>
      <c r="G176" s="89" t="s">
        <v>103</v>
      </c>
      <c r="H176" s="100"/>
      <c r="I176" s="100"/>
    </row>
    <row r="177" spans="1:9">
      <c r="A177" s="88" t="s">
        <v>168</v>
      </c>
      <c r="B177" s="108" t="s">
        <v>79</v>
      </c>
      <c r="C177" s="109">
        <f t="shared" si="22"/>
        <v>-81405.960000000006</v>
      </c>
      <c r="D177" s="105" t="str">
        <f t="shared" si="23"/>
        <v>固定收益市场部</v>
      </c>
      <c r="E177" s="105">
        <f t="shared" si="25"/>
        <v>81405.960000000006</v>
      </c>
      <c r="F177" s="105" t="str">
        <f t="shared" si="24"/>
        <v>总部中后台</v>
      </c>
      <c r="G177" s="89" t="s">
        <v>103</v>
      </c>
      <c r="H177" s="100"/>
      <c r="I177" s="100"/>
    </row>
    <row r="178" spans="1:9">
      <c r="A178" s="88" t="s">
        <v>169</v>
      </c>
      <c r="B178" s="108" t="s">
        <v>79</v>
      </c>
      <c r="C178" s="109">
        <f t="shared" si="22"/>
        <v>-175221.57</v>
      </c>
      <c r="D178" s="105" t="str">
        <f t="shared" si="23"/>
        <v>固定收益市场部</v>
      </c>
      <c r="E178" s="105">
        <f t="shared" si="25"/>
        <v>175221.57</v>
      </c>
      <c r="F178" s="105" t="str">
        <f t="shared" si="24"/>
        <v>其他</v>
      </c>
      <c r="G178" s="89" t="s">
        <v>103</v>
      </c>
      <c r="H178" s="100"/>
      <c r="I178" s="100"/>
    </row>
    <row r="179" spans="1:9">
      <c r="A179" s="88" t="s">
        <v>170</v>
      </c>
      <c r="B179" s="108" t="s">
        <v>79</v>
      </c>
      <c r="C179" s="109"/>
      <c r="D179" s="105" t="str">
        <f t="shared" si="23"/>
        <v>经纪业务部</v>
      </c>
      <c r="E179" s="105">
        <f t="shared" si="25"/>
        <v>0</v>
      </c>
      <c r="F179" s="105" t="str">
        <f t="shared" si="24"/>
        <v>其他</v>
      </c>
      <c r="G179" s="89" t="s">
        <v>103</v>
      </c>
      <c r="H179" s="100" t="s">
        <v>530</v>
      </c>
      <c r="I179" s="100"/>
    </row>
    <row r="180" spans="1:9">
      <c r="A180" s="88" t="s">
        <v>172</v>
      </c>
      <c r="B180" s="108" t="s">
        <v>79</v>
      </c>
      <c r="C180" s="109">
        <f t="shared" ref="C180:C186" si="26">ROUND(C64*0.0175,2)</f>
        <v>358070.48</v>
      </c>
      <c r="D180" s="105" t="str">
        <f t="shared" si="23"/>
        <v>经纪业务部</v>
      </c>
      <c r="E180" s="105">
        <f t="shared" si="25"/>
        <v>-358070.48</v>
      </c>
      <c r="F180" s="105" t="str">
        <f t="shared" si="24"/>
        <v>总部中后台</v>
      </c>
      <c r="G180" s="89" t="s">
        <v>103</v>
      </c>
      <c r="H180" s="100"/>
      <c r="I180" s="100"/>
    </row>
    <row r="181" spans="1:9">
      <c r="A181" s="88" t="s">
        <v>174</v>
      </c>
      <c r="B181" s="108" t="s">
        <v>79</v>
      </c>
      <c r="C181" s="109">
        <f t="shared" si="26"/>
        <v>51955.56</v>
      </c>
      <c r="D181" s="105" t="str">
        <f t="shared" si="23"/>
        <v>投资银行一部</v>
      </c>
      <c r="E181" s="105">
        <f t="shared" si="25"/>
        <v>-51955.56</v>
      </c>
      <c r="F181" s="105" t="str">
        <f t="shared" si="24"/>
        <v>总部中后台</v>
      </c>
      <c r="G181" s="89" t="s">
        <v>103</v>
      </c>
      <c r="H181" s="100"/>
      <c r="I181" s="100"/>
    </row>
    <row r="182" spans="1:9">
      <c r="A182" s="88" t="s">
        <v>175</v>
      </c>
      <c r="B182" s="108" t="s">
        <v>79</v>
      </c>
      <c r="C182" s="109">
        <f t="shared" si="26"/>
        <v>2811.67</v>
      </c>
      <c r="D182" s="105" t="str">
        <f t="shared" si="23"/>
        <v>投资银行二部</v>
      </c>
      <c r="E182" s="105">
        <f t="shared" si="25"/>
        <v>-2811.67</v>
      </c>
      <c r="F182" s="105" t="str">
        <f t="shared" si="24"/>
        <v>总部中后台</v>
      </c>
      <c r="G182" s="89" t="s">
        <v>103</v>
      </c>
      <c r="H182" s="100"/>
      <c r="I182" s="100"/>
    </row>
    <row r="183" spans="1:9">
      <c r="A183" s="88" t="s">
        <v>177</v>
      </c>
      <c r="B183" s="108" t="s">
        <v>79</v>
      </c>
      <c r="C183" s="109">
        <f t="shared" si="26"/>
        <v>-4791.18</v>
      </c>
      <c r="D183" s="105" t="str">
        <f t="shared" si="23"/>
        <v>量化产品投资部</v>
      </c>
      <c r="E183" s="105">
        <f t="shared" si="25"/>
        <v>4791.18</v>
      </c>
      <c r="F183" s="105" t="str">
        <f t="shared" si="24"/>
        <v>总部中后台</v>
      </c>
      <c r="G183" s="89" t="s">
        <v>103</v>
      </c>
      <c r="H183" s="100"/>
      <c r="I183" s="100"/>
    </row>
    <row r="184" spans="1:9">
      <c r="A184" s="88" t="s">
        <v>179</v>
      </c>
      <c r="B184" s="108" t="s">
        <v>79</v>
      </c>
      <c r="C184" s="109">
        <f t="shared" si="26"/>
        <v>-17642.03</v>
      </c>
      <c r="D184" s="105" t="str">
        <f t="shared" si="23"/>
        <v>固定收益投资部</v>
      </c>
      <c r="E184" s="105">
        <f t="shared" si="25"/>
        <v>17642.03</v>
      </c>
      <c r="F184" s="105" t="str">
        <f t="shared" si="24"/>
        <v>总部中后台</v>
      </c>
      <c r="G184" s="89" t="s">
        <v>103</v>
      </c>
      <c r="H184" s="100"/>
      <c r="I184" s="100"/>
    </row>
    <row r="185" spans="1:9">
      <c r="A185" s="88" t="s">
        <v>181</v>
      </c>
      <c r="B185" s="108" t="s">
        <v>79</v>
      </c>
      <c r="C185" s="109">
        <f t="shared" si="26"/>
        <v>46004.36</v>
      </c>
      <c r="D185" s="105" t="str">
        <f t="shared" si="23"/>
        <v>经纪业务部</v>
      </c>
      <c r="E185" s="105">
        <f t="shared" si="25"/>
        <v>-46004.36</v>
      </c>
      <c r="F185" s="105" t="str">
        <f t="shared" si="24"/>
        <v>其他</v>
      </c>
      <c r="G185" s="89" t="s">
        <v>103</v>
      </c>
      <c r="H185" s="100"/>
      <c r="I185" s="100"/>
    </row>
    <row r="186" spans="1:9">
      <c r="A186" s="88" t="s">
        <v>183</v>
      </c>
      <c r="B186" s="108" t="s">
        <v>79</v>
      </c>
      <c r="C186" s="109">
        <f t="shared" si="26"/>
        <v>-1767.45</v>
      </c>
      <c r="D186" s="105" t="str">
        <f t="shared" si="23"/>
        <v>金融衍生品部</v>
      </c>
      <c r="E186" s="105">
        <f t="shared" si="25"/>
        <v>1767.45</v>
      </c>
      <c r="F186" s="105" t="str">
        <f t="shared" si="24"/>
        <v>总部中后台</v>
      </c>
      <c r="G186" s="89" t="s">
        <v>103</v>
      </c>
      <c r="H186" s="100"/>
      <c r="I186" s="100"/>
    </row>
    <row r="187" spans="1:9">
      <c r="A187" s="88" t="s">
        <v>184</v>
      </c>
      <c r="B187" s="108" t="s">
        <v>79</v>
      </c>
      <c r="C187" s="109"/>
      <c r="D187" s="105" t="str">
        <f t="shared" si="23"/>
        <v>经纪业务部</v>
      </c>
      <c r="E187" s="105">
        <f t="shared" si="25"/>
        <v>0</v>
      </c>
      <c r="F187" s="105" t="str">
        <f t="shared" si="24"/>
        <v>其他</v>
      </c>
      <c r="G187" s="89" t="s">
        <v>103</v>
      </c>
      <c r="H187" s="100" t="s">
        <v>531</v>
      </c>
      <c r="I187" s="100"/>
    </row>
    <row r="188" spans="1:9">
      <c r="A188" s="88" t="s">
        <v>186</v>
      </c>
      <c r="B188" s="108" t="s">
        <v>79</v>
      </c>
      <c r="C188" s="109">
        <f t="shared" ref="C188:C218" si="27">ROUND(C72*0.0175,2)</f>
        <v>9905.66</v>
      </c>
      <c r="D188" s="105" t="str">
        <f t="shared" si="23"/>
        <v>投资银行一部</v>
      </c>
      <c r="E188" s="105">
        <f t="shared" si="25"/>
        <v>-9905.66</v>
      </c>
      <c r="F188" s="105" t="str">
        <f t="shared" si="24"/>
        <v>投资银行管理部</v>
      </c>
      <c r="G188" s="89" t="s">
        <v>103</v>
      </c>
      <c r="H188" s="100"/>
      <c r="I188" s="100"/>
    </row>
    <row r="189" spans="1:9">
      <c r="A189" s="88" t="s">
        <v>187</v>
      </c>
      <c r="B189" s="108" t="s">
        <v>79</v>
      </c>
      <c r="C189" s="109">
        <f t="shared" si="27"/>
        <v>0</v>
      </c>
      <c r="D189" s="105" t="str">
        <f t="shared" si="23"/>
        <v>投资银行二部</v>
      </c>
      <c r="E189" s="105">
        <f t="shared" si="25"/>
        <v>0</v>
      </c>
      <c r="F189" s="105" t="str">
        <f t="shared" si="24"/>
        <v>投资银行管理部</v>
      </c>
      <c r="G189" s="89" t="s">
        <v>103</v>
      </c>
      <c r="H189" s="100"/>
      <c r="I189" s="100"/>
    </row>
    <row r="190" spans="1:9">
      <c r="A190" s="88" t="s">
        <v>189</v>
      </c>
      <c r="B190" s="108" t="s">
        <v>79</v>
      </c>
      <c r="C190" s="109">
        <f t="shared" si="27"/>
        <v>-11270.56</v>
      </c>
      <c r="D190" s="105" t="str">
        <f t="shared" si="23"/>
        <v>固收产品投资部</v>
      </c>
      <c r="E190" s="105">
        <f t="shared" si="25"/>
        <v>11270.56</v>
      </c>
      <c r="F190" s="105" t="str">
        <f t="shared" si="24"/>
        <v>经纪业务部</v>
      </c>
      <c r="G190" s="89" t="s">
        <v>103</v>
      </c>
      <c r="H190" s="100"/>
      <c r="I190" s="100"/>
    </row>
    <row r="191" spans="1:9">
      <c r="A191" s="88" t="s">
        <v>190</v>
      </c>
      <c r="B191" s="108" t="s">
        <v>79</v>
      </c>
      <c r="C191" s="109">
        <f t="shared" si="27"/>
        <v>-6783.23</v>
      </c>
      <c r="D191" s="105" t="str">
        <f t="shared" si="23"/>
        <v>资产管理部</v>
      </c>
      <c r="E191" s="105">
        <f t="shared" si="25"/>
        <v>6783.23</v>
      </c>
      <c r="F191" s="105" t="str">
        <f t="shared" si="24"/>
        <v>经纪业务部</v>
      </c>
      <c r="G191" s="89" t="s">
        <v>103</v>
      </c>
      <c r="H191" s="100"/>
      <c r="I191" s="100"/>
    </row>
    <row r="192" spans="1:9">
      <c r="A192" s="88" t="s">
        <v>191</v>
      </c>
      <c r="B192" s="108" t="s">
        <v>79</v>
      </c>
      <c r="C192" s="109">
        <f t="shared" si="27"/>
        <v>-27579.75</v>
      </c>
      <c r="D192" s="105" t="str">
        <f t="shared" si="23"/>
        <v>资产管理部</v>
      </c>
      <c r="E192" s="105">
        <f t="shared" si="25"/>
        <v>27579.75</v>
      </c>
      <c r="F192" s="105" t="str">
        <f t="shared" si="24"/>
        <v>其他</v>
      </c>
      <c r="G192" s="89" t="s">
        <v>103</v>
      </c>
      <c r="H192" s="100"/>
      <c r="I192" s="100"/>
    </row>
    <row r="193" spans="1:9">
      <c r="A193" s="88" t="s">
        <v>194</v>
      </c>
      <c r="B193" s="108" t="s">
        <v>79</v>
      </c>
      <c r="C193" s="109">
        <f t="shared" si="27"/>
        <v>27579.75</v>
      </c>
      <c r="D193" s="105" t="str">
        <f t="shared" si="23"/>
        <v>资产管理部</v>
      </c>
      <c r="E193" s="105">
        <f t="shared" si="25"/>
        <v>-27579.75</v>
      </c>
      <c r="F193" s="105" t="str">
        <f t="shared" si="24"/>
        <v>其他</v>
      </c>
      <c r="G193" s="89" t="s">
        <v>103</v>
      </c>
      <c r="H193" s="100"/>
      <c r="I193" s="100"/>
    </row>
    <row r="194" spans="1:9">
      <c r="A194" s="88" t="s">
        <v>197</v>
      </c>
      <c r="B194" s="108" t="s">
        <v>79</v>
      </c>
      <c r="C194" s="109">
        <f t="shared" si="27"/>
        <v>-6273.58</v>
      </c>
      <c r="D194" s="105" t="str">
        <f t="shared" si="23"/>
        <v>资产管理部</v>
      </c>
      <c r="E194" s="105">
        <f t="shared" si="25"/>
        <v>6273.58</v>
      </c>
      <c r="F194" s="105" t="str">
        <f t="shared" si="24"/>
        <v>投资银行一部</v>
      </c>
      <c r="G194" s="89" t="s">
        <v>103</v>
      </c>
      <c r="H194" s="100"/>
      <c r="I194" s="100"/>
    </row>
    <row r="195" spans="1:9">
      <c r="A195" s="88" t="s">
        <v>199</v>
      </c>
      <c r="B195" s="108" t="s">
        <v>79</v>
      </c>
      <c r="C195" s="109">
        <f t="shared" si="27"/>
        <v>-498.55</v>
      </c>
      <c r="D195" s="105" t="str">
        <f t="shared" si="23"/>
        <v>做市业务部</v>
      </c>
      <c r="E195" s="105">
        <f t="shared" si="25"/>
        <v>498.55</v>
      </c>
      <c r="F195" s="105" t="str">
        <f t="shared" si="24"/>
        <v>投资银行三部</v>
      </c>
      <c r="G195" s="89" t="s">
        <v>103</v>
      </c>
      <c r="H195" s="100"/>
      <c r="I195" s="100"/>
    </row>
    <row r="196" spans="1:9">
      <c r="A196" s="88" t="s">
        <v>200</v>
      </c>
      <c r="B196" s="108" t="s">
        <v>79</v>
      </c>
      <c r="C196" s="109">
        <f t="shared" si="27"/>
        <v>1307.02</v>
      </c>
      <c r="D196" s="105" t="str">
        <f t="shared" si="23"/>
        <v>做市业务部</v>
      </c>
      <c r="E196" s="105">
        <f t="shared" si="25"/>
        <v>-1307.02</v>
      </c>
      <c r="F196" s="105" t="str">
        <f t="shared" si="24"/>
        <v>投资银行三部</v>
      </c>
      <c r="G196" s="89" t="s">
        <v>103</v>
      </c>
      <c r="H196" s="100"/>
      <c r="I196" s="100"/>
    </row>
    <row r="197" spans="1:9">
      <c r="A197" s="88" t="s">
        <v>201</v>
      </c>
      <c r="B197" s="108" t="s">
        <v>79</v>
      </c>
      <c r="C197" s="109">
        <f t="shared" si="27"/>
        <v>22415.94</v>
      </c>
      <c r="D197" s="105" t="str">
        <f t="shared" si="23"/>
        <v>固定收益投资部</v>
      </c>
      <c r="E197" s="105">
        <f t="shared" si="25"/>
        <v>-22415.94</v>
      </c>
      <c r="F197" s="105" t="str">
        <f t="shared" si="24"/>
        <v>投顾业务部</v>
      </c>
      <c r="G197" s="89" t="s">
        <v>103</v>
      </c>
      <c r="H197" s="100"/>
      <c r="I197" s="100"/>
    </row>
    <row r="198" spans="1:9">
      <c r="A198" s="88" t="s">
        <v>202</v>
      </c>
      <c r="B198" s="108" t="s">
        <v>79</v>
      </c>
      <c r="C198" s="109">
        <f t="shared" si="27"/>
        <v>-35961.71</v>
      </c>
      <c r="D198" s="105" t="str">
        <f t="shared" si="23"/>
        <v>固收产品投资部</v>
      </c>
      <c r="E198" s="105">
        <f t="shared" si="25"/>
        <v>35961.71</v>
      </c>
      <c r="F198" s="105" t="str">
        <f t="shared" si="24"/>
        <v>投顾业务部</v>
      </c>
      <c r="G198" s="89" t="s">
        <v>103</v>
      </c>
      <c r="H198" s="100"/>
      <c r="I198" s="100"/>
    </row>
    <row r="199" spans="1:9">
      <c r="A199" s="88" t="s">
        <v>204</v>
      </c>
      <c r="B199" s="108" t="s">
        <v>79</v>
      </c>
      <c r="C199" s="109">
        <f t="shared" si="27"/>
        <v>-65.8</v>
      </c>
      <c r="D199" s="105" t="str">
        <f t="shared" si="23"/>
        <v>固收产品投资部</v>
      </c>
      <c r="E199" s="105">
        <f t="shared" si="25"/>
        <v>65.8</v>
      </c>
      <c r="F199" s="105" t="str">
        <f t="shared" si="24"/>
        <v>投顾业务部</v>
      </c>
      <c r="G199" s="89" t="s">
        <v>103</v>
      </c>
      <c r="H199" s="100"/>
      <c r="I199" s="100"/>
    </row>
    <row r="200" spans="1:9">
      <c r="A200" s="88" t="s">
        <v>205</v>
      </c>
      <c r="B200" s="108" t="s">
        <v>79</v>
      </c>
      <c r="C200" s="109">
        <f t="shared" si="27"/>
        <v>-1877.57</v>
      </c>
      <c r="D200" s="105" t="str">
        <f t="shared" ref="D200:D217" si="28">D84</f>
        <v>固收产品投资部</v>
      </c>
      <c r="E200" s="105">
        <f t="shared" si="25"/>
        <v>1877.57</v>
      </c>
      <c r="F200" s="105" t="str">
        <f t="shared" ref="F200:F217" si="29">F84</f>
        <v>投顾业务部</v>
      </c>
      <c r="G200" s="89" t="s">
        <v>103</v>
      </c>
      <c r="H200" s="100"/>
      <c r="I200" s="100"/>
    </row>
    <row r="201" spans="1:9">
      <c r="A201" s="88" t="s">
        <v>206</v>
      </c>
      <c r="B201" s="108" t="s">
        <v>79</v>
      </c>
      <c r="C201" s="109">
        <f t="shared" si="27"/>
        <v>-234.38</v>
      </c>
      <c r="D201" s="105" t="str">
        <f t="shared" si="28"/>
        <v>固收产品投资部</v>
      </c>
      <c r="E201" s="105">
        <f t="shared" si="25"/>
        <v>234.38</v>
      </c>
      <c r="F201" s="105" t="str">
        <f t="shared" si="29"/>
        <v>投顾业务部</v>
      </c>
      <c r="G201" s="89" t="s">
        <v>103</v>
      </c>
      <c r="H201" s="100"/>
      <c r="I201" s="100"/>
    </row>
    <row r="202" spans="1:9">
      <c r="A202" s="88" t="s">
        <v>208</v>
      </c>
      <c r="B202" s="108" t="s">
        <v>534</v>
      </c>
      <c r="C202" s="109">
        <f t="shared" si="27"/>
        <v>0</v>
      </c>
      <c r="D202" s="105">
        <f t="shared" si="28"/>
        <v>0</v>
      </c>
      <c r="E202" s="105">
        <f t="shared" ref="E202" si="30">-C202</f>
        <v>0</v>
      </c>
      <c r="F202" s="105">
        <f t="shared" si="29"/>
        <v>0</v>
      </c>
      <c r="G202" s="89" t="s">
        <v>103</v>
      </c>
      <c r="H202" s="100"/>
      <c r="I202" s="100"/>
    </row>
    <row r="203" spans="1:9">
      <c r="A203" s="88" t="s">
        <v>208</v>
      </c>
      <c r="B203" s="108" t="s">
        <v>79</v>
      </c>
      <c r="C203" s="109">
        <f t="shared" si="27"/>
        <v>-7594.34</v>
      </c>
      <c r="D203" s="105" t="str">
        <f t="shared" si="28"/>
        <v>资产管理部</v>
      </c>
      <c r="E203" s="105">
        <f t="shared" si="25"/>
        <v>7594.34</v>
      </c>
      <c r="F203" s="105" t="str">
        <f t="shared" si="29"/>
        <v>经纪业务部</v>
      </c>
      <c r="G203" s="89" t="s">
        <v>103</v>
      </c>
      <c r="H203" s="100"/>
      <c r="I203" s="100"/>
    </row>
    <row r="204" spans="1:9">
      <c r="A204" s="88" t="s">
        <v>210</v>
      </c>
      <c r="B204" s="108" t="s">
        <v>79</v>
      </c>
      <c r="C204" s="109">
        <f t="shared" si="27"/>
        <v>-1700.3</v>
      </c>
      <c r="D204" s="105" t="str">
        <f t="shared" si="28"/>
        <v>资产管理部</v>
      </c>
      <c r="E204" s="105">
        <f t="shared" si="25"/>
        <v>1700.3</v>
      </c>
      <c r="F204" s="105" t="str">
        <f t="shared" si="29"/>
        <v>经纪业务部</v>
      </c>
      <c r="G204" s="89" t="s">
        <v>103</v>
      </c>
      <c r="H204" s="100"/>
      <c r="I204" s="100"/>
    </row>
    <row r="205" spans="1:9">
      <c r="A205" s="88" t="s">
        <v>211</v>
      </c>
      <c r="B205" s="108" t="s">
        <v>79</v>
      </c>
      <c r="C205" s="109">
        <f t="shared" si="27"/>
        <v>-15234.54</v>
      </c>
      <c r="D205" s="105" t="str">
        <f t="shared" si="28"/>
        <v>资产管理部</v>
      </c>
      <c r="E205" s="105">
        <f t="shared" si="25"/>
        <v>15234.54</v>
      </c>
      <c r="F205" s="105" t="str">
        <f t="shared" si="29"/>
        <v>经纪业务部</v>
      </c>
      <c r="G205" s="89" t="s">
        <v>103</v>
      </c>
      <c r="H205" s="100"/>
      <c r="I205" s="100"/>
    </row>
    <row r="206" spans="1:9">
      <c r="A206" s="88" t="s">
        <v>213</v>
      </c>
      <c r="B206" s="108" t="s">
        <v>79</v>
      </c>
      <c r="C206" s="109">
        <f t="shared" si="27"/>
        <v>-2025.82</v>
      </c>
      <c r="D206" s="105" t="str">
        <f t="shared" si="28"/>
        <v>资产管理部</v>
      </c>
      <c r="E206" s="105">
        <f t="shared" si="25"/>
        <v>2025.82</v>
      </c>
      <c r="F206" s="105" t="str">
        <f t="shared" si="29"/>
        <v>经纪业务部</v>
      </c>
      <c r="G206" s="89" t="s">
        <v>103</v>
      </c>
      <c r="H206" s="100"/>
      <c r="I206" s="100"/>
    </row>
    <row r="207" spans="1:9">
      <c r="A207" s="88" t="s">
        <v>214</v>
      </c>
      <c r="B207" s="108" t="s">
        <v>79</v>
      </c>
      <c r="C207" s="109">
        <f t="shared" si="27"/>
        <v>-21629.56</v>
      </c>
      <c r="D207" s="105" t="str">
        <f t="shared" si="28"/>
        <v>投资银行三部</v>
      </c>
      <c r="E207" s="105">
        <f t="shared" si="25"/>
        <v>21629.56</v>
      </c>
      <c r="F207" s="105" t="str">
        <f t="shared" si="29"/>
        <v>其他</v>
      </c>
      <c r="G207" s="89" t="s">
        <v>103</v>
      </c>
      <c r="H207" s="100"/>
      <c r="I207" s="100"/>
    </row>
    <row r="208" spans="1:9">
      <c r="A208" s="88" t="s">
        <v>215</v>
      </c>
      <c r="B208" s="108" t="s">
        <v>79</v>
      </c>
      <c r="C208" s="109">
        <f t="shared" si="27"/>
        <v>-825.47</v>
      </c>
      <c r="D208" s="105" t="str">
        <f t="shared" si="28"/>
        <v>投资银行二部</v>
      </c>
      <c r="E208" s="105">
        <f t="shared" si="25"/>
        <v>825.47</v>
      </c>
      <c r="F208" s="105" t="str">
        <f t="shared" si="29"/>
        <v>其他</v>
      </c>
      <c r="G208" s="89" t="s">
        <v>103</v>
      </c>
      <c r="H208" s="100"/>
      <c r="I208" s="100"/>
    </row>
    <row r="209" spans="1:9">
      <c r="A209" s="88" t="s">
        <v>218</v>
      </c>
      <c r="B209" s="108" t="s">
        <v>79</v>
      </c>
      <c r="C209" s="109">
        <f t="shared" si="27"/>
        <v>119312.56</v>
      </c>
      <c r="D209" s="105" t="str">
        <f t="shared" si="28"/>
        <v>证券投资部</v>
      </c>
      <c r="E209" s="105">
        <f t="shared" si="25"/>
        <v>-119312.56</v>
      </c>
      <c r="F209" s="105" t="str">
        <f t="shared" si="29"/>
        <v>量化产品投资部</v>
      </c>
      <c r="G209" s="89" t="s">
        <v>103</v>
      </c>
      <c r="H209" s="100"/>
      <c r="I209" s="100"/>
    </row>
    <row r="210" spans="1:9">
      <c r="A210" s="88" t="s">
        <v>221</v>
      </c>
      <c r="B210" s="108" t="s">
        <v>79</v>
      </c>
      <c r="C210" s="109">
        <f t="shared" si="27"/>
        <v>-61971.199999999997</v>
      </c>
      <c r="D210" s="105" t="str">
        <f t="shared" si="28"/>
        <v>证券投资部</v>
      </c>
      <c r="E210" s="105">
        <f t="shared" si="25"/>
        <v>61971.199999999997</v>
      </c>
      <c r="F210" s="105" t="str">
        <f t="shared" si="29"/>
        <v>量化产品投资部</v>
      </c>
      <c r="G210" s="89" t="s">
        <v>103</v>
      </c>
      <c r="H210" s="100"/>
      <c r="I210" s="100"/>
    </row>
    <row r="211" spans="1:9">
      <c r="A211" s="88" t="s">
        <v>224</v>
      </c>
      <c r="B211" s="108" t="s">
        <v>79</v>
      </c>
      <c r="C211" s="109">
        <f t="shared" si="27"/>
        <v>-45571.79</v>
      </c>
      <c r="D211" s="105" t="str">
        <f t="shared" si="28"/>
        <v>证券投资部</v>
      </c>
      <c r="E211" s="105">
        <f t="shared" si="25"/>
        <v>45571.79</v>
      </c>
      <c r="F211" s="105" t="str">
        <f t="shared" si="29"/>
        <v>量化产品投资部</v>
      </c>
      <c r="G211" s="89" t="s">
        <v>103</v>
      </c>
      <c r="H211" s="100"/>
      <c r="I211" s="100"/>
    </row>
    <row r="212" spans="1:9">
      <c r="A212" s="88" t="s">
        <v>227</v>
      </c>
      <c r="B212" s="108" t="s">
        <v>79</v>
      </c>
      <c r="C212" s="109">
        <f t="shared" si="27"/>
        <v>-660.38</v>
      </c>
      <c r="D212" s="105" t="str">
        <f t="shared" si="28"/>
        <v>证券投资部</v>
      </c>
      <c r="E212" s="105">
        <f t="shared" si="25"/>
        <v>660.38</v>
      </c>
      <c r="F212" s="105" t="str">
        <f t="shared" si="29"/>
        <v>量化产品投资部</v>
      </c>
      <c r="G212" s="89" t="s">
        <v>103</v>
      </c>
      <c r="H212" s="100"/>
      <c r="I212" s="100"/>
    </row>
    <row r="213" spans="1:9">
      <c r="A213" s="88" t="s">
        <v>228</v>
      </c>
      <c r="B213" s="108" t="s">
        <v>79</v>
      </c>
      <c r="C213" s="109">
        <f t="shared" si="27"/>
        <v>118751.85</v>
      </c>
      <c r="D213" s="105" t="str">
        <f t="shared" si="28"/>
        <v>金融衍生品部</v>
      </c>
      <c r="E213" s="105">
        <f t="shared" si="25"/>
        <v>-118751.85</v>
      </c>
      <c r="F213" s="105" t="str">
        <f t="shared" si="29"/>
        <v>其他</v>
      </c>
      <c r="G213" s="89" t="s">
        <v>103</v>
      </c>
      <c r="H213" s="100"/>
      <c r="I213" s="100"/>
    </row>
    <row r="214" spans="1:9">
      <c r="A214" s="88" t="s">
        <v>229</v>
      </c>
      <c r="B214" s="108" t="s">
        <v>79</v>
      </c>
      <c r="C214" s="109">
        <f t="shared" si="27"/>
        <v>273000</v>
      </c>
      <c r="D214" s="105" t="str">
        <f t="shared" si="28"/>
        <v>固定收益市场部</v>
      </c>
      <c r="E214" s="105">
        <f t="shared" si="25"/>
        <v>-273000</v>
      </c>
      <c r="F214" s="105" t="str">
        <f t="shared" si="29"/>
        <v>其他</v>
      </c>
      <c r="G214" s="89" t="s">
        <v>103</v>
      </c>
      <c r="H214" s="100"/>
      <c r="I214" s="100"/>
    </row>
    <row r="215" spans="1:9">
      <c r="A215" s="88" t="s">
        <v>230</v>
      </c>
      <c r="B215" s="108" t="s">
        <v>79</v>
      </c>
      <c r="C215" s="109">
        <f t="shared" si="27"/>
        <v>-387.97</v>
      </c>
      <c r="D215" s="105" t="str">
        <f t="shared" si="28"/>
        <v>资产管理部</v>
      </c>
      <c r="E215" s="105">
        <f t="shared" si="25"/>
        <v>387.97</v>
      </c>
      <c r="F215" s="105" t="str">
        <f t="shared" si="29"/>
        <v>经纪业务部</v>
      </c>
      <c r="G215" s="89" t="s">
        <v>103</v>
      </c>
      <c r="H215" s="100"/>
      <c r="I215" s="100"/>
    </row>
    <row r="216" spans="1:9">
      <c r="A216" s="88" t="s">
        <v>232</v>
      </c>
      <c r="B216" s="108" t="s">
        <v>79</v>
      </c>
      <c r="C216" s="109">
        <f t="shared" si="27"/>
        <v>879.28</v>
      </c>
      <c r="D216" s="105" t="str">
        <f t="shared" si="28"/>
        <v>资产管理部</v>
      </c>
      <c r="E216" s="105">
        <f t="shared" si="25"/>
        <v>-879.28</v>
      </c>
      <c r="F216" s="105" t="str">
        <f t="shared" si="29"/>
        <v>经纪业务部</v>
      </c>
      <c r="G216" s="89" t="s">
        <v>103</v>
      </c>
      <c r="H216" s="100"/>
      <c r="I216" s="100"/>
    </row>
    <row r="217" spans="1:9">
      <c r="A217" s="88" t="s">
        <v>234</v>
      </c>
      <c r="B217" s="108" t="s">
        <v>79</v>
      </c>
      <c r="C217" s="109">
        <f t="shared" si="27"/>
        <v>11391.5</v>
      </c>
      <c r="D217" s="105" t="str">
        <f t="shared" si="28"/>
        <v>固定收益市场部</v>
      </c>
      <c r="E217" s="105">
        <f t="shared" si="25"/>
        <v>-11391.5</v>
      </c>
      <c r="F217" s="105" t="str">
        <f t="shared" si="29"/>
        <v>投顾业务部</v>
      </c>
      <c r="G217" s="89" t="s">
        <v>103</v>
      </c>
      <c r="H217" s="100"/>
      <c r="I217" s="100"/>
    </row>
    <row r="218" spans="1:9">
      <c r="A218" s="88" t="s">
        <v>236</v>
      </c>
      <c r="B218" s="108" t="s">
        <v>79</v>
      </c>
      <c r="C218" s="109">
        <f t="shared" si="27"/>
        <v>-1040.32</v>
      </c>
      <c r="D218" s="105" t="str">
        <f t="shared" ref="D218" si="31">D102</f>
        <v>投顾业务部</v>
      </c>
      <c r="E218" s="105">
        <f t="shared" si="25"/>
        <v>1040.32</v>
      </c>
      <c r="F218" s="105" t="str">
        <f t="shared" ref="F218" si="32">F102</f>
        <v>经纪业务部</v>
      </c>
      <c r="G218" s="89" t="s">
        <v>103</v>
      </c>
      <c r="H218" s="100"/>
      <c r="I218" s="100"/>
    </row>
    <row r="219" spans="1:9">
      <c r="A219" s="88" t="s">
        <v>238</v>
      </c>
      <c r="B219" s="108" t="s">
        <v>79</v>
      </c>
      <c r="C219" s="109"/>
      <c r="D219" s="105"/>
      <c r="E219" s="105"/>
      <c r="F219" s="105"/>
      <c r="G219" s="89" t="s">
        <v>103</v>
      </c>
      <c r="H219" s="100"/>
      <c r="I219" s="100"/>
    </row>
    <row r="220" spans="1:9">
      <c r="A220" s="88" t="s">
        <v>240</v>
      </c>
      <c r="B220" s="108" t="s">
        <v>79</v>
      </c>
      <c r="C220" s="109"/>
      <c r="D220" s="105"/>
      <c r="E220" s="105"/>
      <c r="F220" s="105"/>
      <c r="G220" s="89" t="s">
        <v>103</v>
      </c>
      <c r="H220" s="100"/>
      <c r="I220" s="100"/>
    </row>
    <row r="221" spans="1:9">
      <c r="A221" s="88" t="s">
        <v>241</v>
      </c>
      <c r="B221" s="108" t="s">
        <v>79</v>
      </c>
      <c r="C221" s="109"/>
      <c r="D221" s="105"/>
      <c r="E221" s="105"/>
      <c r="F221" s="105"/>
      <c r="G221" s="89" t="s">
        <v>103</v>
      </c>
      <c r="H221" s="100"/>
      <c r="I221" s="100"/>
    </row>
    <row r="222" spans="1:9">
      <c r="A222" s="88" t="s">
        <v>242</v>
      </c>
      <c r="B222" s="108" t="s">
        <v>79</v>
      </c>
      <c r="C222" s="109"/>
      <c r="D222" s="105"/>
      <c r="E222" s="105"/>
      <c r="F222" s="105"/>
      <c r="G222" s="89" t="s">
        <v>103</v>
      </c>
      <c r="H222" s="100"/>
      <c r="I222" s="100"/>
    </row>
    <row r="223" spans="1:9">
      <c r="A223" s="88" t="s">
        <v>243</v>
      </c>
      <c r="B223" s="108" t="s">
        <v>79</v>
      </c>
      <c r="C223" s="109"/>
      <c r="D223" s="105"/>
      <c r="E223" s="105"/>
      <c r="F223" s="105"/>
      <c r="G223" s="89" t="s">
        <v>103</v>
      </c>
      <c r="H223" s="100"/>
      <c r="I223" s="100"/>
    </row>
    <row r="224" spans="1:9">
      <c r="A224" s="88" t="s">
        <v>246</v>
      </c>
      <c r="B224" s="108" t="s">
        <v>79</v>
      </c>
      <c r="C224" s="109"/>
      <c r="D224" s="105"/>
      <c r="E224" s="105"/>
      <c r="F224" s="105"/>
      <c r="G224" s="89" t="s">
        <v>103</v>
      </c>
      <c r="H224" s="100"/>
      <c r="I224" s="100"/>
    </row>
    <row r="225" spans="1:22">
      <c r="A225" s="88" t="s">
        <v>252</v>
      </c>
      <c r="B225" s="108" t="s">
        <v>79</v>
      </c>
      <c r="C225" s="109"/>
      <c r="D225" s="105"/>
      <c r="E225" s="105"/>
      <c r="F225" s="105"/>
      <c r="G225" s="89" t="s">
        <v>103</v>
      </c>
      <c r="H225" s="100"/>
      <c r="I225" s="100"/>
    </row>
    <row r="226" spans="1:22">
      <c r="A226" s="88" t="s">
        <v>250</v>
      </c>
      <c r="B226" s="108" t="s">
        <v>79</v>
      </c>
      <c r="C226" s="109">
        <f t="shared" ref="C226" si="33">ROUND(C103*0.0175,2)</f>
        <v>0</v>
      </c>
      <c r="D226" s="105">
        <f t="shared" ref="D226" si="34">D103</f>
        <v>0</v>
      </c>
      <c r="E226" s="105">
        <f t="shared" ref="E226" si="35">-C226</f>
        <v>0</v>
      </c>
      <c r="F226" s="105">
        <f t="shared" ref="F226" si="36">F103</f>
        <v>0</v>
      </c>
      <c r="G226" s="89" t="s">
        <v>103</v>
      </c>
      <c r="H226" s="100"/>
      <c r="I226" s="100"/>
    </row>
    <row r="227" spans="1:22">
      <c r="A227" s="88" t="s">
        <v>250</v>
      </c>
      <c r="B227" s="108" t="s">
        <v>79</v>
      </c>
      <c r="C227" s="109"/>
      <c r="D227" s="105">
        <f t="shared" ref="D227" si="37">D104</f>
        <v>0</v>
      </c>
      <c r="E227" s="105">
        <f t="shared" ref="E227" si="38">-C227</f>
        <v>0</v>
      </c>
      <c r="F227" s="105">
        <f t="shared" ref="F227" si="39">F105</f>
        <v>0</v>
      </c>
      <c r="G227" s="89" t="s">
        <v>103</v>
      </c>
      <c r="H227" s="100"/>
      <c r="I227" s="100"/>
    </row>
    <row r="228" spans="1:22">
      <c r="A228" s="82"/>
      <c r="B228" s="82"/>
      <c r="C228" s="87"/>
      <c r="D228" s="87"/>
      <c r="E228" s="87"/>
      <c r="F228" s="107" t="s">
        <v>6</v>
      </c>
      <c r="G228" s="82"/>
      <c r="H228" s="107"/>
      <c r="I228" s="107"/>
    </row>
    <row r="229" spans="1:22" s="231" customFormat="1">
      <c r="A229" s="229" t="s">
        <v>138</v>
      </c>
      <c r="B229" s="229" t="s">
        <v>79</v>
      </c>
      <c r="C229" s="96">
        <v>-514548</v>
      </c>
      <c r="D229" s="96" t="s">
        <v>8</v>
      </c>
      <c r="E229" s="96">
        <f t="shared" ref="E229:E236" si="40">-C229</f>
        <v>514548</v>
      </c>
      <c r="F229" s="96" t="s">
        <v>4</v>
      </c>
      <c r="G229" s="96" t="s">
        <v>101</v>
      </c>
      <c r="H229" s="233" t="s">
        <v>255</v>
      </c>
      <c r="I229" s="233"/>
      <c r="J229" s="230"/>
      <c r="K229" s="230"/>
      <c r="L229" s="230"/>
      <c r="M229" s="230"/>
      <c r="N229" s="230"/>
      <c r="O229" s="230"/>
      <c r="P229" s="230"/>
      <c r="Q229" s="230"/>
      <c r="R229" s="230"/>
      <c r="S229" s="230"/>
      <c r="T229" s="230"/>
      <c r="U229" s="230"/>
      <c r="V229" s="230"/>
    </row>
    <row r="230" spans="1:22" s="231" customFormat="1">
      <c r="A230" s="229" t="s">
        <v>154</v>
      </c>
      <c r="B230" s="229" t="s">
        <v>79</v>
      </c>
      <c r="C230" s="96">
        <v>-69673.039999999994</v>
      </c>
      <c r="D230" s="96" t="s">
        <v>8</v>
      </c>
      <c r="E230" s="96">
        <f t="shared" si="40"/>
        <v>69673.039999999994</v>
      </c>
      <c r="F230" s="96" t="s">
        <v>6</v>
      </c>
      <c r="G230" s="96" t="s">
        <v>526</v>
      </c>
      <c r="H230" s="233" t="s">
        <v>256</v>
      </c>
      <c r="I230" s="96" t="s">
        <v>257</v>
      </c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U230" s="230"/>
      <c r="V230" s="230"/>
    </row>
    <row r="231" spans="1:22" s="231" customFormat="1">
      <c r="A231" s="229" t="s">
        <v>155</v>
      </c>
      <c r="B231" s="229" t="s">
        <v>79</v>
      </c>
      <c r="C231" s="96">
        <v>49810</v>
      </c>
      <c r="D231" s="96" t="s">
        <v>8</v>
      </c>
      <c r="E231" s="96">
        <f t="shared" si="40"/>
        <v>-49810</v>
      </c>
      <c r="F231" s="96" t="s">
        <v>5</v>
      </c>
      <c r="G231" s="96" t="s">
        <v>527</v>
      </c>
      <c r="H231" s="233" t="s">
        <v>522</v>
      </c>
      <c r="I231" s="233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</row>
    <row r="232" spans="1:22" s="231" customFormat="1">
      <c r="A232" s="229" t="s">
        <v>181</v>
      </c>
      <c r="B232" s="229" t="s">
        <v>79</v>
      </c>
      <c r="C232" s="96">
        <v>14212</v>
      </c>
      <c r="D232" s="96" t="s">
        <v>16</v>
      </c>
      <c r="E232" s="96">
        <f t="shared" si="40"/>
        <v>-14212</v>
      </c>
      <c r="F232" s="96" t="s">
        <v>5</v>
      </c>
      <c r="G232" s="96" t="s">
        <v>107</v>
      </c>
      <c r="H232" s="233" t="s">
        <v>493</v>
      </c>
      <c r="I232" s="233"/>
      <c r="J232" s="230"/>
      <c r="K232" s="230"/>
      <c r="L232" s="230"/>
      <c r="M232" s="230"/>
      <c r="N232" s="230"/>
      <c r="O232" s="230"/>
      <c r="P232" s="230"/>
      <c r="Q232" s="230"/>
      <c r="R232" s="230"/>
      <c r="S232" s="230"/>
      <c r="T232" s="230"/>
      <c r="U232" s="230"/>
      <c r="V232" s="230"/>
    </row>
    <row r="233" spans="1:22" s="231" customFormat="1">
      <c r="A233" s="229" t="s">
        <v>183</v>
      </c>
      <c r="B233" s="229" t="s">
        <v>79</v>
      </c>
      <c r="C233" s="96">
        <v>28706</v>
      </c>
      <c r="D233" s="96" t="s">
        <v>414</v>
      </c>
      <c r="E233" s="96">
        <f t="shared" si="40"/>
        <v>-28706</v>
      </c>
      <c r="F233" s="96" t="s">
        <v>5</v>
      </c>
      <c r="G233" s="96" t="s">
        <v>107</v>
      </c>
      <c r="H233" s="233" t="s">
        <v>493</v>
      </c>
      <c r="I233" s="233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</row>
    <row r="234" spans="1:22" s="231" customFormat="1">
      <c r="A234" s="229" t="s">
        <v>184</v>
      </c>
      <c r="B234" s="229" t="s">
        <v>79</v>
      </c>
      <c r="C234" s="96">
        <f>130758+5040</f>
        <v>135798</v>
      </c>
      <c r="D234" s="96" t="s">
        <v>23</v>
      </c>
      <c r="E234" s="96">
        <f t="shared" si="40"/>
        <v>-135798</v>
      </c>
      <c r="F234" s="96" t="s">
        <v>5</v>
      </c>
      <c r="G234" s="96" t="s">
        <v>107</v>
      </c>
      <c r="H234" s="233" t="s">
        <v>494</v>
      </c>
      <c r="I234" s="233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U234" s="230"/>
      <c r="V234" s="230"/>
    </row>
    <row r="235" spans="1:22" s="231" customFormat="1">
      <c r="A235" s="229" t="s">
        <v>186</v>
      </c>
      <c r="B235" s="236" t="s">
        <v>79</v>
      </c>
      <c r="C235" s="96">
        <f>141500+10160</f>
        <v>151660</v>
      </c>
      <c r="D235" s="237" t="s">
        <v>21</v>
      </c>
      <c r="E235" s="96">
        <f t="shared" si="40"/>
        <v>-151660</v>
      </c>
      <c r="F235" s="96" t="s">
        <v>5</v>
      </c>
      <c r="G235" s="96" t="s">
        <v>107</v>
      </c>
      <c r="H235" s="233" t="s">
        <v>494</v>
      </c>
      <c r="I235" s="235"/>
      <c r="J235" s="230"/>
      <c r="K235" s="230"/>
      <c r="L235" s="230"/>
      <c r="M235" s="230"/>
      <c r="N235" s="230"/>
      <c r="O235" s="230"/>
      <c r="P235" s="230"/>
      <c r="Q235" s="230"/>
      <c r="R235" s="230"/>
      <c r="S235" s="230"/>
      <c r="T235" s="230"/>
      <c r="U235" s="230"/>
      <c r="V235" s="230"/>
    </row>
    <row r="236" spans="1:22" s="231" customFormat="1">
      <c r="A236" s="229" t="s">
        <v>187</v>
      </c>
      <c r="B236" s="236" t="s">
        <v>79</v>
      </c>
      <c r="C236" s="96">
        <f>888652+16240</f>
        <v>904892</v>
      </c>
      <c r="D236" s="237" t="s">
        <v>22</v>
      </c>
      <c r="E236" s="96">
        <f t="shared" si="40"/>
        <v>-904892</v>
      </c>
      <c r="F236" s="96" t="s">
        <v>5</v>
      </c>
      <c r="G236" s="96" t="s">
        <v>107</v>
      </c>
      <c r="H236" s="233" t="s">
        <v>494</v>
      </c>
      <c r="I236" s="235"/>
      <c r="J236" s="230"/>
      <c r="K236" s="230"/>
      <c r="L236" s="230"/>
      <c r="M236" s="230"/>
      <c r="N236" s="230"/>
      <c r="O236" s="230"/>
      <c r="P236" s="230"/>
      <c r="Q236" s="230"/>
      <c r="R236" s="230"/>
      <c r="S236" s="230"/>
      <c r="T236" s="230"/>
      <c r="U236" s="230"/>
      <c r="V236" s="230"/>
    </row>
    <row r="237" spans="1:22" s="231" customFormat="1">
      <c r="A237" s="229" t="s">
        <v>189</v>
      </c>
      <c r="B237" s="229" t="s">
        <v>79</v>
      </c>
      <c r="C237" s="96">
        <v>2328</v>
      </c>
      <c r="D237" s="96" t="s">
        <v>17</v>
      </c>
      <c r="E237" s="96">
        <f t="shared" ref="E237:E248" si="41">-C237</f>
        <v>-2328</v>
      </c>
      <c r="F237" s="96" t="s">
        <v>5</v>
      </c>
      <c r="G237" s="96" t="s">
        <v>107</v>
      </c>
      <c r="H237" s="233" t="s">
        <v>494</v>
      </c>
      <c r="I237" s="233"/>
      <c r="J237" s="230"/>
      <c r="K237" s="230"/>
      <c r="L237" s="230"/>
      <c r="M237" s="230"/>
      <c r="N237" s="230"/>
      <c r="O237" s="230"/>
      <c r="P237" s="230"/>
      <c r="Q237" s="230"/>
      <c r="R237" s="230"/>
      <c r="S237" s="230"/>
      <c r="T237" s="230"/>
      <c r="U237" s="230"/>
      <c r="V237" s="230"/>
    </row>
    <row r="238" spans="1:22" s="231" customFormat="1">
      <c r="A238" s="229" t="s">
        <v>191</v>
      </c>
      <c r="B238" s="229" t="s">
        <v>79</v>
      </c>
      <c r="C238" s="96">
        <v>560</v>
      </c>
      <c r="D238" s="96" t="s">
        <v>13</v>
      </c>
      <c r="E238" s="96">
        <f>-C238</f>
        <v>-560</v>
      </c>
      <c r="F238" s="96" t="s">
        <v>5</v>
      </c>
      <c r="G238" s="96" t="s">
        <v>107</v>
      </c>
      <c r="H238" s="96" t="s">
        <v>511</v>
      </c>
      <c r="I238" s="233"/>
      <c r="J238" s="230"/>
      <c r="K238" s="230"/>
      <c r="L238" s="230"/>
      <c r="M238" s="230"/>
      <c r="N238" s="230"/>
      <c r="O238" s="230"/>
      <c r="P238" s="230"/>
      <c r="Q238" s="230"/>
      <c r="R238" s="230"/>
      <c r="S238" s="230"/>
      <c r="T238" s="230"/>
      <c r="U238" s="230"/>
      <c r="V238" s="230"/>
    </row>
    <row r="239" spans="1:22" s="231" customFormat="1">
      <c r="A239" s="229" t="s">
        <v>194</v>
      </c>
      <c r="B239" s="229" t="s">
        <v>79</v>
      </c>
      <c r="C239" s="96">
        <f>4130+2205</f>
        <v>6335</v>
      </c>
      <c r="D239" s="96" t="s">
        <v>14</v>
      </c>
      <c r="E239" s="96">
        <f t="shared" si="41"/>
        <v>-6335</v>
      </c>
      <c r="F239" s="96" t="s">
        <v>5</v>
      </c>
      <c r="G239" s="96" t="s">
        <v>107</v>
      </c>
      <c r="H239" s="96" t="s">
        <v>511</v>
      </c>
      <c r="I239" s="233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0"/>
      <c r="V239" s="230"/>
    </row>
    <row r="240" spans="1:22" s="231" customFormat="1">
      <c r="A240" s="229" t="s">
        <v>197</v>
      </c>
      <c r="B240" s="229" t="s">
        <v>79</v>
      </c>
      <c r="C240" s="96">
        <v>560</v>
      </c>
      <c r="D240" s="96" t="s">
        <v>15</v>
      </c>
      <c r="E240" s="96">
        <f t="shared" si="41"/>
        <v>-560</v>
      </c>
      <c r="F240" s="96" t="s">
        <v>5</v>
      </c>
      <c r="G240" s="96" t="s">
        <v>107</v>
      </c>
      <c r="H240" s="96" t="s">
        <v>511</v>
      </c>
      <c r="I240" s="233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</row>
    <row r="241" spans="1:22" s="231" customFormat="1">
      <c r="A241" s="229" t="s">
        <v>199</v>
      </c>
      <c r="B241" s="229" t="s">
        <v>79</v>
      </c>
      <c r="C241" s="96">
        <v>560</v>
      </c>
      <c r="D241" s="96" t="s">
        <v>10</v>
      </c>
      <c r="E241" s="96">
        <f t="shared" si="41"/>
        <v>-560</v>
      </c>
      <c r="F241" s="96" t="s">
        <v>5</v>
      </c>
      <c r="G241" s="96" t="s">
        <v>107</v>
      </c>
      <c r="H241" s="96" t="s">
        <v>511</v>
      </c>
      <c r="I241" s="233"/>
      <c r="J241" s="230"/>
      <c r="K241" s="230"/>
      <c r="L241" s="230"/>
      <c r="M241" s="230"/>
      <c r="N241" s="230"/>
      <c r="O241" s="230"/>
      <c r="P241" s="230"/>
      <c r="Q241" s="230"/>
      <c r="R241" s="230"/>
      <c r="S241" s="230"/>
      <c r="T241" s="230"/>
      <c r="U241" s="230"/>
      <c r="V241" s="230"/>
    </row>
    <row r="242" spans="1:22" s="231" customFormat="1">
      <c r="A242" s="229" t="s">
        <v>166</v>
      </c>
      <c r="B242" s="229" t="s">
        <v>79</v>
      </c>
      <c r="C242" s="96">
        <v>-815533.98</v>
      </c>
      <c r="D242" s="96" t="s">
        <v>11</v>
      </c>
      <c r="E242" s="96">
        <f>-C242</f>
        <v>815533.98</v>
      </c>
      <c r="F242" s="96" t="s">
        <v>4</v>
      </c>
      <c r="G242" s="96" t="s">
        <v>112</v>
      </c>
      <c r="H242" s="233" t="s">
        <v>515</v>
      </c>
      <c r="I242" s="233" t="s">
        <v>259</v>
      </c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0"/>
      <c r="V242" s="230"/>
    </row>
    <row r="243" spans="1:22" s="231" customFormat="1">
      <c r="A243" s="229" t="s">
        <v>201</v>
      </c>
      <c r="B243" s="229" t="s">
        <v>79</v>
      </c>
      <c r="C243" s="96">
        <v>158300</v>
      </c>
      <c r="D243" s="96" t="s">
        <v>11</v>
      </c>
      <c r="E243" s="96">
        <f t="shared" si="41"/>
        <v>-158300</v>
      </c>
      <c r="F243" s="96" t="s">
        <v>4</v>
      </c>
      <c r="G243" s="96" t="s">
        <v>101</v>
      </c>
      <c r="H243" s="96" t="s">
        <v>516</v>
      </c>
      <c r="I243" s="233"/>
      <c r="J243" s="230"/>
      <c r="K243" s="230"/>
      <c r="L243" s="230"/>
      <c r="M243" s="230"/>
      <c r="N243" s="230"/>
      <c r="O243" s="230"/>
      <c r="P243" s="230"/>
      <c r="Q243" s="230"/>
      <c r="R243" s="230"/>
      <c r="S243" s="230"/>
      <c r="T243" s="230"/>
      <c r="U243" s="230"/>
      <c r="V243" s="230"/>
    </row>
    <row r="244" spans="1:22" s="231" customFormat="1">
      <c r="A244" s="229" t="s">
        <v>202</v>
      </c>
      <c r="B244" s="229" t="s">
        <v>79</v>
      </c>
      <c r="C244" s="96">
        <v>244500</v>
      </c>
      <c r="D244" s="96" t="s">
        <v>11</v>
      </c>
      <c r="E244" s="96">
        <f t="shared" si="41"/>
        <v>-244500</v>
      </c>
      <c r="F244" s="96" t="s">
        <v>4</v>
      </c>
      <c r="G244" s="96" t="s">
        <v>101</v>
      </c>
      <c r="H244" s="96" t="s">
        <v>517</v>
      </c>
      <c r="I244" s="235"/>
      <c r="J244" s="230"/>
      <c r="K244" s="230"/>
      <c r="L244" s="230"/>
      <c r="M244" s="230"/>
      <c r="N244" s="230"/>
      <c r="O244" s="230"/>
      <c r="P244" s="230"/>
      <c r="Q244" s="230"/>
      <c r="R244" s="230"/>
      <c r="S244" s="230"/>
      <c r="T244" s="230"/>
      <c r="U244" s="230"/>
      <c r="V244" s="230"/>
    </row>
    <row r="245" spans="1:22" s="231" customFormat="1">
      <c r="A245" s="229" t="s">
        <v>204</v>
      </c>
      <c r="B245" s="229" t="s">
        <v>79</v>
      </c>
      <c r="C245" s="96">
        <f>43500+150000</f>
        <v>193500</v>
      </c>
      <c r="D245" s="96" t="s">
        <v>11</v>
      </c>
      <c r="E245" s="96">
        <f t="shared" si="41"/>
        <v>-193500</v>
      </c>
      <c r="F245" s="96" t="s">
        <v>4</v>
      </c>
      <c r="G245" s="96" t="s">
        <v>101</v>
      </c>
      <c r="H245" s="96" t="s">
        <v>518</v>
      </c>
      <c r="I245" s="235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  <c r="U245" s="230"/>
      <c r="V245" s="230"/>
    </row>
    <row r="246" spans="1:22" s="231" customFormat="1">
      <c r="A246" s="229" t="s">
        <v>205</v>
      </c>
      <c r="B246" s="229" t="s">
        <v>79</v>
      </c>
      <c r="C246" s="96">
        <v>130000</v>
      </c>
      <c r="D246" s="96" t="s">
        <v>11</v>
      </c>
      <c r="E246" s="96">
        <f t="shared" si="41"/>
        <v>-130000</v>
      </c>
      <c r="F246" s="96" t="s">
        <v>4</v>
      </c>
      <c r="G246" s="96" t="s">
        <v>101</v>
      </c>
      <c r="H246" s="96" t="s">
        <v>519</v>
      </c>
      <c r="I246" s="235"/>
      <c r="J246" s="230"/>
      <c r="K246" s="230"/>
      <c r="L246" s="230"/>
      <c r="M246" s="230"/>
      <c r="N246" s="230"/>
      <c r="O246" s="230"/>
      <c r="P246" s="230"/>
      <c r="Q246" s="230"/>
      <c r="R246" s="230"/>
      <c r="S246" s="230"/>
      <c r="T246" s="230"/>
      <c r="U246" s="230"/>
      <c r="V246" s="230"/>
    </row>
    <row r="247" spans="1:22" s="231" customFormat="1">
      <c r="A247" s="229" t="s">
        <v>206</v>
      </c>
      <c r="B247" s="229" t="s">
        <v>79</v>
      </c>
      <c r="C247" s="96">
        <v>-3779</v>
      </c>
      <c r="D247" s="96" t="s">
        <v>11</v>
      </c>
      <c r="E247" s="96">
        <f t="shared" si="41"/>
        <v>3779</v>
      </c>
      <c r="F247" s="96" t="s">
        <v>4</v>
      </c>
      <c r="G247" s="96" t="s">
        <v>122</v>
      </c>
      <c r="H247" s="96" t="s">
        <v>520</v>
      </c>
      <c r="I247" s="235"/>
      <c r="J247" s="230"/>
      <c r="K247" s="230"/>
      <c r="L247" s="230"/>
      <c r="M247" s="230"/>
      <c r="N247" s="230"/>
      <c r="O247" s="230"/>
      <c r="P247" s="230"/>
      <c r="Q247" s="230"/>
      <c r="R247" s="230"/>
      <c r="S247" s="230"/>
      <c r="T247" s="230"/>
      <c r="U247" s="230"/>
      <c r="V247" s="230"/>
    </row>
    <row r="248" spans="1:22" s="231" customFormat="1">
      <c r="A248" s="229" t="s">
        <v>208</v>
      </c>
      <c r="B248" s="236" t="s">
        <v>79</v>
      </c>
      <c r="C248" s="96">
        <v>-606</v>
      </c>
      <c r="D248" s="96" t="s">
        <v>11</v>
      </c>
      <c r="E248" s="96">
        <f t="shared" si="41"/>
        <v>606</v>
      </c>
      <c r="F248" s="96" t="s">
        <v>4</v>
      </c>
      <c r="G248" s="96" t="s">
        <v>121</v>
      </c>
      <c r="H248" s="96" t="s">
        <v>520</v>
      </c>
      <c r="I248" s="235"/>
      <c r="J248" s="230"/>
      <c r="K248" s="230"/>
      <c r="L248" s="230"/>
      <c r="M248" s="230"/>
      <c r="N248" s="230"/>
      <c r="O248" s="230"/>
      <c r="P248" s="230"/>
      <c r="Q248" s="230"/>
      <c r="R248" s="230"/>
      <c r="S248" s="230"/>
      <c r="T248" s="230"/>
      <c r="U248" s="230"/>
      <c r="V248" s="230"/>
    </row>
    <row r="249" spans="1:22" s="231" customFormat="1">
      <c r="A249" s="229" t="s">
        <v>208</v>
      </c>
      <c r="B249" s="236" t="s">
        <v>79</v>
      </c>
      <c r="C249" s="96">
        <v>-28629.599999999999</v>
      </c>
      <c r="D249" s="96" t="s">
        <v>11</v>
      </c>
      <c r="E249" s="96">
        <f t="shared" ref="E249:E255" si="42">-C249</f>
        <v>28629.599999999999</v>
      </c>
      <c r="F249" s="96" t="s">
        <v>4</v>
      </c>
      <c r="G249" s="96" t="s">
        <v>121</v>
      </c>
      <c r="H249" s="96" t="s">
        <v>521</v>
      </c>
      <c r="I249" s="235"/>
      <c r="J249" s="230"/>
      <c r="K249" s="230"/>
      <c r="L249" s="230"/>
      <c r="M249" s="230"/>
      <c r="N249" s="230"/>
      <c r="O249" s="230"/>
      <c r="P249" s="230"/>
      <c r="Q249" s="230"/>
      <c r="R249" s="230"/>
      <c r="S249" s="230"/>
      <c r="T249" s="230"/>
      <c r="U249" s="230"/>
      <c r="V249" s="230"/>
    </row>
    <row r="250" spans="1:22" s="231" customFormat="1">
      <c r="A250" s="229" t="s">
        <v>210</v>
      </c>
      <c r="B250" s="236" t="s">
        <v>79</v>
      </c>
      <c r="C250" s="96">
        <v>-7943.42</v>
      </c>
      <c r="D250" s="237" t="s">
        <v>411</v>
      </c>
      <c r="E250" s="96">
        <f t="shared" si="42"/>
        <v>7943.42</v>
      </c>
      <c r="F250" s="237" t="s">
        <v>6</v>
      </c>
      <c r="G250" s="96" t="s">
        <v>121</v>
      </c>
      <c r="H250" s="233" t="s">
        <v>262</v>
      </c>
      <c r="I250" s="235"/>
      <c r="J250" s="230"/>
      <c r="K250" s="230"/>
      <c r="L250" s="230"/>
      <c r="M250" s="230"/>
      <c r="N250" s="230"/>
      <c r="O250" s="230"/>
      <c r="P250" s="230"/>
      <c r="Q250" s="230"/>
      <c r="R250" s="230"/>
      <c r="S250" s="230"/>
      <c r="T250" s="230"/>
      <c r="U250" s="230"/>
      <c r="V250" s="230"/>
    </row>
    <row r="251" spans="1:22" s="231" customFormat="1">
      <c r="A251" s="229" t="s">
        <v>211</v>
      </c>
      <c r="B251" s="236" t="s">
        <v>79</v>
      </c>
      <c r="C251" s="96">
        <v>-274503.2</v>
      </c>
      <c r="D251" s="237" t="s">
        <v>411</v>
      </c>
      <c r="E251" s="96">
        <f t="shared" si="42"/>
        <v>274503.2</v>
      </c>
      <c r="F251" s="237" t="s">
        <v>4</v>
      </c>
      <c r="G251" s="96" t="s">
        <v>132</v>
      </c>
      <c r="H251" s="233" t="s">
        <v>263</v>
      </c>
      <c r="I251" s="235"/>
      <c r="J251" s="230"/>
      <c r="K251" s="230"/>
      <c r="L251" s="230"/>
      <c r="M251" s="230"/>
      <c r="N251" s="230"/>
      <c r="O251" s="230"/>
      <c r="P251" s="230"/>
      <c r="Q251" s="230"/>
      <c r="R251" s="230"/>
      <c r="S251" s="230"/>
      <c r="T251" s="230"/>
      <c r="U251" s="230"/>
      <c r="V251" s="230"/>
    </row>
    <row r="252" spans="1:22" s="231" customFormat="1">
      <c r="A252" s="229" t="s">
        <v>213</v>
      </c>
      <c r="B252" s="236" t="s">
        <v>79</v>
      </c>
      <c r="C252" s="96">
        <v>-641570.48</v>
      </c>
      <c r="D252" s="237" t="s">
        <v>411</v>
      </c>
      <c r="E252" s="96">
        <f t="shared" si="42"/>
        <v>641570.48</v>
      </c>
      <c r="F252" s="237" t="s">
        <v>6</v>
      </c>
      <c r="G252" s="96" t="s">
        <v>132</v>
      </c>
      <c r="H252" s="233" t="s">
        <v>264</v>
      </c>
      <c r="I252" s="235"/>
      <c r="J252" s="230"/>
      <c r="K252" s="230"/>
      <c r="L252" s="230"/>
      <c r="M252" s="230"/>
      <c r="N252" s="230"/>
      <c r="O252" s="230"/>
      <c r="P252" s="230"/>
      <c r="Q252" s="230"/>
      <c r="R252" s="230"/>
      <c r="S252" s="230"/>
      <c r="T252" s="230"/>
      <c r="U252" s="230"/>
      <c r="V252" s="230"/>
    </row>
    <row r="253" spans="1:22" s="231" customFormat="1">
      <c r="A253" s="229" t="s">
        <v>170</v>
      </c>
      <c r="B253" s="229" t="s">
        <v>79</v>
      </c>
      <c r="C253" s="96">
        <v>94399.61</v>
      </c>
      <c r="D253" s="96" t="s">
        <v>10</v>
      </c>
      <c r="E253" s="96">
        <f t="shared" si="42"/>
        <v>-94399.61</v>
      </c>
      <c r="F253" s="96" t="s">
        <v>4</v>
      </c>
      <c r="G253" s="96" t="s">
        <v>101</v>
      </c>
      <c r="H253" s="96" t="s">
        <v>540</v>
      </c>
      <c r="I253" s="233"/>
      <c r="J253" s="230"/>
      <c r="K253" s="230"/>
      <c r="L253" s="230"/>
      <c r="M253" s="230"/>
      <c r="N253" s="230"/>
      <c r="O253" s="230"/>
      <c r="P253" s="230"/>
      <c r="Q253" s="230"/>
      <c r="R253" s="230"/>
      <c r="S253" s="230"/>
      <c r="T253" s="230"/>
      <c r="U253" s="230"/>
      <c r="V253" s="230"/>
    </row>
    <row r="254" spans="1:22" s="231" customFormat="1">
      <c r="A254" s="229" t="s">
        <v>172</v>
      </c>
      <c r="B254" s="229" t="s">
        <v>79</v>
      </c>
      <c r="C254" s="240">
        <f>61903.63+54935.68+84766.89+86950.08+86263.35+132050.12+122278.34+173760.13+165789.61</f>
        <v>968697.83</v>
      </c>
      <c r="D254" s="96" t="s">
        <v>10</v>
      </c>
      <c r="E254" s="96">
        <f t="shared" si="42"/>
        <v>-968697.83</v>
      </c>
      <c r="F254" s="96" t="s">
        <v>4</v>
      </c>
      <c r="G254" s="96" t="s">
        <v>101</v>
      </c>
      <c r="H254" s="96" t="s">
        <v>541</v>
      </c>
      <c r="I254" s="233"/>
      <c r="J254" s="230"/>
      <c r="K254" s="230"/>
      <c r="L254" s="230"/>
      <c r="M254" s="230"/>
      <c r="N254" s="230"/>
      <c r="O254" s="230"/>
      <c r="P254" s="230"/>
      <c r="Q254" s="230"/>
      <c r="R254" s="230"/>
      <c r="S254" s="230"/>
      <c r="T254" s="230"/>
      <c r="U254" s="230"/>
      <c r="V254" s="230"/>
    </row>
    <row r="255" spans="1:22" s="231" customFormat="1">
      <c r="A255" s="229" t="s">
        <v>174</v>
      </c>
      <c r="B255" s="229" t="s">
        <v>79</v>
      </c>
      <c r="C255" s="96">
        <v>183558.24</v>
      </c>
      <c r="D255" s="96" t="s">
        <v>10</v>
      </c>
      <c r="E255" s="96">
        <f t="shared" si="42"/>
        <v>-183558.24</v>
      </c>
      <c r="F255" s="96" t="s">
        <v>4</v>
      </c>
      <c r="G255" s="96" t="s">
        <v>101</v>
      </c>
      <c r="H255" s="96" t="s">
        <v>542</v>
      </c>
      <c r="I255" s="233"/>
      <c r="J255" s="230"/>
      <c r="K255" s="230"/>
      <c r="L255" s="230"/>
      <c r="M255" s="230"/>
      <c r="N255" s="230"/>
      <c r="O255" s="230"/>
      <c r="P255" s="230"/>
      <c r="Q255" s="230"/>
      <c r="R255" s="230"/>
      <c r="S255" s="230"/>
      <c r="T255" s="230"/>
      <c r="U255" s="230"/>
      <c r="V255" s="230"/>
    </row>
    <row r="256" spans="1:22" s="231" customFormat="1">
      <c r="A256" s="229" t="s">
        <v>224</v>
      </c>
      <c r="B256" s="229" t="s">
        <v>79</v>
      </c>
      <c r="C256" s="96">
        <v>24700</v>
      </c>
      <c r="D256" s="96" t="s">
        <v>9</v>
      </c>
      <c r="E256" s="96">
        <f t="shared" ref="E256:E264" si="43">-C256</f>
        <v>-24700</v>
      </c>
      <c r="F256" s="96" t="s">
        <v>5</v>
      </c>
      <c r="G256" s="232" t="s">
        <v>107</v>
      </c>
      <c r="H256" s="233" t="s">
        <v>258</v>
      </c>
      <c r="I256" s="235"/>
      <c r="J256" s="230"/>
      <c r="K256" s="230"/>
      <c r="L256" s="230"/>
      <c r="M256" s="230"/>
      <c r="N256" s="230"/>
      <c r="O256" s="230"/>
      <c r="P256" s="230"/>
      <c r="Q256" s="230"/>
      <c r="R256" s="230"/>
      <c r="S256" s="230"/>
      <c r="T256" s="230"/>
      <c r="U256" s="230"/>
      <c r="V256" s="230"/>
    </row>
    <row r="257" spans="1:22" s="231" customFormat="1">
      <c r="A257" s="229" t="s">
        <v>229</v>
      </c>
      <c r="B257" s="236" t="s">
        <v>79</v>
      </c>
      <c r="C257" s="96">
        <v>-73753.08</v>
      </c>
      <c r="D257" s="237" t="s">
        <v>23</v>
      </c>
      <c r="E257" s="96">
        <f t="shared" si="43"/>
        <v>73753.08</v>
      </c>
      <c r="F257" s="96" t="s">
        <v>503</v>
      </c>
      <c r="G257" s="96" t="s">
        <v>108</v>
      </c>
      <c r="H257" s="233" t="s">
        <v>507</v>
      </c>
      <c r="I257" s="235"/>
      <c r="J257" s="230"/>
      <c r="K257" s="230"/>
      <c r="L257" s="230"/>
      <c r="M257" s="230"/>
      <c r="N257" s="230"/>
      <c r="O257" s="230"/>
      <c r="P257" s="230"/>
      <c r="Q257" s="230"/>
      <c r="R257" s="230"/>
      <c r="S257" s="230"/>
      <c r="T257" s="230"/>
      <c r="U257" s="230"/>
      <c r="V257" s="230"/>
    </row>
    <row r="258" spans="1:22" s="231" customFormat="1">
      <c r="A258" s="229" t="s">
        <v>230</v>
      </c>
      <c r="B258" s="236" t="s">
        <v>79</v>
      </c>
      <c r="C258" s="96">
        <f>-23667.67</f>
        <v>-23667.67</v>
      </c>
      <c r="D258" s="237" t="s">
        <v>23</v>
      </c>
      <c r="E258" s="96">
        <f t="shared" si="43"/>
        <v>23667.67</v>
      </c>
      <c r="F258" s="96" t="s">
        <v>503</v>
      </c>
      <c r="G258" s="96" t="s">
        <v>107</v>
      </c>
      <c r="H258" s="233" t="s">
        <v>508</v>
      </c>
      <c r="I258" s="235"/>
      <c r="J258" s="230"/>
      <c r="K258" s="230"/>
      <c r="L258" s="230"/>
      <c r="M258" s="230"/>
      <c r="N258" s="230"/>
      <c r="O258" s="230"/>
      <c r="P258" s="230"/>
      <c r="Q258" s="230"/>
      <c r="R258" s="230"/>
      <c r="S258" s="230"/>
      <c r="T258" s="230"/>
      <c r="U258" s="230"/>
      <c r="V258" s="230"/>
    </row>
    <row r="259" spans="1:22" s="231" customFormat="1">
      <c r="A259" s="229" t="s">
        <v>232</v>
      </c>
      <c r="B259" s="236" t="s">
        <v>79</v>
      </c>
      <c r="C259" s="96">
        <v>-3584.9</v>
      </c>
      <c r="D259" s="237" t="s">
        <v>23</v>
      </c>
      <c r="E259" s="96">
        <f t="shared" si="43"/>
        <v>3584.9</v>
      </c>
      <c r="F259" s="96" t="s">
        <v>503</v>
      </c>
      <c r="G259" s="96" t="s">
        <v>92</v>
      </c>
      <c r="H259" s="233" t="s">
        <v>508</v>
      </c>
      <c r="I259" s="235"/>
      <c r="J259" s="230"/>
      <c r="K259" s="230"/>
      <c r="L259" s="230"/>
      <c r="M259" s="230"/>
      <c r="N259" s="230"/>
      <c r="O259" s="230"/>
      <c r="P259" s="230"/>
      <c r="Q259" s="230"/>
      <c r="R259" s="230"/>
      <c r="S259" s="230"/>
      <c r="T259" s="230"/>
      <c r="U259" s="230"/>
      <c r="V259" s="230"/>
    </row>
    <row r="260" spans="1:22" s="231" customFormat="1" ht="20.25" customHeight="1">
      <c r="A260" s="229" t="s">
        <v>177</v>
      </c>
      <c r="B260" s="229" t="s">
        <v>79</v>
      </c>
      <c r="C260" s="96">
        <v>-8789056.6199999992</v>
      </c>
      <c r="D260" s="96" t="s">
        <v>6</v>
      </c>
      <c r="E260" s="96">
        <f>-C260</f>
        <v>8789056.6199999992</v>
      </c>
      <c r="F260" s="96" t="s">
        <v>4</v>
      </c>
      <c r="G260" s="232" t="s">
        <v>111</v>
      </c>
      <c r="H260" s="234" t="s">
        <v>261</v>
      </c>
      <c r="I260" s="233"/>
      <c r="J260" s="230"/>
      <c r="K260" s="230"/>
      <c r="L260" s="230"/>
      <c r="M260" s="230"/>
      <c r="N260" s="230"/>
      <c r="O260" s="230"/>
      <c r="P260" s="230"/>
      <c r="Q260" s="230"/>
      <c r="R260" s="230"/>
      <c r="S260" s="230"/>
      <c r="T260" s="230"/>
      <c r="U260" s="230"/>
      <c r="V260" s="230"/>
    </row>
    <row r="261" spans="1:22" s="231" customFormat="1">
      <c r="A261" s="229" t="s">
        <v>179</v>
      </c>
      <c r="B261" s="229" t="s">
        <v>79</v>
      </c>
      <c r="C261" s="96">
        <v>25615.4</v>
      </c>
      <c r="D261" s="96" t="s">
        <v>6</v>
      </c>
      <c r="E261" s="96">
        <f>-C261</f>
        <v>-25615.4</v>
      </c>
      <c r="F261" s="96" t="s">
        <v>5</v>
      </c>
      <c r="G261" s="232" t="s">
        <v>133</v>
      </c>
      <c r="H261" s="233" t="s">
        <v>498</v>
      </c>
      <c r="I261" s="233"/>
      <c r="J261" s="230"/>
      <c r="K261" s="230"/>
      <c r="L261" s="230"/>
      <c r="M261" s="230"/>
      <c r="N261" s="230"/>
      <c r="O261" s="230"/>
      <c r="P261" s="230"/>
      <c r="Q261" s="230"/>
      <c r="R261" s="230"/>
      <c r="S261" s="230"/>
      <c r="T261" s="230"/>
      <c r="U261" s="230"/>
      <c r="V261" s="230"/>
    </row>
    <row r="262" spans="1:22" s="231" customFormat="1">
      <c r="A262" s="229" t="s">
        <v>169</v>
      </c>
      <c r="B262" s="229" t="s">
        <v>79</v>
      </c>
      <c r="C262" s="96">
        <v>7776319.0599999996</v>
      </c>
      <c r="D262" s="96" t="s">
        <v>528</v>
      </c>
      <c r="E262" s="96">
        <f t="shared" si="43"/>
        <v>-7776319.0599999996</v>
      </c>
      <c r="F262" s="96" t="s">
        <v>4</v>
      </c>
      <c r="G262" s="96" t="s">
        <v>133</v>
      </c>
      <c r="H262" s="96" t="s">
        <v>260</v>
      </c>
      <c r="I262" s="233"/>
      <c r="J262" s="230"/>
      <c r="K262" s="230"/>
      <c r="L262" s="230"/>
      <c r="M262" s="230"/>
      <c r="N262" s="230"/>
      <c r="O262" s="230"/>
      <c r="P262" s="230"/>
      <c r="Q262" s="230"/>
      <c r="R262" s="230"/>
      <c r="S262" s="230"/>
      <c r="T262" s="230"/>
      <c r="U262" s="230"/>
      <c r="V262" s="230"/>
    </row>
    <row r="263" spans="1:22" s="231" customFormat="1">
      <c r="A263" s="229" t="s">
        <v>238</v>
      </c>
      <c r="B263" s="229" t="s">
        <v>79</v>
      </c>
      <c r="C263" s="96">
        <v>-821800</v>
      </c>
      <c r="D263" s="96" t="s">
        <v>6</v>
      </c>
      <c r="E263" s="96">
        <f t="shared" si="43"/>
        <v>821800</v>
      </c>
      <c r="F263" s="96" t="s">
        <v>5</v>
      </c>
      <c r="G263" s="96" t="s">
        <v>107</v>
      </c>
      <c r="H263" s="233" t="s">
        <v>501</v>
      </c>
      <c r="I263" s="233"/>
      <c r="J263" s="230"/>
      <c r="K263" s="230"/>
      <c r="L263" s="230"/>
      <c r="M263" s="230"/>
      <c r="N263" s="230"/>
      <c r="O263" s="230"/>
      <c r="P263" s="230"/>
      <c r="Q263" s="230"/>
      <c r="R263" s="230"/>
      <c r="S263" s="230"/>
      <c r="T263" s="230"/>
      <c r="U263" s="230"/>
      <c r="V263" s="230"/>
    </row>
    <row r="264" spans="1:22" s="231" customFormat="1">
      <c r="A264" s="229" t="s">
        <v>240</v>
      </c>
      <c r="B264" s="229" t="s">
        <v>79</v>
      </c>
      <c r="C264" s="96">
        <v>90034</v>
      </c>
      <c r="D264" s="96" t="s">
        <v>6</v>
      </c>
      <c r="E264" s="96">
        <f t="shared" si="43"/>
        <v>-90034</v>
      </c>
      <c r="F264" s="96" t="s">
        <v>5</v>
      </c>
      <c r="G264" s="96" t="s">
        <v>107</v>
      </c>
      <c r="H264" s="96" t="s">
        <v>502</v>
      </c>
      <c r="I264" s="233">
        <f>[2]考核调整事项表!$C$138-C264</f>
        <v>0</v>
      </c>
      <c r="J264" s="230"/>
      <c r="K264" s="230"/>
      <c r="L264" s="230"/>
      <c r="M264" s="230"/>
      <c r="N264" s="230"/>
      <c r="O264" s="230"/>
      <c r="P264" s="230"/>
      <c r="Q264" s="230"/>
      <c r="R264" s="230"/>
      <c r="S264" s="230"/>
      <c r="T264" s="230"/>
      <c r="U264" s="230"/>
      <c r="V264" s="230"/>
    </row>
    <row r="265" spans="1:22" s="231" customFormat="1">
      <c r="A265" s="229" t="s">
        <v>265</v>
      </c>
      <c r="B265" s="229" t="s">
        <v>79</v>
      </c>
      <c r="C265" s="96">
        <v>10539.48</v>
      </c>
      <c r="D265" s="96" t="s">
        <v>6</v>
      </c>
      <c r="E265" s="96">
        <f t="shared" ref="E265:E272" si="44">-C265</f>
        <v>-10539.48</v>
      </c>
      <c r="F265" s="96" t="s">
        <v>5</v>
      </c>
      <c r="G265" s="96" t="s">
        <v>107</v>
      </c>
      <c r="H265" s="96" t="s">
        <v>266</v>
      </c>
      <c r="I265" s="235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</row>
    <row r="266" spans="1:22" s="231" customFormat="1">
      <c r="A266" s="229" t="s">
        <v>267</v>
      </c>
      <c r="B266" s="229" t="s">
        <v>79</v>
      </c>
      <c r="C266" s="96">
        <v>54994</v>
      </c>
      <c r="D266" s="96" t="s">
        <v>6</v>
      </c>
      <c r="E266" s="96">
        <f t="shared" si="44"/>
        <v>-54994</v>
      </c>
      <c r="F266" s="96" t="s">
        <v>21</v>
      </c>
      <c r="G266" s="96" t="s">
        <v>102</v>
      </c>
      <c r="H266" s="96" t="s">
        <v>532</v>
      </c>
      <c r="I266" s="235"/>
      <c r="J266" s="230"/>
      <c r="K266" s="230"/>
      <c r="L266" s="230"/>
      <c r="M266" s="230"/>
      <c r="N266" s="230"/>
      <c r="O266" s="230"/>
      <c r="P266" s="230"/>
      <c r="Q266" s="230"/>
      <c r="R266" s="230"/>
      <c r="S266" s="230"/>
      <c r="T266" s="230"/>
      <c r="U266" s="230"/>
      <c r="V266" s="230"/>
    </row>
    <row r="267" spans="1:22" s="231" customFormat="1">
      <c r="A267" s="229" t="s">
        <v>268</v>
      </c>
      <c r="B267" s="229" t="s">
        <v>79</v>
      </c>
      <c r="C267" s="96">
        <v>-3413669.12</v>
      </c>
      <c r="D267" s="96" t="s">
        <v>6</v>
      </c>
      <c r="E267" s="96">
        <f t="shared" si="44"/>
        <v>3413669.12</v>
      </c>
      <c r="F267" s="96" t="s">
        <v>5</v>
      </c>
      <c r="G267" s="96" t="s">
        <v>89</v>
      </c>
      <c r="H267" s="233" t="s">
        <v>269</v>
      </c>
      <c r="I267" s="238"/>
      <c r="J267" s="230"/>
      <c r="K267" s="230"/>
      <c r="L267" s="230"/>
      <c r="M267" s="230"/>
      <c r="N267" s="230"/>
      <c r="O267" s="230"/>
      <c r="P267" s="230"/>
      <c r="Q267" s="230"/>
      <c r="R267" s="230"/>
      <c r="S267" s="230"/>
      <c r="T267" s="230"/>
      <c r="U267" s="230"/>
      <c r="V267" s="230"/>
    </row>
    <row r="268" spans="1:22" s="231" customFormat="1">
      <c r="A268" s="229" t="s">
        <v>538</v>
      </c>
      <c r="B268" s="229" t="s">
        <v>79</v>
      </c>
      <c r="C268" s="239">
        <v>282380</v>
      </c>
      <c r="D268" s="239" t="s">
        <v>11</v>
      </c>
      <c r="E268" s="239">
        <f t="shared" si="44"/>
        <v>-282380</v>
      </c>
      <c r="F268" s="238" t="s">
        <v>4</v>
      </c>
      <c r="G268" s="239" t="s">
        <v>101</v>
      </c>
      <c r="H268" s="96" t="s">
        <v>539</v>
      </c>
      <c r="I268" s="238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</row>
    <row r="269" spans="1:22" s="231" customFormat="1">
      <c r="A269" s="242"/>
      <c r="B269" s="88" t="s">
        <v>79</v>
      </c>
      <c r="C269" s="243">
        <v>-14356600</v>
      </c>
      <c r="D269" s="105" t="s">
        <v>22</v>
      </c>
      <c r="E269" s="105">
        <f t="shared" si="44"/>
        <v>14356600</v>
      </c>
      <c r="F269" s="89" t="s">
        <v>5</v>
      </c>
      <c r="G269" s="89" t="s">
        <v>102</v>
      </c>
      <c r="H269" s="100" t="s">
        <v>544</v>
      </c>
      <c r="I269" s="238"/>
      <c r="J269" s="230"/>
      <c r="K269" s="230"/>
      <c r="L269" s="230"/>
      <c r="M269" s="230"/>
      <c r="N269" s="230"/>
      <c r="O269" s="230"/>
      <c r="P269" s="230"/>
      <c r="Q269" s="230"/>
      <c r="R269" s="230"/>
      <c r="S269" s="230"/>
      <c r="T269" s="230"/>
      <c r="U269" s="230"/>
      <c r="V269" s="230"/>
    </row>
    <row r="270" spans="1:22" s="231" customFormat="1">
      <c r="A270" s="242"/>
      <c r="B270" s="88" t="s">
        <v>79</v>
      </c>
      <c r="C270" s="243">
        <v>-1753264.33</v>
      </c>
      <c r="D270" s="89" t="s">
        <v>23</v>
      </c>
      <c r="E270" s="105">
        <f t="shared" si="44"/>
        <v>1753264.33</v>
      </c>
      <c r="F270" s="89" t="s">
        <v>5</v>
      </c>
      <c r="G270" s="89" t="s">
        <v>102</v>
      </c>
      <c r="H270" s="100" t="s">
        <v>544</v>
      </c>
      <c r="I270" s="238"/>
      <c r="J270" s="230"/>
      <c r="K270" s="230"/>
      <c r="L270" s="230"/>
      <c r="M270" s="230"/>
      <c r="N270" s="230"/>
      <c r="O270" s="230"/>
      <c r="P270" s="230"/>
      <c r="Q270" s="230"/>
      <c r="R270" s="230"/>
      <c r="S270" s="230"/>
      <c r="T270" s="230"/>
      <c r="U270" s="230"/>
      <c r="V270" s="230"/>
    </row>
    <row r="271" spans="1:22" s="231" customFormat="1">
      <c r="A271" s="242"/>
      <c r="B271" s="88" t="s">
        <v>79</v>
      </c>
      <c r="C271" s="243">
        <v>8400</v>
      </c>
      <c r="D271" s="89" t="s">
        <v>503</v>
      </c>
      <c r="E271" s="105">
        <f t="shared" si="44"/>
        <v>-8400</v>
      </c>
      <c r="F271" s="89" t="s">
        <v>5</v>
      </c>
      <c r="G271" s="89" t="s">
        <v>107</v>
      </c>
      <c r="H271" s="105" t="s">
        <v>545</v>
      </c>
      <c r="I271" s="238"/>
      <c r="J271" s="230"/>
      <c r="K271" s="230"/>
      <c r="L271" s="230"/>
      <c r="M271" s="230"/>
      <c r="N271" s="230"/>
      <c r="O271" s="230"/>
      <c r="P271" s="230"/>
      <c r="Q271" s="230"/>
      <c r="R271" s="230"/>
      <c r="S271" s="230"/>
      <c r="T271" s="230"/>
      <c r="U271" s="230"/>
      <c r="V271" s="230"/>
    </row>
    <row r="272" spans="1:22" s="231" customFormat="1">
      <c r="A272" s="242"/>
      <c r="B272" s="88" t="s">
        <v>79</v>
      </c>
      <c r="C272" s="243">
        <v>1493793.1</v>
      </c>
      <c r="D272" s="105" t="s">
        <v>27</v>
      </c>
      <c r="E272" s="105">
        <f t="shared" si="44"/>
        <v>-1493793.1</v>
      </c>
      <c r="F272" s="89" t="s">
        <v>23</v>
      </c>
      <c r="G272" s="89" t="s">
        <v>89</v>
      </c>
      <c r="H272" s="100" t="s">
        <v>546</v>
      </c>
      <c r="I272" s="238"/>
      <c r="J272" s="230"/>
      <c r="K272" s="230"/>
      <c r="L272" s="230"/>
      <c r="M272" s="230"/>
      <c r="N272" s="230"/>
      <c r="O272" s="230"/>
      <c r="P272" s="230"/>
      <c r="Q272" s="230"/>
      <c r="R272" s="230"/>
      <c r="S272" s="230"/>
      <c r="T272" s="230"/>
      <c r="U272" s="230"/>
      <c r="V272" s="230"/>
    </row>
    <row r="273" spans="1:22" s="231" customFormat="1">
      <c r="A273" s="242"/>
      <c r="B273" s="244"/>
      <c r="C273" s="245"/>
      <c r="D273" s="246"/>
      <c r="E273" s="245"/>
      <c r="F273" s="247"/>
      <c r="G273" s="246"/>
      <c r="H273" s="248"/>
      <c r="I273" s="238"/>
      <c r="J273" s="230"/>
      <c r="K273" s="230"/>
      <c r="L273" s="230"/>
      <c r="M273" s="230"/>
      <c r="N273" s="230"/>
      <c r="O273" s="230"/>
      <c r="P273" s="230"/>
      <c r="Q273" s="230"/>
      <c r="R273" s="230"/>
      <c r="S273" s="230"/>
      <c r="T273" s="230"/>
      <c r="U273" s="230"/>
      <c r="V273" s="230"/>
    </row>
    <row r="274" spans="1:22" ht="17.25" thickBot="1">
      <c r="A274" s="110"/>
      <c r="B274" s="110"/>
      <c r="C274" s="111"/>
      <c r="D274" s="112"/>
      <c r="E274" s="112"/>
      <c r="F274" s="113"/>
      <c r="G274" s="110"/>
      <c r="H274" s="113"/>
      <c r="I274" s="113"/>
    </row>
    <row r="275" spans="1:22">
      <c r="D275" s="114"/>
      <c r="E275" s="114"/>
      <c r="H275" s="100"/>
      <c r="I275" s="100"/>
    </row>
    <row r="276" spans="1:22">
      <c r="A276" s="115"/>
      <c r="B276" s="115" t="s">
        <v>60</v>
      </c>
      <c r="C276" s="92"/>
      <c r="D276" s="116" t="s">
        <v>6</v>
      </c>
      <c r="E276" s="116"/>
      <c r="F276" s="116"/>
      <c r="G276" s="117"/>
      <c r="H276" s="100"/>
      <c r="I276" s="100"/>
    </row>
    <row r="277" spans="1:22">
      <c r="A277" s="115"/>
      <c r="B277" s="115" t="s">
        <v>60</v>
      </c>
      <c r="C277" s="92"/>
      <c r="D277" s="116" t="s">
        <v>13</v>
      </c>
      <c r="E277" s="116"/>
      <c r="F277" s="116"/>
      <c r="G277" s="117"/>
      <c r="H277" s="100"/>
      <c r="I277" s="100"/>
    </row>
    <row r="278" spans="1:22">
      <c r="A278" s="115"/>
      <c r="B278" s="115" t="s">
        <v>60</v>
      </c>
      <c r="C278" s="92"/>
      <c r="D278" s="116"/>
      <c r="E278" s="116"/>
      <c r="F278" s="116"/>
      <c r="G278" s="117"/>
      <c r="H278" s="100"/>
      <c r="I278" s="100"/>
    </row>
    <row r="279" spans="1:22">
      <c r="A279" s="115"/>
      <c r="B279" s="115" t="s">
        <v>60</v>
      </c>
      <c r="C279" s="92"/>
      <c r="D279" s="116"/>
      <c r="E279" s="116"/>
      <c r="F279" s="116"/>
      <c r="G279" s="117"/>
      <c r="H279" s="100"/>
      <c r="I279" s="100"/>
    </row>
    <row r="280" spans="1:22">
      <c r="A280" s="115"/>
      <c r="B280" s="115" t="s">
        <v>60</v>
      </c>
      <c r="C280" s="92"/>
      <c r="D280" s="116"/>
      <c r="E280" s="116"/>
      <c r="F280" s="116"/>
      <c r="G280" s="117"/>
      <c r="H280" s="100"/>
      <c r="I280" s="100"/>
    </row>
    <row r="281" spans="1:22">
      <c r="A281" s="115"/>
      <c r="B281" s="115" t="s">
        <v>60</v>
      </c>
      <c r="C281" s="109"/>
      <c r="D281" s="116" t="s">
        <v>13</v>
      </c>
      <c r="E281" s="116"/>
      <c r="F281" s="116"/>
      <c r="G281" s="117"/>
      <c r="H281" s="100"/>
      <c r="I281" s="100"/>
    </row>
    <row r="282" spans="1:22">
      <c r="A282" s="115"/>
      <c r="B282" s="115" t="s">
        <v>60</v>
      </c>
      <c r="C282" s="109"/>
      <c r="D282" s="118" t="s">
        <v>16</v>
      </c>
      <c r="E282" s="118"/>
      <c r="F282" s="118"/>
      <c r="G282" s="119"/>
      <c r="H282" s="100"/>
      <c r="I282" s="100"/>
    </row>
    <row r="283" spans="1:22">
      <c r="A283" s="120"/>
      <c r="B283" s="120" t="s">
        <v>270</v>
      </c>
      <c r="C283" s="121"/>
      <c r="D283" s="122">
        <f>C274-SUM(D275:D282)</f>
        <v>0</v>
      </c>
      <c r="E283" s="122"/>
      <c r="F283" s="122">
        <f>E274-SUM(F275:F282)</f>
        <v>0</v>
      </c>
      <c r="G283" s="123"/>
      <c r="H283" s="113"/>
      <c r="I283" s="113"/>
    </row>
    <row r="284" spans="1:22" ht="18">
      <c r="A284" s="124"/>
      <c r="B284" s="124"/>
      <c r="C284" s="125"/>
      <c r="D284" s="126"/>
      <c r="E284" s="127"/>
      <c r="F284" s="128"/>
      <c r="G284" s="128"/>
      <c r="H284" s="128"/>
      <c r="I284" s="128"/>
    </row>
    <row r="285" spans="1:22" ht="18">
      <c r="A285" s="124"/>
      <c r="B285" s="124"/>
      <c r="C285" s="125"/>
      <c r="D285" s="126"/>
      <c r="E285" s="127" t="s">
        <v>271</v>
      </c>
      <c r="F285" s="128"/>
      <c r="G285" s="128"/>
      <c r="H285" s="128"/>
      <c r="I285" s="128"/>
    </row>
    <row r="286" spans="1:22">
      <c r="A286" s="80" t="s">
        <v>143</v>
      </c>
      <c r="B286" s="80" t="s">
        <v>2</v>
      </c>
      <c r="C286" s="129" t="s">
        <v>144</v>
      </c>
      <c r="D286" s="80" t="s">
        <v>145</v>
      </c>
      <c r="E286" s="80" t="s">
        <v>146</v>
      </c>
      <c r="F286" s="81" t="s">
        <v>147</v>
      </c>
      <c r="G286" s="81" t="s">
        <v>272</v>
      </c>
      <c r="H286" s="81" t="s">
        <v>149</v>
      </c>
      <c r="I286" s="81" t="s">
        <v>150</v>
      </c>
    </row>
    <row r="287" spans="1:22">
      <c r="A287" s="130"/>
      <c r="B287" s="130" t="s">
        <v>273</v>
      </c>
      <c r="C287" s="131">
        <f>SUM(C288:C297)</f>
        <v>165207895.17666668</v>
      </c>
      <c r="D287" s="130"/>
      <c r="E287" s="130">
        <f>SUM(E288:E297)</f>
        <v>-165207895.17666668</v>
      </c>
      <c r="F287" s="132"/>
      <c r="G287" s="132"/>
      <c r="H287" s="132"/>
      <c r="I287" s="132"/>
    </row>
    <row r="288" spans="1:22">
      <c r="A288" s="133" t="s">
        <v>138</v>
      </c>
      <c r="B288" s="133" t="s">
        <v>56</v>
      </c>
      <c r="C288" s="92">
        <f>-累计利润调整表!O26/0.75-C289</f>
        <v>-15042954.093333334</v>
      </c>
      <c r="D288" s="134" t="s">
        <v>16</v>
      </c>
      <c r="E288" s="134">
        <f>-C288</f>
        <v>15042954.093333334</v>
      </c>
      <c r="F288" s="134" t="s">
        <v>16</v>
      </c>
      <c r="G288" s="134" t="s">
        <v>42</v>
      </c>
      <c r="H288" s="134" t="s">
        <v>274</v>
      </c>
      <c r="I288" s="134"/>
    </row>
    <row r="289" spans="1:9">
      <c r="A289" s="133" t="s">
        <v>154</v>
      </c>
      <c r="B289" s="133" t="s">
        <v>56</v>
      </c>
      <c r="C289" s="227">
        <v>521249</v>
      </c>
      <c r="D289" s="134" t="s">
        <v>16</v>
      </c>
      <c r="E289" s="134">
        <f>-C289</f>
        <v>-521249</v>
      </c>
      <c r="F289" s="134" t="s">
        <v>9</v>
      </c>
      <c r="G289" s="134" t="s">
        <v>42</v>
      </c>
      <c r="H289" s="134" t="s">
        <v>275</v>
      </c>
      <c r="I289" s="134"/>
    </row>
    <row r="290" spans="1:9">
      <c r="A290" s="133" t="s">
        <v>155</v>
      </c>
      <c r="B290" s="133" t="s">
        <v>56</v>
      </c>
      <c r="C290" s="227">
        <v>183621100.27000001</v>
      </c>
      <c r="D290" s="134" t="s">
        <v>9</v>
      </c>
      <c r="E290" s="134">
        <f t="shared" ref="E290:E296" si="45">-C290</f>
        <v>-183621100.27000001</v>
      </c>
      <c r="F290" s="134" t="s">
        <v>9</v>
      </c>
      <c r="G290" s="134" t="s">
        <v>42</v>
      </c>
      <c r="H290" s="135"/>
      <c r="I290" s="134"/>
    </row>
    <row r="291" spans="1:9">
      <c r="A291" s="133" t="s">
        <v>158</v>
      </c>
      <c r="B291" s="133" t="s">
        <v>56</v>
      </c>
      <c r="C291" s="92">
        <f>-累计利润调整表!J26/0.75</f>
        <v>879136.33333333337</v>
      </c>
      <c r="D291" s="134" t="s">
        <v>11</v>
      </c>
      <c r="E291" s="134">
        <f t="shared" si="45"/>
        <v>-879136.33333333337</v>
      </c>
      <c r="F291" s="134" t="s">
        <v>11</v>
      </c>
      <c r="G291" s="134" t="s">
        <v>42</v>
      </c>
      <c r="H291" s="136" t="s">
        <v>276</v>
      </c>
      <c r="I291" s="136"/>
    </row>
    <row r="292" spans="1:9">
      <c r="A292" s="133" t="s">
        <v>160</v>
      </c>
      <c r="B292" s="133" t="s">
        <v>56</v>
      </c>
      <c r="C292" s="92">
        <f>-累计利润调整表!L26/0.75</f>
        <v>-230792.68000000002</v>
      </c>
      <c r="D292" s="134" t="s">
        <v>13</v>
      </c>
      <c r="E292" s="134">
        <f t="shared" si="45"/>
        <v>230792.68000000002</v>
      </c>
      <c r="F292" s="134" t="s">
        <v>13</v>
      </c>
      <c r="G292" s="134" t="s">
        <v>42</v>
      </c>
      <c r="H292" s="134" t="s">
        <v>277</v>
      </c>
      <c r="I292" s="134"/>
    </row>
    <row r="293" spans="1:9">
      <c r="A293" s="133" t="s">
        <v>161</v>
      </c>
      <c r="B293" s="133" t="s">
        <v>56</v>
      </c>
      <c r="C293" s="92">
        <v>33431.910000000003</v>
      </c>
      <c r="D293" s="134" t="s">
        <v>15</v>
      </c>
      <c r="E293" s="137">
        <f t="shared" si="45"/>
        <v>-33431.910000000003</v>
      </c>
      <c r="F293" s="134" t="s">
        <v>10</v>
      </c>
      <c r="G293" s="134" t="s">
        <v>42</v>
      </c>
      <c r="H293" s="134" t="s">
        <v>535</v>
      </c>
      <c r="I293" s="134"/>
    </row>
    <row r="294" spans="1:9">
      <c r="A294" s="133" t="s">
        <v>163</v>
      </c>
      <c r="B294" s="133" t="s">
        <v>56</v>
      </c>
      <c r="C294" s="227">
        <v>180922.44</v>
      </c>
      <c r="D294" s="134" t="s">
        <v>8</v>
      </c>
      <c r="E294" s="134">
        <f t="shared" si="45"/>
        <v>-180922.44</v>
      </c>
      <c r="F294" s="134" t="s">
        <v>8</v>
      </c>
      <c r="G294" s="134" t="s">
        <v>42</v>
      </c>
      <c r="H294" s="134" t="s">
        <v>278</v>
      </c>
      <c r="I294" s="134"/>
    </row>
    <row r="295" spans="1:9">
      <c r="A295" s="133" t="s">
        <v>165</v>
      </c>
      <c r="B295" s="133" t="s">
        <v>56</v>
      </c>
      <c r="C295" s="90">
        <f>-累计利润调整表!I58</f>
        <v>-2981901.6933333334</v>
      </c>
      <c r="D295" s="134" t="s">
        <v>10</v>
      </c>
      <c r="E295" s="134">
        <f t="shared" si="45"/>
        <v>2981901.6933333334</v>
      </c>
      <c r="F295" s="134" t="s">
        <v>10</v>
      </c>
      <c r="G295" s="134" t="s">
        <v>42</v>
      </c>
      <c r="H295" s="134" t="s">
        <v>279</v>
      </c>
      <c r="I295" s="136"/>
    </row>
    <row r="296" spans="1:9">
      <c r="A296" s="133" t="s">
        <v>166</v>
      </c>
      <c r="B296" s="133" t="s">
        <v>56</v>
      </c>
      <c r="C296" s="92">
        <f>-累计利润调整表!E26/0.75</f>
        <v>-1738864.4000000001</v>
      </c>
      <c r="D296" s="134" t="s">
        <v>6</v>
      </c>
      <c r="E296" s="134">
        <f t="shared" si="45"/>
        <v>1738864.4000000001</v>
      </c>
      <c r="F296" s="134" t="s">
        <v>6</v>
      </c>
      <c r="G296" s="134" t="s">
        <v>42</v>
      </c>
      <c r="H296" s="136" t="s">
        <v>280</v>
      </c>
      <c r="I296" s="136"/>
    </row>
    <row r="297" spans="1:9">
      <c r="A297" s="133"/>
      <c r="B297" s="133" t="s">
        <v>56</v>
      </c>
      <c r="C297" s="92">
        <v>-33431.910000000003</v>
      </c>
      <c r="D297" s="134" t="s">
        <v>15</v>
      </c>
      <c r="E297" s="137">
        <f t="shared" ref="E297" si="46">-C297</f>
        <v>33431.910000000003</v>
      </c>
      <c r="F297" s="134" t="s">
        <v>15</v>
      </c>
      <c r="G297" s="134" t="s">
        <v>42</v>
      </c>
      <c r="H297" s="134" t="s">
        <v>535</v>
      </c>
      <c r="I297" s="136"/>
    </row>
    <row r="298" spans="1:9">
      <c r="A298" s="138"/>
      <c r="B298" s="138"/>
      <c r="C298" s="139"/>
      <c r="D298" s="140"/>
      <c r="E298" s="140"/>
      <c r="F298" s="140"/>
      <c r="G298" s="140"/>
      <c r="H298" s="141"/>
      <c r="I298" s="143"/>
    </row>
    <row r="299" spans="1:9">
      <c r="A299" s="73"/>
      <c r="B299" s="73" t="s">
        <v>281</v>
      </c>
      <c r="C299" s="142"/>
      <c r="D299" s="73"/>
      <c r="E299" s="73"/>
      <c r="F299" s="73"/>
      <c r="G299" s="73"/>
      <c r="H299" s="73"/>
    </row>
    <row r="300" spans="1:9">
      <c r="A300" s="73"/>
      <c r="B300" s="73" t="s">
        <v>282</v>
      </c>
      <c r="C300" s="142"/>
      <c r="D300" s="73"/>
      <c r="E300" s="73"/>
      <c r="F300" s="73"/>
      <c r="G300" s="73"/>
      <c r="H300" s="73"/>
    </row>
    <row r="301" spans="1:9">
      <c r="A301" s="73"/>
      <c r="B301" s="73" t="s">
        <v>283</v>
      </c>
      <c r="C301" s="142"/>
      <c r="D301" s="73"/>
      <c r="E301" s="73"/>
      <c r="F301" s="73"/>
      <c r="G301" s="73"/>
      <c r="H301" s="73"/>
    </row>
    <row r="302" spans="1:9">
      <c r="A302" s="73"/>
      <c r="B302" s="73" t="s">
        <v>284</v>
      </c>
      <c r="C302" s="142"/>
      <c r="D302" s="73"/>
      <c r="E302" s="73"/>
      <c r="F302" s="73"/>
      <c r="G302" s="73"/>
      <c r="H302" s="73"/>
    </row>
    <row r="303" spans="1:9">
      <c r="A303" s="73"/>
      <c r="B303" s="73" t="s">
        <v>285</v>
      </c>
      <c r="C303" s="142"/>
      <c r="D303" s="73"/>
      <c r="E303" s="73"/>
      <c r="F303" s="73"/>
      <c r="G303" s="73"/>
      <c r="H303" s="73"/>
    </row>
    <row r="304" spans="1:9">
      <c r="A304" s="73"/>
      <c r="B304" s="73"/>
      <c r="C304" s="142"/>
      <c r="D304" s="73"/>
      <c r="E304" s="73"/>
      <c r="F304" s="73"/>
      <c r="G304" s="73"/>
      <c r="H304" s="73"/>
    </row>
    <row r="305" spans="1:8">
      <c r="A305" s="73"/>
      <c r="B305" s="73" t="s">
        <v>58</v>
      </c>
      <c r="C305" s="144">
        <f>C287+累计利润调整表!B58</f>
        <v>-9.9999904632568359E-3</v>
      </c>
      <c r="D305" s="73"/>
      <c r="E305" s="73"/>
      <c r="F305" s="73"/>
      <c r="G305" s="73"/>
      <c r="H305" s="73"/>
    </row>
    <row r="306" spans="1:8">
      <c r="C306" s="241"/>
    </row>
    <row r="307" spans="1:8">
      <c r="C307" s="90"/>
    </row>
  </sheetData>
  <autoFilter ref="A51:Y102"/>
  <dataConsolidate/>
  <mergeCells count="1">
    <mergeCell ref="A48:I48"/>
  </mergeCells>
  <phoneticPr fontId="34" type="noConversion"/>
  <conditionalFormatting sqref="D241">
    <cfRule type="expression" dxfId="9" priority="8" stopIfTrue="1">
      <formula>LEFT(B216,1)="综"</formula>
    </cfRule>
  </conditionalFormatting>
  <conditionalFormatting sqref="D256">
    <cfRule type="expression" dxfId="8" priority="15" stopIfTrue="1">
      <formula>LEFT(B237,1)="综"</formula>
    </cfRule>
  </conditionalFormatting>
  <conditionalFormatting sqref="D257:D259">
    <cfRule type="expression" dxfId="7" priority="13" stopIfTrue="1">
      <formula>LEFT(#REF!,1)="综"</formula>
    </cfRule>
  </conditionalFormatting>
  <conditionalFormatting sqref="D106:D140">
    <cfRule type="expression" dxfId="6" priority="68" stopIfTrue="1">
      <formula>LEFT(B52,1)="综"</formula>
    </cfRule>
  </conditionalFormatting>
  <conditionalFormatting sqref="D168:D202">
    <cfRule type="expression" dxfId="5" priority="69" stopIfTrue="1">
      <formula>LEFT(B52,1)="综"</formula>
    </cfRule>
  </conditionalFormatting>
  <conditionalFormatting sqref="D141:D166">
    <cfRule type="expression" dxfId="4" priority="71" stopIfTrue="1">
      <formula>LEFT(B86,1)="综"</formula>
    </cfRule>
  </conditionalFormatting>
  <conditionalFormatting sqref="D203:D227">
    <cfRule type="expression" dxfId="3" priority="73" stopIfTrue="1">
      <formula>LEFT(B86,1)="综"</formula>
    </cfRule>
  </conditionalFormatting>
  <conditionalFormatting sqref="D254:D255">
    <cfRule type="expression" dxfId="2" priority="3" stopIfTrue="1">
      <formula>LEFT(B165,1)="综"</formula>
    </cfRule>
  </conditionalFormatting>
  <conditionalFormatting sqref="D269">
    <cfRule type="expression" dxfId="1" priority="2" stopIfTrue="1">
      <formula>LEFT(B240,1)="综"</formula>
    </cfRule>
  </conditionalFormatting>
  <conditionalFormatting sqref="D272">
    <cfRule type="expression" dxfId="0" priority="1" stopIfTrue="1">
      <formula>LEFT(B243,1)="综"</formula>
    </cfRule>
  </conditionalFormatting>
  <dataValidations count="9">
    <dataValidation type="list" allowBlank="1" showInputMessage="1" showErrorMessage="1" sqref="F250:F252 F70:F77 D296:D297 D102 D291:D294 F102 D52:D54 F291:F294 D104:D228 D56:D59 D83 D69:D73 F98:F100 D63:D67 F1:F67 D76:D81 F79:F82 F87:F96 D85:D100 F230:F242 F274:F288 D230:D252 F296:F1048576 F104:F228 F256:F268 D256:D268 D274:D289">
      <formula1>$K$1:$K$29</formula1>
    </dataValidation>
    <dataValidation type="list" allowBlank="1" showInputMessage="1" showErrorMessage="1" sqref="D290 D295 D68 D82 D84 F83:F86 D60:D62 D74:D75 D271">
      <formula1>$K$1:$K$30</formula1>
    </dataValidation>
    <dataValidation type="list" allowBlank="1" showInputMessage="1" showErrorMessage="1" sqref="D229 F229 F295 F289:F290 F243:F249 F78 D253:D255 F253:F255">
      <formula1>$K$1:$K$24</formula1>
    </dataValidation>
    <dataValidation type="list" allowBlank="1" showInputMessage="1" showErrorMessage="1" sqref="F103 D103 F97 D101 F101 F68:F69">
      <formula1>$K$1:$K$25</formula1>
    </dataValidation>
    <dataValidation type="list" allowBlank="1" showInputMessage="1" showErrorMessage="1" sqref="B106:B166 B288:B298 G288:G298 B52:B104 B168:B273">
      <formula1>$I$1:$I$17</formula1>
    </dataValidation>
    <dataValidation type="list" allowBlank="1" showInputMessage="1" showErrorMessage="1" sqref="E276:E282 D298">
      <formula1>部门名称</formula1>
    </dataValidation>
    <dataValidation type="list" allowBlank="1" showInputMessage="1" showErrorMessage="1" sqref="D55">
      <formula1>$K$1:$K$31</formula1>
    </dataValidation>
    <dataValidation type="list" allowBlank="1" showInputMessage="1" showErrorMessage="1" sqref="G168:G273">
      <formula1>$M$1:$M$44</formula1>
    </dataValidation>
    <dataValidation type="list" allowBlank="1" showInputMessage="1" showErrorMessage="1" sqref="F269:F273 D269:D270 D272:D273">
      <formula1>$K$1:$K$21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73" workbookViewId="0">
      <selection activeCell="O97" sqref="O97"/>
    </sheetView>
  </sheetViews>
  <sheetFormatPr defaultColWidth="9" defaultRowHeight="13.5"/>
  <sheetData>
    <row r="1" spans="1:8">
      <c r="A1" t="s">
        <v>286</v>
      </c>
    </row>
    <row r="2" spans="1:8">
      <c r="A2" t="s">
        <v>287</v>
      </c>
    </row>
    <row r="3" spans="1:8">
      <c r="A3" t="s">
        <v>288</v>
      </c>
    </row>
    <row r="4" spans="1:8">
      <c r="A4" t="s">
        <v>289</v>
      </c>
    </row>
    <row r="5" spans="1:8">
      <c r="A5" t="s">
        <v>290</v>
      </c>
    </row>
    <row r="6" spans="1:8">
      <c r="A6" t="s">
        <v>291</v>
      </c>
    </row>
    <row r="7" spans="1:8">
      <c r="A7" t="s">
        <v>292</v>
      </c>
    </row>
    <row r="8" spans="1:8">
      <c r="A8" t="s">
        <v>286</v>
      </c>
    </row>
    <row r="9" spans="1:8">
      <c r="A9" t="s">
        <v>287</v>
      </c>
    </row>
    <row r="10" spans="1:8">
      <c r="A10" t="s">
        <v>288</v>
      </c>
    </row>
    <row r="11" spans="1:8">
      <c r="A11" t="s">
        <v>289</v>
      </c>
    </row>
    <row r="12" spans="1:8">
      <c r="A12" t="s">
        <v>290</v>
      </c>
    </row>
    <row r="13" spans="1:8">
      <c r="A13" t="s">
        <v>291</v>
      </c>
    </row>
    <row r="14" spans="1:8">
      <c r="A14" t="s">
        <v>292</v>
      </c>
    </row>
    <row r="15" spans="1:8">
      <c r="A15">
        <v>1</v>
      </c>
      <c r="B15" t="s">
        <v>293</v>
      </c>
      <c r="C15">
        <v>13.858000000000001</v>
      </c>
      <c r="D15">
        <v>11.4</v>
      </c>
      <c r="E15">
        <v>43</v>
      </c>
      <c r="F15" t="s">
        <v>294</v>
      </c>
      <c r="G15">
        <v>0.26</v>
      </c>
      <c r="H15">
        <v>0.247</v>
      </c>
    </row>
    <row r="16" spans="1:8">
      <c r="A16">
        <v>2</v>
      </c>
      <c r="B16" t="s">
        <v>295</v>
      </c>
      <c r="C16">
        <v>10.355</v>
      </c>
      <c r="D16">
        <v>10.401999999999999</v>
      </c>
      <c r="E16">
        <v>44</v>
      </c>
      <c r="F16" t="s">
        <v>296</v>
      </c>
      <c r="G16">
        <v>0.251</v>
      </c>
      <c r="H16">
        <v>0.128</v>
      </c>
    </row>
    <row r="17" spans="1:8">
      <c r="A17">
        <v>3</v>
      </c>
      <c r="B17" t="s">
        <v>297</v>
      </c>
      <c r="C17">
        <v>3.294</v>
      </c>
      <c r="D17">
        <v>4.7709999999999999</v>
      </c>
      <c r="E17">
        <v>45</v>
      </c>
      <c r="F17" t="s">
        <v>298</v>
      </c>
      <c r="G17">
        <v>0.24</v>
      </c>
      <c r="H17">
        <v>0.23799999999999999</v>
      </c>
    </row>
    <row r="18" spans="1:8">
      <c r="A18">
        <v>4</v>
      </c>
      <c r="B18" t="s">
        <v>299</v>
      </c>
      <c r="C18">
        <v>3.528</v>
      </c>
      <c r="D18">
        <v>4.4770000000000003</v>
      </c>
      <c r="E18">
        <v>46</v>
      </c>
      <c r="F18" t="s">
        <v>300</v>
      </c>
      <c r="G18">
        <v>0.221</v>
      </c>
      <c r="H18">
        <v>0.23699999999999999</v>
      </c>
    </row>
    <row r="19" spans="1:8">
      <c r="A19">
        <v>5</v>
      </c>
      <c r="B19" t="s">
        <v>301</v>
      </c>
      <c r="C19">
        <v>4.5739999999999998</v>
      </c>
      <c r="D19">
        <v>4.2050000000000001</v>
      </c>
      <c r="E19">
        <v>47</v>
      </c>
      <c r="F19" t="s">
        <v>302</v>
      </c>
      <c r="G19">
        <v>0.218</v>
      </c>
      <c r="H19">
        <v>0.20200000000000001</v>
      </c>
    </row>
    <row r="20" spans="1:8">
      <c r="A20">
        <v>6</v>
      </c>
      <c r="B20" t="s">
        <v>303</v>
      </c>
      <c r="C20">
        <v>2.7639999999999998</v>
      </c>
      <c r="D20">
        <v>3.5790000000000002</v>
      </c>
      <c r="E20">
        <v>48</v>
      </c>
      <c r="F20" t="s">
        <v>304</v>
      </c>
      <c r="G20">
        <v>0.20799999999999999</v>
      </c>
      <c r="H20">
        <v>0.312</v>
      </c>
    </row>
    <row r="21" spans="1:8">
      <c r="A21">
        <v>7</v>
      </c>
      <c r="B21" t="s">
        <v>305</v>
      </c>
      <c r="C21">
        <v>3.75</v>
      </c>
      <c r="D21">
        <v>3.5470000000000002</v>
      </c>
      <c r="E21">
        <v>49</v>
      </c>
      <c r="F21" t="s">
        <v>306</v>
      </c>
      <c r="G21">
        <v>0.20300000000000001</v>
      </c>
      <c r="H21">
        <v>0.11799999999999999</v>
      </c>
    </row>
    <row r="22" spans="1:8">
      <c r="A22">
        <v>8</v>
      </c>
      <c r="B22" t="s">
        <v>307</v>
      </c>
      <c r="C22">
        <v>2.3929999999999998</v>
      </c>
      <c r="D22">
        <v>3.34</v>
      </c>
      <c r="E22">
        <v>50</v>
      </c>
      <c r="F22" t="s">
        <v>308</v>
      </c>
      <c r="G22">
        <v>0.18099999999999999</v>
      </c>
      <c r="H22">
        <v>0.35199999999999998</v>
      </c>
    </row>
    <row r="23" spans="1:8">
      <c r="A23">
        <v>9</v>
      </c>
      <c r="B23" t="s">
        <v>309</v>
      </c>
      <c r="C23">
        <v>2.8340000000000001</v>
      </c>
      <c r="D23">
        <v>3.0310000000000001</v>
      </c>
      <c r="E23">
        <v>51</v>
      </c>
      <c r="F23" t="s">
        <v>310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311</v>
      </c>
      <c r="C24">
        <v>2.952</v>
      </c>
      <c r="D24">
        <v>3.0009999999999999</v>
      </c>
      <c r="E24">
        <v>52</v>
      </c>
      <c r="F24" t="s">
        <v>312</v>
      </c>
      <c r="G24">
        <v>0.17499999999999999</v>
      </c>
      <c r="H24">
        <v>0.157</v>
      </c>
    </row>
    <row r="25" spans="1:8">
      <c r="A25">
        <v>11</v>
      </c>
      <c r="B25" t="s">
        <v>313</v>
      </c>
      <c r="C25">
        <v>2.411</v>
      </c>
      <c r="D25">
        <v>2.9990000000000001</v>
      </c>
      <c r="E25">
        <v>53</v>
      </c>
      <c r="F25" t="s">
        <v>314</v>
      </c>
      <c r="G25">
        <v>0.158</v>
      </c>
      <c r="H25">
        <v>7.2999999999999995E-2</v>
      </c>
    </row>
    <row r="26" spans="1:8">
      <c r="A26">
        <v>12</v>
      </c>
      <c r="B26" t="s">
        <v>315</v>
      </c>
      <c r="C26">
        <v>2.782</v>
      </c>
      <c r="D26">
        <v>2.516</v>
      </c>
      <c r="E26">
        <v>54</v>
      </c>
      <c r="F26" t="s">
        <v>316</v>
      </c>
      <c r="G26">
        <v>0.14799999999999999</v>
      </c>
      <c r="H26">
        <v>8.5999999999999993E-2</v>
      </c>
    </row>
    <row r="27" spans="1:8">
      <c r="A27">
        <v>13</v>
      </c>
      <c r="B27" t="s">
        <v>317</v>
      </c>
      <c r="C27">
        <v>2.9039999999999999</v>
      </c>
      <c r="D27">
        <v>2.4020000000000001</v>
      </c>
      <c r="E27">
        <v>55</v>
      </c>
      <c r="F27" t="s">
        <v>318</v>
      </c>
      <c r="G27">
        <v>0.14000000000000001</v>
      </c>
      <c r="H27">
        <v>0.23799999999999999</v>
      </c>
    </row>
    <row r="28" spans="1:8">
      <c r="A28">
        <v>14</v>
      </c>
      <c r="B28" t="s">
        <v>319</v>
      </c>
      <c r="C28">
        <v>1.1459999999999999</v>
      </c>
      <c r="D28">
        <v>1.873</v>
      </c>
      <c r="E28">
        <v>56</v>
      </c>
      <c r="F28" t="s">
        <v>320</v>
      </c>
      <c r="G28">
        <v>0.13</v>
      </c>
      <c r="H28">
        <v>8.8999999999999996E-2</v>
      </c>
    </row>
    <row r="29" spans="1:8">
      <c r="A29">
        <v>15</v>
      </c>
      <c r="B29" t="s">
        <v>321</v>
      </c>
      <c r="C29">
        <v>1.833</v>
      </c>
      <c r="D29">
        <v>1.829</v>
      </c>
      <c r="E29">
        <v>57</v>
      </c>
      <c r="F29" t="s">
        <v>322</v>
      </c>
      <c r="G29">
        <v>0.12</v>
      </c>
      <c r="H29">
        <v>0.104</v>
      </c>
    </row>
    <row r="30" spans="1:8">
      <c r="A30">
        <v>16</v>
      </c>
      <c r="B30" t="s">
        <v>323</v>
      </c>
      <c r="C30">
        <v>1.5069999999999999</v>
      </c>
      <c r="D30">
        <v>1.5940000000000001</v>
      </c>
      <c r="E30">
        <v>58</v>
      </c>
      <c r="F30" t="s">
        <v>324</v>
      </c>
      <c r="G30">
        <v>0.112</v>
      </c>
      <c r="H30">
        <v>0.157</v>
      </c>
    </row>
    <row r="31" spans="1:8">
      <c r="A31">
        <v>17</v>
      </c>
      <c r="B31" t="s">
        <v>325</v>
      </c>
      <c r="C31">
        <v>1.407</v>
      </c>
      <c r="D31">
        <v>1.534</v>
      </c>
      <c r="E31">
        <v>59</v>
      </c>
      <c r="F31" t="s">
        <v>326</v>
      </c>
      <c r="G31">
        <v>0.107</v>
      </c>
      <c r="H31">
        <v>0.10100000000000001</v>
      </c>
    </row>
    <row r="32" spans="1:8">
      <c r="A32">
        <v>18</v>
      </c>
      <c r="B32" t="s">
        <v>327</v>
      </c>
      <c r="C32">
        <v>1.264</v>
      </c>
      <c r="D32">
        <v>1.49</v>
      </c>
      <c r="E32">
        <v>60</v>
      </c>
      <c r="F32" t="s">
        <v>328</v>
      </c>
      <c r="G32">
        <v>0.10199999999999999</v>
      </c>
      <c r="H32">
        <v>9.9000000000000005E-2</v>
      </c>
    </row>
    <row r="33" spans="1:8">
      <c r="A33">
        <v>19</v>
      </c>
      <c r="B33" t="s">
        <v>329</v>
      </c>
      <c r="C33">
        <v>1.099</v>
      </c>
      <c r="D33">
        <v>1.171</v>
      </c>
      <c r="E33">
        <v>61</v>
      </c>
      <c r="F33" t="s">
        <v>330</v>
      </c>
      <c r="G33">
        <v>9.9000000000000005E-2</v>
      </c>
      <c r="H33">
        <v>6.8000000000000005E-2</v>
      </c>
    </row>
    <row r="34" spans="1:8">
      <c r="A34">
        <v>20</v>
      </c>
      <c r="B34" t="s">
        <v>331</v>
      </c>
      <c r="C34">
        <v>0.73899999999999999</v>
      </c>
      <c r="D34">
        <v>0.99099999999999999</v>
      </c>
      <c r="E34">
        <v>62</v>
      </c>
      <c r="F34" t="s">
        <v>332</v>
      </c>
      <c r="G34">
        <v>9.2999999999999999E-2</v>
      </c>
      <c r="H34">
        <v>0.11</v>
      </c>
    </row>
    <row r="35" spans="1:8">
      <c r="A35">
        <v>21</v>
      </c>
      <c r="B35" t="s">
        <v>333</v>
      </c>
      <c r="C35">
        <v>0.73799999999999999</v>
      </c>
      <c r="D35">
        <v>0.97899999999999998</v>
      </c>
      <c r="E35">
        <v>63</v>
      </c>
      <c r="F35" t="s">
        <v>334</v>
      </c>
      <c r="G35">
        <v>7.0000000000000007E-2</v>
      </c>
      <c r="H35">
        <v>0.11700000000000001</v>
      </c>
    </row>
    <row r="36" spans="1:8">
      <c r="A36">
        <v>22</v>
      </c>
      <c r="B36" t="s">
        <v>335</v>
      </c>
      <c r="C36">
        <v>1.202</v>
      </c>
      <c r="D36">
        <v>0.92100000000000004</v>
      </c>
      <c r="E36">
        <v>64</v>
      </c>
      <c r="F36" t="s">
        <v>336</v>
      </c>
      <c r="G36">
        <v>6.3E-2</v>
      </c>
      <c r="H36">
        <v>3.3000000000000002E-2</v>
      </c>
    </row>
    <row r="37" spans="1:8">
      <c r="A37">
        <v>23</v>
      </c>
      <c r="B37" t="s">
        <v>337</v>
      </c>
      <c r="C37">
        <v>1.3140000000000001</v>
      </c>
      <c r="D37">
        <v>0.88800000000000001</v>
      </c>
      <c r="E37">
        <v>65</v>
      </c>
      <c r="F37" t="s">
        <v>338</v>
      </c>
      <c r="G37">
        <v>5.7000000000000002E-2</v>
      </c>
      <c r="H37">
        <v>5.6000000000000001E-2</v>
      </c>
    </row>
    <row r="38" spans="1:8">
      <c r="A38">
        <v>24</v>
      </c>
      <c r="B38" t="s">
        <v>339</v>
      </c>
      <c r="C38">
        <v>0.81799999999999995</v>
      </c>
      <c r="D38">
        <v>0.82799999999999996</v>
      </c>
      <c r="E38">
        <v>66</v>
      </c>
      <c r="F38" t="s">
        <v>340</v>
      </c>
      <c r="G38">
        <v>4.9000000000000002E-2</v>
      </c>
      <c r="H38">
        <v>7.2999999999999995E-2</v>
      </c>
    </row>
    <row r="39" spans="1:8">
      <c r="A39">
        <v>25</v>
      </c>
      <c r="B39" t="s">
        <v>341</v>
      </c>
      <c r="C39">
        <v>0.72099999999999997</v>
      </c>
      <c r="D39">
        <v>0.82299999999999995</v>
      </c>
      <c r="E39">
        <v>67</v>
      </c>
      <c r="F39" t="s">
        <v>342</v>
      </c>
      <c r="G39">
        <v>4.4999999999999998E-2</v>
      </c>
      <c r="H39">
        <v>4.7E-2</v>
      </c>
    </row>
    <row r="40" spans="1:8">
      <c r="A40">
        <v>26</v>
      </c>
      <c r="B40" t="s">
        <v>343</v>
      </c>
      <c r="C40">
        <v>0.86</v>
      </c>
      <c r="D40">
        <v>0.73499999999999999</v>
      </c>
      <c r="E40">
        <v>68</v>
      </c>
      <c r="F40" t="s">
        <v>344</v>
      </c>
      <c r="G40">
        <v>4.1000000000000002E-2</v>
      </c>
      <c r="H40">
        <v>1.4999999999999999E-2</v>
      </c>
    </row>
    <row r="41" spans="1:8">
      <c r="A41">
        <v>27</v>
      </c>
      <c r="B41" t="s">
        <v>345</v>
      </c>
      <c r="C41">
        <v>0.498</v>
      </c>
      <c r="D41">
        <v>0.72399999999999998</v>
      </c>
      <c r="E41">
        <v>69</v>
      </c>
      <c r="F41" t="s">
        <v>346</v>
      </c>
      <c r="G41">
        <v>3.5000000000000003E-2</v>
      </c>
      <c r="H41">
        <v>0.10199999999999999</v>
      </c>
    </row>
    <row r="42" spans="1:8">
      <c r="A42">
        <v>28</v>
      </c>
      <c r="B42" t="s">
        <v>347</v>
      </c>
      <c r="C42">
        <v>0.49399999999999999</v>
      </c>
      <c r="D42">
        <v>0.63800000000000001</v>
      </c>
      <c r="E42">
        <v>70</v>
      </c>
      <c r="F42" t="s">
        <v>348</v>
      </c>
      <c r="G42">
        <v>3.4000000000000002E-2</v>
      </c>
      <c r="H42">
        <v>3.2000000000000001E-2</v>
      </c>
    </row>
    <row r="43" spans="1:8">
      <c r="A43">
        <v>29</v>
      </c>
      <c r="B43" t="s">
        <v>349</v>
      </c>
      <c r="C43">
        <v>0.76100000000000001</v>
      </c>
      <c r="D43">
        <v>0.56299999999999994</v>
      </c>
      <c r="E43">
        <v>71</v>
      </c>
      <c r="F43" t="s">
        <v>350</v>
      </c>
      <c r="G43">
        <v>3.4000000000000002E-2</v>
      </c>
      <c r="H43">
        <v>2.7E-2</v>
      </c>
    </row>
    <row r="44" spans="1:8">
      <c r="A44">
        <v>30</v>
      </c>
      <c r="B44" t="s">
        <v>351</v>
      </c>
      <c r="C44">
        <v>0.28100000000000003</v>
      </c>
      <c r="D44">
        <v>0.46</v>
      </c>
      <c r="E44">
        <v>72</v>
      </c>
      <c r="F44" t="s">
        <v>352</v>
      </c>
      <c r="G44">
        <v>2.8000000000000001E-2</v>
      </c>
      <c r="H44">
        <v>8.0000000000000002E-3</v>
      </c>
    </row>
    <row r="45" spans="1:8">
      <c r="A45">
        <v>31</v>
      </c>
      <c r="B45" t="s">
        <v>353</v>
      </c>
      <c r="C45">
        <v>0.504</v>
      </c>
      <c r="D45">
        <v>0.45800000000000002</v>
      </c>
      <c r="E45">
        <v>73</v>
      </c>
      <c r="F45" t="s">
        <v>354</v>
      </c>
      <c r="G45">
        <v>1.7999999999999999E-2</v>
      </c>
      <c r="H45">
        <v>3.3000000000000002E-2</v>
      </c>
    </row>
    <row r="46" spans="1:8">
      <c r="A46">
        <v>32</v>
      </c>
      <c r="B46" t="s">
        <v>355</v>
      </c>
      <c r="C46">
        <v>0.51200000000000001</v>
      </c>
      <c r="D46">
        <v>0.442</v>
      </c>
      <c r="E46">
        <v>74</v>
      </c>
      <c r="F46" t="s">
        <v>356</v>
      </c>
      <c r="G46">
        <v>1.4E-2</v>
      </c>
      <c r="H46">
        <v>1.2E-2</v>
      </c>
    </row>
    <row r="47" spans="1:8">
      <c r="A47">
        <v>33</v>
      </c>
      <c r="B47" t="s">
        <v>357</v>
      </c>
      <c r="C47">
        <v>0.44</v>
      </c>
      <c r="D47">
        <v>0.41799999999999998</v>
      </c>
      <c r="E47">
        <v>75</v>
      </c>
      <c r="F47" t="s">
        <v>358</v>
      </c>
      <c r="G47">
        <v>1.2999999999999999E-2</v>
      </c>
      <c r="H47">
        <v>0.17199999999999999</v>
      </c>
    </row>
    <row r="48" spans="1:8">
      <c r="A48">
        <v>34</v>
      </c>
      <c r="B48" t="s">
        <v>310</v>
      </c>
      <c r="C48">
        <v>0.17599999999999999</v>
      </c>
      <c r="D48">
        <v>0.41499999999999998</v>
      </c>
      <c r="E48">
        <v>76</v>
      </c>
      <c r="F48" t="s">
        <v>359</v>
      </c>
      <c r="G48">
        <v>0.01</v>
      </c>
      <c r="H48">
        <v>8.9999999999999993E-3</v>
      </c>
    </row>
    <row r="49" spans="1:15">
      <c r="A49">
        <v>35</v>
      </c>
      <c r="B49" t="s">
        <v>360</v>
      </c>
      <c r="C49">
        <v>0.52500000000000002</v>
      </c>
      <c r="D49">
        <v>0.40699999999999997</v>
      </c>
      <c r="E49">
        <v>77</v>
      </c>
      <c r="F49" t="s">
        <v>361</v>
      </c>
      <c r="G49">
        <v>6.0000000000000001E-3</v>
      </c>
      <c r="H49">
        <v>1.0999999999999999E-2</v>
      </c>
    </row>
    <row r="50" spans="1:15">
      <c r="A50">
        <v>36</v>
      </c>
      <c r="B50" t="s">
        <v>362</v>
      </c>
      <c r="C50">
        <v>0.316</v>
      </c>
      <c r="D50">
        <v>0.40500000000000003</v>
      </c>
      <c r="E50">
        <v>78</v>
      </c>
      <c r="F50" t="s">
        <v>363</v>
      </c>
      <c r="G50">
        <v>6.0000000000000001E-3</v>
      </c>
      <c r="H50">
        <v>1.0999999999999999E-2</v>
      </c>
    </row>
    <row r="51" spans="1:15">
      <c r="A51">
        <v>37</v>
      </c>
      <c r="B51" t="s">
        <v>364</v>
      </c>
      <c r="C51">
        <v>0.44900000000000001</v>
      </c>
      <c r="D51">
        <v>0.39300000000000002</v>
      </c>
      <c r="E51">
        <v>79</v>
      </c>
      <c r="F51" t="s">
        <v>365</v>
      </c>
      <c r="G51">
        <v>5.0000000000000001E-3</v>
      </c>
      <c r="H51">
        <v>2.8000000000000001E-2</v>
      </c>
    </row>
    <row r="52" spans="1:15">
      <c r="A52">
        <v>38</v>
      </c>
      <c r="B52" t="s">
        <v>366</v>
      </c>
      <c r="C52">
        <v>0.38100000000000001</v>
      </c>
      <c r="D52">
        <v>0.38800000000000001</v>
      </c>
      <c r="E52">
        <v>80</v>
      </c>
      <c r="F52" t="s">
        <v>367</v>
      </c>
      <c r="G52">
        <v>1E-3</v>
      </c>
      <c r="H52">
        <v>4.0000000000000001E-3</v>
      </c>
    </row>
    <row r="53" spans="1:15">
      <c r="A53">
        <v>39</v>
      </c>
      <c r="B53" t="s">
        <v>368</v>
      </c>
      <c r="C53">
        <v>0.377</v>
      </c>
      <c r="D53">
        <v>0.36899999999999999</v>
      </c>
      <c r="E53">
        <v>81</v>
      </c>
      <c r="F53" t="s">
        <v>369</v>
      </c>
      <c r="G53">
        <v>1E-3</v>
      </c>
      <c r="H53">
        <v>1E-3</v>
      </c>
    </row>
    <row r="54" spans="1:15">
      <c r="A54">
        <v>40</v>
      </c>
      <c r="B54" t="s">
        <v>308</v>
      </c>
      <c r="C54">
        <v>0.18099999999999999</v>
      </c>
      <c r="D54">
        <v>0.35199999999999998</v>
      </c>
      <c r="E54">
        <v>82</v>
      </c>
      <c r="F54" t="s">
        <v>370</v>
      </c>
      <c r="G54">
        <v>0</v>
      </c>
      <c r="H54">
        <v>1E-3</v>
      </c>
    </row>
    <row r="55" spans="1:15">
      <c r="A55">
        <v>41</v>
      </c>
      <c r="B55" t="s">
        <v>371</v>
      </c>
      <c r="C55">
        <v>0.27600000000000002</v>
      </c>
      <c r="D55">
        <v>0.34200000000000003</v>
      </c>
      <c r="E55">
        <v>83</v>
      </c>
      <c r="F55" t="s">
        <v>372</v>
      </c>
      <c r="G55">
        <v>0</v>
      </c>
      <c r="H55">
        <v>0</v>
      </c>
    </row>
    <row r="56" spans="1:15">
      <c r="A56">
        <v>42</v>
      </c>
      <c r="B56" t="s">
        <v>304</v>
      </c>
      <c r="C56">
        <v>0.20799999999999999</v>
      </c>
      <c r="D56">
        <v>0.312</v>
      </c>
      <c r="E56">
        <v>84</v>
      </c>
      <c r="F56" t="s">
        <v>373</v>
      </c>
      <c r="G56">
        <v>0</v>
      </c>
      <c r="H56">
        <v>0</v>
      </c>
    </row>
    <row r="57" spans="1:15">
      <c r="B57" t="s">
        <v>374</v>
      </c>
      <c r="C57">
        <v>0.26600000000000001</v>
      </c>
      <c r="D57">
        <v>0.28699999999999998</v>
      </c>
    </row>
    <row r="58" spans="1:15">
      <c r="B58" t="s">
        <v>375</v>
      </c>
      <c r="C58">
        <v>0.41599999999999998</v>
      </c>
      <c r="D58">
        <v>0.253</v>
      </c>
    </row>
    <row r="59" spans="1:15">
      <c r="B59" t="s">
        <v>294</v>
      </c>
      <c r="C59">
        <v>0.26</v>
      </c>
      <c r="D59">
        <v>0.247</v>
      </c>
      <c r="L59" s="66" t="s">
        <v>376</v>
      </c>
      <c r="M59" t="s">
        <v>377</v>
      </c>
    </row>
    <row r="60" spans="1:15">
      <c r="B60" t="s">
        <v>298</v>
      </c>
      <c r="C60">
        <v>0.24</v>
      </c>
      <c r="D60">
        <v>0.23799999999999999</v>
      </c>
      <c r="L60" t="s">
        <v>378</v>
      </c>
      <c r="M60" t="s">
        <v>379</v>
      </c>
      <c r="N60" t="s">
        <v>380</v>
      </c>
      <c r="O60" t="s">
        <v>381</v>
      </c>
    </row>
    <row r="61" spans="1:15">
      <c r="B61" t="s">
        <v>318</v>
      </c>
      <c r="C61">
        <v>0.14000000000000001</v>
      </c>
      <c r="D61">
        <v>0.23799999999999999</v>
      </c>
      <c r="L61" t="s">
        <v>382</v>
      </c>
      <c r="M61" t="s">
        <v>383</v>
      </c>
      <c r="N61" t="s">
        <v>384</v>
      </c>
      <c r="O61" t="s">
        <v>385</v>
      </c>
    </row>
    <row r="62" spans="1:15">
      <c r="B62" t="s">
        <v>300</v>
      </c>
      <c r="C62">
        <v>0.221</v>
      </c>
      <c r="D62">
        <v>0.23699999999999999</v>
      </c>
      <c r="L62" t="s">
        <v>386</v>
      </c>
    </row>
    <row r="63" spans="1:15">
      <c r="B63" t="s">
        <v>387</v>
      </c>
      <c r="C63">
        <v>0.29499999999999998</v>
      </c>
      <c r="D63">
        <v>0.20399999999999999</v>
      </c>
      <c r="L63" t="s">
        <v>388</v>
      </c>
    </row>
    <row r="64" spans="1:15">
      <c r="B64" t="s">
        <v>302</v>
      </c>
      <c r="C64">
        <v>0.218</v>
      </c>
      <c r="D64">
        <v>0.20200000000000001</v>
      </c>
      <c r="L64" t="s">
        <v>384</v>
      </c>
      <c r="M64" t="s">
        <v>385</v>
      </c>
      <c r="N64" t="s">
        <v>389</v>
      </c>
    </row>
    <row r="65" spans="2:16">
      <c r="B65" t="s">
        <v>358</v>
      </c>
      <c r="C65">
        <v>1.2999999999999999E-2</v>
      </c>
      <c r="D65">
        <v>0.17199999999999999</v>
      </c>
      <c r="L65" t="s">
        <v>289</v>
      </c>
    </row>
    <row r="66" spans="2:16">
      <c r="B66" t="s">
        <v>312</v>
      </c>
      <c r="C66">
        <v>0.17499999999999999</v>
      </c>
      <c r="D66">
        <v>0.157</v>
      </c>
      <c r="L66" t="s">
        <v>143</v>
      </c>
      <c r="M66" t="s">
        <v>377</v>
      </c>
    </row>
    <row r="67" spans="2:16">
      <c r="B67" t="s">
        <v>324</v>
      </c>
      <c r="C67">
        <v>0.112</v>
      </c>
      <c r="D67">
        <v>0.157</v>
      </c>
      <c r="L67" t="s">
        <v>378</v>
      </c>
      <c r="M67" t="s">
        <v>379</v>
      </c>
      <c r="N67" t="s">
        <v>380</v>
      </c>
      <c r="O67" t="s">
        <v>381</v>
      </c>
    </row>
    <row r="68" spans="2:16">
      <c r="B68" t="s">
        <v>296</v>
      </c>
      <c r="C68">
        <v>0.251</v>
      </c>
      <c r="D68">
        <v>0.128</v>
      </c>
      <c r="L68" t="s">
        <v>382</v>
      </c>
      <c r="M68" t="s">
        <v>383</v>
      </c>
      <c r="N68" t="s">
        <v>384</v>
      </c>
      <c r="O68" t="s">
        <v>385</v>
      </c>
    </row>
    <row r="69" spans="2:16">
      <c r="B69" t="s">
        <v>306</v>
      </c>
      <c r="C69">
        <v>0.20300000000000001</v>
      </c>
      <c r="D69">
        <v>0.11799999999999999</v>
      </c>
      <c r="L69" t="s">
        <v>386</v>
      </c>
    </row>
    <row r="70" spans="2:16">
      <c r="B70" t="s">
        <v>334</v>
      </c>
      <c r="C70">
        <v>7.0000000000000007E-2</v>
      </c>
      <c r="D70">
        <v>0.11700000000000001</v>
      </c>
      <c r="L70" t="s">
        <v>388</v>
      </c>
    </row>
    <row r="71" spans="2:16">
      <c r="B71" t="s">
        <v>332</v>
      </c>
      <c r="C71">
        <v>9.2999999999999999E-2</v>
      </c>
      <c r="D71">
        <v>0.11</v>
      </c>
      <c r="L71" t="s">
        <v>384</v>
      </c>
      <c r="M71" t="s">
        <v>385</v>
      </c>
      <c r="N71" t="s">
        <v>389</v>
      </c>
    </row>
    <row r="72" spans="2:16">
      <c r="B72" t="s">
        <v>322</v>
      </c>
      <c r="C72">
        <v>0.12</v>
      </c>
      <c r="D72">
        <v>0.104</v>
      </c>
      <c r="L72" t="s">
        <v>289</v>
      </c>
    </row>
    <row r="73" spans="2:16">
      <c r="B73" t="s">
        <v>346</v>
      </c>
      <c r="C73">
        <v>3.5000000000000003E-2</v>
      </c>
      <c r="D73">
        <v>0.10199999999999999</v>
      </c>
      <c r="L73">
        <v>1</v>
      </c>
      <c r="M73" t="s">
        <v>315</v>
      </c>
      <c r="N73">
        <v>16.192</v>
      </c>
      <c r="O73">
        <v>8.9139999999999997</v>
      </c>
      <c r="P73">
        <v>43</v>
      </c>
    </row>
    <row r="74" spans="2:16">
      <c r="B74" t="s">
        <v>326</v>
      </c>
      <c r="C74">
        <v>0.107</v>
      </c>
      <c r="D74">
        <v>0.10100000000000001</v>
      </c>
      <c r="L74">
        <v>2</v>
      </c>
      <c r="M74" t="s">
        <v>303</v>
      </c>
      <c r="N74">
        <v>0.69299999999999995</v>
      </c>
      <c r="O74">
        <v>7.306</v>
      </c>
      <c r="P74">
        <v>44</v>
      </c>
    </row>
    <row r="75" spans="2:16">
      <c r="B75" t="s">
        <v>328</v>
      </c>
      <c r="C75">
        <v>0.10199999999999999</v>
      </c>
      <c r="D75">
        <v>9.9000000000000005E-2</v>
      </c>
      <c r="L75">
        <v>3</v>
      </c>
      <c r="M75" t="s">
        <v>299</v>
      </c>
      <c r="N75">
        <v>7.1440000000000001</v>
      </c>
      <c r="O75">
        <v>7.1870000000000003</v>
      </c>
      <c r="P75">
        <v>45</v>
      </c>
    </row>
    <row r="76" spans="2:16">
      <c r="B76" t="s">
        <v>320</v>
      </c>
      <c r="C76">
        <v>0.13</v>
      </c>
      <c r="D76">
        <v>8.8999999999999996E-2</v>
      </c>
      <c r="L76">
        <v>4</v>
      </c>
      <c r="M76" t="s">
        <v>301</v>
      </c>
      <c r="N76">
        <v>1.464</v>
      </c>
      <c r="O76">
        <v>6.6050000000000004</v>
      </c>
      <c r="P76">
        <v>46</v>
      </c>
    </row>
    <row r="77" spans="2:16">
      <c r="B77" t="s">
        <v>316</v>
      </c>
      <c r="C77">
        <v>0.14799999999999999</v>
      </c>
      <c r="D77">
        <v>8.5999999999999993E-2</v>
      </c>
      <c r="L77">
        <v>5</v>
      </c>
      <c r="M77" t="s">
        <v>309</v>
      </c>
      <c r="N77">
        <v>10.355</v>
      </c>
      <c r="O77">
        <v>6.5869999999999997</v>
      </c>
      <c r="P77">
        <v>47</v>
      </c>
    </row>
    <row r="78" spans="2:16">
      <c r="B78" t="s">
        <v>314</v>
      </c>
      <c r="C78">
        <v>0.158</v>
      </c>
      <c r="D78">
        <v>7.2999999999999995E-2</v>
      </c>
      <c r="L78">
        <v>6</v>
      </c>
      <c r="M78" t="s">
        <v>311</v>
      </c>
      <c r="N78">
        <v>7.8730000000000002</v>
      </c>
      <c r="O78">
        <v>6.2469999999999999</v>
      </c>
      <c r="P78">
        <v>48</v>
      </c>
    </row>
    <row r="79" spans="2:16">
      <c r="B79" t="s">
        <v>340</v>
      </c>
      <c r="C79">
        <v>4.9000000000000002E-2</v>
      </c>
      <c r="D79">
        <v>7.2999999999999995E-2</v>
      </c>
      <c r="L79">
        <v>7</v>
      </c>
      <c r="M79" t="s">
        <v>313</v>
      </c>
      <c r="N79">
        <v>3.1989999999999998</v>
      </c>
      <c r="O79">
        <v>5.2619999999999996</v>
      </c>
      <c r="P79">
        <v>49</v>
      </c>
    </row>
    <row r="80" spans="2:16">
      <c r="B80" t="s">
        <v>330</v>
      </c>
      <c r="C80">
        <v>9.9000000000000005E-2</v>
      </c>
      <c r="D80">
        <v>6.8000000000000005E-2</v>
      </c>
      <c r="L80">
        <v>8</v>
      </c>
      <c r="M80" t="s">
        <v>321</v>
      </c>
      <c r="N80">
        <v>14.849</v>
      </c>
      <c r="O80">
        <v>5.0110000000000001</v>
      </c>
      <c r="P80">
        <v>50</v>
      </c>
    </row>
    <row r="81" spans="2:16">
      <c r="B81" t="s">
        <v>338</v>
      </c>
      <c r="C81">
        <v>5.7000000000000002E-2</v>
      </c>
      <c r="D81">
        <v>5.6000000000000001E-2</v>
      </c>
      <c r="L81">
        <v>9</v>
      </c>
      <c r="M81" t="s">
        <v>295</v>
      </c>
      <c r="N81">
        <v>2.5659999999999998</v>
      </c>
      <c r="O81">
        <v>4.9379999999999997</v>
      </c>
      <c r="P81">
        <v>51</v>
      </c>
    </row>
    <row r="82" spans="2:16">
      <c r="B82" t="s">
        <v>342</v>
      </c>
      <c r="C82">
        <v>4.4999999999999998E-2</v>
      </c>
      <c r="D82">
        <v>4.7E-2</v>
      </c>
      <c r="L82">
        <v>10</v>
      </c>
      <c r="M82" t="s">
        <v>325</v>
      </c>
      <c r="N82">
        <v>6.7469999999999999</v>
      </c>
      <c r="O82">
        <v>4.7439999999999998</v>
      </c>
      <c r="P82">
        <v>52</v>
      </c>
    </row>
    <row r="83" spans="2:16">
      <c r="B83" t="s">
        <v>336</v>
      </c>
      <c r="C83">
        <v>6.3E-2</v>
      </c>
      <c r="D83">
        <v>3.3000000000000002E-2</v>
      </c>
      <c r="L83">
        <v>11</v>
      </c>
      <c r="M83" t="s">
        <v>337</v>
      </c>
      <c r="N83">
        <v>2.4700000000000002</v>
      </c>
      <c r="O83">
        <v>4.359</v>
      </c>
      <c r="P83">
        <v>53</v>
      </c>
    </row>
    <row r="84" spans="2:16">
      <c r="B84" t="s">
        <v>354</v>
      </c>
      <c r="C84">
        <v>1.7999999999999999E-2</v>
      </c>
      <c r="D84">
        <v>3.3000000000000002E-2</v>
      </c>
      <c r="L84">
        <v>12</v>
      </c>
      <c r="M84" t="s">
        <v>339</v>
      </c>
      <c r="N84">
        <v>3.5419999999999998</v>
      </c>
      <c r="O84">
        <v>2.9350000000000001</v>
      </c>
      <c r="P84">
        <v>54</v>
      </c>
    </row>
    <row r="85" spans="2:16">
      <c r="B85" t="s">
        <v>348</v>
      </c>
      <c r="C85">
        <v>3.4000000000000002E-2</v>
      </c>
      <c r="D85">
        <v>3.2000000000000001E-2</v>
      </c>
      <c r="L85">
        <v>13</v>
      </c>
      <c r="M85" t="s">
        <v>302</v>
      </c>
      <c r="N85">
        <v>3.7050000000000001</v>
      </c>
      <c r="O85">
        <v>2.2250000000000001</v>
      </c>
      <c r="P85">
        <v>55</v>
      </c>
    </row>
    <row r="86" spans="2:16">
      <c r="B86" t="s">
        <v>365</v>
      </c>
      <c r="C86">
        <v>5.0000000000000001E-3</v>
      </c>
      <c r="D86">
        <v>2.8000000000000001E-2</v>
      </c>
      <c r="L86">
        <v>14</v>
      </c>
      <c r="M86" t="s">
        <v>345</v>
      </c>
      <c r="N86">
        <v>0.627</v>
      </c>
      <c r="O86">
        <v>1.8959999999999999</v>
      </c>
      <c r="P86">
        <v>56</v>
      </c>
    </row>
    <row r="87" spans="2:16">
      <c r="B87" t="s">
        <v>350</v>
      </c>
      <c r="C87">
        <v>3.4000000000000002E-2</v>
      </c>
      <c r="D87">
        <v>2.7E-2</v>
      </c>
      <c r="L87">
        <v>15</v>
      </c>
      <c r="M87" t="s">
        <v>308</v>
      </c>
      <c r="N87">
        <v>1.3129999999999999</v>
      </c>
      <c r="O87">
        <v>1.8120000000000001</v>
      </c>
      <c r="P87">
        <v>57</v>
      </c>
    </row>
    <row r="88" spans="2:16">
      <c r="B88" t="s">
        <v>344</v>
      </c>
      <c r="C88">
        <v>4.1000000000000002E-2</v>
      </c>
      <c r="D88">
        <v>1.4999999999999999E-2</v>
      </c>
      <c r="L88">
        <v>16</v>
      </c>
      <c r="M88" t="s">
        <v>307</v>
      </c>
      <c r="N88">
        <v>0.38</v>
      </c>
      <c r="O88">
        <v>1.77</v>
      </c>
      <c r="P88">
        <v>58</v>
      </c>
    </row>
    <row r="89" spans="2:16">
      <c r="B89" t="s">
        <v>356</v>
      </c>
      <c r="C89">
        <v>1.4E-2</v>
      </c>
      <c r="D89">
        <v>1.2E-2</v>
      </c>
      <c r="L89">
        <v>17</v>
      </c>
      <c r="M89" t="s">
        <v>360</v>
      </c>
      <c r="N89">
        <v>2.012</v>
      </c>
      <c r="O89">
        <v>1.7410000000000001</v>
      </c>
      <c r="P89">
        <v>59</v>
      </c>
    </row>
    <row r="90" spans="2:16">
      <c r="B90" t="s">
        <v>361</v>
      </c>
      <c r="C90">
        <v>6.0000000000000001E-3</v>
      </c>
      <c r="D90">
        <v>1.0999999999999999E-2</v>
      </c>
      <c r="L90">
        <v>18</v>
      </c>
      <c r="M90" t="s">
        <v>305</v>
      </c>
      <c r="N90">
        <v>1.645</v>
      </c>
      <c r="O90">
        <v>1.696</v>
      </c>
      <c r="P90">
        <v>60</v>
      </c>
    </row>
    <row r="91" spans="2:16">
      <c r="B91" t="s">
        <v>363</v>
      </c>
      <c r="C91">
        <v>6.0000000000000001E-3</v>
      </c>
      <c r="D91">
        <v>1.0999999999999999E-2</v>
      </c>
      <c r="L91">
        <v>19</v>
      </c>
      <c r="M91" t="s">
        <v>362</v>
      </c>
      <c r="N91">
        <v>0.53600000000000003</v>
      </c>
      <c r="O91">
        <v>1.446</v>
      </c>
      <c r="P91">
        <v>61</v>
      </c>
    </row>
    <row r="92" spans="2:16">
      <c r="B92" t="s">
        <v>359</v>
      </c>
      <c r="C92">
        <v>0.01</v>
      </c>
      <c r="D92">
        <v>8.9999999999999993E-3</v>
      </c>
      <c r="L92">
        <v>20</v>
      </c>
      <c r="M92" t="s">
        <v>297</v>
      </c>
      <c r="N92">
        <v>0.24099999999999999</v>
      </c>
      <c r="O92">
        <v>1.282</v>
      </c>
      <c r="P92">
        <v>62</v>
      </c>
    </row>
    <row r="93" spans="2:16">
      <c r="B93" t="s">
        <v>352</v>
      </c>
      <c r="C93">
        <v>2.8000000000000001E-2</v>
      </c>
      <c r="D93">
        <v>8.0000000000000002E-3</v>
      </c>
      <c r="L93">
        <v>21</v>
      </c>
      <c r="M93" t="s">
        <v>333</v>
      </c>
      <c r="N93">
        <v>1.319</v>
      </c>
      <c r="O93">
        <v>1.228</v>
      </c>
      <c r="P93">
        <v>63</v>
      </c>
    </row>
    <row r="94" spans="2:16">
      <c r="B94" t="s">
        <v>367</v>
      </c>
      <c r="C94">
        <v>1E-3</v>
      </c>
      <c r="D94">
        <v>4.0000000000000001E-3</v>
      </c>
      <c r="L94">
        <v>22</v>
      </c>
      <c r="M94" t="s">
        <v>331</v>
      </c>
      <c r="N94">
        <v>0.45200000000000001</v>
      </c>
      <c r="O94">
        <v>0.98899999999999999</v>
      </c>
      <c r="P94">
        <v>64</v>
      </c>
    </row>
    <row r="95" spans="2:16">
      <c r="B95" t="s">
        <v>369</v>
      </c>
      <c r="C95">
        <v>1E-3</v>
      </c>
      <c r="D95">
        <v>1E-3</v>
      </c>
      <c r="L95">
        <v>23</v>
      </c>
      <c r="M95" t="s">
        <v>353</v>
      </c>
      <c r="N95">
        <v>1.2829999999999999</v>
      </c>
      <c r="O95">
        <v>0.97399999999999998</v>
      </c>
      <c r="P95">
        <v>65</v>
      </c>
    </row>
    <row r="96" spans="2:16">
      <c r="B96" t="s">
        <v>370</v>
      </c>
      <c r="C96">
        <v>0</v>
      </c>
      <c r="D96">
        <v>1E-3</v>
      </c>
      <c r="L96">
        <v>24</v>
      </c>
      <c r="M96" t="s">
        <v>347</v>
      </c>
      <c r="N96">
        <v>0.253</v>
      </c>
      <c r="O96">
        <v>0.94399999999999995</v>
      </c>
      <c r="P96">
        <v>66</v>
      </c>
    </row>
    <row r="97" spans="2:16">
      <c r="B97" t="s">
        <v>372</v>
      </c>
      <c r="C97">
        <v>0</v>
      </c>
      <c r="D97">
        <v>0</v>
      </c>
      <c r="L97">
        <v>25</v>
      </c>
      <c r="M97" t="s">
        <v>366</v>
      </c>
      <c r="N97">
        <v>0.32500000000000001</v>
      </c>
      <c r="O97">
        <v>0.70499999999999996</v>
      </c>
      <c r="P97">
        <v>67</v>
      </c>
    </row>
    <row r="98" spans="2:16">
      <c r="B98" t="s">
        <v>373</v>
      </c>
      <c r="C98">
        <v>0</v>
      </c>
      <c r="D98">
        <v>0</v>
      </c>
      <c r="L98">
        <v>26</v>
      </c>
      <c r="M98" t="s">
        <v>364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349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375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298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312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343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323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341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306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318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355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327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304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316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296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374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338</v>
      </c>
      <c r="N114">
        <v>0.22900000000000001</v>
      </c>
      <c r="O114">
        <v>0.215</v>
      </c>
      <c r="P114">
        <v>84</v>
      </c>
    </row>
    <row r="115" spans="12:16">
      <c r="M115" t="s">
        <v>351</v>
      </c>
      <c r="N115">
        <v>0.06</v>
      </c>
      <c r="O115">
        <v>0.21199999999999999</v>
      </c>
    </row>
    <row r="116" spans="12:16">
      <c r="M116" t="s">
        <v>317</v>
      </c>
      <c r="N116">
        <v>1.7999999999999999E-2</v>
      </c>
      <c r="O116">
        <v>0.191</v>
      </c>
    </row>
    <row r="117" spans="12:16">
      <c r="M117" t="s">
        <v>371</v>
      </c>
      <c r="N117">
        <v>0.10199999999999999</v>
      </c>
      <c r="O117">
        <v>0.185</v>
      </c>
    </row>
    <row r="118" spans="12:16">
      <c r="M118" t="s">
        <v>293</v>
      </c>
      <c r="N118">
        <v>5.3999999999999999E-2</v>
      </c>
      <c r="O118">
        <v>0.17899999999999999</v>
      </c>
    </row>
    <row r="119" spans="12:16">
      <c r="M119" t="s">
        <v>310</v>
      </c>
      <c r="N119">
        <v>2.4E-2</v>
      </c>
      <c r="O119">
        <v>0.159</v>
      </c>
    </row>
    <row r="120" spans="12:16">
      <c r="M120" t="s">
        <v>326</v>
      </c>
      <c r="N120">
        <v>2.4E-2</v>
      </c>
      <c r="O120">
        <v>0.14399999999999999</v>
      </c>
    </row>
    <row r="121" spans="12:16">
      <c r="M121" t="s">
        <v>335</v>
      </c>
      <c r="N121">
        <v>0.121</v>
      </c>
      <c r="O121">
        <v>0.14199999999999999</v>
      </c>
    </row>
    <row r="122" spans="12:16">
      <c r="M122" t="s">
        <v>368</v>
      </c>
      <c r="N122">
        <v>7.1999999999999995E-2</v>
      </c>
      <c r="O122">
        <v>0.13700000000000001</v>
      </c>
    </row>
    <row r="123" spans="12:16">
      <c r="M123" t="s">
        <v>342</v>
      </c>
      <c r="N123">
        <v>1.7999999999999999E-2</v>
      </c>
      <c r="O123">
        <v>0.13500000000000001</v>
      </c>
    </row>
    <row r="124" spans="12:16">
      <c r="M124" t="s">
        <v>324</v>
      </c>
      <c r="N124">
        <v>7.8E-2</v>
      </c>
      <c r="O124">
        <v>0.13</v>
      </c>
    </row>
    <row r="125" spans="12:16">
      <c r="M125" t="s">
        <v>387</v>
      </c>
      <c r="N125">
        <v>6.6000000000000003E-2</v>
      </c>
      <c r="O125">
        <v>0.12</v>
      </c>
    </row>
    <row r="126" spans="12:16">
      <c r="M126" t="s">
        <v>348</v>
      </c>
      <c r="N126">
        <v>0.16900000000000001</v>
      </c>
      <c r="O126">
        <v>0.113</v>
      </c>
    </row>
    <row r="127" spans="12:16">
      <c r="M127" t="s">
        <v>358</v>
      </c>
      <c r="N127">
        <v>6.0000000000000001E-3</v>
      </c>
      <c r="O127">
        <v>0.108</v>
      </c>
    </row>
    <row r="128" spans="12:16">
      <c r="M128" t="s">
        <v>352</v>
      </c>
      <c r="N128">
        <v>0.68700000000000006</v>
      </c>
      <c r="O128">
        <v>0.105</v>
      </c>
    </row>
    <row r="129" spans="13:15">
      <c r="M129" t="s">
        <v>329</v>
      </c>
      <c r="N129">
        <v>0.09</v>
      </c>
      <c r="O129">
        <v>0.10100000000000001</v>
      </c>
    </row>
    <row r="130" spans="13:15">
      <c r="M130" t="s">
        <v>328</v>
      </c>
      <c r="N130">
        <v>0.06</v>
      </c>
      <c r="O130">
        <v>9.7000000000000003E-2</v>
      </c>
    </row>
    <row r="131" spans="13:15">
      <c r="M131" t="s">
        <v>336</v>
      </c>
      <c r="N131">
        <v>0.10199999999999999</v>
      </c>
      <c r="O131">
        <v>8.5000000000000006E-2</v>
      </c>
    </row>
    <row r="132" spans="13:15">
      <c r="M132" t="s">
        <v>294</v>
      </c>
      <c r="N132">
        <v>6.6000000000000003E-2</v>
      </c>
      <c r="O132">
        <v>7.4999999999999997E-2</v>
      </c>
    </row>
    <row r="133" spans="13:15">
      <c r="M133" t="s">
        <v>365</v>
      </c>
      <c r="N133">
        <v>6.0000000000000001E-3</v>
      </c>
      <c r="O133">
        <v>7.4999999999999997E-2</v>
      </c>
    </row>
    <row r="134" spans="13:15">
      <c r="M134" t="s">
        <v>330</v>
      </c>
      <c r="N134">
        <v>0.13300000000000001</v>
      </c>
      <c r="O134">
        <v>7.2999999999999995E-2</v>
      </c>
    </row>
    <row r="135" spans="13:15">
      <c r="M135" t="s">
        <v>361</v>
      </c>
      <c r="N135">
        <v>0</v>
      </c>
      <c r="O135">
        <v>7.0999999999999994E-2</v>
      </c>
    </row>
    <row r="136" spans="13:15">
      <c r="M136" t="s">
        <v>322</v>
      </c>
      <c r="N136">
        <v>2.4E-2</v>
      </c>
      <c r="O136">
        <v>6.4000000000000001E-2</v>
      </c>
    </row>
    <row r="137" spans="13:15">
      <c r="M137" t="s">
        <v>320</v>
      </c>
      <c r="N137">
        <v>1.2E-2</v>
      </c>
      <c r="O137">
        <v>0.06</v>
      </c>
    </row>
    <row r="138" spans="13:15">
      <c r="M138" t="s">
        <v>332</v>
      </c>
      <c r="N138">
        <v>0.03</v>
      </c>
      <c r="O138">
        <v>5.8000000000000003E-2</v>
      </c>
    </row>
    <row r="139" spans="13:15">
      <c r="M139" t="s">
        <v>300</v>
      </c>
      <c r="N139">
        <v>2.4E-2</v>
      </c>
      <c r="O139">
        <v>5.8000000000000003E-2</v>
      </c>
    </row>
    <row r="140" spans="13:15">
      <c r="M140" t="s">
        <v>340</v>
      </c>
      <c r="N140">
        <v>1.7999999999999999E-2</v>
      </c>
      <c r="O140">
        <v>5.2999999999999999E-2</v>
      </c>
    </row>
    <row r="141" spans="13:15">
      <c r="M141" t="s">
        <v>319</v>
      </c>
      <c r="N141">
        <v>0.03</v>
      </c>
      <c r="O141">
        <v>5.1999999999999998E-2</v>
      </c>
    </row>
    <row r="142" spans="13:15">
      <c r="M142" t="s">
        <v>363</v>
      </c>
      <c r="N142">
        <v>0</v>
      </c>
      <c r="O142">
        <v>4.9000000000000002E-2</v>
      </c>
    </row>
    <row r="143" spans="13:15">
      <c r="M143" t="s">
        <v>346</v>
      </c>
      <c r="N143">
        <v>6.0000000000000001E-3</v>
      </c>
      <c r="O143">
        <v>4.5999999999999999E-2</v>
      </c>
    </row>
    <row r="144" spans="13:15">
      <c r="M144" t="s">
        <v>314</v>
      </c>
      <c r="N144">
        <v>7.8E-2</v>
      </c>
      <c r="O144">
        <v>4.4999999999999998E-2</v>
      </c>
    </row>
    <row r="145" spans="13:15">
      <c r="M145" t="s">
        <v>354</v>
      </c>
      <c r="N145">
        <v>9.6000000000000002E-2</v>
      </c>
      <c r="O145">
        <v>0.03</v>
      </c>
    </row>
    <row r="146" spans="13:15">
      <c r="M146" t="s">
        <v>369</v>
      </c>
      <c r="N146">
        <v>0</v>
      </c>
      <c r="O146">
        <v>2.9000000000000001E-2</v>
      </c>
    </row>
    <row r="147" spans="13:15">
      <c r="M147" t="s">
        <v>357</v>
      </c>
      <c r="N147">
        <v>3.5999999999999997E-2</v>
      </c>
      <c r="O147">
        <v>2.8000000000000001E-2</v>
      </c>
    </row>
    <row r="148" spans="13:15">
      <c r="M148" t="s">
        <v>359</v>
      </c>
      <c r="N148">
        <v>0.09</v>
      </c>
      <c r="O148">
        <v>2.5999999999999999E-2</v>
      </c>
    </row>
    <row r="149" spans="13:15">
      <c r="M149" t="s">
        <v>334</v>
      </c>
      <c r="N149">
        <v>0</v>
      </c>
      <c r="O149">
        <v>2.5999999999999999E-2</v>
      </c>
    </row>
    <row r="150" spans="13:15">
      <c r="M150" t="s">
        <v>356</v>
      </c>
      <c r="N150">
        <v>6.0000000000000001E-3</v>
      </c>
      <c r="O150">
        <v>2.3E-2</v>
      </c>
    </row>
    <row r="151" spans="13:15">
      <c r="M151" t="s">
        <v>350</v>
      </c>
      <c r="N151">
        <v>0</v>
      </c>
      <c r="O151">
        <v>2.1000000000000001E-2</v>
      </c>
    </row>
    <row r="152" spans="13:15">
      <c r="M152" t="s">
        <v>344</v>
      </c>
      <c r="N152">
        <v>1.2E-2</v>
      </c>
      <c r="O152">
        <v>1.6E-2</v>
      </c>
    </row>
    <row r="153" spans="13:15">
      <c r="M153" t="s">
        <v>372</v>
      </c>
      <c r="N153">
        <v>6.0000000000000001E-3</v>
      </c>
      <c r="O153">
        <v>6.0000000000000001E-3</v>
      </c>
    </row>
    <row r="154" spans="13:15">
      <c r="M154" t="s">
        <v>367</v>
      </c>
      <c r="N154">
        <v>0</v>
      </c>
      <c r="O154">
        <v>5.0000000000000001E-3</v>
      </c>
    </row>
    <row r="155" spans="13:15">
      <c r="M155" t="s">
        <v>370</v>
      </c>
      <c r="N155">
        <v>0</v>
      </c>
      <c r="O155">
        <v>4.0000000000000001E-3</v>
      </c>
    </row>
    <row r="156" spans="13:15">
      <c r="M156" t="s">
        <v>373</v>
      </c>
      <c r="N156">
        <v>0</v>
      </c>
      <c r="O156">
        <v>2E-3</v>
      </c>
    </row>
  </sheetData>
  <sortState ref="M73:O156">
    <sortCondition descending="1" ref="O73:O156"/>
  </sortState>
  <phoneticPr fontId="3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F8" sqref="F8"/>
    </sheetView>
  </sheetViews>
  <sheetFormatPr defaultColWidth="11.125" defaultRowHeight="12"/>
  <cols>
    <col min="1" max="1" width="16.875" style="50" customWidth="1"/>
    <col min="2" max="3" width="16.125" style="51" customWidth="1"/>
    <col min="4" max="8" width="15.125" style="51" customWidth="1"/>
    <col min="9" max="13" width="14.125" style="51" customWidth="1"/>
    <col min="14" max="15" width="12.25" style="51" customWidth="1"/>
    <col min="16" max="21" width="14.125" style="51" customWidth="1"/>
    <col min="22" max="23" width="11.25" style="51" customWidth="1"/>
    <col min="24" max="24" width="14.125" style="51" customWidth="1"/>
    <col min="25" max="25" width="16.875" style="51" customWidth="1"/>
    <col min="26" max="26" width="14.125" style="51" customWidth="1"/>
    <col min="27" max="27" width="11.5" style="51" customWidth="1"/>
    <col min="28" max="28" width="15.125" style="51" customWidth="1"/>
    <col min="29" max="30" width="14.125" style="51" customWidth="1"/>
    <col min="31" max="31" width="12.25" style="51" customWidth="1"/>
    <col min="32" max="32" width="16.875" style="51" customWidth="1"/>
    <col min="33" max="36" width="15.125" style="51" customWidth="1"/>
    <col min="37" max="38" width="14.125" style="51" customWidth="1"/>
    <col min="39" max="39" width="12.25" style="51" customWidth="1"/>
    <col min="40" max="40" width="11.5" style="51" customWidth="1"/>
    <col min="41" max="41" width="15.125" style="51" customWidth="1"/>
    <col min="42" max="45" width="14.125" style="51" customWidth="1"/>
    <col min="46" max="50" width="15.125" style="51" customWidth="1"/>
    <col min="51" max="53" width="14.125" style="51" customWidth="1"/>
    <col min="54" max="55" width="16.875" style="51" customWidth="1"/>
    <col min="56" max="57" width="14.125" style="51" customWidth="1"/>
    <col min="58" max="59" width="15.125" style="51" customWidth="1"/>
    <col min="60" max="66" width="14.125" style="51" customWidth="1"/>
    <col min="67" max="68" width="15.125" style="51" customWidth="1"/>
    <col min="69" max="69" width="14.125" style="51" customWidth="1"/>
    <col min="70" max="70" width="12.25" style="51" customWidth="1"/>
    <col min="71" max="74" width="14.125" style="51" customWidth="1"/>
    <col min="75" max="75" width="15.125" style="51" customWidth="1"/>
    <col min="76" max="76" width="12.25" style="51" customWidth="1"/>
    <col min="77" max="77" width="14.125" style="51" customWidth="1"/>
    <col min="78" max="79" width="12.25" style="51" customWidth="1"/>
    <col min="80" max="80" width="15.125" style="51" customWidth="1"/>
    <col min="81" max="82" width="14.125" style="51" customWidth="1"/>
    <col min="83" max="83" width="16.875" style="51" customWidth="1"/>
    <col min="84" max="95" width="12.25" style="51" customWidth="1"/>
    <col min="96" max="96" width="13.375" style="51" customWidth="1"/>
    <col min="97" max="97" width="12.25" style="51" customWidth="1"/>
    <col min="98" max="98" width="13.375" style="51" customWidth="1"/>
    <col min="99" max="100" width="12.25" style="51" customWidth="1"/>
    <col min="101" max="101" width="11.5" style="51" customWidth="1"/>
    <col min="102" max="105" width="12.25" style="51" customWidth="1"/>
    <col min="106" max="106" width="15.125" style="51" customWidth="1"/>
    <col min="107" max="107" width="12.25" style="51" customWidth="1"/>
    <col min="108" max="120" width="5.875" style="51" customWidth="1"/>
    <col min="121" max="16384" width="11.125" style="51"/>
  </cols>
  <sheetData>
    <row r="1" spans="1:107">
      <c r="A1" s="50" t="s">
        <v>390</v>
      </c>
    </row>
    <row r="2" spans="1:107">
      <c r="A2" s="52"/>
      <c r="B2" s="53" t="s">
        <v>391</v>
      </c>
      <c r="C2" s="54" t="s">
        <v>392</v>
      </c>
      <c r="D2" s="54" t="s">
        <v>393</v>
      </c>
      <c r="E2" s="54" t="s">
        <v>394</v>
      </c>
      <c r="F2" s="54" t="s">
        <v>395</v>
      </c>
      <c r="G2" s="55" t="s">
        <v>396</v>
      </c>
      <c r="H2" s="55" t="s">
        <v>304</v>
      </c>
      <c r="I2" s="61" t="s">
        <v>397</v>
      </c>
      <c r="J2" s="61" t="s">
        <v>398</v>
      </c>
      <c r="K2" s="61" t="s">
        <v>399</v>
      </c>
      <c r="L2" s="61" t="s">
        <v>400</v>
      </c>
      <c r="M2" s="61" t="s">
        <v>401</v>
      </c>
      <c r="N2" s="61" t="s">
        <v>402</v>
      </c>
      <c r="O2" s="61" t="s">
        <v>403</v>
      </c>
      <c r="P2" s="61" t="s">
        <v>404</v>
      </c>
      <c r="Q2" s="61" t="s">
        <v>68</v>
      </c>
      <c r="R2" s="61" t="s">
        <v>405</v>
      </c>
      <c r="S2" s="61" t="s">
        <v>406</v>
      </c>
      <c r="T2" s="61" t="s">
        <v>407</v>
      </c>
      <c r="U2" s="61" t="s">
        <v>408</v>
      </c>
      <c r="V2" s="61" t="s">
        <v>409</v>
      </c>
      <c r="W2" s="61" t="s">
        <v>410</v>
      </c>
      <c r="X2" s="61" t="s">
        <v>411</v>
      </c>
      <c r="Y2" s="61" t="s">
        <v>412</v>
      </c>
      <c r="Z2" s="61" t="s">
        <v>67</v>
      </c>
      <c r="AA2" s="61" t="s">
        <v>15</v>
      </c>
      <c r="AB2" s="61" t="s">
        <v>16</v>
      </c>
      <c r="AC2" s="61" t="s">
        <v>413</v>
      </c>
      <c r="AD2" s="61" t="s">
        <v>414</v>
      </c>
      <c r="AE2" s="61" t="s">
        <v>17</v>
      </c>
      <c r="AF2" s="61" t="s">
        <v>415</v>
      </c>
      <c r="AG2" s="61" t="s">
        <v>70</v>
      </c>
      <c r="AH2" s="61" t="s">
        <v>416</v>
      </c>
      <c r="AI2" s="61" t="s">
        <v>69</v>
      </c>
      <c r="AJ2" s="61" t="s">
        <v>8</v>
      </c>
      <c r="AK2" s="61" t="s">
        <v>31</v>
      </c>
      <c r="AL2" s="61" t="s">
        <v>417</v>
      </c>
      <c r="AM2" s="61" t="s">
        <v>30</v>
      </c>
      <c r="AN2" s="61" t="s">
        <v>32</v>
      </c>
      <c r="AO2" s="61" t="s">
        <v>418</v>
      </c>
      <c r="AP2" s="61" t="s">
        <v>419</v>
      </c>
      <c r="AQ2" s="61" t="s">
        <v>33</v>
      </c>
      <c r="AR2" s="61" t="s">
        <v>420</v>
      </c>
      <c r="AS2" s="61" t="s">
        <v>421</v>
      </c>
      <c r="AT2" s="61" t="s">
        <v>422</v>
      </c>
      <c r="AU2" s="61" t="s">
        <v>423</v>
      </c>
      <c r="AV2" s="61" t="s">
        <v>424</v>
      </c>
      <c r="AW2" s="61" t="s">
        <v>425</v>
      </c>
      <c r="AX2" s="61" t="s">
        <v>426</v>
      </c>
      <c r="AY2" s="61" t="s">
        <v>427</v>
      </c>
      <c r="AZ2" s="61" t="s">
        <v>428</v>
      </c>
      <c r="BA2" s="61" t="s">
        <v>429</v>
      </c>
      <c r="BB2" s="61" t="s">
        <v>430</v>
      </c>
      <c r="BC2" s="61" t="s">
        <v>431</v>
      </c>
      <c r="BD2" s="61" t="s">
        <v>432</v>
      </c>
      <c r="BE2" s="61" t="s">
        <v>433</v>
      </c>
      <c r="BF2" s="61" t="s">
        <v>434</v>
      </c>
      <c r="BG2" s="61" t="s">
        <v>435</v>
      </c>
      <c r="BH2" s="61" t="s">
        <v>436</v>
      </c>
      <c r="BI2" s="61" t="s">
        <v>437</v>
      </c>
      <c r="BJ2" s="61" t="s">
        <v>438</v>
      </c>
      <c r="BK2" s="61" t="s">
        <v>439</v>
      </c>
      <c r="BL2" s="61" t="s">
        <v>440</v>
      </c>
      <c r="BM2" s="61" t="s">
        <v>441</v>
      </c>
      <c r="BN2" s="61" t="s">
        <v>442</v>
      </c>
      <c r="BO2" s="61" t="s">
        <v>443</v>
      </c>
      <c r="BP2" s="61" t="s">
        <v>444</v>
      </c>
      <c r="BQ2" s="61" t="s">
        <v>445</v>
      </c>
      <c r="BR2" s="61" t="s">
        <v>446</v>
      </c>
      <c r="BS2" s="61" t="s">
        <v>447</v>
      </c>
      <c r="BT2" s="61" t="s">
        <v>448</v>
      </c>
      <c r="BU2" s="61" t="s">
        <v>449</v>
      </c>
      <c r="BV2" s="61" t="s">
        <v>450</v>
      </c>
      <c r="BW2" s="61" t="s">
        <v>451</v>
      </c>
      <c r="BX2" s="61" t="s">
        <v>452</v>
      </c>
      <c r="BY2" s="61" t="s">
        <v>453</v>
      </c>
      <c r="BZ2" s="61" t="s">
        <v>454</v>
      </c>
      <c r="CA2" s="61" t="s">
        <v>455</v>
      </c>
      <c r="CB2" s="61" t="s">
        <v>456</v>
      </c>
      <c r="CC2" s="61" t="s">
        <v>457</v>
      </c>
      <c r="CD2" s="61" t="s">
        <v>458</v>
      </c>
      <c r="CE2" s="61" t="s">
        <v>459</v>
      </c>
      <c r="CF2" s="61" t="s">
        <v>460</v>
      </c>
      <c r="CG2" s="61" t="s">
        <v>461</v>
      </c>
      <c r="CH2" s="61" t="s">
        <v>462</v>
      </c>
      <c r="CI2" s="61" t="s">
        <v>463</v>
      </c>
      <c r="CJ2" s="61" t="s">
        <v>464</v>
      </c>
      <c r="CK2" s="61" t="s">
        <v>465</v>
      </c>
      <c r="CL2" s="61" t="s">
        <v>466</v>
      </c>
      <c r="CM2" s="61" t="s">
        <v>467</v>
      </c>
      <c r="CN2" s="61" t="s">
        <v>468</v>
      </c>
      <c r="CO2" s="61" t="s">
        <v>469</v>
      </c>
      <c r="CP2" s="61" t="s">
        <v>470</v>
      </c>
      <c r="CQ2" s="61" t="s">
        <v>471</v>
      </c>
      <c r="CR2" s="61" t="s">
        <v>472</v>
      </c>
      <c r="CS2" s="61" t="s">
        <v>473</v>
      </c>
      <c r="CT2" s="61" t="s">
        <v>474</v>
      </c>
      <c r="CU2" s="61" t="s">
        <v>475</v>
      </c>
      <c r="CV2" s="61" t="s">
        <v>476</v>
      </c>
      <c r="CW2" s="61" t="s">
        <v>477</v>
      </c>
      <c r="CX2" s="61" t="s">
        <v>478</v>
      </c>
      <c r="CY2" s="61" t="s">
        <v>479</v>
      </c>
      <c r="CZ2" s="61" t="s">
        <v>480</v>
      </c>
      <c r="DA2" s="61" t="s">
        <v>481</v>
      </c>
      <c r="DB2" s="61" t="s">
        <v>482</v>
      </c>
      <c r="DC2" s="62" t="s">
        <v>483</v>
      </c>
    </row>
    <row r="3" spans="1:107">
      <c r="A3" s="47" t="s">
        <v>89</v>
      </c>
      <c r="B3" s="56">
        <v>110728070.06999999</v>
      </c>
      <c r="C3" s="56">
        <v>51624192.960000001</v>
      </c>
      <c r="D3" s="56">
        <v>14037253.439999999</v>
      </c>
      <c r="E3" s="56">
        <v>8862595.1799999997</v>
      </c>
      <c r="F3" s="56">
        <v>4691299.28</v>
      </c>
      <c r="G3" s="56">
        <v>8351404.9400000004</v>
      </c>
      <c r="H3" s="56">
        <v>259860</v>
      </c>
      <c r="I3" s="56">
        <v>886609.55</v>
      </c>
      <c r="J3" s="56">
        <v>1936656.64</v>
      </c>
      <c r="K3" s="56">
        <v>2178186.16</v>
      </c>
      <c r="L3" s="56">
        <v>759629.82</v>
      </c>
      <c r="M3" s="56">
        <v>1473335.88</v>
      </c>
      <c r="N3" s="56">
        <v>209524.51</v>
      </c>
      <c r="O3" s="56">
        <v>117195.36</v>
      </c>
      <c r="P3" s="56">
        <v>1173955.42</v>
      </c>
      <c r="Q3" s="56">
        <v>1113731.1299999999</v>
      </c>
      <c r="R3" s="56">
        <v>1190460.1100000001</v>
      </c>
      <c r="S3" s="56">
        <v>2384364.33</v>
      </c>
      <c r="T3" s="56">
        <v>2155405.88</v>
      </c>
      <c r="U3" s="56">
        <v>3989787.32</v>
      </c>
      <c r="V3" s="56">
        <v>36980</v>
      </c>
      <c r="W3" s="56">
        <v>0</v>
      </c>
      <c r="X3" s="56">
        <v>967773.8</v>
      </c>
      <c r="Y3" s="56">
        <v>37329.33</v>
      </c>
      <c r="Z3" s="56">
        <v>2608794.59</v>
      </c>
      <c r="AA3" s="56">
        <v>0</v>
      </c>
      <c r="AB3" s="56">
        <v>2154695</v>
      </c>
      <c r="AC3" s="56">
        <v>1814487.62</v>
      </c>
      <c r="AD3" s="56">
        <v>1161439.18</v>
      </c>
      <c r="AE3" s="56">
        <v>118075.66</v>
      </c>
      <c r="AF3" s="56">
        <v>1347800.27</v>
      </c>
      <c r="AG3" s="56">
        <v>3063656.32</v>
      </c>
      <c r="AH3" s="56">
        <v>6032320.8099999996</v>
      </c>
      <c r="AI3" s="56">
        <v>3593476.04</v>
      </c>
      <c r="AJ3" s="56">
        <v>3285140.09</v>
      </c>
      <c r="AK3" s="56">
        <v>3134779.31</v>
      </c>
      <c r="AL3" s="56">
        <v>1208753.05</v>
      </c>
      <c r="AM3" s="56">
        <v>347766.92</v>
      </c>
      <c r="AN3" s="56">
        <v>10502.07</v>
      </c>
      <c r="AO3" s="56">
        <v>1640950.22</v>
      </c>
      <c r="AP3" s="56">
        <v>1411601.01</v>
      </c>
      <c r="AQ3" s="56">
        <v>1305727.06</v>
      </c>
      <c r="AR3" s="56">
        <v>1149893.8899999999</v>
      </c>
      <c r="AS3" s="56">
        <v>1084134.05</v>
      </c>
      <c r="AT3" s="56">
        <v>2078967.42</v>
      </c>
      <c r="AU3" s="56">
        <v>2219856.69</v>
      </c>
      <c r="AV3" s="56">
        <v>2572304.75</v>
      </c>
      <c r="AW3" s="56">
        <v>1981480.9</v>
      </c>
      <c r="AX3" s="56">
        <v>1970727.63</v>
      </c>
      <c r="AY3" s="56">
        <v>1981208.12</v>
      </c>
      <c r="AZ3" s="56">
        <v>897181.15</v>
      </c>
      <c r="BA3" s="56">
        <v>2238057.62</v>
      </c>
      <c r="BB3" s="56">
        <v>946717.72</v>
      </c>
      <c r="BC3" s="56">
        <v>800229.09</v>
      </c>
      <c r="BD3" s="56">
        <v>2292416.64</v>
      </c>
      <c r="BE3" s="56">
        <v>1475857.86</v>
      </c>
      <c r="BF3" s="56">
        <v>1746598.27</v>
      </c>
      <c r="BG3" s="56">
        <v>1550294.41</v>
      </c>
      <c r="BH3" s="56">
        <v>1142261.5900000001</v>
      </c>
      <c r="BI3" s="56">
        <v>1117646.75</v>
      </c>
      <c r="BJ3" s="56">
        <v>1155094.8799999999</v>
      </c>
      <c r="BK3" s="56">
        <v>1076727.8700000001</v>
      </c>
      <c r="BL3" s="56">
        <v>718426.09</v>
      </c>
      <c r="BM3" s="56">
        <v>866718.59</v>
      </c>
      <c r="BN3" s="56">
        <v>964511.93</v>
      </c>
      <c r="BO3" s="56">
        <v>1125095.1599999999</v>
      </c>
      <c r="BP3" s="56">
        <v>418188.79999999999</v>
      </c>
      <c r="BQ3" s="56">
        <v>541651.79</v>
      </c>
      <c r="BR3" s="56">
        <v>303892.40000000002</v>
      </c>
      <c r="BS3" s="56">
        <v>515857.4</v>
      </c>
      <c r="BT3" s="56">
        <v>490682.61</v>
      </c>
      <c r="BU3" s="56">
        <v>896820.83</v>
      </c>
      <c r="BV3" s="56">
        <v>346591.44</v>
      </c>
      <c r="BW3" s="56">
        <v>4822742.93</v>
      </c>
      <c r="BX3" s="56">
        <v>143966.84</v>
      </c>
      <c r="BY3" s="56">
        <v>307736.15999999997</v>
      </c>
      <c r="BZ3" s="56">
        <v>241565.39</v>
      </c>
      <c r="CA3" s="56">
        <v>212222.14</v>
      </c>
      <c r="CB3" s="56">
        <v>316566.58</v>
      </c>
      <c r="CC3" s="56">
        <v>685760.61</v>
      </c>
      <c r="CD3" s="56">
        <v>312448.27</v>
      </c>
      <c r="CE3" s="56">
        <v>127106.91</v>
      </c>
      <c r="CF3" s="56">
        <v>32000</v>
      </c>
      <c r="CG3" s="56">
        <v>95400</v>
      </c>
      <c r="CH3" s="56">
        <v>63420</v>
      </c>
      <c r="CI3" s="56">
        <v>54318.3</v>
      </c>
      <c r="CJ3" s="56">
        <v>131200</v>
      </c>
      <c r="CK3" s="56">
        <v>68369.649999999994</v>
      </c>
      <c r="CL3" s="56">
        <v>62137.72</v>
      </c>
      <c r="CM3" s="56">
        <v>81751.56</v>
      </c>
      <c r="CN3" s="56">
        <v>66450</v>
      </c>
      <c r="CO3" s="56">
        <v>32000</v>
      </c>
      <c r="CP3" s="56">
        <v>72644</v>
      </c>
      <c r="CQ3" s="56">
        <v>72135.509999999995</v>
      </c>
      <c r="CR3" s="56">
        <v>32000</v>
      </c>
      <c r="CS3" s="56">
        <v>89779.15</v>
      </c>
      <c r="CT3" s="56">
        <v>32000</v>
      </c>
      <c r="CU3" s="56">
        <v>62977.21</v>
      </c>
      <c r="CV3" s="56">
        <v>60815.17</v>
      </c>
      <c r="CW3" s="56">
        <v>18206.900000000001</v>
      </c>
      <c r="CX3" s="56">
        <v>29072.639999999999</v>
      </c>
      <c r="CY3" s="56">
        <v>76976.27</v>
      </c>
      <c r="CZ3" s="56">
        <v>16000</v>
      </c>
      <c r="DA3" s="56">
        <v>37983.449999999997</v>
      </c>
      <c r="DB3" s="56">
        <v>13318</v>
      </c>
      <c r="DC3" s="56">
        <v>128748.97</v>
      </c>
    </row>
    <row r="4" spans="1:107">
      <c r="A4" s="47" t="s">
        <v>90</v>
      </c>
      <c r="B4" s="56">
        <v>1141297.8899999999</v>
      </c>
      <c r="C4" s="56">
        <v>699794.98</v>
      </c>
      <c r="D4" s="56">
        <v>56585.68</v>
      </c>
      <c r="E4" s="56">
        <v>68143.320000000007</v>
      </c>
      <c r="F4" s="56">
        <v>884.11</v>
      </c>
      <c r="G4" s="56">
        <v>10725</v>
      </c>
      <c r="H4" s="56">
        <v>16269</v>
      </c>
      <c r="I4" s="56">
        <v>7670</v>
      </c>
      <c r="J4" s="56">
        <v>85250</v>
      </c>
      <c r="K4" s="56">
        <v>27779.65</v>
      </c>
      <c r="L4" s="56">
        <v>8795</v>
      </c>
      <c r="M4" s="56">
        <v>11797.65</v>
      </c>
      <c r="N4" s="56">
        <v>3775</v>
      </c>
      <c r="O4" s="56">
        <v>1615</v>
      </c>
      <c r="P4" s="56">
        <v>14035</v>
      </c>
      <c r="Q4" s="56">
        <v>9324.65</v>
      </c>
      <c r="R4" s="56">
        <v>9305</v>
      </c>
      <c r="S4" s="56">
        <v>21568</v>
      </c>
      <c r="T4" s="56">
        <v>24865</v>
      </c>
      <c r="U4" s="56">
        <v>30147</v>
      </c>
      <c r="V4" s="56">
        <v>0</v>
      </c>
      <c r="W4" s="56">
        <v>0</v>
      </c>
      <c r="X4" s="56">
        <v>41250</v>
      </c>
      <c r="Y4" s="56">
        <v>0</v>
      </c>
      <c r="Z4" s="56">
        <v>9447.99</v>
      </c>
      <c r="AA4" s="56">
        <v>0</v>
      </c>
      <c r="AB4" s="56">
        <v>10870.33</v>
      </c>
      <c r="AC4" s="56">
        <v>4975</v>
      </c>
      <c r="AD4" s="56">
        <v>1600</v>
      </c>
      <c r="AE4" s="56">
        <v>0</v>
      </c>
      <c r="AF4" s="56">
        <v>13288.98</v>
      </c>
      <c r="AG4" s="56">
        <v>21018.639999999999</v>
      </c>
      <c r="AH4" s="56">
        <v>5236</v>
      </c>
      <c r="AI4" s="56">
        <v>17042.060000000001</v>
      </c>
      <c r="AJ4" s="56">
        <v>32869.65</v>
      </c>
      <c r="AK4" s="56">
        <v>398.21</v>
      </c>
      <c r="AL4" s="56">
        <v>485.9</v>
      </c>
      <c r="AM4" s="56">
        <v>0</v>
      </c>
      <c r="AN4" s="56">
        <v>99.2</v>
      </c>
      <c r="AO4" s="56">
        <v>8290</v>
      </c>
      <c r="AP4" s="56">
        <v>17375</v>
      </c>
      <c r="AQ4" s="56">
        <v>14730</v>
      </c>
      <c r="AR4" s="56">
        <v>13745</v>
      </c>
      <c r="AS4" s="56">
        <v>10063</v>
      </c>
      <c r="AT4" s="56">
        <v>27950</v>
      </c>
      <c r="AU4" s="56">
        <v>33595.07</v>
      </c>
      <c r="AV4" s="56">
        <v>22800</v>
      </c>
      <c r="AW4" s="56">
        <v>54755.07</v>
      </c>
      <c r="AX4" s="56">
        <v>24875</v>
      </c>
      <c r="AY4" s="56">
        <v>34400</v>
      </c>
      <c r="AZ4" s="56">
        <v>14325</v>
      </c>
      <c r="BA4" s="56">
        <v>37123.71</v>
      </c>
      <c r="BB4" s="56">
        <v>9146.33</v>
      </c>
      <c r="BC4" s="56">
        <v>3775</v>
      </c>
      <c r="BD4" s="56">
        <v>25406</v>
      </c>
      <c r="BE4" s="56">
        <v>22025</v>
      </c>
      <c r="BF4" s="56">
        <v>42738.16</v>
      </c>
      <c r="BG4" s="56">
        <v>12375</v>
      </c>
      <c r="BH4" s="56">
        <v>22148.34</v>
      </c>
      <c r="BI4" s="56">
        <v>18000</v>
      </c>
      <c r="BJ4" s="56">
        <v>14925</v>
      </c>
      <c r="BK4" s="56">
        <v>18400.75</v>
      </c>
      <c r="BL4" s="56">
        <v>6100</v>
      </c>
      <c r="BM4" s="56">
        <v>12975</v>
      </c>
      <c r="BN4" s="56">
        <v>8525</v>
      </c>
      <c r="BO4" s="56">
        <v>19950</v>
      </c>
      <c r="BP4" s="56">
        <v>4500</v>
      </c>
      <c r="BQ4" s="56">
        <v>6275</v>
      </c>
      <c r="BR4" s="56">
        <v>7837</v>
      </c>
      <c r="BS4" s="56">
        <v>6925</v>
      </c>
      <c r="BT4" s="56">
        <v>10540</v>
      </c>
      <c r="BU4" s="56">
        <v>26465.63</v>
      </c>
      <c r="BV4" s="56">
        <v>10000</v>
      </c>
      <c r="BW4" s="56">
        <v>35945</v>
      </c>
      <c r="BX4" s="56">
        <v>1600</v>
      </c>
      <c r="BY4" s="56">
        <v>2100</v>
      </c>
      <c r="BZ4" s="56">
        <v>2425</v>
      </c>
      <c r="CA4" s="56">
        <v>2900</v>
      </c>
      <c r="CB4" s="56">
        <v>3424.04</v>
      </c>
      <c r="CC4" s="56">
        <v>7483.24</v>
      </c>
      <c r="CD4" s="56">
        <v>4481.32</v>
      </c>
      <c r="CE4" s="56">
        <v>0</v>
      </c>
      <c r="CF4" s="56">
        <v>0</v>
      </c>
      <c r="CG4" s="56">
        <v>1125</v>
      </c>
      <c r="CH4" s="56">
        <v>1125</v>
      </c>
      <c r="CI4" s="56">
        <v>739.6</v>
      </c>
      <c r="CJ4" s="56">
        <v>1184.33</v>
      </c>
      <c r="CK4" s="56">
        <v>1775</v>
      </c>
      <c r="CL4" s="56">
        <v>1125</v>
      </c>
      <c r="CM4" s="56">
        <v>1125</v>
      </c>
      <c r="CN4" s="56">
        <v>1125</v>
      </c>
      <c r="CO4" s="56">
        <v>0</v>
      </c>
      <c r="CP4" s="56">
        <v>1027.99</v>
      </c>
      <c r="CQ4" s="56">
        <v>1125</v>
      </c>
      <c r="CR4" s="56">
        <v>0</v>
      </c>
      <c r="CS4" s="56">
        <v>1125</v>
      </c>
      <c r="CT4" s="56">
        <v>0</v>
      </c>
      <c r="CU4" s="56">
        <v>0</v>
      </c>
      <c r="CV4" s="56">
        <v>475</v>
      </c>
      <c r="CW4" s="56">
        <v>0</v>
      </c>
      <c r="CX4" s="56">
        <v>0</v>
      </c>
      <c r="CY4" s="56">
        <v>475</v>
      </c>
      <c r="CZ4" s="56">
        <v>0</v>
      </c>
      <c r="DA4" s="56">
        <v>1883.6</v>
      </c>
      <c r="DB4" s="56">
        <v>0</v>
      </c>
      <c r="DC4" s="56">
        <v>941.8</v>
      </c>
    </row>
    <row r="5" spans="1:107">
      <c r="A5" s="47" t="s">
        <v>91</v>
      </c>
      <c r="B5" s="56">
        <v>4404691.28</v>
      </c>
      <c r="C5" s="56">
        <v>1566457.71</v>
      </c>
      <c r="D5" s="56">
        <v>1509378.28</v>
      </c>
      <c r="E5" s="56">
        <v>176820.39</v>
      </c>
      <c r="F5" s="56">
        <v>93096.34</v>
      </c>
      <c r="G5" s="56">
        <v>167004.24</v>
      </c>
      <c r="H5" s="56">
        <v>142009.49</v>
      </c>
      <c r="I5" s="56">
        <v>18205</v>
      </c>
      <c r="J5" s="56">
        <v>37108.46</v>
      </c>
      <c r="K5" s="56">
        <v>44871.72</v>
      </c>
      <c r="L5" s="56">
        <v>15587.4</v>
      </c>
      <c r="M5" s="56">
        <v>29482.04</v>
      </c>
      <c r="N5" s="56">
        <v>3643.46</v>
      </c>
      <c r="O5" s="56">
        <v>2456.7199999999998</v>
      </c>
      <c r="P5" s="56">
        <v>24057.51</v>
      </c>
      <c r="Q5" s="56">
        <v>22778.63</v>
      </c>
      <c r="R5" s="56">
        <v>24322.799999999999</v>
      </c>
      <c r="S5" s="56">
        <v>48976.49</v>
      </c>
      <c r="T5" s="56">
        <v>44348.91</v>
      </c>
      <c r="U5" s="56">
        <v>365808.88</v>
      </c>
      <c r="V5" s="56">
        <v>748</v>
      </c>
      <c r="W5" s="56">
        <v>0</v>
      </c>
      <c r="X5" s="56">
        <v>14526.42</v>
      </c>
      <c r="Y5" s="56">
        <v>746.59</v>
      </c>
      <c r="Z5" s="56">
        <v>53298.69</v>
      </c>
      <c r="AA5" s="56">
        <v>0</v>
      </c>
      <c r="AB5" s="56">
        <v>43992.67</v>
      </c>
      <c r="AC5" s="56">
        <v>38011.21</v>
      </c>
      <c r="AD5" s="56">
        <v>23883.3</v>
      </c>
      <c r="AE5" s="56">
        <v>2361.5100000000002</v>
      </c>
      <c r="AF5" s="56">
        <v>25859.7</v>
      </c>
      <c r="AG5" s="56">
        <v>1156815.32</v>
      </c>
      <c r="AH5" s="56">
        <v>243131.61</v>
      </c>
      <c r="AI5" s="56">
        <v>83571.649999999994</v>
      </c>
      <c r="AJ5" s="56">
        <v>67306.77</v>
      </c>
      <c r="AK5" s="56">
        <v>61402.720000000001</v>
      </c>
      <c r="AL5" s="56">
        <v>24498.67</v>
      </c>
      <c r="AM5" s="56">
        <v>7194.95</v>
      </c>
      <c r="AN5" s="56">
        <v>222.04</v>
      </c>
      <c r="AO5" s="56">
        <v>36445.58</v>
      </c>
      <c r="AP5" s="56">
        <v>28896.83</v>
      </c>
      <c r="AQ5" s="56">
        <v>26724.94</v>
      </c>
      <c r="AR5" s="56">
        <v>23603.89</v>
      </c>
      <c r="AS5" s="56">
        <v>22244.67</v>
      </c>
      <c r="AT5" s="56">
        <v>63540.89</v>
      </c>
      <c r="AU5" s="56">
        <v>84034.29</v>
      </c>
      <c r="AV5" s="56">
        <v>89326.57</v>
      </c>
      <c r="AW5" s="56">
        <v>97546.93</v>
      </c>
      <c r="AX5" s="56">
        <v>65611.17</v>
      </c>
      <c r="AY5" s="56">
        <v>67307.149999999994</v>
      </c>
      <c r="AZ5" s="56">
        <v>36454.949999999997</v>
      </c>
      <c r="BA5" s="56">
        <v>94914.91</v>
      </c>
      <c r="BB5" s="56">
        <v>25361.42</v>
      </c>
      <c r="BC5" s="56">
        <v>19591.38</v>
      </c>
      <c r="BD5" s="56">
        <v>69302.83</v>
      </c>
      <c r="BE5" s="56">
        <v>56066.52</v>
      </c>
      <c r="BF5" s="56">
        <v>48766.04</v>
      </c>
      <c r="BG5" s="56">
        <v>47195.27</v>
      </c>
      <c r="BH5" s="56">
        <v>31071.21</v>
      </c>
      <c r="BI5" s="56">
        <v>34781.85</v>
      </c>
      <c r="BJ5" s="56">
        <v>40754.79</v>
      </c>
      <c r="BK5" s="56">
        <v>33459.08</v>
      </c>
      <c r="BL5" s="56">
        <v>21194.31</v>
      </c>
      <c r="BM5" s="56">
        <v>25382.09</v>
      </c>
      <c r="BN5" s="56">
        <v>32431.53</v>
      </c>
      <c r="BO5" s="56">
        <v>35987.82</v>
      </c>
      <c r="BP5" s="56">
        <v>11962.53</v>
      </c>
      <c r="BQ5" s="56">
        <v>14379.1</v>
      </c>
      <c r="BR5" s="56">
        <v>7433.05</v>
      </c>
      <c r="BS5" s="56">
        <v>18202.98</v>
      </c>
      <c r="BT5" s="56">
        <v>14283.91</v>
      </c>
      <c r="BU5" s="56">
        <v>27986.92</v>
      </c>
      <c r="BV5" s="56">
        <v>15158.9</v>
      </c>
      <c r="BW5" s="56">
        <v>94028.85</v>
      </c>
      <c r="BX5" s="56">
        <v>4484.79</v>
      </c>
      <c r="BY5" s="56">
        <v>10310.780000000001</v>
      </c>
      <c r="BZ5" s="56">
        <v>8351.99</v>
      </c>
      <c r="CA5" s="56">
        <v>8765.3799999999992</v>
      </c>
      <c r="CB5" s="56">
        <v>8096.03</v>
      </c>
      <c r="CC5" s="56">
        <v>17198.53</v>
      </c>
      <c r="CD5" s="56">
        <v>9145.61</v>
      </c>
      <c r="CE5" s="56">
        <v>3268.5</v>
      </c>
      <c r="CF5" s="56">
        <v>772.64</v>
      </c>
      <c r="CG5" s="56">
        <v>3171.4</v>
      </c>
      <c r="CH5" s="56">
        <v>1592.77</v>
      </c>
      <c r="CI5" s="56">
        <v>1101.6500000000001</v>
      </c>
      <c r="CJ5" s="56">
        <v>2627.2</v>
      </c>
      <c r="CK5" s="56">
        <v>1903.69</v>
      </c>
      <c r="CL5" s="56">
        <v>1644.77</v>
      </c>
      <c r="CM5" s="56">
        <v>2644.68</v>
      </c>
      <c r="CN5" s="56">
        <v>1480.65</v>
      </c>
      <c r="CO5" s="56">
        <v>724.64</v>
      </c>
      <c r="CP5" s="56">
        <v>2490.31</v>
      </c>
      <c r="CQ5" s="56">
        <v>1802.48</v>
      </c>
      <c r="CR5" s="56">
        <v>727.44</v>
      </c>
      <c r="CS5" s="56">
        <v>1920.13</v>
      </c>
      <c r="CT5" s="56">
        <v>842.58</v>
      </c>
      <c r="CU5" s="56">
        <v>1546.01</v>
      </c>
      <c r="CV5" s="56">
        <v>1499.62</v>
      </c>
      <c r="CW5" s="56">
        <v>383.34</v>
      </c>
      <c r="CX5" s="56">
        <v>608.25</v>
      </c>
      <c r="CY5" s="56">
        <v>1787.44</v>
      </c>
      <c r="CZ5" s="56">
        <v>342.03</v>
      </c>
      <c r="DA5" s="56">
        <v>788.87</v>
      </c>
      <c r="DB5" s="56">
        <v>339.77</v>
      </c>
      <c r="DC5" s="56">
        <v>2658.59</v>
      </c>
    </row>
    <row r="6" spans="1:107">
      <c r="A6" s="47" t="s">
        <v>92</v>
      </c>
      <c r="B6" s="56">
        <v>2942654.49</v>
      </c>
      <c r="C6" s="56">
        <v>418273.5</v>
      </c>
      <c r="D6" s="56">
        <v>2060</v>
      </c>
      <c r="E6" s="56">
        <v>0</v>
      </c>
      <c r="F6" s="56">
        <v>504</v>
      </c>
      <c r="G6" s="56">
        <v>0</v>
      </c>
      <c r="H6" s="56">
        <v>2509816.9900000002</v>
      </c>
      <c r="I6" s="56">
        <v>12000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2000</v>
      </c>
      <c r="AH6" s="56">
        <v>0</v>
      </c>
      <c r="AI6" s="56">
        <v>60</v>
      </c>
      <c r="AJ6" s="56">
        <v>0</v>
      </c>
      <c r="AK6" s="56">
        <v>504</v>
      </c>
      <c r="AL6" s="56">
        <v>0</v>
      </c>
      <c r="AM6" s="56">
        <v>0</v>
      </c>
      <c r="AN6" s="56">
        <v>0</v>
      </c>
      <c r="AO6" s="56">
        <v>313263.40000000002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465</v>
      </c>
      <c r="AY6" s="56">
        <v>0</v>
      </c>
      <c r="AZ6" s="56">
        <v>1460</v>
      </c>
      <c r="BA6" s="56">
        <v>12454.5</v>
      </c>
      <c r="BB6" s="56">
        <v>3904</v>
      </c>
      <c r="BC6" s="56">
        <v>2249.9</v>
      </c>
      <c r="BD6" s="56">
        <v>0</v>
      </c>
      <c r="BE6" s="56">
        <v>16942</v>
      </c>
      <c r="BF6" s="56">
        <v>40</v>
      </c>
      <c r="BG6" s="56">
        <v>0</v>
      </c>
      <c r="BH6" s="56">
        <v>16480</v>
      </c>
      <c r="BI6" s="56">
        <v>3898</v>
      </c>
      <c r="BJ6" s="56">
        <v>1200</v>
      </c>
      <c r="BK6" s="56">
        <v>6254</v>
      </c>
      <c r="BL6" s="56">
        <v>0</v>
      </c>
      <c r="BM6" s="56">
        <v>4256</v>
      </c>
      <c r="BN6" s="56">
        <v>4380</v>
      </c>
      <c r="BO6" s="56">
        <v>800</v>
      </c>
      <c r="BP6" s="56">
        <v>0</v>
      </c>
      <c r="BQ6" s="56">
        <v>800</v>
      </c>
      <c r="BR6" s="56">
        <v>1668</v>
      </c>
      <c r="BS6" s="56">
        <v>0</v>
      </c>
      <c r="BT6" s="56">
        <v>0</v>
      </c>
      <c r="BU6" s="56">
        <v>3633.57</v>
      </c>
      <c r="BV6" s="56">
        <v>0</v>
      </c>
      <c r="BW6" s="56">
        <v>8642.7999999999993</v>
      </c>
      <c r="BX6" s="56">
        <v>0</v>
      </c>
      <c r="BY6" s="56">
        <v>900</v>
      </c>
      <c r="BZ6" s="56">
        <v>818.5</v>
      </c>
      <c r="CA6" s="56">
        <v>0</v>
      </c>
      <c r="CB6" s="56">
        <v>0</v>
      </c>
      <c r="CC6" s="56">
        <v>4830</v>
      </c>
      <c r="CD6" s="56">
        <v>0</v>
      </c>
      <c r="CE6" s="56">
        <v>309</v>
      </c>
      <c r="CF6" s="56">
        <v>0</v>
      </c>
      <c r="CG6" s="56">
        <v>280</v>
      </c>
      <c r="CH6" s="56">
        <v>0</v>
      </c>
      <c r="CI6" s="56">
        <v>1379.14</v>
      </c>
      <c r="CJ6" s="56">
        <v>0</v>
      </c>
      <c r="CK6" s="56">
        <v>0</v>
      </c>
      <c r="CL6" s="56">
        <v>2088.29</v>
      </c>
      <c r="CM6" s="56">
        <v>200</v>
      </c>
      <c r="CN6" s="56">
        <v>450</v>
      </c>
      <c r="CO6" s="56">
        <v>0</v>
      </c>
      <c r="CP6" s="56">
        <v>0</v>
      </c>
      <c r="CQ6" s="56">
        <v>0</v>
      </c>
      <c r="CR6" s="56">
        <v>0</v>
      </c>
      <c r="CS6" s="56">
        <v>900</v>
      </c>
      <c r="CT6" s="56">
        <v>0</v>
      </c>
      <c r="CU6" s="56">
        <v>2589.4</v>
      </c>
      <c r="CV6" s="56">
        <v>0</v>
      </c>
      <c r="CW6" s="56">
        <v>0</v>
      </c>
      <c r="CX6" s="56">
        <v>238</v>
      </c>
      <c r="CY6" s="56">
        <v>500</v>
      </c>
      <c r="CZ6" s="56">
        <v>0</v>
      </c>
      <c r="DA6" s="56">
        <v>0</v>
      </c>
      <c r="DB6" s="56">
        <v>0</v>
      </c>
      <c r="DC6" s="56">
        <v>0</v>
      </c>
    </row>
    <row r="7" spans="1:107">
      <c r="A7" s="47" t="s">
        <v>93</v>
      </c>
      <c r="B7" s="56">
        <v>27053592.629999999</v>
      </c>
      <c r="C7" s="56">
        <v>15069049.949999999</v>
      </c>
      <c r="D7" s="56">
        <v>2608016.13</v>
      </c>
      <c r="E7" s="56">
        <v>2060613.9</v>
      </c>
      <c r="F7" s="56">
        <v>1362075.28</v>
      </c>
      <c r="G7" s="56">
        <v>646914</v>
      </c>
      <c r="H7" s="56">
        <v>-174720.2</v>
      </c>
      <c r="I7" s="56">
        <v>221709.56</v>
      </c>
      <c r="J7" s="56">
        <v>452392.73</v>
      </c>
      <c r="K7" s="56">
        <v>546483.23</v>
      </c>
      <c r="L7" s="56">
        <v>170392.41</v>
      </c>
      <c r="M7" s="56">
        <v>318859.59999999998</v>
      </c>
      <c r="N7" s="56">
        <v>45971.92</v>
      </c>
      <c r="O7" s="56">
        <v>42844.04</v>
      </c>
      <c r="P7" s="56">
        <v>275825.59000000003</v>
      </c>
      <c r="Q7" s="56">
        <v>245186.56</v>
      </c>
      <c r="R7" s="56">
        <v>261760.2</v>
      </c>
      <c r="S7" s="56">
        <v>596561.97</v>
      </c>
      <c r="T7" s="56">
        <v>549193.93000000005</v>
      </c>
      <c r="U7" s="56">
        <v>920099.08</v>
      </c>
      <c r="V7" s="56">
        <v>6256.22</v>
      </c>
      <c r="W7" s="56">
        <v>0</v>
      </c>
      <c r="X7" s="56">
        <v>174864.01</v>
      </c>
      <c r="Y7" s="56">
        <v>0</v>
      </c>
      <c r="Z7" s="56">
        <v>587416.34</v>
      </c>
      <c r="AA7" s="56">
        <v>0</v>
      </c>
      <c r="AB7" s="56">
        <v>560602.74</v>
      </c>
      <c r="AC7" s="56">
        <v>443273.55</v>
      </c>
      <c r="AD7" s="56">
        <v>294172.26</v>
      </c>
      <c r="AE7" s="56">
        <v>285</v>
      </c>
      <c r="AF7" s="56">
        <v>244823.72</v>
      </c>
      <c r="AG7" s="56">
        <v>746858.59</v>
      </c>
      <c r="AH7" s="56">
        <v>639287.5</v>
      </c>
      <c r="AI7" s="56">
        <v>977046.32</v>
      </c>
      <c r="AJ7" s="56">
        <v>825296.45</v>
      </c>
      <c r="AK7" s="56">
        <v>1034321.75</v>
      </c>
      <c r="AL7" s="56">
        <v>220641.96</v>
      </c>
      <c r="AM7" s="56">
        <v>107111.57</v>
      </c>
      <c r="AN7" s="56">
        <v>2810.08</v>
      </c>
      <c r="AO7" s="56">
        <v>231646.14</v>
      </c>
      <c r="AP7" s="56">
        <v>346558.29</v>
      </c>
      <c r="AQ7" s="56">
        <v>328179.95</v>
      </c>
      <c r="AR7" s="56">
        <v>296052.65999999997</v>
      </c>
      <c r="AS7" s="56">
        <v>248135.64</v>
      </c>
      <c r="AT7" s="56">
        <v>656851.21</v>
      </c>
      <c r="AU7" s="56">
        <v>660313.77</v>
      </c>
      <c r="AV7" s="56">
        <v>729226.1</v>
      </c>
      <c r="AW7" s="56">
        <v>565132.38</v>
      </c>
      <c r="AX7" s="56">
        <v>640646.98</v>
      </c>
      <c r="AY7" s="56">
        <v>596307.56000000006</v>
      </c>
      <c r="AZ7" s="56">
        <v>233517.29</v>
      </c>
      <c r="BA7" s="56">
        <v>725916.45</v>
      </c>
      <c r="BB7" s="56">
        <v>316348.53999999998</v>
      </c>
      <c r="BC7" s="56">
        <v>251597.08</v>
      </c>
      <c r="BD7" s="56">
        <v>916733.78</v>
      </c>
      <c r="BE7" s="56">
        <v>643445.48</v>
      </c>
      <c r="BF7" s="56">
        <v>588578.68000000005</v>
      </c>
      <c r="BG7" s="56">
        <v>496466.51</v>
      </c>
      <c r="BH7" s="56">
        <v>337842.44</v>
      </c>
      <c r="BI7" s="56">
        <v>193749.14</v>
      </c>
      <c r="BJ7" s="56">
        <v>327839.45</v>
      </c>
      <c r="BK7" s="56">
        <v>295726.14</v>
      </c>
      <c r="BL7" s="56">
        <v>169918.15</v>
      </c>
      <c r="BM7" s="56">
        <v>162909.04999999999</v>
      </c>
      <c r="BN7" s="56">
        <v>310494.67</v>
      </c>
      <c r="BO7" s="56">
        <v>400035.58</v>
      </c>
      <c r="BP7" s="56">
        <v>116297.93</v>
      </c>
      <c r="BQ7" s="56">
        <v>115354.35</v>
      </c>
      <c r="BR7" s="56">
        <v>87910.65</v>
      </c>
      <c r="BS7" s="56">
        <v>147771.66</v>
      </c>
      <c r="BT7" s="56">
        <v>111789.1</v>
      </c>
      <c r="BU7" s="56">
        <v>201898.21</v>
      </c>
      <c r="BV7" s="56">
        <v>107794.24000000001</v>
      </c>
      <c r="BW7" s="56">
        <v>1271860.58</v>
      </c>
      <c r="BX7" s="56">
        <v>67788.17</v>
      </c>
      <c r="BY7" s="56">
        <v>97087.35</v>
      </c>
      <c r="BZ7" s="56">
        <v>73400.55</v>
      </c>
      <c r="CA7" s="56">
        <v>60032.04</v>
      </c>
      <c r="CB7" s="56">
        <v>87531.39</v>
      </c>
      <c r="CC7" s="56">
        <v>289630.42</v>
      </c>
      <c r="CD7" s="56">
        <v>100511.46</v>
      </c>
      <c r="CE7" s="56">
        <v>48488.75</v>
      </c>
      <c r="CF7" s="56">
        <v>7380.13</v>
      </c>
      <c r="CG7" s="56">
        <v>30792.37</v>
      </c>
      <c r="CH7" s="56">
        <v>15271.61</v>
      </c>
      <c r="CI7" s="56">
        <v>18366.46</v>
      </c>
      <c r="CJ7" s="56">
        <v>32200.720000000001</v>
      </c>
      <c r="CK7" s="56">
        <v>16784.75</v>
      </c>
      <c r="CL7" s="56">
        <v>21070.05</v>
      </c>
      <c r="CM7" s="56">
        <v>19259.37</v>
      </c>
      <c r="CN7" s="56">
        <v>13907</v>
      </c>
      <c r="CO7" s="56">
        <v>5094</v>
      </c>
      <c r="CP7" s="56">
        <v>29434.23</v>
      </c>
      <c r="CQ7" s="56">
        <v>12032.93</v>
      </c>
      <c r="CR7" s="56">
        <v>9302.9699999999993</v>
      </c>
      <c r="CS7" s="56">
        <v>22432.44</v>
      </c>
      <c r="CT7" s="56">
        <v>9208.18</v>
      </c>
      <c r="CU7" s="56">
        <v>26008.14</v>
      </c>
      <c r="CV7" s="56">
        <v>24469.4</v>
      </c>
      <c r="CW7" s="56">
        <v>0</v>
      </c>
      <c r="CX7" s="56">
        <v>6484.8</v>
      </c>
      <c r="CY7" s="56">
        <v>21997.51</v>
      </c>
      <c r="CZ7" s="56">
        <v>3198.44</v>
      </c>
      <c r="DA7" s="56">
        <v>23624.33</v>
      </c>
      <c r="DB7" s="56">
        <v>4525.75</v>
      </c>
      <c r="DC7" s="56">
        <v>40888.410000000003</v>
      </c>
    </row>
    <row r="8" spans="1:107">
      <c r="A8" s="47" t="s">
        <v>94</v>
      </c>
      <c r="B8" s="56">
        <v>86818</v>
      </c>
      <c r="C8" s="56">
        <v>86818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86818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0</v>
      </c>
    </row>
    <row r="9" spans="1:107">
      <c r="A9" s="47" t="s">
        <v>95</v>
      </c>
      <c r="B9" s="56">
        <v>210472.76</v>
      </c>
      <c r="C9" s="56">
        <v>178947.46</v>
      </c>
      <c r="D9" s="56">
        <v>0</v>
      </c>
      <c r="E9" s="56">
        <v>2821.5</v>
      </c>
      <c r="F9" s="56">
        <v>31126.6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-1211.4000000000001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2821.5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-1211.4000000000001</v>
      </c>
      <c r="AK9" s="56">
        <v>31126.6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-1216.5</v>
      </c>
      <c r="AS9" s="56">
        <v>0</v>
      </c>
      <c r="AT9" s="56">
        <v>0</v>
      </c>
      <c r="AU9" s="56">
        <v>0</v>
      </c>
      <c r="AV9" s="56">
        <v>0</v>
      </c>
      <c r="AW9" s="56">
        <v>8328</v>
      </c>
      <c r="AX9" s="56">
        <v>0</v>
      </c>
      <c r="AY9" s="56">
        <v>0</v>
      </c>
      <c r="AZ9" s="56">
        <v>17862</v>
      </c>
      <c r="BA9" s="56">
        <v>0</v>
      </c>
      <c r="BB9" s="56">
        <v>0</v>
      </c>
      <c r="BC9" s="56">
        <v>4146</v>
      </c>
      <c r="BD9" s="56">
        <v>87277.96</v>
      </c>
      <c r="BE9" s="56">
        <v>0</v>
      </c>
      <c r="BF9" s="56">
        <v>4182</v>
      </c>
      <c r="BG9" s="56">
        <v>0</v>
      </c>
      <c r="BH9" s="56">
        <v>0</v>
      </c>
      <c r="BI9" s="56">
        <v>0</v>
      </c>
      <c r="BJ9" s="56">
        <v>4182</v>
      </c>
      <c r="BK9" s="56">
        <v>0</v>
      </c>
      <c r="BL9" s="56">
        <v>8328</v>
      </c>
      <c r="BM9" s="56">
        <v>33384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4182</v>
      </c>
      <c r="BU9" s="56">
        <v>0</v>
      </c>
      <c r="BV9" s="56">
        <v>0</v>
      </c>
      <c r="BW9" s="56">
        <v>0</v>
      </c>
      <c r="BX9" s="56">
        <v>0</v>
      </c>
      <c r="BY9" s="56">
        <v>4146</v>
      </c>
      <c r="BZ9" s="56">
        <v>0</v>
      </c>
      <c r="CA9" s="56">
        <v>0</v>
      </c>
      <c r="CB9" s="56">
        <v>0</v>
      </c>
      <c r="CC9" s="56">
        <v>0</v>
      </c>
      <c r="CD9" s="56">
        <v>4146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</row>
    <row r="10" spans="1:107">
      <c r="A10" s="47" t="s">
        <v>96</v>
      </c>
      <c r="B10" s="56">
        <v>2082860</v>
      </c>
      <c r="C10" s="56">
        <v>862320</v>
      </c>
      <c r="D10" s="56">
        <v>292760</v>
      </c>
      <c r="E10" s="56">
        <v>176280</v>
      </c>
      <c r="F10" s="56">
        <v>137560</v>
      </c>
      <c r="G10" s="56">
        <v>8280</v>
      </c>
      <c r="H10" s="56">
        <v>2940</v>
      </c>
      <c r="I10" s="56">
        <v>23640</v>
      </c>
      <c r="J10" s="56">
        <v>50220</v>
      </c>
      <c r="K10" s="56">
        <v>65400</v>
      </c>
      <c r="L10" s="56">
        <v>19740</v>
      </c>
      <c r="M10" s="56">
        <v>29180</v>
      </c>
      <c r="N10" s="56">
        <v>4620</v>
      </c>
      <c r="O10" s="56">
        <v>5640</v>
      </c>
      <c r="P10" s="56">
        <v>28920</v>
      </c>
      <c r="Q10" s="56">
        <v>25200</v>
      </c>
      <c r="R10" s="56">
        <v>25680</v>
      </c>
      <c r="S10" s="56">
        <v>64460</v>
      </c>
      <c r="T10" s="56">
        <v>62040</v>
      </c>
      <c r="U10" s="56">
        <v>116760</v>
      </c>
      <c r="V10" s="56">
        <v>420</v>
      </c>
      <c r="W10" s="56">
        <v>0</v>
      </c>
      <c r="X10" s="56">
        <v>15180</v>
      </c>
      <c r="Y10" s="56">
        <v>0</v>
      </c>
      <c r="Z10" s="56">
        <v>56140</v>
      </c>
      <c r="AA10" s="56">
        <v>0</v>
      </c>
      <c r="AB10" s="56">
        <v>44940</v>
      </c>
      <c r="AC10" s="56">
        <v>36500</v>
      </c>
      <c r="AD10" s="56">
        <v>23520</v>
      </c>
      <c r="AE10" s="56">
        <v>0</v>
      </c>
      <c r="AF10" s="56">
        <v>26380</v>
      </c>
      <c r="AG10" s="56">
        <v>83640</v>
      </c>
      <c r="AH10" s="56">
        <v>74560</v>
      </c>
      <c r="AI10" s="56">
        <v>108180</v>
      </c>
      <c r="AJ10" s="56">
        <v>80200</v>
      </c>
      <c r="AK10" s="56">
        <v>104300</v>
      </c>
      <c r="AL10" s="56">
        <v>21280</v>
      </c>
      <c r="AM10" s="56">
        <v>11980</v>
      </c>
      <c r="AN10" s="56">
        <v>600</v>
      </c>
      <c r="AO10" s="56">
        <v>21900</v>
      </c>
      <c r="AP10" s="56">
        <v>33240</v>
      </c>
      <c r="AQ10" s="56">
        <v>30520</v>
      </c>
      <c r="AR10" s="56">
        <v>30300</v>
      </c>
      <c r="AS10" s="56">
        <v>28100</v>
      </c>
      <c r="AT10" s="56">
        <v>22260</v>
      </c>
      <c r="AU10" s="56">
        <v>20160</v>
      </c>
      <c r="AV10" s="56">
        <v>33180</v>
      </c>
      <c r="AW10" s="56">
        <v>19320</v>
      </c>
      <c r="AX10" s="56">
        <v>23940</v>
      </c>
      <c r="AY10" s="56">
        <v>19740</v>
      </c>
      <c r="AZ10" s="56">
        <v>10080</v>
      </c>
      <c r="BA10" s="56">
        <v>32760</v>
      </c>
      <c r="BB10" s="56">
        <v>10080</v>
      </c>
      <c r="BC10" s="56">
        <v>15960</v>
      </c>
      <c r="BD10" s="56">
        <v>18480</v>
      </c>
      <c r="BE10" s="56">
        <v>26880</v>
      </c>
      <c r="BF10" s="56">
        <v>20580</v>
      </c>
      <c r="BG10" s="56">
        <v>21000</v>
      </c>
      <c r="BH10" s="56">
        <v>13440</v>
      </c>
      <c r="BI10" s="56">
        <v>10920</v>
      </c>
      <c r="BJ10" s="56">
        <v>10080</v>
      </c>
      <c r="BK10" s="56">
        <v>13440</v>
      </c>
      <c r="BL10" s="56">
        <v>12180</v>
      </c>
      <c r="BM10" s="56">
        <v>7140</v>
      </c>
      <c r="BN10" s="56">
        <v>13440</v>
      </c>
      <c r="BO10" s="56">
        <v>16800</v>
      </c>
      <c r="BP10" s="56">
        <v>6720</v>
      </c>
      <c r="BQ10" s="56">
        <v>6720</v>
      </c>
      <c r="BR10" s="56">
        <v>6720</v>
      </c>
      <c r="BS10" s="56">
        <v>6720</v>
      </c>
      <c r="BT10" s="56">
        <v>6720</v>
      </c>
      <c r="BU10" s="56">
        <v>6720</v>
      </c>
      <c r="BV10" s="56">
        <v>7140</v>
      </c>
      <c r="BW10" s="56">
        <v>147800</v>
      </c>
      <c r="BX10" s="56">
        <v>7140</v>
      </c>
      <c r="BY10" s="56">
        <v>6720</v>
      </c>
      <c r="BZ10" s="56">
        <v>3360</v>
      </c>
      <c r="CA10" s="56">
        <v>7140</v>
      </c>
      <c r="CB10" s="56">
        <v>6720</v>
      </c>
      <c r="CC10" s="56">
        <v>24360</v>
      </c>
      <c r="CD10" s="56">
        <v>10080</v>
      </c>
      <c r="CE10" s="56">
        <v>4200</v>
      </c>
      <c r="CF10" s="56">
        <v>1680</v>
      </c>
      <c r="CG10" s="56">
        <v>5880</v>
      </c>
      <c r="CH10" s="56">
        <v>2940</v>
      </c>
      <c r="CI10" s="56">
        <v>420</v>
      </c>
      <c r="CJ10" s="56">
        <v>3360</v>
      </c>
      <c r="CK10" s="56">
        <v>2940</v>
      </c>
      <c r="CL10" s="56">
        <v>3360</v>
      </c>
      <c r="CM10" s="56">
        <v>2940</v>
      </c>
      <c r="CN10" s="56">
        <v>2940</v>
      </c>
      <c r="CO10" s="56">
        <v>1680</v>
      </c>
      <c r="CP10" s="56">
        <v>2940</v>
      </c>
      <c r="CQ10" s="56">
        <v>2940</v>
      </c>
      <c r="CR10" s="56">
        <v>1680</v>
      </c>
      <c r="CS10" s="56">
        <v>3920</v>
      </c>
      <c r="CT10" s="56">
        <v>1680</v>
      </c>
      <c r="CU10" s="56">
        <v>2940</v>
      </c>
      <c r="CV10" s="56">
        <v>3360</v>
      </c>
      <c r="CW10" s="56">
        <v>960</v>
      </c>
      <c r="CX10" s="56">
        <v>1340</v>
      </c>
      <c r="CY10" s="56">
        <v>4620</v>
      </c>
      <c r="CZ10" s="56">
        <v>840</v>
      </c>
      <c r="DA10" s="56">
        <v>1460</v>
      </c>
      <c r="DB10" s="56">
        <v>420</v>
      </c>
      <c r="DC10" s="56">
        <v>4180</v>
      </c>
    </row>
    <row r="11" spans="1:107">
      <c r="A11" s="47" t="s">
        <v>97</v>
      </c>
      <c r="B11" s="56">
        <v>220731.59</v>
      </c>
      <c r="C11" s="56">
        <v>137469.28</v>
      </c>
      <c r="D11" s="56">
        <v>11048.42</v>
      </c>
      <c r="E11" s="56">
        <v>34654.879999999997</v>
      </c>
      <c r="F11" s="56">
        <v>0</v>
      </c>
      <c r="G11" s="56">
        <v>0</v>
      </c>
      <c r="H11" s="56">
        <v>0</v>
      </c>
      <c r="I11" s="56">
        <v>0</v>
      </c>
      <c r="J11" s="56">
        <v>19139.71</v>
      </c>
      <c r="K11" s="56">
        <v>0</v>
      </c>
      <c r="L11" s="56">
        <v>0</v>
      </c>
      <c r="M11" s="56">
        <v>5603.24</v>
      </c>
      <c r="N11" s="56">
        <v>12816.06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34654.879999999997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11048.42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137469.28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</row>
    <row r="12" spans="1:107">
      <c r="A12" s="47" t="s">
        <v>98</v>
      </c>
      <c r="B12" s="56">
        <v>6830074.4800000004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6830074.4800000004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</row>
    <row r="13" spans="1:107" s="49" customFormat="1">
      <c r="A13" s="57" t="s">
        <v>99</v>
      </c>
      <c r="B13" s="58">
        <v>155701263.19</v>
      </c>
      <c r="C13" s="58">
        <v>70643323.840000004</v>
      </c>
      <c r="D13" s="58">
        <v>18517101.949999999</v>
      </c>
      <c r="E13" s="58">
        <v>11381929.17</v>
      </c>
      <c r="F13" s="58">
        <v>6316545.6100000003</v>
      </c>
      <c r="G13" s="58">
        <v>9184328.1799999997</v>
      </c>
      <c r="H13" s="58">
        <v>9586249.7599999998</v>
      </c>
      <c r="I13" s="58">
        <v>1169834.1100000001</v>
      </c>
      <c r="J13" s="58">
        <v>2580767.54</v>
      </c>
      <c r="K13" s="58">
        <v>2862720.76</v>
      </c>
      <c r="L13" s="58">
        <v>974144.63</v>
      </c>
      <c r="M13" s="58">
        <v>1868258.41</v>
      </c>
      <c r="N13" s="58">
        <v>280350.95</v>
      </c>
      <c r="O13" s="58">
        <v>169751.12</v>
      </c>
      <c r="P13" s="58">
        <v>1516793.52</v>
      </c>
      <c r="Q13" s="58">
        <v>1416220.97</v>
      </c>
      <c r="R13" s="58">
        <v>1511528.11</v>
      </c>
      <c r="S13" s="58">
        <v>3114719.39</v>
      </c>
      <c r="T13" s="58">
        <v>2835853.72</v>
      </c>
      <c r="U13" s="58">
        <v>5422602.2800000003</v>
      </c>
      <c r="V13" s="58">
        <v>44404.22</v>
      </c>
      <c r="W13" s="58">
        <v>0</v>
      </c>
      <c r="X13" s="58">
        <v>1248249.1100000001</v>
      </c>
      <c r="Y13" s="58">
        <v>38075.919999999998</v>
      </c>
      <c r="Z13" s="58">
        <v>3315097.61</v>
      </c>
      <c r="AA13" s="58">
        <v>0</v>
      </c>
      <c r="AB13" s="58">
        <v>2815100.74</v>
      </c>
      <c r="AC13" s="58">
        <v>2337247.38</v>
      </c>
      <c r="AD13" s="58">
        <v>1507436.24</v>
      </c>
      <c r="AE13" s="58">
        <v>120722.17</v>
      </c>
      <c r="AF13" s="58">
        <v>1669201.09</v>
      </c>
      <c r="AG13" s="58">
        <v>5073988.87</v>
      </c>
      <c r="AH13" s="58">
        <v>6994535.9199999999</v>
      </c>
      <c r="AI13" s="58">
        <v>4779376.07</v>
      </c>
      <c r="AJ13" s="58">
        <v>4289601.5599999996</v>
      </c>
      <c r="AK13" s="58">
        <v>4366832.59</v>
      </c>
      <c r="AL13" s="58">
        <v>1475659.58</v>
      </c>
      <c r="AM13" s="58">
        <v>474053.44</v>
      </c>
      <c r="AN13" s="58">
        <v>14233.39</v>
      </c>
      <c r="AO13" s="58">
        <v>2252495.34</v>
      </c>
      <c r="AP13" s="58">
        <v>1837671.13</v>
      </c>
      <c r="AQ13" s="58">
        <v>1705881.95</v>
      </c>
      <c r="AR13" s="58">
        <v>1512378.94</v>
      </c>
      <c r="AS13" s="58">
        <v>1392677.36</v>
      </c>
      <c r="AT13" s="58">
        <v>2849569.52</v>
      </c>
      <c r="AU13" s="58">
        <v>3017959.82</v>
      </c>
      <c r="AV13" s="58">
        <v>3446837.42</v>
      </c>
      <c r="AW13" s="58">
        <v>2726563.28</v>
      </c>
      <c r="AX13" s="58">
        <v>2726265.78</v>
      </c>
      <c r="AY13" s="58">
        <v>2698962.83</v>
      </c>
      <c r="AZ13" s="58">
        <v>1210880.3899999999</v>
      </c>
      <c r="BA13" s="58">
        <v>3141227.19</v>
      </c>
      <c r="BB13" s="58">
        <v>1311558.01</v>
      </c>
      <c r="BC13" s="58">
        <v>1097548.45</v>
      </c>
      <c r="BD13" s="58">
        <v>3409617.21</v>
      </c>
      <c r="BE13" s="58">
        <v>2241216.86</v>
      </c>
      <c r="BF13" s="58">
        <v>2451483.15</v>
      </c>
      <c r="BG13" s="58">
        <v>2127331.19</v>
      </c>
      <c r="BH13" s="58">
        <v>1563243.58</v>
      </c>
      <c r="BI13" s="58">
        <v>1378995.74</v>
      </c>
      <c r="BJ13" s="58">
        <v>1554076.12</v>
      </c>
      <c r="BK13" s="58">
        <v>1444007.84</v>
      </c>
      <c r="BL13" s="58">
        <v>936146.55</v>
      </c>
      <c r="BM13" s="58">
        <v>1112764.73</v>
      </c>
      <c r="BN13" s="58">
        <v>1333783.1299999999</v>
      </c>
      <c r="BO13" s="58">
        <v>1598668.56</v>
      </c>
      <c r="BP13" s="58">
        <v>557669.26</v>
      </c>
      <c r="BQ13" s="58">
        <v>685180.24</v>
      </c>
      <c r="BR13" s="58">
        <v>415461.1</v>
      </c>
      <c r="BS13" s="58">
        <v>695477.04</v>
      </c>
      <c r="BT13" s="58">
        <v>638197.62</v>
      </c>
      <c r="BU13" s="58">
        <v>1163525.1599999999</v>
      </c>
      <c r="BV13" s="58">
        <v>486684.58</v>
      </c>
      <c r="BW13" s="58">
        <v>6605307.4400000004</v>
      </c>
      <c r="BX13" s="58">
        <v>224979.8</v>
      </c>
      <c r="BY13" s="58">
        <v>429000.29</v>
      </c>
      <c r="BZ13" s="58">
        <v>329921.43</v>
      </c>
      <c r="CA13" s="58">
        <v>291059.56</v>
      </c>
      <c r="CB13" s="58">
        <v>422338.04</v>
      </c>
      <c r="CC13" s="58">
        <v>1029262.8</v>
      </c>
      <c r="CD13" s="58">
        <v>440812.66</v>
      </c>
      <c r="CE13" s="58">
        <v>183373.16</v>
      </c>
      <c r="CF13" s="58">
        <v>41832.769999999997</v>
      </c>
      <c r="CG13" s="58">
        <v>136648.76999999999</v>
      </c>
      <c r="CH13" s="58">
        <v>84349.38</v>
      </c>
      <c r="CI13" s="58">
        <v>76325.149999999994</v>
      </c>
      <c r="CJ13" s="58">
        <v>170572.25</v>
      </c>
      <c r="CK13" s="58">
        <v>91773.09</v>
      </c>
      <c r="CL13" s="58">
        <v>91425.83</v>
      </c>
      <c r="CM13" s="58">
        <v>107920.61</v>
      </c>
      <c r="CN13" s="58">
        <v>86352.65</v>
      </c>
      <c r="CO13" s="58">
        <v>39498.639999999999</v>
      </c>
      <c r="CP13" s="58">
        <v>108536.53</v>
      </c>
      <c r="CQ13" s="58">
        <v>90035.92</v>
      </c>
      <c r="CR13" s="58">
        <v>43710.41</v>
      </c>
      <c r="CS13" s="58">
        <v>120076.72</v>
      </c>
      <c r="CT13" s="58">
        <v>43730.76</v>
      </c>
      <c r="CU13" s="58">
        <v>96060.76</v>
      </c>
      <c r="CV13" s="58">
        <v>90619.19</v>
      </c>
      <c r="CW13" s="58">
        <v>19550.240000000002</v>
      </c>
      <c r="CX13" s="58">
        <v>37743.69</v>
      </c>
      <c r="CY13" s="58">
        <v>106356.22</v>
      </c>
      <c r="CZ13" s="58">
        <v>20380.47</v>
      </c>
      <c r="DA13" s="58">
        <v>65740.25</v>
      </c>
      <c r="DB13" s="58">
        <v>18603.52</v>
      </c>
      <c r="DC13" s="63">
        <v>177417.77</v>
      </c>
    </row>
    <row r="14" spans="1:107">
      <c r="A14" s="47" t="s">
        <v>101</v>
      </c>
      <c r="B14" s="56">
        <v>41590516.409999996</v>
      </c>
      <c r="C14" s="56">
        <v>25420542.739999998</v>
      </c>
      <c r="D14" s="56">
        <v>15770047</v>
      </c>
      <c r="E14" s="56">
        <v>187268.15</v>
      </c>
      <c r="F14" s="56">
        <v>212658.52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59807.17</v>
      </c>
      <c r="AD14" s="56">
        <v>127460.98</v>
      </c>
      <c r="AE14" s="56">
        <v>0</v>
      </c>
      <c r="AF14" s="56">
        <v>0</v>
      </c>
      <c r="AG14" s="56">
        <v>13162160</v>
      </c>
      <c r="AH14" s="56">
        <v>2016200</v>
      </c>
      <c r="AI14" s="56">
        <v>591687</v>
      </c>
      <c r="AJ14" s="56">
        <v>0</v>
      </c>
      <c r="AK14" s="56">
        <v>212658.52</v>
      </c>
      <c r="AL14" s="56">
        <v>0</v>
      </c>
      <c r="AM14" s="56">
        <v>0</v>
      </c>
      <c r="AN14" s="56">
        <v>0</v>
      </c>
      <c r="AO14" s="56">
        <v>159429.98000000001</v>
      </c>
      <c r="AP14" s="56">
        <v>0</v>
      </c>
      <c r="AQ14" s="56">
        <v>0</v>
      </c>
      <c r="AR14" s="56">
        <v>0</v>
      </c>
      <c r="AS14" s="56">
        <v>0</v>
      </c>
      <c r="AT14" s="56">
        <v>1023617.02</v>
      </c>
      <c r="AU14" s="56">
        <v>1897038.74</v>
      </c>
      <c r="AV14" s="56">
        <v>1860842.01</v>
      </c>
      <c r="AW14" s="56">
        <v>2722682.34</v>
      </c>
      <c r="AX14" s="56">
        <v>1202077.1399999999</v>
      </c>
      <c r="AY14" s="56">
        <v>1369460</v>
      </c>
      <c r="AZ14" s="56">
        <v>914286.29</v>
      </c>
      <c r="BA14" s="56">
        <v>2200677.66</v>
      </c>
      <c r="BB14" s="56">
        <v>285591.45</v>
      </c>
      <c r="BC14" s="56">
        <v>162578.34</v>
      </c>
      <c r="BD14" s="56">
        <v>1133044.42</v>
      </c>
      <c r="BE14" s="56">
        <v>1232691.98</v>
      </c>
      <c r="BF14" s="56">
        <v>630481.37</v>
      </c>
      <c r="BG14" s="56">
        <v>788068.94</v>
      </c>
      <c r="BH14" s="56">
        <v>395859.23</v>
      </c>
      <c r="BI14" s="56">
        <v>545613.66</v>
      </c>
      <c r="BJ14" s="56">
        <v>857163.86</v>
      </c>
      <c r="BK14" s="56">
        <v>464403.94</v>
      </c>
      <c r="BL14" s="56">
        <v>233884.11</v>
      </c>
      <c r="BM14" s="56">
        <v>306892.49</v>
      </c>
      <c r="BN14" s="56">
        <v>551824.17000000004</v>
      </c>
      <c r="BO14" s="56">
        <v>634949.15</v>
      </c>
      <c r="BP14" s="56">
        <v>135163.24</v>
      </c>
      <c r="BQ14" s="56">
        <v>140683.22</v>
      </c>
      <c r="BR14" s="56">
        <v>61041.31</v>
      </c>
      <c r="BS14" s="56">
        <v>337815.92</v>
      </c>
      <c r="BT14" s="56">
        <v>199883.24</v>
      </c>
      <c r="BU14" s="56">
        <v>446409.61</v>
      </c>
      <c r="BV14" s="56">
        <v>377230.87</v>
      </c>
      <c r="BW14" s="56">
        <v>996578.92</v>
      </c>
      <c r="BX14" s="56">
        <v>49402.6</v>
      </c>
      <c r="BY14" s="56">
        <v>191203.07</v>
      </c>
      <c r="BZ14" s="56">
        <v>161364.48000000001</v>
      </c>
      <c r="CA14" s="56">
        <v>204886.66</v>
      </c>
      <c r="CB14" s="56">
        <v>78104.539999999994</v>
      </c>
      <c r="CC14" s="56">
        <v>38168.629999999997</v>
      </c>
      <c r="CD14" s="56">
        <v>123552.4</v>
      </c>
      <c r="CE14" s="56">
        <v>32117.97</v>
      </c>
      <c r="CF14" s="56">
        <v>4922.47</v>
      </c>
      <c r="CG14" s="56">
        <v>57290.03</v>
      </c>
      <c r="CH14" s="56">
        <v>9538.24</v>
      </c>
      <c r="CI14" s="56">
        <v>344.57</v>
      </c>
      <c r="CJ14" s="56">
        <v>0</v>
      </c>
      <c r="CK14" s="56">
        <v>23874.48</v>
      </c>
      <c r="CL14" s="56">
        <v>16741.439999999999</v>
      </c>
      <c r="CM14" s="56">
        <v>42442.48</v>
      </c>
      <c r="CN14" s="56">
        <v>5493.01</v>
      </c>
      <c r="CO14" s="56">
        <v>2551.58</v>
      </c>
      <c r="CP14" s="56">
        <v>55620.26</v>
      </c>
      <c r="CQ14" s="56">
        <v>11052.66</v>
      </c>
      <c r="CR14" s="56">
        <v>2693.03</v>
      </c>
      <c r="CS14" s="56">
        <v>2307.87</v>
      </c>
      <c r="CT14" s="56">
        <v>8449.35</v>
      </c>
      <c r="CU14" s="56">
        <v>10312.57</v>
      </c>
      <c r="CV14" s="56">
        <v>10805.83</v>
      </c>
      <c r="CW14" s="56">
        <v>0</v>
      </c>
      <c r="CX14" s="56">
        <v>0</v>
      </c>
      <c r="CY14" s="56">
        <v>7775.93</v>
      </c>
      <c r="CZ14" s="56">
        <v>261.39999999999998</v>
      </c>
      <c r="DA14" s="56">
        <v>0</v>
      </c>
      <c r="DB14" s="56">
        <v>1300.57</v>
      </c>
      <c r="DC14" s="56">
        <v>0</v>
      </c>
    </row>
    <row r="15" spans="1:107">
      <c r="A15" s="47" t="s">
        <v>102</v>
      </c>
      <c r="B15" s="56">
        <v>91608538.049999997</v>
      </c>
      <c r="C15" s="56">
        <v>43374063.270000003</v>
      </c>
      <c r="D15" s="56">
        <v>48234474.780000001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42071989.020000003</v>
      </c>
      <c r="AH15" s="56">
        <v>5242500</v>
      </c>
      <c r="AI15" s="56">
        <v>919985.76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42503009.479999997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290000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51726.7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416456.31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126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112744.78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</row>
    <row r="16" spans="1:107">
      <c r="A16" s="47" t="s">
        <v>103</v>
      </c>
      <c r="B16" s="56">
        <v>12200299.02</v>
      </c>
      <c r="C16" s="56">
        <v>10437396.17</v>
      </c>
      <c r="D16" s="56">
        <v>4912116.4000000004</v>
      </c>
      <c r="E16" s="56">
        <v>835648.64</v>
      </c>
      <c r="F16" s="56">
        <v>16.190000000000001</v>
      </c>
      <c r="G16" s="56">
        <v>0</v>
      </c>
      <c r="H16" s="56">
        <v>-2361807.75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19327.96</v>
      </c>
      <c r="X16" s="56">
        <v>23.44</v>
      </c>
      <c r="Y16" s="56">
        <v>0</v>
      </c>
      <c r="Z16" s="56">
        <v>2004873.47</v>
      </c>
      <c r="AA16" s="56">
        <v>0</v>
      </c>
      <c r="AB16" s="56">
        <v>-1187512.92</v>
      </c>
      <c r="AC16" s="56">
        <v>-55860.19</v>
      </c>
      <c r="AD16" s="56">
        <v>74124.84</v>
      </c>
      <c r="AE16" s="56">
        <v>0</v>
      </c>
      <c r="AF16" s="56">
        <v>0</v>
      </c>
      <c r="AG16" s="56">
        <v>4049933.43</v>
      </c>
      <c r="AH16" s="56">
        <v>545254.75</v>
      </c>
      <c r="AI16" s="56">
        <v>316928.21999999997</v>
      </c>
      <c r="AJ16" s="56">
        <v>-1642398.59</v>
      </c>
      <c r="AK16" s="56">
        <v>-2.83</v>
      </c>
      <c r="AL16" s="56">
        <v>19.02</v>
      </c>
      <c r="AM16" s="56">
        <v>0</v>
      </c>
      <c r="AN16" s="56">
        <v>0</v>
      </c>
      <c r="AO16" s="56">
        <v>18148.189999999999</v>
      </c>
      <c r="AP16" s="56">
        <v>21680.42</v>
      </c>
      <c r="AQ16" s="56">
        <v>0</v>
      </c>
      <c r="AR16" s="56">
        <v>2461188.6</v>
      </c>
      <c r="AS16" s="56">
        <v>0</v>
      </c>
      <c r="AT16" s="56">
        <v>348060.31</v>
      </c>
      <c r="AU16" s="56">
        <v>488440.32000000001</v>
      </c>
      <c r="AV16" s="56">
        <v>435983.74</v>
      </c>
      <c r="AW16" s="56">
        <v>341981.93</v>
      </c>
      <c r="AX16" s="56">
        <v>418902.29</v>
      </c>
      <c r="AY16" s="56">
        <v>411953.5</v>
      </c>
      <c r="AZ16" s="56">
        <v>128476.32</v>
      </c>
      <c r="BA16" s="56">
        <v>455131.51</v>
      </c>
      <c r="BB16" s="56">
        <v>172919.87</v>
      </c>
      <c r="BC16" s="56">
        <v>152036.66</v>
      </c>
      <c r="BD16" s="56">
        <v>339799.2</v>
      </c>
      <c r="BE16" s="56">
        <v>1272033.28</v>
      </c>
      <c r="BF16" s="56">
        <v>199806.79</v>
      </c>
      <c r="BG16" s="56">
        <v>337120.57</v>
      </c>
      <c r="BH16" s="56">
        <v>112988.45</v>
      </c>
      <c r="BI16" s="56">
        <v>133079.96</v>
      </c>
      <c r="BJ16" s="56">
        <v>140286.78</v>
      </c>
      <c r="BK16" s="56">
        <v>149073.48000000001</v>
      </c>
      <c r="BL16" s="56">
        <v>121060.81</v>
      </c>
      <c r="BM16" s="56">
        <v>60304.89</v>
      </c>
      <c r="BN16" s="56">
        <v>93364.14</v>
      </c>
      <c r="BO16" s="56">
        <v>146872.41</v>
      </c>
      <c r="BP16" s="56">
        <v>31895.65</v>
      </c>
      <c r="BQ16" s="56">
        <v>51917.4</v>
      </c>
      <c r="BR16" s="56">
        <v>28960.28</v>
      </c>
      <c r="BS16" s="56">
        <v>52341.21</v>
      </c>
      <c r="BT16" s="56">
        <v>22042.82</v>
      </c>
      <c r="BU16" s="56">
        <v>54798.35</v>
      </c>
      <c r="BV16" s="56">
        <v>31962.35</v>
      </c>
      <c r="BW16" s="56">
        <v>29464.13</v>
      </c>
      <c r="BX16" s="56">
        <v>23065.73</v>
      </c>
      <c r="BY16" s="56">
        <v>36855.75</v>
      </c>
      <c r="BZ16" s="56">
        <v>12417.43</v>
      </c>
      <c r="CA16" s="56">
        <v>15090.66</v>
      </c>
      <c r="CB16" s="56">
        <v>35946.53</v>
      </c>
      <c r="CC16" s="56">
        <v>26688.9</v>
      </c>
      <c r="CD16" s="56">
        <v>991574.92</v>
      </c>
      <c r="CE16" s="56">
        <v>11039.86</v>
      </c>
      <c r="CF16" s="56">
        <v>4.99</v>
      </c>
      <c r="CG16" s="56">
        <v>8634.6</v>
      </c>
      <c r="CH16" s="56">
        <v>-2242.88</v>
      </c>
      <c r="CI16" s="56">
        <v>30.35</v>
      </c>
      <c r="CJ16" s="56">
        <v>3227.17</v>
      </c>
      <c r="CK16" s="56">
        <v>169.85</v>
      </c>
      <c r="CL16" s="56">
        <v>33.15</v>
      </c>
      <c r="CM16" s="56">
        <v>321.62</v>
      </c>
      <c r="CN16" s="56">
        <v>-237.96</v>
      </c>
      <c r="CO16" s="56">
        <v>10.31</v>
      </c>
      <c r="CP16" s="56">
        <v>428.34</v>
      </c>
      <c r="CQ16" s="56">
        <v>2151.3000000000002</v>
      </c>
      <c r="CR16" s="56">
        <v>31.69</v>
      </c>
      <c r="CS16" s="56">
        <v>5501.1</v>
      </c>
      <c r="CT16" s="56">
        <v>174.25</v>
      </c>
      <c r="CU16" s="56">
        <v>433.68</v>
      </c>
      <c r="CV16" s="56">
        <v>3.78</v>
      </c>
      <c r="CW16" s="56">
        <v>4.32</v>
      </c>
      <c r="CX16" s="56">
        <v>78.349999999999994</v>
      </c>
      <c r="CY16" s="56">
        <v>593.95000000000005</v>
      </c>
      <c r="CZ16" s="56">
        <v>0</v>
      </c>
      <c r="DA16" s="56">
        <v>7.0000000000000007E-2</v>
      </c>
      <c r="DB16" s="56">
        <v>937.3</v>
      </c>
      <c r="DC16" s="56">
        <v>350.45</v>
      </c>
    </row>
    <row r="17" spans="1:107">
      <c r="A17" s="47" t="s">
        <v>104</v>
      </c>
      <c r="B17" s="56">
        <v>506968.04</v>
      </c>
      <c r="C17" s="56">
        <v>286885.33</v>
      </c>
      <c r="D17" s="56">
        <v>0</v>
      </c>
      <c r="E17" s="56">
        <v>0</v>
      </c>
      <c r="F17" s="56">
        <v>1269.21</v>
      </c>
      <c r="G17" s="56">
        <v>0</v>
      </c>
      <c r="H17" s="56">
        <v>218813.5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1269.21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47072.57</v>
      </c>
      <c r="AY17" s="56">
        <v>24881.29</v>
      </c>
      <c r="AZ17" s="56">
        <v>338.33</v>
      </c>
      <c r="BA17" s="56">
        <v>0</v>
      </c>
      <c r="BB17" s="56">
        <v>0</v>
      </c>
      <c r="BC17" s="56">
        <v>0</v>
      </c>
      <c r="BD17" s="56">
        <v>19491.759999999998</v>
      </c>
      <c r="BE17" s="56">
        <v>82085.53</v>
      </c>
      <c r="BF17" s="56">
        <v>0</v>
      </c>
      <c r="BG17" s="56">
        <v>0</v>
      </c>
      <c r="BH17" s="56">
        <v>4278.38</v>
      </c>
      <c r="BI17" s="56">
        <v>6547.07</v>
      </c>
      <c r="BJ17" s="56">
        <v>4752.2299999999996</v>
      </c>
      <c r="BK17" s="56">
        <v>2000</v>
      </c>
      <c r="BL17" s="56">
        <v>30700.02</v>
      </c>
      <c r="BM17" s="56">
        <v>2757.28</v>
      </c>
      <c r="BN17" s="56">
        <v>195.21</v>
      </c>
      <c r="BO17" s="56">
        <v>22878.560000000001</v>
      </c>
      <c r="BP17" s="56">
        <v>0</v>
      </c>
      <c r="BQ17" s="56">
        <v>7987.12</v>
      </c>
      <c r="BR17" s="56">
        <v>11475.68</v>
      </c>
      <c r="BS17" s="56">
        <v>8037.35</v>
      </c>
      <c r="BT17" s="56">
        <v>2299.67</v>
      </c>
      <c r="BU17" s="56">
        <v>0</v>
      </c>
      <c r="BV17" s="56">
        <v>2649.37</v>
      </c>
      <c r="BW17" s="56">
        <v>4458.7299999999996</v>
      </c>
      <c r="BX17" s="56">
        <v>0</v>
      </c>
      <c r="BY17" s="56">
        <v>0</v>
      </c>
      <c r="BZ17" s="56">
        <v>0</v>
      </c>
      <c r="CA17" s="56">
        <v>20</v>
      </c>
      <c r="CB17" s="56">
        <v>0</v>
      </c>
      <c r="CC17" s="56">
        <v>707.18</v>
      </c>
      <c r="CD17" s="56">
        <v>0</v>
      </c>
      <c r="CE17" s="56">
        <v>0</v>
      </c>
      <c r="CF17" s="56">
        <v>489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31.77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375</v>
      </c>
      <c r="CZ17" s="56">
        <v>0</v>
      </c>
      <c r="DA17" s="56">
        <v>376.23</v>
      </c>
      <c r="DB17" s="56">
        <v>0</v>
      </c>
      <c r="DC17" s="56">
        <v>0</v>
      </c>
    </row>
    <row r="18" spans="1:107">
      <c r="A18" s="47" t="s">
        <v>105</v>
      </c>
      <c r="B18" s="56">
        <v>3071560.87</v>
      </c>
      <c r="C18" s="56">
        <v>20000</v>
      </c>
      <c r="D18" s="56">
        <v>0</v>
      </c>
      <c r="E18" s="56">
        <v>119603.77</v>
      </c>
      <c r="F18" s="56">
        <v>0</v>
      </c>
      <c r="G18" s="56">
        <v>0</v>
      </c>
      <c r="H18" s="56">
        <v>2931957.1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8000</v>
      </c>
      <c r="Y18" s="56">
        <v>0</v>
      </c>
      <c r="Z18" s="56">
        <v>111603.77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10000</v>
      </c>
      <c r="CX18" s="56">
        <v>0</v>
      </c>
      <c r="CY18" s="56">
        <v>10000</v>
      </c>
      <c r="CZ18" s="56">
        <v>0</v>
      </c>
      <c r="DA18" s="56">
        <v>0</v>
      </c>
      <c r="DB18" s="56">
        <v>0</v>
      </c>
      <c r="DC18" s="56">
        <v>0</v>
      </c>
    </row>
    <row r="19" spans="1:107" s="49" customFormat="1">
      <c r="A19" s="57" t="s">
        <v>99</v>
      </c>
      <c r="B19" s="58">
        <v>148977882.38999999</v>
      </c>
      <c r="C19" s="58">
        <v>79538887.510000005</v>
      </c>
      <c r="D19" s="58">
        <v>68916638.180000007</v>
      </c>
      <c r="E19" s="58">
        <v>1142520.56</v>
      </c>
      <c r="F19" s="58">
        <v>213943.92</v>
      </c>
      <c r="G19" s="58">
        <v>0</v>
      </c>
      <c r="H19" s="58">
        <v>788962.85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19327.96</v>
      </c>
      <c r="X19" s="58">
        <v>8023.44</v>
      </c>
      <c r="Y19" s="58">
        <v>0</v>
      </c>
      <c r="Z19" s="58">
        <v>2116477.2400000002</v>
      </c>
      <c r="AA19" s="58">
        <v>0</v>
      </c>
      <c r="AB19" s="58">
        <v>-1187512.92</v>
      </c>
      <c r="AC19" s="58">
        <v>3946.98</v>
      </c>
      <c r="AD19" s="58">
        <v>201585.82</v>
      </c>
      <c r="AE19" s="58">
        <v>0</v>
      </c>
      <c r="AF19" s="58">
        <v>0</v>
      </c>
      <c r="AG19" s="58">
        <v>59284082.450000003</v>
      </c>
      <c r="AH19" s="58">
        <v>7803954.75</v>
      </c>
      <c r="AI19" s="58">
        <v>1828600.98</v>
      </c>
      <c r="AJ19" s="58">
        <v>-1642398.59</v>
      </c>
      <c r="AK19" s="58">
        <v>212655.69</v>
      </c>
      <c r="AL19" s="58">
        <v>1288.23</v>
      </c>
      <c r="AM19" s="58">
        <v>0</v>
      </c>
      <c r="AN19" s="58">
        <v>0</v>
      </c>
      <c r="AO19" s="58">
        <v>42680587.649999999</v>
      </c>
      <c r="AP19" s="58">
        <v>21680.42</v>
      </c>
      <c r="AQ19" s="58">
        <v>0</v>
      </c>
      <c r="AR19" s="58">
        <v>2461188.6</v>
      </c>
      <c r="AS19" s="58">
        <v>0</v>
      </c>
      <c r="AT19" s="58">
        <v>1371677.33</v>
      </c>
      <c r="AU19" s="58">
        <v>2385479.06</v>
      </c>
      <c r="AV19" s="58">
        <v>2296825.75</v>
      </c>
      <c r="AW19" s="58">
        <v>3354664.27</v>
      </c>
      <c r="AX19" s="58">
        <v>1668052</v>
      </c>
      <c r="AY19" s="58">
        <v>1806294.79</v>
      </c>
      <c r="AZ19" s="58">
        <v>1043100.94</v>
      </c>
      <c r="BA19" s="58">
        <v>2655809.17</v>
      </c>
      <c r="BB19" s="58">
        <v>458511.32</v>
      </c>
      <c r="BC19" s="58">
        <v>314615</v>
      </c>
      <c r="BD19" s="58">
        <v>1492335.38</v>
      </c>
      <c r="BE19" s="58">
        <v>2586810.79</v>
      </c>
      <c r="BF19" s="58">
        <v>830288.16</v>
      </c>
      <c r="BG19" s="58">
        <v>1176916.21</v>
      </c>
      <c r="BH19" s="58">
        <v>513126.06</v>
      </c>
      <c r="BI19" s="58">
        <v>685240.69</v>
      </c>
      <c r="BJ19" s="58">
        <v>1002202.87</v>
      </c>
      <c r="BK19" s="58">
        <v>615477.42000000004</v>
      </c>
      <c r="BL19" s="58">
        <v>385644.94</v>
      </c>
      <c r="BM19" s="58">
        <v>369954.66</v>
      </c>
      <c r="BN19" s="58">
        <v>645383.52</v>
      </c>
      <c r="BO19" s="58">
        <v>804700.12</v>
      </c>
      <c r="BP19" s="58">
        <v>167058.89000000001</v>
      </c>
      <c r="BQ19" s="58">
        <v>200587.74</v>
      </c>
      <c r="BR19" s="58">
        <v>101477.27</v>
      </c>
      <c r="BS19" s="58">
        <v>398194.48</v>
      </c>
      <c r="BT19" s="58">
        <v>224225.73</v>
      </c>
      <c r="BU19" s="58">
        <v>501207.96</v>
      </c>
      <c r="BV19" s="58">
        <v>411842.59</v>
      </c>
      <c r="BW19" s="58">
        <v>1446958.09</v>
      </c>
      <c r="BX19" s="58">
        <v>72468.33</v>
      </c>
      <c r="BY19" s="58">
        <v>228058.82</v>
      </c>
      <c r="BZ19" s="58">
        <v>173781.91</v>
      </c>
      <c r="CA19" s="58">
        <v>219997.32</v>
      </c>
      <c r="CB19" s="58">
        <v>114051.07</v>
      </c>
      <c r="CC19" s="58">
        <v>65564.710000000006</v>
      </c>
      <c r="CD19" s="58">
        <v>1115127.32</v>
      </c>
      <c r="CE19" s="58">
        <v>43157.83</v>
      </c>
      <c r="CF19" s="58">
        <v>5416.46</v>
      </c>
      <c r="CG19" s="58">
        <v>65924.63</v>
      </c>
      <c r="CH19" s="58">
        <v>7295.36</v>
      </c>
      <c r="CI19" s="58">
        <v>500.92</v>
      </c>
      <c r="CJ19" s="58">
        <v>3227.17</v>
      </c>
      <c r="CK19" s="58">
        <v>24044.33</v>
      </c>
      <c r="CL19" s="58">
        <v>16774.59</v>
      </c>
      <c r="CM19" s="58">
        <v>42764.1</v>
      </c>
      <c r="CN19" s="58">
        <v>5255.05</v>
      </c>
      <c r="CO19" s="58">
        <v>2561.89</v>
      </c>
      <c r="CP19" s="58">
        <v>56048.6</v>
      </c>
      <c r="CQ19" s="58">
        <v>13203.96</v>
      </c>
      <c r="CR19" s="58">
        <v>2724.72</v>
      </c>
      <c r="CS19" s="58">
        <v>120585.52</v>
      </c>
      <c r="CT19" s="58">
        <v>8623.6</v>
      </c>
      <c r="CU19" s="58">
        <v>10746.25</v>
      </c>
      <c r="CV19" s="58">
        <v>10809.61</v>
      </c>
      <c r="CW19" s="58">
        <v>10004.32</v>
      </c>
      <c r="CX19" s="58">
        <v>78.349999999999994</v>
      </c>
      <c r="CY19" s="58">
        <v>18744.88</v>
      </c>
      <c r="CZ19" s="58">
        <v>261.39999999999998</v>
      </c>
      <c r="DA19" s="58">
        <v>376.3</v>
      </c>
      <c r="DB19" s="58">
        <v>2237.87</v>
      </c>
      <c r="DC19" s="63">
        <v>350.45</v>
      </c>
    </row>
    <row r="20" spans="1:107">
      <c r="A20" s="47" t="s">
        <v>107</v>
      </c>
      <c r="B20" s="56">
        <v>22225760.640000001</v>
      </c>
      <c r="C20" s="56">
        <v>8827331.8000000007</v>
      </c>
      <c r="D20" s="56">
        <v>7272853.0199999996</v>
      </c>
      <c r="E20" s="56">
        <v>1278535.01</v>
      </c>
      <c r="F20" s="56">
        <v>809764.36</v>
      </c>
      <c r="G20" s="56">
        <v>231447.24</v>
      </c>
      <c r="H20" s="56">
        <v>825519</v>
      </c>
      <c r="I20" s="56">
        <v>46331</v>
      </c>
      <c r="J20" s="56">
        <v>1139762.1100000001</v>
      </c>
      <c r="K20" s="56">
        <v>113216.33</v>
      </c>
      <c r="L20" s="56">
        <v>283886.74</v>
      </c>
      <c r="M20" s="56">
        <v>111805</v>
      </c>
      <c r="N20" s="56">
        <v>98864.7</v>
      </c>
      <c r="O20" s="56">
        <v>7163</v>
      </c>
      <c r="P20" s="56">
        <v>34204.6</v>
      </c>
      <c r="Q20" s="56">
        <v>17383</v>
      </c>
      <c r="R20" s="56">
        <v>31624.7</v>
      </c>
      <c r="S20" s="56">
        <v>91489.13</v>
      </c>
      <c r="T20" s="56">
        <v>22041.5</v>
      </c>
      <c r="U20" s="56">
        <v>56683.23</v>
      </c>
      <c r="V20" s="56">
        <v>0</v>
      </c>
      <c r="W20" s="56">
        <v>0</v>
      </c>
      <c r="X20" s="56">
        <v>201894.04</v>
      </c>
      <c r="Y20" s="56">
        <v>0</v>
      </c>
      <c r="Z20" s="56">
        <v>252562.31</v>
      </c>
      <c r="AA20" s="56">
        <v>1661</v>
      </c>
      <c r="AB20" s="56">
        <v>289913.14</v>
      </c>
      <c r="AC20" s="56">
        <v>298328.11</v>
      </c>
      <c r="AD20" s="56">
        <v>225749.41</v>
      </c>
      <c r="AE20" s="56">
        <v>8427</v>
      </c>
      <c r="AF20" s="56">
        <v>120046.3</v>
      </c>
      <c r="AG20" s="56">
        <v>4996154.5</v>
      </c>
      <c r="AH20" s="56">
        <v>1652222.71</v>
      </c>
      <c r="AI20" s="56">
        <v>504429.51</v>
      </c>
      <c r="AJ20" s="56">
        <v>925855.17</v>
      </c>
      <c r="AK20" s="56">
        <v>425579.84</v>
      </c>
      <c r="AL20" s="56">
        <v>364716.72</v>
      </c>
      <c r="AM20" s="56">
        <v>19467.8</v>
      </c>
      <c r="AN20" s="56">
        <v>0</v>
      </c>
      <c r="AO20" s="56">
        <v>199421.92</v>
      </c>
      <c r="AP20" s="56">
        <v>125090.1</v>
      </c>
      <c r="AQ20" s="56">
        <v>76197.41</v>
      </c>
      <c r="AR20" s="56">
        <v>33895</v>
      </c>
      <c r="AS20" s="56">
        <v>167027</v>
      </c>
      <c r="AT20" s="56">
        <v>486705.73</v>
      </c>
      <c r="AU20" s="56">
        <v>487126.72</v>
      </c>
      <c r="AV20" s="56">
        <v>373712.84</v>
      </c>
      <c r="AW20" s="56">
        <v>384167.91</v>
      </c>
      <c r="AX20" s="56">
        <v>170228.29</v>
      </c>
      <c r="AY20" s="56">
        <v>372920.06</v>
      </c>
      <c r="AZ20" s="56">
        <v>135854</v>
      </c>
      <c r="BA20" s="56">
        <v>339146.55</v>
      </c>
      <c r="BB20" s="56">
        <v>204563.63</v>
      </c>
      <c r="BC20" s="56">
        <v>72861.399999999994</v>
      </c>
      <c r="BD20" s="56">
        <v>467967.71</v>
      </c>
      <c r="BE20" s="56">
        <v>219086.9</v>
      </c>
      <c r="BF20" s="56">
        <v>328695.94</v>
      </c>
      <c r="BG20" s="56">
        <v>523701.5</v>
      </c>
      <c r="BH20" s="56">
        <v>106718</v>
      </c>
      <c r="BI20" s="56">
        <v>204282.8</v>
      </c>
      <c r="BJ20" s="56">
        <v>128324.76</v>
      </c>
      <c r="BK20" s="56">
        <v>192927.29</v>
      </c>
      <c r="BL20" s="56">
        <v>102110</v>
      </c>
      <c r="BM20" s="56">
        <v>33455</v>
      </c>
      <c r="BN20" s="56">
        <v>119803.5</v>
      </c>
      <c r="BO20" s="56">
        <v>142058</v>
      </c>
      <c r="BP20" s="56">
        <v>186479.64</v>
      </c>
      <c r="BQ20" s="56">
        <v>143768.54999999999</v>
      </c>
      <c r="BR20" s="56">
        <v>106367</v>
      </c>
      <c r="BS20" s="56">
        <v>188418.46</v>
      </c>
      <c r="BT20" s="56">
        <v>55491.5</v>
      </c>
      <c r="BU20" s="56">
        <v>85952.22</v>
      </c>
      <c r="BV20" s="56">
        <v>74220</v>
      </c>
      <c r="BW20" s="56">
        <v>45866.3</v>
      </c>
      <c r="BX20" s="56">
        <v>41285</v>
      </c>
      <c r="BY20" s="56">
        <v>129717.43</v>
      </c>
      <c r="BZ20" s="56">
        <v>89377.8</v>
      </c>
      <c r="CA20" s="56">
        <v>45370.36</v>
      </c>
      <c r="CB20" s="56">
        <v>88966.2</v>
      </c>
      <c r="CC20" s="56">
        <v>182222.72</v>
      </c>
      <c r="CD20" s="56">
        <v>213887.57</v>
      </c>
      <c r="CE20" s="56">
        <v>91660.5</v>
      </c>
      <c r="CF20" s="56">
        <v>11546</v>
      </c>
      <c r="CG20" s="56">
        <v>42402.3</v>
      </c>
      <c r="CH20" s="56">
        <v>37397.879999999997</v>
      </c>
      <c r="CI20" s="56">
        <v>55780.36</v>
      </c>
      <c r="CJ20" s="56">
        <v>12645</v>
      </c>
      <c r="CK20" s="56">
        <v>65632.320000000007</v>
      </c>
      <c r="CL20" s="56">
        <v>56652.38</v>
      </c>
      <c r="CM20" s="56">
        <v>31739.1</v>
      </c>
      <c r="CN20" s="56">
        <v>50849.599999999999</v>
      </c>
      <c r="CO20" s="56">
        <v>23663</v>
      </c>
      <c r="CP20" s="56">
        <v>41293.089999999997</v>
      </c>
      <c r="CQ20" s="56">
        <v>68779.28</v>
      </c>
      <c r="CR20" s="56">
        <v>45125.7</v>
      </c>
      <c r="CS20" s="56">
        <v>45011.8</v>
      </c>
      <c r="CT20" s="56">
        <v>35501.72</v>
      </c>
      <c r="CU20" s="56">
        <v>27259.03</v>
      </c>
      <c r="CV20" s="56">
        <v>19929.2</v>
      </c>
      <c r="CW20" s="56">
        <v>7324</v>
      </c>
      <c r="CX20" s="56">
        <v>41272.5</v>
      </c>
      <c r="CY20" s="56">
        <v>65751.600000000006</v>
      </c>
      <c r="CZ20" s="56">
        <v>38979</v>
      </c>
      <c r="DA20" s="56">
        <v>10879</v>
      </c>
      <c r="DB20" s="56">
        <v>15444.73</v>
      </c>
      <c r="DC20" s="56">
        <v>9372</v>
      </c>
    </row>
    <row r="21" spans="1:107">
      <c r="A21" s="47" t="s">
        <v>108</v>
      </c>
      <c r="B21" s="56">
        <v>7335906.0300000003</v>
      </c>
      <c r="C21" s="56">
        <v>1754356.58</v>
      </c>
      <c r="D21" s="56">
        <v>3034771.56</v>
      </c>
      <c r="E21" s="56">
        <v>990910.48</v>
      </c>
      <c r="F21" s="56">
        <v>296212.42</v>
      </c>
      <c r="G21" s="56">
        <v>382533.6</v>
      </c>
      <c r="H21" s="56">
        <v>0</v>
      </c>
      <c r="I21" s="56">
        <v>41077.79</v>
      </c>
      <c r="J21" s="56">
        <v>33249.42</v>
      </c>
      <c r="K21" s="56">
        <v>20436.5</v>
      </c>
      <c r="L21" s="56">
        <v>38719.839999999997</v>
      </c>
      <c r="M21" s="56">
        <v>63241.53</v>
      </c>
      <c r="N21" s="56">
        <v>10113</v>
      </c>
      <c r="O21" s="56">
        <v>6798.29</v>
      </c>
      <c r="P21" s="56">
        <v>36905.300000000003</v>
      </c>
      <c r="Q21" s="56">
        <v>26297.78</v>
      </c>
      <c r="R21" s="56">
        <v>95413.18</v>
      </c>
      <c r="S21" s="56">
        <v>237068.5</v>
      </c>
      <c r="T21" s="56">
        <v>9069.44</v>
      </c>
      <c r="U21" s="56">
        <v>34523.4</v>
      </c>
      <c r="V21" s="56">
        <v>0</v>
      </c>
      <c r="W21" s="56">
        <v>0</v>
      </c>
      <c r="X21" s="56">
        <v>51822.38</v>
      </c>
      <c r="Y21" s="56">
        <v>2458.4</v>
      </c>
      <c r="Z21" s="56">
        <v>360947.3</v>
      </c>
      <c r="AA21" s="56">
        <v>2115.58</v>
      </c>
      <c r="AB21" s="56">
        <v>263916.03000000003</v>
      </c>
      <c r="AC21" s="56">
        <v>166511.38</v>
      </c>
      <c r="AD21" s="56">
        <v>123131.31</v>
      </c>
      <c r="AE21" s="56">
        <v>20008.099999999999</v>
      </c>
      <c r="AF21" s="56">
        <v>125768.3</v>
      </c>
      <c r="AG21" s="56">
        <v>1722286.8</v>
      </c>
      <c r="AH21" s="56">
        <v>587558.40000000002</v>
      </c>
      <c r="AI21" s="56">
        <v>599158.06000000006</v>
      </c>
      <c r="AJ21" s="56">
        <v>223430.42</v>
      </c>
      <c r="AK21" s="56">
        <v>174209.69</v>
      </c>
      <c r="AL21" s="56">
        <v>65464.55</v>
      </c>
      <c r="AM21" s="56">
        <v>56538.18</v>
      </c>
      <c r="AN21" s="56">
        <v>777</v>
      </c>
      <c r="AO21" s="56">
        <v>60491.53</v>
      </c>
      <c r="AP21" s="56">
        <v>115214.87</v>
      </c>
      <c r="AQ21" s="56">
        <v>137744.47</v>
      </c>
      <c r="AR21" s="56">
        <v>40838.17</v>
      </c>
      <c r="AS21" s="56">
        <v>106786.76</v>
      </c>
      <c r="AT21" s="56">
        <v>18874.099999999999</v>
      </c>
      <c r="AU21" s="56">
        <v>29337.67</v>
      </c>
      <c r="AV21" s="56">
        <v>14008.03</v>
      </c>
      <c r="AW21" s="56">
        <v>62724.13</v>
      </c>
      <c r="AX21" s="56">
        <v>15819.14</v>
      </c>
      <c r="AY21" s="56">
        <v>31452.77</v>
      </c>
      <c r="AZ21" s="56">
        <v>24424.44</v>
      </c>
      <c r="BA21" s="56">
        <v>49630.400000000001</v>
      </c>
      <c r="BB21" s="56">
        <v>72085</v>
      </c>
      <c r="BC21" s="56">
        <v>35475.5</v>
      </c>
      <c r="BD21" s="56">
        <v>174891.85</v>
      </c>
      <c r="BE21" s="56">
        <v>39469.24</v>
      </c>
      <c r="BF21" s="56">
        <v>14213.7</v>
      </c>
      <c r="BG21" s="56">
        <v>22046.080000000002</v>
      </c>
      <c r="BH21" s="56">
        <v>22183.25</v>
      </c>
      <c r="BI21" s="56">
        <v>34702.129999999997</v>
      </c>
      <c r="BJ21" s="56">
        <v>4658.08</v>
      </c>
      <c r="BK21" s="56">
        <v>19701.04</v>
      </c>
      <c r="BL21" s="56">
        <v>8043.5</v>
      </c>
      <c r="BM21" s="56">
        <v>5458</v>
      </c>
      <c r="BN21" s="56">
        <v>11092</v>
      </c>
      <c r="BO21" s="56">
        <v>40331.08</v>
      </c>
      <c r="BP21" s="56">
        <v>9484.5</v>
      </c>
      <c r="BQ21" s="56">
        <v>8798.2000000000007</v>
      </c>
      <c r="BR21" s="56">
        <v>4418.5</v>
      </c>
      <c r="BS21" s="56">
        <v>21424.5</v>
      </c>
      <c r="BT21" s="56">
        <v>370</v>
      </c>
      <c r="BU21" s="56">
        <v>49822.8</v>
      </c>
      <c r="BV21" s="56">
        <v>1259</v>
      </c>
      <c r="BW21" s="56">
        <v>31419.78</v>
      </c>
      <c r="BX21" s="56">
        <v>9146.17</v>
      </c>
      <c r="BY21" s="56">
        <v>12196</v>
      </c>
      <c r="BZ21" s="56">
        <v>5574</v>
      </c>
      <c r="CA21" s="56">
        <v>5685.78</v>
      </c>
      <c r="CB21" s="56">
        <v>2545.5</v>
      </c>
      <c r="CC21" s="56">
        <v>15150.5</v>
      </c>
      <c r="CD21" s="56">
        <v>25872.53</v>
      </c>
      <c r="CE21" s="56">
        <v>10818.5</v>
      </c>
      <c r="CF21" s="56">
        <v>10100.5</v>
      </c>
      <c r="CG21" s="56">
        <v>12002.18</v>
      </c>
      <c r="CH21" s="56">
        <v>22558.2</v>
      </c>
      <c r="CI21" s="56">
        <v>15925.5</v>
      </c>
      <c r="CJ21" s="56">
        <v>13792.5</v>
      </c>
      <c r="CK21" s="56">
        <v>17455.18</v>
      </c>
      <c r="CL21" s="56">
        <v>23889</v>
      </c>
      <c r="CM21" s="56">
        <v>24269.919999999998</v>
      </c>
      <c r="CN21" s="56">
        <v>20230.8</v>
      </c>
      <c r="CO21" s="56">
        <v>6772.2</v>
      </c>
      <c r="CP21" s="56">
        <v>18490.5</v>
      </c>
      <c r="CQ21" s="56">
        <v>14386</v>
      </c>
      <c r="CR21" s="56">
        <v>12907.5</v>
      </c>
      <c r="CS21" s="56">
        <v>9325.6</v>
      </c>
      <c r="CT21" s="56">
        <v>16516</v>
      </c>
      <c r="CU21" s="56">
        <v>12992.3</v>
      </c>
      <c r="CV21" s="56">
        <v>20460.5</v>
      </c>
      <c r="CW21" s="56">
        <v>0</v>
      </c>
      <c r="CX21" s="56">
        <v>8060</v>
      </c>
      <c r="CY21" s="56">
        <v>23054.400000000001</v>
      </c>
      <c r="CZ21" s="56">
        <v>13918.8</v>
      </c>
      <c r="DA21" s="56">
        <v>6170.78</v>
      </c>
      <c r="DB21" s="56">
        <v>1666</v>
      </c>
      <c r="DC21" s="56">
        <v>3729.03</v>
      </c>
    </row>
    <row r="22" spans="1:107">
      <c r="A22" s="47" t="s">
        <v>109</v>
      </c>
      <c r="B22" s="56">
        <v>1485668.29</v>
      </c>
      <c r="C22" s="56">
        <v>845395.19000000099</v>
      </c>
      <c r="D22" s="56">
        <v>231254.91</v>
      </c>
      <c r="E22" s="56">
        <v>95220.3</v>
      </c>
      <c r="F22" s="56">
        <v>56851.12</v>
      </c>
      <c r="G22" s="56">
        <v>8067.8</v>
      </c>
      <c r="H22" s="56">
        <v>310.89999999999998</v>
      </c>
      <c r="I22" s="56">
        <v>6541</v>
      </c>
      <c r="J22" s="56">
        <v>181070.39</v>
      </c>
      <c r="K22" s="56">
        <v>15000.5</v>
      </c>
      <c r="L22" s="56">
        <v>3054.6</v>
      </c>
      <c r="M22" s="56">
        <v>3950.6</v>
      </c>
      <c r="N22" s="56">
        <v>2136.5</v>
      </c>
      <c r="O22" s="56">
        <v>1066</v>
      </c>
      <c r="P22" s="56">
        <v>1497.6</v>
      </c>
      <c r="Q22" s="56">
        <v>1180</v>
      </c>
      <c r="R22" s="56">
        <v>2590.38</v>
      </c>
      <c r="S22" s="56">
        <v>8635</v>
      </c>
      <c r="T22" s="56">
        <v>8182.8</v>
      </c>
      <c r="U22" s="56">
        <v>7237.2</v>
      </c>
      <c r="V22" s="56">
        <v>0</v>
      </c>
      <c r="W22" s="56">
        <v>0</v>
      </c>
      <c r="X22" s="56">
        <v>29542.23</v>
      </c>
      <c r="Y22" s="56">
        <v>0</v>
      </c>
      <c r="Z22" s="56">
        <v>17001.990000000002</v>
      </c>
      <c r="AA22" s="56">
        <v>0</v>
      </c>
      <c r="AB22" s="56">
        <v>18801.47</v>
      </c>
      <c r="AC22" s="56">
        <v>10774.59</v>
      </c>
      <c r="AD22" s="56">
        <v>19100.02</v>
      </c>
      <c r="AE22" s="56">
        <v>0</v>
      </c>
      <c r="AF22" s="56">
        <v>11793</v>
      </c>
      <c r="AG22" s="56">
        <v>162407.20000000001</v>
      </c>
      <c r="AH22" s="56">
        <v>31262.880000000001</v>
      </c>
      <c r="AI22" s="56">
        <v>25791.83</v>
      </c>
      <c r="AJ22" s="56">
        <v>6425.5</v>
      </c>
      <c r="AK22" s="56">
        <v>28477.96</v>
      </c>
      <c r="AL22" s="56">
        <v>26749.42</v>
      </c>
      <c r="AM22" s="56">
        <v>1623.74</v>
      </c>
      <c r="AN22" s="56">
        <v>0</v>
      </c>
      <c r="AO22" s="56">
        <v>11928.7</v>
      </c>
      <c r="AP22" s="56">
        <v>5933.6</v>
      </c>
      <c r="AQ22" s="56">
        <v>7391</v>
      </c>
      <c r="AR22" s="56">
        <v>6159</v>
      </c>
      <c r="AS22" s="56">
        <v>6815.6</v>
      </c>
      <c r="AT22" s="56">
        <v>46198.79</v>
      </c>
      <c r="AU22" s="56">
        <v>26926.9</v>
      </c>
      <c r="AV22" s="56">
        <v>22795.7</v>
      </c>
      <c r="AW22" s="56">
        <v>46902.99</v>
      </c>
      <c r="AX22" s="56">
        <v>39044.589999999997</v>
      </c>
      <c r="AY22" s="56">
        <v>48823.06</v>
      </c>
      <c r="AZ22" s="56">
        <v>10425.1</v>
      </c>
      <c r="BA22" s="56">
        <v>23086.3</v>
      </c>
      <c r="BB22" s="56">
        <v>18340.77</v>
      </c>
      <c r="BC22" s="56">
        <v>7033.98</v>
      </c>
      <c r="BD22" s="56">
        <v>39566.97</v>
      </c>
      <c r="BE22" s="56">
        <v>10478.700000000001</v>
      </c>
      <c r="BF22" s="56">
        <v>37284.1</v>
      </c>
      <c r="BG22" s="56">
        <v>10494.76</v>
      </c>
      <c r="BH22" s="56">
        <v>20572.810000000001</v>
      </c>
      <c r="BI22" s="56">
        <v>20736</v>
      </c>
      <c r="BJ22" s="56">
        <v>4448.3999999999996</v>
      </c>
      <c r="BK22" s="56">
        <v>32474.7</v>
      </c>
      <c r="BL22" s="56">
        <v>6484</v>
      </c>
      <c r="BM22" s="56">
        <v>4141</v>
      </c>
      <c r="BN22" s="56">
        <v>17211.5</v>
      </c>
      <c r="BO22" s="56">
        <v>40365.5</v>
      </c>
      <c r="BP22" s="56">
        <v>16107.8</v>
      </c>
      <c r="BQ22" s="56">
        <v>5825.18</v>
      </c>
      <c r="BR22" s="56">
        <v>4861</v>
      </c>
      <c r="BS22" s="56">
        <v>0</v>
      </c>
      <c r="BT22" s="56">
        <v>7661</v>
      </c>
      <c r="BU22" s="56">
        <v>10000.66</v>
      </c>
      <c r="BV22" s="56">
        <v>9185.1</v>
      </c>
      <c r="BW22" s="56">
        <v>14791</v>
      </c>
      <c r="BX22" s="56">
        <v>2065.46</v>
      </c>
      <c r="BY22" s="56">
        <v>13921.3</v>
      </c>
      <c r="BZ22" s="56">
        <v>2102</v>
      </c>
      <c r="CA22" s="56">
        <v>6328.16</v>
      </c>
      <c r="CB22" s="56">
        <v>2031.89</v>
      </c>
      <c r="CC22" s="56">
        <v>14347.04</v>
      </c>
      <c r="CD22" s="56">
        <v>7745.8</v>
      </c>
      <c r="CE22" s="56">
        <v>8350.1</v>
      </c>
      <c r="CF22" s="56">
        <v>2579.6999999999998</v>
      </c>
      <c r="CG22" s="56">
        <v>4078.2</v>
      </c>
      <c r="CH22" s="56">
        <v>5146.87</v>
      </c>
      <c r="CI22" s="56">
        <v>8453</v>
      </c>
      <c r="CJ22" s="56">
        <v>1398.18</v>
      </c>
      <c r="CK22" s="56">
        <v>8554.94</v>
      </c>
      <c r="CL22" s="56">
        <v>11418.68</v>
      </c>
      <c r="CM22" s="56">
        <v>4829.8</v>
      </c>
      <c r="CN22" s="56">
        <v>2388.9</v>
      </c>
      <c r="CO22" s="56">
        <v>5139.3</v>
      </c>
      <c r="CP22" s="56">
        <v>8309</v>
      </c>
      <c r="CQ22" s="56">
        <v>10635.18</v>
      </c>
      <c r="CR22" s="56">
        <v>6835.68</v>
      </c>
      <c r="CS22" s="56">
        <v>5339.16</v>
      </c>
      <c r="CT22" s="56">
        <v>1975.81</v>
      </c>
      <c r="CU22" s="56">
        <v>16526.36</v>
      </c>
      <c r="CV22" s="56">
        <v>5885</v>
      </c>
      <c r="CW22" s="56">
        <v>5913.9</v>
      </c>
      <c r="CX22" s="56">
        <v>4387.1000000000004</v>
      </c>
      <c r="CY22" s="56">
        <v>5850</v>
      </c>
      <c r="CZ22" s="56">
        <v>9468.9</v>
      </c>
      <c r="DA22" s="56">
        <v>2455.11</v>
      </c>
      <c r="DB22" s="56">
        <v>5786.9</v>
      </c>
      <c r="DC22" s="56">
        <v>4651.51</v>
      </c>
    </row>
    <row r="23" spans="1:107">
      <c r="A23" s="47" t="s">
        <v>110</v>
      </c>
      <c r="B23" s="56">
        <v>750939.66</v>
      </c>
      <c r="C23" s="56">
        <v>571611.39</v>
      </c>
      <c r="D23" s="56">
        <v>72202</v>
      </c>
      <c r="E23" s="56">
        <v>19110.5</v>
      </c>
      <c r="F23" s="56">
        <v>13011.65</v>
      </c>
      <c r="G23" s="56">
        <v>0</v>
      </c>
      <c r="H23" s="56">
        <v>0</v>
      </c>
      <c r="I23" s="56">
        <v>2310</v>
      </c>
      <c r="J23" s="56">
        <v>10910</v>
      </c>
      <c r="K23" s="56">
        <v>23192.79</v>
      </c>
      <c r="L23" s="56">
        <v>1190</v>
      </c>
      <c r="M23" s="56">
        <v>3130</v>
      </c>
      <c r="N23" s="56">
        <v>149</v>
      </c>
      <c r="O23" s="56">
        <v>535</v>
      </c>
      <c r="P23" s="56">
        <v>1295</v>
      </c>
      <c r="Q23" s="56">
        <v>965</v>
      </c>
      <c r="R23" s="56">
        <v>535</v>
      </c>
      <c r="S23" s="56">
        <v>1640</v>
      </c>
      <c r="T23" s="56">
        <v>6209</v>
      </c>
      <c r="U23" s="56">
        <v>17358.330000000002</v>
      </c>
      <c r="V23" s="56">
        <v>0</v>
      </c>
      <c r="W23" s="56">
        <v>0</v>
      </c>
      <c r="X23" s="56">
        <v>-8591.7000000000007</v>
      </c>
      <c r="Y23" s="56">
        <v>0</v>
      </c>
      <c r="Z23" s="56">
        <v>20707.5</v>
      </c>
      <c r="AA23" s="56">
        <v>0</v>
      </c>
      <c r="AB23" s="56">
        <v>3469</v>
      </c>
      <c r="AC23" s="56">
        <v>3525.7</v>
      </c>
      <c r="AD23" s="56">
        <v>0</v>
      </c>
      <c r="AE23" s="56">
        <v>0</v>
      </c>
      <c r="AF23" s="56">
        <v>6215</v>
      </c>
      <c r="AG23" s="56">
        <v>47456</v>
      </c>
      <c r="AH23" s="56">
        <v>12664</v>
      </c>
      <c r="AI23" s="56">
        <v>5867</v>
      </c>
      <c r="AJ23" s="56">
        <v>5585</v>
      </c>
      <c r="AK23" s="56">
        <v>380</v>
      </c>
      <c r="AL23" s="56">
        <v>12631.65</v>
      </c>
      <c r="AM23" s="56">
        <v>0</v>
      </c>
      <c r="AN23" s="56">
        <v>0</v>
      </c>
      <c r="AO23" s="56">
        <v>1165</v>
      </c>
      <c r="AP23" s="56">
        <v>2285</v>
      </c>
      <c r="AQ23" s="56">
        <v>865</v>
      </c>
      <c r="AR23" s="56">
        <v>610</v>
      </c>
      <c r="AS23" s="56">
        <v>2933</v>
      </c>
      <c r="AT23" s="56">
        <v>19161</v>
      </c>
      <c r="AU23" s="56">
        <v>19125</v>
      </c>
      <c r="AV23" s="56">
        <v>9387</v>
      </c>
      <c r="AW23" s="56">
        <v>24993.47</v>
      </c>
      <c r="AX23" s="56">
        <v>20699.5</v>
      </c>
      <c r="AY23" s="56">
        <v>20961.72</v>
      </c>
      <c r="AZ23" s="56">
        <v>8085.3</v>
      </c>
      <c r="BA23" s="56">
        <v>43410</v>
      </c>
      <c r="BB23" s="56">
        <v>13319.56</v>
      </c>
      <c r="BC23" s="56">
        <v>4583.72</v>
      </c>
      <c r="BD23" s="56">
        <v>9598.7900000000009</v>
      </c>
      <c r="BE23" s="56">
        <v>12064.38</v>
      </c>
      <c r="BF23" s="56">
        <v>11320</v>
      </c>
      <c r="BG23" s="56">
        <v>1461</v>
      </c>
      <c r="BH23" s="56">
        <v>23867.43</v>
      </c>
      <c r="BI23" s="56">
        <v>7005</v>
      </c>
      <c r="BJ23" s="56">
        <v>1774.8</v>
      </c>
      <c r="BK23" s="56">
        <v>9292.5</v>
      </c>
      <c r="BL23" s="56">
        <v>9971</v>
      </c>
      <c r="BM23" s="56">
        <v>19946</v>
      </c>
      <c r="BN23" s="56">
        <v>212</v>
      </c>
      <c r="BO23" s="56">
        <v>25008.02</v>
      </c>
      <c r="BP23" s="56">
        <v>3293.7</v>
      </c>
      <c r="BQ23" s="56">
        <v>91</v>
      </c>
      <c r="BR23" s="56">
        <v>2528</v>
      </c>
      <c r="BS23" s="56">
        <v>948</v>
      </c>
      <c r="BT23" s="56">
        <v>5722</v>
      </c>
      <c r="BU23" s="56">
        <v>13234.92</v>
      </c>
      <c r="BV23" s="56">
        <v>1193</v>
      </c>
      <c r="BW23" s="56">
        <v>9568.0499999999993</v>
      </c>
      <c r="BX23" s="56">
        <v>10285</v>
      </c>
      <c r="BY23" s="56">
        <v>14767</v>
      </c>
      <c r="BZ23" s="56">
        <v>607</v>
      </c>
      <c r="CA23" s="56">
        <v>2079</v>
      </c>
      <c r="CB23" s="56">
        <v>1489.79</v>
      </c>
      <c r="CC23" s="56">
        <v>1897.7</v>
      </c>
      <c r="CD23" s="56">
        <v>4610.74</v>
      </c>
      <c r="CE23" s="56">
        <v>5487.6</v>
      </c>
      <c r="CF23" s="56">
        <v>0</v>
      </c>
      <c r="CG23" s="56">
        <v>2795</v>
      </c>
      <c r="CH23" s="56">
        <v>2397.9</v>
      </c>
      <c r="CI23" s="56">
        <v>11238.5</v>
      </c>
      <c r="CJ23" s="56">
        <v>1063.8</v>
      </c>
      <c r="CK23" s="56">
        <v>15422</v>
      </c>
      <c r="CL23" s="56">
        <v>13825</v>
      </c>
      <c r="CM23" s="56">
        <v>6195</v>
      </c>
      <c r="CN23" s="56">
        <v>4325</v>
      </c>
      <c r="CO23" s="56">
        <v>20867</v>
      </c>
      <c r="CP23" s="56">
        <v>7912</v>
      </c>
      <c r="CQ23" s="56">
        <v>2130</v>
      </c>
      <c r="CR23" s="56">
        <v>5350</v>
      </c>
      <c r="CS23" s="56">
        <v>4464</v>
      </c>
      <c r="CT23" s="56">
        <v>12671</v>
      </c>
      <c r="CU23" s="56">
        <v>4629.5</v>
      </c>
      <c r="CV23" s="56">
        <v>6008</v>
      </c>
      <c r="CW23" s="56">
        <v>7900</v>
      </c>
      <c r="CX23" s="56">
        <v>10890</v>
      </c>
      <c r="CY23" s="56">
        <v>4078</v>
      </c>
      <c r="CZ23" s="56">
        <v>22230</v>
      </c>
      <c r="DA23" s="56">
        <v>1500</v>
      </c>
      <c r="DB23" s="56">
        <v>2812</v>
      </c>
      <c r="DC23" s="56">
        <v>0</v>
      </c>
    </row>
    <row r="24" spans="1:107">
      <c r="A24" s="47" t="s">
        <v>111</v>
      </c>
      <c r="B24" s="56">
        <v>7237976.7599999998</v>
      </c>
      <c r="C24" s="56">
        <v>6845391.9699999997</v>
      </c>
      <c r="D24" s="56">
        <v>3800</v>
      </c>
      <c r="E24" s="56">
        <v>0</v>
      </c>
      <c r="F24" s="56">
        <v>0</v>
      </c>
      <c r="G24" s="56">
        <v>0</v>
      </c>
      <c r="H24" s="56">
        <v>256902.13</v>
      </c>
      <c r="I24" s="56">
        <v>67941.759999999995</v>
      </c>
      <c r="J24" s="56">
        <v>7710</v>
      </c>
      <c r="K24" s="56">
        <v>0</v>
      </c>
      <c r="L24" s="56">
        <v>0</v>
      </c>
      <c r="M24" s="56">
        <v>0</v>
      </c>
      <c r="N24" s="56">
        <v>0</v>
      </c>
      <c r="O24" s="56">
        <v>56230.9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3800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6136581.1699999999</v>
      </c>
      <c r="AP24" s="56">
        <v>7700</v>
      </c>
      <c r="AQ24" s="56">
        <v>85828.88</v>
      </c>
      <c r="AR24" s="56">
        <v>0</v>
      </c>
      <c r="AS24" s="56">
        <v>3200</v>
      </c>
      <c r="AT24" s="56">
        <v>600</v>
      </c>
      <c r="AU24" s="56">
        <v>0</v>
      </c>
      <c r="AV24" s="56">
        <v>32256.68</v>
      </c>
      <c r="AW24" s="56">
        <v>18415.54</v>
      </c>
      <c r="AX24" s="56">
        <v>10417.48</v>
      </c>
      <c r="AY24" s="56">
        <v>7759</v>
      </c>
      <c r="AZ24" s="56">
        <v>7648</v>
      </c>
      <c r="BA24" s="56">
        <v>16900</v>
      </c>
      <c r="BB24" s="56">
        <v>29167</v>
      </c>
      <c r="BC24" s="56">
        <v>0</v>
      </c>
      <c r="BD24" s="56">
        <v>21973</v>
      </c>
      <c r="BE24" s="56">
        <v>20828.07</v>
      </c>
      <c r="BF24" s="56">
        <v>16390</v>
      </c>
      <c r="BG24" s="56">
        <v>4700</v>
      </c>
      <c r="BH24" s="56">
        <v>27957</v>
      </c>
      <c r="BI24" s="56">
        <v>0</v>
      </c>
      <c r="BJ24" s="56">
        <v>1000</v>
      </c>
      <c r="BK24" s="56">
        <v>30318.400000000001</v>
      </c>
      <c r="BL24" s="56">
        <v>200</v>
      </c>
      <c r="BM24" s="56">
        <v>0</v>
      </c>
      <c r="BN24" s="56">
        <v>0</v>
      </c>
      <c r="BO24" s="56">
        <v>37880</v>
      </c>
      <c r="BP24" s="56">
        <v>5556</v>
      </c>
      <c r="BQ24" s="56">
        <v>10090</v>
      </c>
      <c r="BR24" s="56">
        <v>19086.64</v>
      </c>
      <c r="BS24" s="56">
        <v>0</v>
      </c>
      <c r="BT24" s="56">
        <v>3010</v>
      </c>
      <c r="BU24" s="56">
        <v>36227.269999999997</v>
      </c>
      <c r="BV24" s="56">
        <v>6276.7</v>
      </c>
      <c r="BW24" s="56">
        <v>8530</v>
      </c>
      <c r="BX24" s="56">
        <v>1976</v>
      </c>
      <c r="BY24" s="56">
        <v>9408</v>
      </c>
      <c r="BZ24" s="56">
        <v>0</v>
      </c>
      <c r="CA24" s="56">
        <v>2900</v>
      </c>
      <c r="CB24" s="56">
        <v>0</v>
      </c>
      <c r="CC24" s="56">
        <v>21624.97</v>
      </c>
      <c r="CD24" s="56">
        <v>3519</v>
      </c>
      <c r="CE24" s="56">
        <v>3336</v>
      </c>
      <c r="CF24" s="56">
        <v>4041</v>
      </c>
      <c r="CG24" s="56">
        <v>5936</v>
      </c>
      <c r="CH24" s="56">
        <v>9150</v>
      </c>
      <c r="CI24" s="56">
        <v>14935.17</v>
      </c>
      <c r="CJ24" s="56">
        <v>3840</v>
      </c>
      <c r="CK24" s="56">
        <v>1800</v>
      </c>
      <c r="CL24" s="56">
        <v>22350</v>
      </c>
      <c r="CM24" s="56">
        <v>9708</v>
      </c>
      <c r="CN24" s="56">
        <v>18194</v>
      </c>
      <c r="CO24" s="56">
        <v>2000</v>
      </c>
      <c r="CP24" s="56">
        <v>8600</v>
      </c>
      <c r="CQ24" s="56">
        <v>15435</v>
      </c>
      <c r="CR24" s="56">
        <v>25096</v>
      </c>
      <c r="CS24" s="56">
        <v>2450</v>
      </c>
      <c r="CT24" s="56">
        <v>6190</v>
      </c>
      <c r="CU24" s="56">
        <v>12840</v>
      </c>
      <c r="CV24" s="56">
        <v>5000</v>
      </c>
      <c r="CW24" s="56">
        <v>0</v>
      </c>
      <c r="CX24" s="56">
        <v>900</v>
      </c>
      <c r="CY24" s="56">
        <v>7380</v>
      </c>
      <c r="CZ24" s="56">
        <v>11094</v>
      </c>
      <c r="DA24" s="56">
        <v>0</v>
      </c>
      <c r="DB24" s="56">
        <v>2640</v>
      </c>
      <c r="DC24" s="56">
        <v>6552</v>
      </c>
    </row>
    <row r="25" spans="1:107">
      <c r="A25" s="47" t="s">
        <v>112</v>
      </c>
      <c r="B25" s="56">
        <v>3051752.44</v>
      </c>
      <c r="C25" s="56">
        <v>1012729.2</v>
      </c>
      <c r="D25" s="56">
        <v>92129</v>
      </c>
      <c r="E25" s="56">
        <v>823168.32</v>
      </c>
      <c r="F25" s="56">
        <v>676531.25</v>
      </c>
      <c r="G25" s="56">
        <v>15822</v>
      </c>
      <c r="H25" s="56">
        <v>0</v>
      </c>
      <c r="I25" s="56">
        <v>11483</v>
      </c>
      <c r="J25" s="56">
        <v>4340</v>
      </c>
      <c r="K25" s="56">
        <v>20162.13</v>
      </c>
      <c r="L25" s="56">
        <v>22965</v>
      </c>
      <c r="M25" s="56">
        <v>0</v>
      </c>
      <c r="N25" s="56">
        <v>0</v>
      </c>
      <c r="O25" s="56">
        <v>0</v>
      </c>
      <c r="P25" s="56">
        <v>7143</v>
      </c>
      <c r="Q25" s="56">
        <v>35714</v>
      </c>
      <c r="R25" s="56">
        <v>4340</v>
      </c>
      <c r="S25" s="56">
        <v>107678.11</v>
      </c>
      <c r="T25" s="56">
        <v>0</v>
      </c>
      <c r="U25" s="56">
        <v>0</v>
      </c>
      <c r="V25" s="56">
        <v>0</v>
      </c>
      <c r="W25" s="56">
        <v>0</v>
      </c>
      <c r="X25" s="56">
        <v>23265</v>
      </c>
      <c r="Y25" s="56">
        <v>0</v>
      </c>
      <c r="Z25" s="56">
        <v>174286</v>
      </c>
      <c r="AA25" s="56">
        <v>0</v>
      </c>
      <c r="AB25" s="56">
        <v>184636.43</v>
      </c>
      <c r="AC25" s="56">
        <v>320819.26</v>
      </c>
      <c r="AD25" s="56">
        <v>120161.63</v>
      </c>
      <c r="AE25" s="56">
        <v>0</v>
      </c>
      <c r="AF25" s="56">
        <v>20162</v>
      </c>
      <c r="AG25" s="56">
        <v>24501</v>
      </c>
      <c r="AH25" s="56">
        <v>24501</v>
      </c>
      <c r="AI25" s="56">
        <v>22965</v>
      </c>
      <c r="AJ25" s="56">
        <v>217547.43</v>
      </c>
      <c r="AK25" s="56">
        <v>660709.25</v>
      </c>
      <c r="AL25" s="56">
        <v>15822</v>
      </c>
      <c r="AM25" s="56">
        <v>0</v>
      </c>
      <c r="AN25" s="56">
        <v>0</v>
      </c>
      <c r="AO25" s="56">
        <v>19520.11</v>
      </c>
      <c r="AP25" s="56">
        <v>11483</v>
      </c>
      <c r="AQ25" s="56">
        <v>0</v>
      </c>
      <c r="AR25" s="56">
        <v>154079</v>
      </c>
      <c r="AS25" s="56">
        <v>7143</v>
      </c>
      <c r="AT25" s="56">
        <v>38136.68</v>
      </c>
      <c r="AU25" s="56">
        <v>23639.09</v>
      </c>
      <c r="AV25" s="56">
        <v>112681.27</v>
      </c>
      <c r="AW25" s="56">
        <v>29183.08</v>
      </c>
      <c r="AX25" s="56">
        <v>71226.23</v>
      </c>
      <c r="AY25" s="56">
        <v>76471.14</v>
      </c>
      <c r="AZ25" s="56">
        <v>11749.85</v>
      </c>
      <c r="BA25" s="56">
        <v>65626.77</v>
      </c>
      <c r="BB25" s="56">
        <v>13275.94</v>
      </c>
      <c r="BC25" s="56">
        <v>12824.93</v>
      </c>
      <c r="BD25" s="56">
        <v>17913.88</v>
      </c>
      <c r="BE25" s="56">
        <v>22418.07</v>
      </c>
      <c r="BF25" s="56">
        <v>47974.720000000001</v>
      </c>
      <c r="BG25" s="56">
        <v>14932.36</v>
      </c>
      <c r="BH25" s="56">
        <v>17588.79</v>
      </c>
      <c r="BI25" s="56">
        <v>31077.79</v>
      </c>
      <c r="BJ25" s="56">
        <v>27149.08</v>
      </c>
      <c r="BK25" s="56">
        <v>17034.68</v>
      </c>
      <c r="BL25" s="56">
        <v>18623.310000000001</v>
      </c>
      <c r="BM25" s="56">
        <v>27722.43</v>
      </c>
      <c r="BN25" s="56">
        <v>11473.7</v>
      </c>
      <c r="BO25" s="56">
        <v>32105.63</v>
      </c>
      <c r="BP25" s="56">
        <v>1803.21</v>
      </c>
      <c r="BQ25" s="56">
        <v>4182.57</v>
      </c>
      <c r="BR25" s="56">
        <v>2237.33</v>
      </c>
      <c r="BS25" s="56">
        <v>4136.34</v>
      </c>
      <c r="BT25" s="56">
        <v>10157.75</v>
      </c>
      <c r="BU25" s="56">
        <v>5497.94</v>
      </c>
      <c r="BV25" s="56">
        <v>9581.32</v>
      </c>
      <c r="BW25" s="56">
        <v>3189.39</v>
      </c>
      <c r="BX25" s="56">
        <v>1743.55</v>
      </c>
      <c r="BY25" s="56">
        <v>2705.46</v>
      </c>
      <c r="BZ25" s="56">
        <v>990.81</v>
      </c>
      <c r="CA25" s="56">
        <v>7338.66</v>
      </c>
      <c r="CB25" s="56">
        <v>6215.03</v>
      </c>
      <c r="CC25" s="56">
        <v>7963.76</v>
      </c>
      <c r="CD25" s="56">
        <v>7226.07</v>
      </c>
      <c r="CE25" s="56">
        <v>1773.71</v>
      </c>
      <c r="CF25" s="56">
        <v>0</v>
      </c>
      <c r="CG25" s="56">
        <v>143.05000000000001</v>
      </c>
      <c r="CH25" s="56">
        <v>1127.6300000000001</v>
      </c>
      <c r="CI25" s="56">
        <v>0</v>
      </c>
      <c r="CJ25" s="56">
        <v>235.92</v>
      </c>
      <c r="CK25" s="56">
        <v>0</v>
      </c>
      <c r="CL25" s="56">
        <v>0</v>
      </c>
      <c r="CM25" s="56">
        <v>234.99</v>
      </c>
      <c r="CN25" s="56">
        <v>29.81</v>
      </c>
      <c r="CO25" s="56">
        <v>0</v>
      </c>
      <c r="CP25" s="56">
        <v>337.68</v>
      </c>
      <c r="CQ25" s="56">
        <v>72.87</v>
      </c>
      <c r="CR25" s="56">
        <v>0</v>
      </c>
      <c r="CS25" s="56">
        <v>686.09</v>
      </c>
      <c r="CT25" s="56">
        <v>0</v>
      </c>
      <c r="CU25" s="56">
        <v>56.31</v>
      </c>
      <c r="CV25" s="56">
        <v>0.06</v>
      </c>
      <c r="CW25" s="56">
        <v>0</v>
      </c>
      <c r="CX25" s="56">
        <v>0</v>
      </c>
      <c r="CY25" s="56">
        <v>5.59</v>
      </c>
      <c r="CZ25" s="56">
        <v>0</v>
      </c>
      <c r="DA25" s="56">
        <v>0</v>
      </c>
      <c r="DB25" s="56">
        <v>1.77</v>
      </c>
      <c r="DC25" s="56">
        <v>0</v>
      </c>
    </row>
    <row r="26" spans="1:107">
      <c r="A26" s="47" t="s">
        <v>113</v>
      </c>
      <c r="B26" s="56">
        <v>1782129.49</v>
      </c>
      <c r="C26" s="56">
        <v>1001370.98</v>
      </c>
      <c r="D26" s="56">
        <v>0</v>
      </c>
      <c r="E26" s="56">
        <v>1886.8</v>
      </c>
      <c r="F26" s="56">
        <v>0</v>
      </c>
      <c r="G26" s="56">
        <v>0</v>
      </c>
      <c r="H26" s="56">
        <v>0</v>
      </c>
      <c r="I26" s="56">
        <v>0</v>
      </c>
      <c r="J26" s="56">
        <v>687625.29</v>
      </c>
      <c r="K26" s="56">
        <v>0</v>
      </c>
      <c r="L26" s="56">
        <v>0</v>
      </c>
      <c r="M26" s="56">
        <v>0</v>
      </c>
      <c r="N26" s="56">
        <v>0</v>
      </c>
      <c r="O26" s="56">
        <v>70226.42</v>
      </c>
      <c r="P26" s="56">
        <v>0</v>
      </c>
      <c r="Q26" s="56">
        <v>0</v>
      </c>
      <c r="R26" s="56">
        <v>0</v>
      </c>
      <c r="S26" s="56">
        <v>21020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1886.8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336805.61</v>
      </c>
      <c r="AP26" s="56">
        <v>3000</v>
      </c>
      <c r="AQ26" s="56">
        <v>13925.94</v>
      </c>
      <c r="AR26" s="56">
        <v>0</v>
      </c>
      <c r="AS26" s="56">
        <v>198799.73</v>
      </c>
      <c r="AT26" s="56">
        <v>0</v>
      </c>
      <c r="AU26" s="56">
        <v>0</v>
      </c>
      <c r="AV26" s="56">
        <v>118490.06</v>
      </c>
      <c r="AW26" s="56">
        <v>0</v>
      </c>
      <c r="AX26" s="56">
        <v>129722.47</v>
      </c>
      <c r="AY26" s="56">
        <v>46289</v>
      </c>
      <c r="AZ26" s="56">
        <v>7526.4</v>
      </c>
      <c r="BA26" s="56">
        <v>0</v>
      </c>
      <c r="BB26" s="56">
        <v>0</v>
      </c>
      <c r="BC26" s="56">
        <v>0</v>
      </c>
      <c r="BD26" s="56">
        <v>4237</v>
      </c>
      <c r="BE26" s="56">
        <v>0</v>
      </c>
      <c r="BF26" s="56">
        <v>0</v>
      </c>
      <c r="BG26" s="56">
        <v>0</v>
      </c>
      <c r="BH26" s="56">
        <v>6292</v>
      </c>
      <c r="BI26" s="56">
        <v>22603.57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98804</v>
      </c>
      <c r="BP26" s="56">
        <v>0</v>
      </c>
      <c r="BQ26" s="56">
        <v>9800</v>
      </c>
      <c r="BR26" s="56">
        <v>0</v>
      </c>
      <c r="BS26" s="56">
        <v>0</v>
      </c>
      <c r="BT26" s="56">
        <v>0</v>
      </c>
      <c r="BU26" s="56">
        <v>2662.2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2413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</row>
    <row r="27" spans="1:107">
      <c r="A27" s="47" t="s">
        <v>114</v>
      </c>
      <c r="B27" s="56">
        <v>588485.03</v>
      </c>
      <c r="C27" s="56">
        <v>343866.35</v>
      </c>
      <c r="D27" s="56">
        <v>151904.79</v>
      </c>
      <c r="E27" s="56">
        <v>6578.1</v>
      </c>
      <c r="F27" s="56">
        <v>736.75</v>
      </c>
      <c r="G27" s="56">
        <v>0</v>
      </c>
      <c r="H27" s="56">
        <v>0</v>
      </c>
      <c r="I27" s="56">
        <v>22855</v>
      </c>
      <c r="J27" s="56">
        <v>49518.64</v>
      </c>
      <c r="K27" s="56">
        <v>1400</v>
      </c>
      <c r="L27" s="56">
        <v>420</v>
      </c>
      <c r="M27" s="56">
        <v>2400</v>
      </c>
      <c r="N27" s="56">
        <v>0</v>
      </c>
      <c r="O27" s="56">
        <v>304</v>
      </c>
      <c r="P27" s="56">
        <v>660</v>
      </c>
      <c r="Q27" s="56">
        <v>66</v>
      </c>
      <c r="R27" s="56">
        <v>594</v>
      </c>
      <c r="S27" s="56">
        <v>1518</v>
      </c>
      <c r="T27" s="56">
        <v>330</v>
      </c>
      <c r="U27" s="56">
        <v>2536</v>
      </c>
      <c r="V27" s="56">
        <v>0</v>
      </c>
      <c r="W27" s="56">
        <v>0</v>
      </c>
      <c r="X27" s="56">
        <v>-161.9</v>
      </c>
      <c r="Y27" s="56">
        <v>0</v>
      </c>
      <c r="Z27" s="56">
        <v>3383</v>
      </c>
      <c r="AA27" s="56">
        <v>0</v>
      </c>
      <c r="AB27" s="56">
        <v>66</v>
      </c>
      <c r="AC27" s="56">
        <v>2018</v>
      </c>
      <c r="AD27" s="56">
        <v>1273</v>
      </c>
      <c r="AE27" s="56">
        <v>0</v>
      </c>
      <c r="AF27" s="56">
        <v>957</v>
      </c>
      <c r="AG27" s="56">
        <v>94185.72</v>
      </c>
      <c r="AH27" s="56">
        <v>30213.41</v>
      </c>
      <c r="AI27" s="56">
        <v>26548.66</v>
      </c>
      <c r="AJ27" s="56">
        <v>2797.4</v>
      </c>
      <c r="AK27" s="56">
        <v>536.75</v>
      </c>
      <c r="AL27" s="56">
        <v>0</v>
      </c>
      <c r="AM27" s="56">
        <v>200</v>
      </c>
      <c r="AN27" s="56">
        <v>0</v>
      </c>
      <c r="AO27" s="56">
        <v>1767</v>
      </c>
      <c r="AP27" s="56">
        <v>5033</v>
      </c>
      <c r="AQ27" s="56">
        <v>1915</v>
      </c>
      <c r="AR27" s="56">
        <v>3290</v>
      </c>
      <c r="AS27" s="56">
        <v>11920</v>
      </c>
      <c r="AT27" s="56">
        <v>3941</v>
      </c>
      <c r="AU27" s="56">
        <v>7281.9</v>
      </c>
      <c r="AV27" s="56">
        <v>6181.2</v>
      </c>
      <c r="AW27" s="56">
        <v>4790</v>
      </c>
      <c r="AX27" s="56">
        <v>1433</v>
      </c>
      <c r="AY27" s="56">
        <v>8796</v>
      </c>
      <c r="AZ27" s="56">
        <v>13635</v>
      </c>
      <c r="BA27" s="56">
        <v>10834</v>
      </c>
      <c r="BB27" s="56">
        <v>5926</v>
      </c>
      <c r="BC27" s="56">
        <v>1776</v>
      </c>
      <c r="BD27" s="56">
        <v>6693.32</v>
      </c>
      <c r="BE27" s="56">
        <v>2353</v>
      </c>
      <c r="BF27" s="56">
        <v>19135</v>
      </c>
      <c r="BG27" s="56">
        <v>4680</v>
      </c>
      <c r="BH27" s="56">
        <v>3340</v>
      </c>
      <c r="BI27" s="56">
        <v>15822</v>
      </c>
      <c r="BJ27" s="56">
        <v>2237</v>
      </c>
      <c r="BK27" s="56">
        <v>13809</v>
      </c>
      <c r="BL27" s="56">
        <v>4093</v>
      </c>
      <c r="BM27" s="56">
        <v>54506</v>
      </c>
      <c r="BN27" s="56">
        <v>21973.87</v>
      </c>
      <c r="BO27" s="56">
        <v>2329.5</v>
      </c>
      <c r="BP27" s="56">
        <v>3932</v>
      </c>
      <c r="BQ27" s="56">
        <v>3944.5</v>
      </c>
      <c r="BR27" s="56">
        <v>5945.5</v>
      </c>
      <c r="BS27" s="56">
        <v>6230</v>
      </c>
      <c r="BT27" s="56">
        <v>2797.7</v>
      </c>
      <c r="BU27" s="56">
        <v>15415</v>
      </c>
      <c r="BV27" s="56">
        <v>11150</v>
      </c>
      <c r="BW27" s="56">
        <v>4297</v>
      </c>
      <c r="BX27" s="56">
        <v>8023.7</v>
      </c>
      <c r="BY27" s="56">
        <v>325</v>
      </c>
      <c r="BZ27" s="56">
        <v>1686</v>
      </c>
      <c r="CA27" s="56">
        <v>2726</v>
      </c>
      <c r="CB27" s="56">
        <v>5131.3</v>
      </c>
      <c r="CC27" s="56">
        <v>6444</v>
      </c>
      <c r="CD27" s="56">
        <v>4575</v>
      </c>
      <c r="CE27" s="56">
        <v>0</v>
      </c>
      <c r="CF27" s="56">
        <v>0</v>
      </c>
      <c r="CG27" s="56">
        <v>2265</v>
      </c>
      <c r="CH27" s="56">
        <v>1880</v>
      </c>
      <c r="CI27" s="56">
        <v>3970</v>
      </c>
      <c r="CJ27" s="56">
        <v>180</v>
      </c>
      <c r="CK27" s="56">
        <v>0</v>
      </c>
      <c r="CL27" s="56">
        <v>0</v>
      </c>
      <c r="CM27" s="56">
        <v>1138</v>
      </c>
      <c r="CN27" s="56">
        <v>822</v>
      </c>
      <c r="CO27" s="56">
        <v>0</v>
      </c>
      <c r="CP27" s="56">
        <v>2150</v>
      </c>
      <c r="CQ27" s="56">
        <v>2006</v>
      </c>
      <c r="CR27" s="56">
        <v>0</v>
      </c>
      <c r="CS27" s="56">
        <v>1150</v>
      </c>
      <c r="CT27" s="56">
        <v>0</v>
      </c>
      <c r="CU27" s="56">
        <v>4342.8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1849.06</v>
      </c>
      <c r="DC27" s="56">
        <v>0</v>
      </c>
    </row>
    <row r="28" spans="1:107">
      <c r="A28" s="47" t="s">
        <v>115</v>
      </c>
      <c r="B28" s="56">
        <v>115087.91</v>
      </c>
      <c r="C28" s="56">
        <v>72904.710000000006</v>
      </c>
      <c r="D28" s="56">
        <v>3413.1</v>
      </c>
      <c r="E28" s="56">
        <v>6759.66</v>
      </c>
      <c r="F28" s="56">
        <v>620.1</v>
      </c>
      <c r="G28" s="56">
        <v>9569</v>
      </c>
      <c r="H28" s="56">
        <v>228</v>
      </c>
      <c r="I28" s="56">
        <v>2982.68</v>
      </c>
      <c r="J28" s="56">
        <v>3680</v>
      </c>
      <c r="K28" s="56">
        <v>1189.0999999999999</v>
      </c>
      <c r="L28" s="56">
        <v>0</v>
      </c>
      <c r="M28" s="56">
        <v>1580</v>
      </c>
      <c r="N28" s="56">
        <v>0</v>
      </c>
      <c r="O28" s="56">
        <v>648</v>
      </c>
      <c r="P28" s="56">
        <v>1311.5</v>
      </c>
      <c r="Q28" s="56">
        <v>528</v>
      </c>
      <c r="R28" s="56">
        <v>2006.26</v>
      </c>
      <c r="S28" s="56">
        <v>3479.8</v>
      </c>
      <c r="T28" s="56">
        <v>408</v>
      </c>
      <c r="U28" s="56">
        <v>0</v>
      </c>
      <c r="V28" s="56">
        <v>0</v>
      </c>
      <c r="W28" s="56">
        <v>0</v>
      </c>
      <c r="X28" s="56">
        <v>2651</v>
      </c>
      <c r="Y28" s="56">
        <v>0</v>
      </c>
      <c r="Z28" s="56">
        <v>440</v>
      </c>
      <c r="AA28" s="56">
        <v>0</v>
      </c>
      <c r="AB28" s="56">
        <v>1488</v>
      </c>
      <c r="AC28" s="56">
        <v>1740.66</v>
      </c>
      <c r="AD28" s="56">
        <v>440</v>
      </c>
      <c r="AE28" s="56">
        <v>0</v>
      </c>
      <c r="AF28" s="56">
        <v>0</v>
      </c>
      <c r="AG28" s="56">
        <v>540</v>
      </c>
      <c r="AH28" s="56">
        <v>1608</v>
      </c>
      <c r="AI28" s="56">
        <v>1265.0999999999999</v>
      </c>
      <c r="AJ28" s="56">
        <v>3780</v>
      </c>
      <c r="AK28" s="56">
        <v>262.89999999999998</v>
      </c>
      <c r="AL28" s="56">
        <v>357.2</v>
      </c>
      <c r="AM28" s="56">
        <v>0</v>
      </c>
      <c r="AN28" s="56">
        <v>0</v>
      </c>
      <c r="AO28" s="56">
        <v>7896</v>
      </c>
      <c r="AP28" s="56">
        <v>0</v>
      </c>
      <c r="AQ28" s="56">
        <v>0</v>
      </c>
      <c r="AR28" s="56">
        <v>0</v>
      </c>
      <c r="AS28" s="56">
        <v>4115.05</v>
      </c>
      <c r="AT28" s="56">
        <v>0</v>
      </c>
      <c r="AU28" s="56">
        <v>0</v>
      </c>
      <c r="AV28" s="56">
        <v>1388.3</v>
      </c>
      <c r="AW28" s="56">
        <v>20796</v>
      </c>
      <c r="AX28" s="56">
        <v>0</v>
      </c>
      <c r="AY28" s="56">
        <v>5280</v>
      </c>
      <c r="AZ28" s="56">
        <v>1800</v>
      </c>
      <c r="BA28" s="56">
        <v>2000</v>
      </c>
      <c r="BB28" s="56">
        <v>0</v>
      </c>
      <c r="BC28" s="56">
        <v>421</v>
      </c>
      <c r="BD28" s="56">
        <v>3696</v>
      </c>
      <c r="BE28" s="56">
        <v>0</v>
      </c>
      <c r="BF28" s="56">
        <v>19140</v>
      </c>
      <c r="BG28" s="56">
        <v>217.4</v>
      </c>
      <c r="BH28" s="56">
        <v>0</v>
      </c>
      <c r="BI28" s="56">
        <v>0</v>
      </c>
      <c r="BJ28" s="56">
        <v>0</v>
      </c>
      <c r="BK28" s="56">
        <v>1097.8</v>
      </c>
      <c r="BL28" s="56">
        <v>0</v>
      </c>
      <c r="BM28" s="56">
        <v>0</v>
      </c>
      <c r="BN28" s="56">
        <v>0</v>
      </c>
      <c r="BO28" s="56">
        <v>1140</v>
      </c>
      <c r="BP28" s="56">
        <v>0</v>
      </c>
      <c r="BQ28" s="56">
        <v>437.16</v>
      </c>
      <c r="BR28" s="56">
        <v>1050</v>
      </c>
      <c r="BS28" s="56">
        <v>0</v>
      </c>
      <c r="BT28" s="56">
        <v>0</v>
      </c>
      <c r="BU28" s="56">
        <v>166.6</v>
      </c>
      <c r="BV28" s="56">
        <v>0</v>
      </c>
      <c r="BW28" s="56">
        <v>0</v>
      </c>
      <c r="BX28" s="56">
        <v>162.19999999999999</v>
      </c>
      <c r="BY28" s="56">
        <v>980.6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222</v>
      </c>
      <c r="CH28" s="56">
        <v>105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438.9</v>
      </c>
      <c r="CQ28" s="56">
        <v>0</v>
      </c>
      <c r="CR28" s="56">
        <v>0</v>
      </c>
      <c r="CS28" s="56">
        <v>0</v>
      </c>
      <c r="CT28" s="56">
        <v>0</v>
      </c>
      <c r="CU28" s="56">
        <v>354.7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</row>
    <row r="29" spans="1:107">
      <c r="A29" s="47" t="s">
        <v>116</v>
      </c>
      <c r="B29" s="56">
        <v>523101.05</v>
      </c>
      <c r="C29" s="56">
        <v>211797.08</v>
      </c>
      <c r="D29" s="56">
        <v>196581.79</v>
      </c>
      <c r="E29" s="56">
        <v>46382.65</v>
      </c>
      <c r="F29" s="56">
        <v>13780.1</v>
      </c>
      <c r="G29" s="56">
        <v>14274.34</v>
      </c>
      <c r="H29" s="56">
        <v>2042</v>
      </c>
      <c r="I29" s="56">
        <v>4300.95</v>
      </c>
      <c r="J29" s="56">
        <v>7832.22</v>
      </c>
      <c r="K29" s="56">
        <v>8682.2099999999991</v>
      </c>
      <c r="L29" s="56">
        <v>5375.02</v>
      </c>
      <c r="M29" s="56">
        <v>3945.55</v>
      </c>
      <c r="N29" s="56">
        <v>1987.1</v>
      </c>
      <c r="O29" s="56">
        <v>0</v>
      </c>
      <c r="P29" s="56">
        <v>1044.8699999999999</v>
      </c>
      <c r="Q29" s="56">
        <v>378.41</v>
      </c>
      <c r="R29" s="56">
        <v>827.43</v>
      </c>
      <c r="S29" s="56">
        <v>1776.65</v>
      </c>
      <c r="T29" s="56">
        <v>758.23</v>
      </c>
      <c r="U29" s="56">
        <v>919.59</v>
      </c>
      <c r="V29" s="56">
        <v>0</v>
      </c>
      <c r="W29" s="56">
        <v>0</v>
      </c>
      <c r="X29" s="56">
        <v>3691.6</v>
      </c>
      <c r="Y29" s="56">
        <v>0</v>
      </c>
      <c r="Z29" s="56">
        <v>7770.24</v>
      </c>
      <c r="AA29" s="56">
        <v>0</v>
      </c>
      <c r="AB29" s="56">
        <v>4840.3500000000004</v>
      </c>
      <c r="AC29" s="56">
        <v>9750.5300000000007</v>
      </c>
      <c r="AD29" s="56">
        <v>20329.93</v>
      </c>
      <c r="AE29" s="56">
        <v>0</v>
      </c>
      <c r="AF29" s="56">
        <v>15180.6</v>
      </c>
      <c r="AG29" s="56">
        <v>57900.98</v>
      </c>
      <c r="AH29" s="56">
        <v>38490.97</v>
      </c>
      <c r="AI29" s="56">
        <v>85009.24</v>
      </c>
      <c r="AJ29" s="56">
        <v>414.86</v>
      </c>
      <c r="AK29" s="56">
        <v>8169.87</v>
      </c>
      <c r="AL29" s="56">
        <v>3075.39</v>
      </c>
      <c r="AM29" s="56">
        <v>2534.84</v>
      </c>
      <c r="AN29" s="56">
        <v>0</v>
      </c>
      <c r="AO29" s="56">
        <v>1085.0999999999999</v>
      </c>
      <c r="AP29" s="56">
        <v>1636.35</v>
      </c>
      <c r="AQ29" s="56">
        <v>7796.27</v>
      </c>
      <c r="AR29" s="56">
        <v>825.7</v>
      </c>
      <c r="AS29" s="56">
        <v>2061.63</v>
      </c>
      <c r="AT29" s="56">
        <v>200</v>
      </c>
      <c r="AU29" s="56">
        <v>3721</v>
      </c>
      <c r="AV29" s="56">
        <v>307</v>
      </c>
      <c r="AW29" s="56">
        <v>1525.5</v>
      </c>
      <c r="AX29" s="56">
        <v>86</v>
      </c>
      <c r="AY29" s="56">
        <v>991</v>
      </c>
      <c r="AZ29" s="56">
        <v>0</v>
      </c>
      <c r="BA29" s="56">
        <v>1956</v>
      </c>
      <c r="BB29" s="56">
        <v>3699.9</v>
      </c>
      <c r="BC29" s="56">
        <v>1883</v>
      </c>
      <c r="BD29" s="56">
        <v>242.6</v>
      </c>
      <c r="BE29" s="56">
        <v>931</v>
      </c>
      <c r="BF29" s="56">
        <v>3911.5</v>
      </c>
      <c r="BG29" s="56">
        <v>11298.2</v>
      </c>
      <c r="BH29" s="56">
        <v>2046</v>
      </c>
      <c r="BI29" s="56">
        <v>1135</v>
      </c>
      <c r="BJ29" s="56">
        <v>0</v>
      </c>
      <c r="BK29" s="56">
        <v>683.4</v>
      </c>
      <c r="BL29" s="56">
        <v>0</v>
      </c>
      <c r="BM29" s="56">
        <v>0</v>
      </c>
      <c r="BN29" s="56">
        <v>2211.1</v>
      </c>
      <c r="BO29" s="56">
        <v>5097.7</v>
      </c>
      <c r="BP29" s="56">
        <v>2444</v>
      </c>
      <c r="BQ29" s="56">
        <v>2691</v>
      </c>
      <c r="BR29" s="56">
        <v>0</v>
      </c>
      <c r="BS29" s="56">
        <v>83</v>
      </c>
      <c r="BT29" s="56">
        <v>0</v>
      </c>
      <c r="BU29" s="56">
        <v>2000.5</v>
      </c>
      <c r="BV29" s="56">
        <v>0</v>
      </c>
      <c r="BW29" s="56">
        <v>5939.71</v>
      </c>
      <c r="BX29" s="56">
        <v>949.6</v>
      </c>
      <c r="BY29" s="56">
        <v>5394</v>
      </c>
      <c r="BZ29" s="56">
        <v>0</v>
      </c>
      <c r="CA29" s="56">
        <v>877.4</v>
      </c>
      <c r="CB29" s="56">
        <v>1957</v>
      </c>
      <c r="CC29" s="56">
        <v>14633.3</v>
      </c>
      <c r="CD29" s="56">
        <v>2184.8000000000002</v>
      </c>
      <c r="CE29" s="56">
        <v>3503.3</v>
      </c>
      <c r="CF29" s="56">
        <v>3607.55</v>
      </c>
      <c r="CG29" s="56">
        <v>4129.2</v>
      </c>
      <c r="CH29" s="56">
        <v>13057.2</v>
      </c>
      <c r="CI29" s="56">
        <v>4228</v>
      </c>
      <c r="CJ29" s="56">
        <v>8070.4</v>
      </c>
      <c r="CK29" s="56">
        <v>5457.4</v>
      </c>
      <c r="CL29" s="56">
        <v>5756</v>
      </c>
      <c r="CM29" s="56">
        <v>8273.2000000000007</v>
      </c>
      <c r="CN29" s="56">
        <v>8352.5</v>
      </c>
      <c r="CO29" s="56">
        <v>3000</v>
      </c>
      <c r="CP29" s="56">
        <v>7744.5</v>
      </c>
      <c r="CQ29" s="56">
        <v>8001.5</v>
      </c>
      <c r="CR29" s="56">
        <v>3231</v>
      </c>
      <c r="CS29" s="56">
        <v>5305.4</v>
      </c>
      <c r="CT29" s="56">
        <v>3494.9</v>
      </c>
      <c r="CU29" s="56">
        <v>8899.1</v>
      </c>
      <c r="CV29" s="56">
        <v>5439.4</v>
      </c>
      <c r="CW29" s="56">
        <v>745.66</v>
      </c>
      <c r="CX29" s="56">
        <v>141.52000000000001</v>
      </c>
      <c r="CY29" s="56">
        <v>5047.45</v>
      </c>
      <c r="CZ29" s="56">
        <v>734.44</v>
      </c>
      <c r="DA29" s="56">
        <v>0</v>
      </c>
      <c r="DB29" s="56">
        <v>1092.2</v>
      </c>
      <c r="DC29" s="56">
        <v>0</v>
      </c>
    </row>
    <row r="30" spans="1:107">
      <c r="A30" s="47" t="s">
        <v>117</v>
      </c>
      <c r="B30" s="56">
        <v>1666306.33</v>
      </c>
      <c r="C30" s="56">
        <v>857338.09</v>
      </c>
      <c r="D30" s="56">
        <v>47321</v>
      </c>
      <c r="E30" s="56">
        <v>121932.78</v>
      </c>
      <c r="F30" s="56">
        <v>112648.97</v>
      </c>
      <c r="G30" s="56">
        <v>120133.61</v>
      </c>
      <c r="H30" s="56">
        <v>0</v>
      </c>
      <c r="I30" s="56">
        <v>0</v>
      </c>
      <c r="J30" s="56">
        <v>304985.86</v>
      </c>
      <c r="K30" s="56">
        <v>2330</v>
      </c>
      <c r="L30" s="56">
        <v>0</v>
      </c>
      <c r="M30" s="56">
        <v>0</v>
      </c>
      <c r="N30" s="56">
        <v>77616.02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20000</v>
      </c>
      <c r="W30" s="56">
        <v>0</v>
      </c>
      <c r="X30" s="56">
        <v>109697.78</v>
      </c>
      <c r="Y30" s="56">
        <v>0</v>
      </c>
      <c r="Z30" s="56">
        <v>9376</v>
      </c>
      <c r="AA30" s="56">
        <v>0</v>
      </c>
      <c r="AB30" s="56">
        <v>0</v>
      </c>
      <c r="AC30" s="56">
        <v>0</v>
      </c>
      <c r="AD30" s="56">
        <v>2859</v>
      </c>
      <c r="AE30" s="56">
        <v>0</v>
      </c>
      <c r="AF30" s="56">
        <v>36439</v>
      </c>
      <c r="AG30" s="56">
        <v>2482</v>
      </c>
      <c r="AH30" s="56">
        <v>3150</v>
      </c>
      <c r="AI30" s="56">
        <v>5250</v>
      </c>
      <c r="AJ30" s="56">
        <v>2000</v>
      </c>
      <c r="AK30" s="56">
        <v>24000</v>
      </c>
      <c r="AL30" s="56">
        <v>88648.97</v>
      </c>
      <c r="AM30" s="56">
        <v>0</v>
      </c>
      <c r="AN30" s="56">
        <v>0</v>
      </c>
      <c r="AO30" s="56">
        <v>16097</v>
      </c>
      <c r="AP30" s="56">
        <v>5020</v>
      </c>
      <c r="AQ30" s="56">
        <v>12498</v>
      </c>
      <c r="AR30" s="56">
        <v>9000</v>
      </c>
      <c r="AS30" s="56">
        <v>8800</v>
      </c>
      <c r="AT30" s="56">
        <v>18686.36</v>
      </c>
      <c r="AU30" s="56">
        <v>0</v>
      </c>
      <c r="AV30" s="56">
        <v>21211</v>
      </c>
      <c r="AW30" s="56">
        <v>28444.7</v>
      </c>
      <c r="AX30" s="56">
        <v>5350</v>
      </c>
      <c r="AY30" s="56">
        <v>28051.82</v>
      </c>
      <c r="AZ30" s="56">
        <v>11330.68</v>
      </c>
      <c r="BA30" s="56">
        <v>29043.05</v>
      </c>
      <c r="BB30" s="56">
        <v>31383.49</v>
      </c>
      <c r="BC30" s="56">
        <v>0</v>
      </c>
      <c r="BD30" s="56">
        <v>29917.64</v>
      </c>
      <c r="BE30" s="56">
        <v>6919</v>
      </c>
      <c r="BF30" s="56">
        <v>13749</v>
      </c>
      <c r="BG30" s="56">
        <v>18287.150000000001</v>
      </c>
      <c r="BH30" s="56">
        <v>60327.5</v>
      </c>
      <c r="BI30" s="56">
        <v>21419.98</v>
      </c>
      <c r="BJ30" s="56">
        <v>0</v>
      </c>
      <c r="BK30" s="56">
        <v>44233.78</v>
      </c>
      <c r="BL30" s="56">
        <v>31495.46</v>
      </c>
      <c r="BM30" s="56">
        <v>14223.4</v>
      </c>
      <c r="BN30" s="56">
        <v>30530.21</v>
      </c>
      <c r="BO30" s="56">
        <v>0</v>
      </c>
      <c r="BP30" s="56">
        <v>18967</v>
      </c>
      <c r="BQ30" s="56">
        <v>14920</v>
      </c>
      <c r="BR30" s="56">
        <v>13500</v>
      </c>
      <c r="BS30" s="56">
        <v>2000</v>
      </c>
      <c r="BT30" s="56">
        <v>8499</v>
      </c>
      <c r="BU30" s="56">
        <v>38631.26</v>
      </c>
      <c r="BV30" s="56">
        <v>0</v>
      </c>
      <c r="BW30" s="56">
        <v>0</v>
      </c>
      <c r="BX30" s="56">
        <v>5100</v>
      </c>
      <c r="BY30" s="56">
        <v>29020.2</v>
      </c>
      <c r="BZ30" s="56">
        <v>8060</v>
      </c>
      <c r="CA30" s="56">
        <v>14539.03</v>
      </c>
      <c r="CB30" s="56">
        <v>23009</v>
      </c>
      <c r="CC30" s="56">
        <v>20464</v>
      </c>
      <c r="CD30" s="56">
        <v>35573.54</v>
      </c>
      <c r="CE30" s="56">
        <v>1611</v>
      </c>
      <c r="CF30" s="56">
        <v>0</v>
      </c>
      <c r="CG30" s="56">
        <v>12822.44</v>
      </c>
      <c r="CH30" s="56">
        <v>9494.4</v>
      </c>
      <c r="CI30" s="56">
        <v>476</v>
      </c>
      <c r="CJ30" s="56">
        <v>1800</v>
      </c>
      <c r="CK30" s="56">
        <v>6192</v>
      </c>
      <c r="CL30" s="56">
        <v>7200</v>
      </c>
      <c r="CM30" s="56">
        <v>19804</v>
      </c>
      <c r="CN30" s="56">
        <v>7199</v>
      </c>
      <c r="CO30" s="56">
        <v>0</v>
      </c>
      <c r="CP30" s="56">
        <v>5400</v>
      </c>
      <c r="CQ30" s="56">
        <v>7220</v>
      </c>
      <c r="CR30" s="56">
        <v>0</v>
      </c>
      <c r="CS30" s="56">
        <v>11324</v>
      </c>
      <c r="CT30" s="56">
        <v>0</v>
      </c>
      <c r="CU30" s="56">
        <v>16909</v>
      </c>
      <c r="CV30" s="56">
        <v>7639</v>
      </c>
      <c r="CW30" s="56">
        <v>0</v>
      </c>
      <c r="CX30" s="56">
        <v>3700</v>
      </c>
      <c r="CY30" s="56">
        <v>9248</v>
      </c>
      <c r="CZ30" s="56">
        <v>0</v>
      </c>
      <c r="DA30" s="56">
        <v>0</v>
      </c>
      <c r="DB30" s="56">
        <v>997</v>
      </c>
      <c r="DC30" s="56">
        <v>0</v>
      </c>
    </row>
    <row r="31" spans="1:107">
      <c r="A31" s="47" t="s">
        <v>118</v>
      </c>
      <c r="B31" s="56">
        <v>3651278.17</v>
      </c>
      <c r="C31" s="56">
        <v>3333109.79</v>
      </c>
      <c r="D31" s="56">
        <v>1997</v>
      </c>
      <c r="E31" s="56">
        <v>131370.38</v>
      </c>
      <c r="F31" s="56">
        <v>184801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131370.38</v>
      </c>
      <c r="AE31" s="56">
        <v>0</v>
      </c>
      <c r="AF31" s="56">
        <v>0</v>
      </c>
      <c r="AG31" s="56">
        <v>0</v>
      </c>
      <c r="AH31" s="56">
        <v>1997</v>
      </c>
      <c r="AI31" s="56">
        <v>0</v>
      </c>
      <c r="AJ31" s="56">
        <v>0</v>
      </c>
      <c r="AK31" s="56">
        <v>184801</v>
      </c>
      <c r="AL31" s="56">
        <v>0</v>
      </c>
      <c r="AM31" s="56">
        <v>0</v>
      </c>
      <c r="AN31" s="56">
        <v>0</v>
      </c>
      <c r="AO31" s="56">
        <v>11100</v>
      </c>
      <c r="AP31" s="56">
        <v>0</v>
      </c>
      <c r="AQ31" s="56">
        <v>0</v>
      </c>
      <c r="AR31" s="56">
        <v>0</v>
      </c>
      <c r="AS31" s="56">
        <v>975</v>
      </c>
      <c r="AT31" s="56">
        <v>55993.22</v>
      </c>
      <c r="AU31" s="56">
        <v>150107.62</v>
      </c>
      <c r="AV31" s="56">
        <v>132724.79</v>
      </c>
      <c r="AW31" s="56">
        <v>161477.79999999999</v>
      </c>
      <c r="AX31" s="56">
        <v>120604.37</v>
      </c>
      <c r="AY31" s="56">
        <v>182268.28</v>
      </c>
      <c r="AZ31" s="56">
        <v>171743.72</v>
      </c>
      <c r="BA31" s="56">
        <v>327811.56</v>
      </c>
      <c r="BB31" s="56">
        <v>34148.33</v>
      </c>
      <c r="BC31" s="56">
        <v>52546.2</v>
      </c>
      <c r="BD31" s="56">
        <v>44548.54</v>
      </c>
      <c r="BE31" s="56">
        <v>69890.320000000007</v>
      </c>
      <c r="BF31" s="56">
        <v>44626.57</v>
      </c>
      <c r="BG31" s="56">
        <v>156581.12</v>
      </c>
      <c r="BH31" s="56">
        <v>21197.07</v>
      </c>
      <c r="BI31" s="56">
        <v>82266.84</v>
      </c>
      <c r="BJ31" s="56">
        <v>90982.09</v>
      </c>
      <c r="BK31" s="56">
        <v>164926.82999999999</v>
      </c>
      <c r="BL31" s="56">
        <v>102553.46</v>
      </c>
      <c r="BM31" s="56">
        <v>96451.93</v>
      </c>
      <c r="BN31" s="56">
        <v>96064.14</v>
      </c>
      <c r="BO31" s="56">
        <v>32461.9</v>
      </c>
      <c r="BP31" s="56">
        <v>40888.15</v>
      </c>
      <c r="BQ31" s="56">
        <v>32710.82</v>
      </c>
      <c r="BR31" s="56">
        <v>23287.56</v>
      </c>
      <c r="BS31" s="56">
        <v>54603.74</v>
      </c>
      <c r="BT31" s="56">
        <v>40471.699999999997</v>
      </c>
      <c r="BU31" s="56">
        <v>122299.48</v>
      </c>
      <c r="BV31" s="56">
        <v>72923.45</v>
      </c>
      <c r="BW31" s="56">
        <v>4208.8599999999997</v>
      </c>
      <c r="BX31" s="56">
        <v>38362.21</v>
      </c>
      <c r="BY31" s="56">
        <v>35105.29</v>
      </c>
      <c r="BZ31" s="56">
        <v>12224.77</v>
      </c>
      <c r="CA31" s="56">
        <v>45255.39</v>
      </c>
      <c r="CB31" s="56">
        <v>55460.480000000003</v>
      </c>
      <c r="CC31" s="56">
        <v>133955.07999999999</v>
      </c>
      <c r="CD31" s="56">
        <v>182682.78</v>
      </c>
      <c r="CE31" s="56">
        <v>10186.5</v>
      </c>
      <c r="CF31" s="56">
        <v>30</v>
      </c>
      <c r="CG31" s="56">
        <v>165.45</v>
      </c>
      <c r="CH31" s="56">
        <v>4053.74</v>
      </c>
      <c r="CI31" s="56">
        <v>0</v>
      </c>
      <c r="CJ31" s="56">
        <v>1144.05</v>
      </c>
      <c r="CK31" s="56">
        <v>20</v>
      </c>
      <c r="CL31" s="56">
        <v>0</v>
      </c>
      <c r="CM31" s="56">
        <v>5531.8</v>
      </c>
      <c r="CN31" s="56">
        <v>118.9</v>
      </c>
      <c r="CO31" s="56">
        <v>0</v>
      </c>
      <c r="CP31" s="56">
        <v>1078.1400000000001</v>
      </c>
      <c r="CQ31" s="56">
        <v>4416.41</v>
      </c>
      <c r="CR31" s="56">
        <v>0</v>
      </c>
      <c r="CS31" s="56">
        <v>140.88999999999999</v>
      </c>
      <c r="CT31" s="56">
        <v>5</v>
      </c>
      <c r="CU31" s="56">
        <v>1384.55</v>
      </c>
      <c r="CV31" s="56">
        <v>22</v>
      </c>
      <c r="CW31" s="56">
        <v>0</v>
      </c>
      <c r="CX31" s="56">
        <v>0</v>
      </c>
      <c r="CY31" s="56">
        <v>42</v>
      </c>
      <c r="CZ31" s="56">
        <v>0</v>
      </c>
      <c r="DA31" s="56">
        <v>0</v>
      </c>
      <c r="DB31" s="56">
        <v>2003</v>
      </c>
      <c r="DC31" s="56">
        <v>4275.8999999999996</v>
      </c>
    </row>
    <row r="32" spans="1:107">
      <c r="A32" s="47" t="s">
        <v>119</v>
      </c>
      <c r="B32" s="56">
        <v>414563.12</v>
      </c>
      <c r="C32" s="56">
        <v>50769.91</v>
      </c>
      <c r="D32" s="56">
        <v>17990</v>
      </c>
      <c r="E32" s="56">
        <v>43324.1</v>
      </c>
      <c r="F32" s="56">
        <v>21616</v>
      </c>
      <c r="G32" s="56">
        <v>172484</v>
      </c>
      <c r="H32" s="56">
        <v>0</v>
      </c>
      <c r="I32" s="56">
        <v>11190.0000000002</v>
      </c>
      <c r="J32" s="56">
        <v>4800</v>
      </c>
      <c r="K32" s="56">
        <v>0</v>
      </c>
      <c r="L32" s="56">
        <v>0</v>
      </c>
      <c r="M32" s="56">
        <v>0</v>
      </c>
      <c r="N32" s="56">
        <v>0</v>
      </c>
      <c r="O32" s="56">
        <v>44608</v>
      </c>
      <c r="P32" s="56">
        <v>0</v>
      </c>
      <c r="Q32" s="56">
        <v>0</v>
      </c>
      <c r="R32" s="56">
        <v>12268.5</v>
      </c>
      <c r="S32" s="56">
        <v>12681.54</v>
      </c>
      <c r="T32" s="56">
        <v>0</v>
      </c>
      <c r="U32" s="56">
        <v>0</v>
      </c>
      <c r="V32" s="56">
        <v>0</v>
      </c>
      <c r="W32" s="56">
        <v>0</v>
      </c>
      <c r="X32" s="56">
        <v>13539.06</v>
      </c>
      <c r="Y32" s="56">
        <v>0</v>
      </c>
      <c r="Z32" s="56">
        <v>1270</v>
      </c>
      <c r="AA32" s="56">
        <v>0</v>
      </c>
      <c r="AB32" s="56">
        <v>13739.04</v>
      </c>
      <c r="AC32" s="56">
        <v>5610</v>
      </c>
      <c r="AD32" s="56">
        <v>9166</v>
      </c>
      <c r="AE32" s="56">
        <v>0</v>
      </c>
      <c r="AF32" s="56">
        <v>8390</v>
      </c>
      <c r="AG32" s="56">
        <v>1600</v>
      </c>
      <c r="AH32" s="56">
        <v>0</v>
      </c>
      <c r="AI32" s="56">
        <v>8000</v>
      </c>
      <c r="AJ32" s="56">
        <v>22831.07</v>
      </c>
      <c r="AK32" s="56">
        <v>4520</v>
      </c>
      <c r="AL32" s="56">
        <v>12290</v>
      </c>
      <c r="AM32" s="56">
        <v>4806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2700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3320</v>
      </c>
      <c r="BE32" s="56">
        <v>0</v>
      </c>
      <c r="BF32" s="56">
        <v>1550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38834.949999999997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2800</v>
      </c>
      <c r="CC32" s="56">
        <v>1564.96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0</v>
      </c>
    </row>
    <row r="33" spans="1:107" s="49" customFormat="1">
      <c r="A33" s="57" t="s">
        <v>99</v>
      </c>
      <c r="B33" s="58">
        <v>50828954.920000002</v>
      </c>
      <c r="C33" s="58">
        <v>25727973.039999999</v>
      </c>
      <c r="D33" s="58">
        <v>11126218.17</v>
      </c>
      <c r="E33" s="58">
        <v>3565179.08</v>
      </c>
      <c r="F33" s="58">
        <v>2186573.7200000002</v>
      </c>
      <c r="G33" s="58">
        <v>954331.59</v>
      </c>
      <c r="H33" s="58">
        <v>1085002.03</v>
      </c>
      <c r="I33" s="58">
        <v>217013.18</v>
      </c>
      <c r="J33" s="58">
        <v>2435483.9300000002</v>
      </c>
      <c r="K33" s="58">
        <v>205609.56</v>
      </c>
      <c r="L33" s="58">
        <v>355611.2</v>
      </c>
      <c r="M33" s="58">
        <v>190052.68</v>
      </c>
      <c r="N33" s="58">
        <v>190866.32</v>
      </c>
      <c r="O33" s="58">
        <v>187579.61</v>
      </c>
      <c r="P33" s="58">
        <v>84061.87</v>
      </c>
      <c r="Q33" s="58">
        <v>82512.19</v>
      </c>
      <c r="R33" s="58">
        <v>150199.45000000001</v>
      </c>
      <c r="S33" s="58">
        <v>486986.73</v>
      </c>
      <c r="T33" s="58">
        <v>46998.97</v>
      </c>
      <c r="U33" s="58">
        <v>119257.75</v>
      </c>
      <c r="V33" s="58">
        <v>20000</v>
      </c>
      <c r="W33" s="58">
        <v>0</v>
      </c>
      <c r="X33" s="58">
        <v>427349.49</v>
      </c>
      <c r="Y33" s="58">
        <v>2458.4</v>
      </c>
      <c r="Z33" s="58">
        <v>847744.34</v>
      </c>
      <c r="AA33" s="58">
        <v>3776.58</v>
      </c>
      <c r="AB33" s="58">
        <v>782756.26</v>
      </c>
      <c r="AC33" s="58">
        <v>819078.23</v>
      </c>
      <c r="AD33" s="58">
        <v>653580.68000000005</v>
      </c>
      <c r="AE33" s="58">
        <v>28435.1</v>
      </c>
      <c r="AF33" s="58">
        <v>348751.2</v>
      </c>
      <c r="AG33" s="58">
        <v>7109514.2000000002</v>
      </c>
      <c r="AH33" s="58">
        <v>2383668.37</v>
      </c>
      <c r="AI33" s="58">
        <v>1284284.3999999999</v>
      </c>
      <c r="AJ33" s="58">
        <v>1410666.85</v>
      </c>
      <c r="AK33" s="58">
        <v>1511647.26</v>
      </c>
      <c r="AL33" s="58">
        <v>589755.9</v>
      </c>
      <c r="AM33" s="58">
        <v>85170.559999999998</v>
      </c>
      <c r="AN33" s="58">
        <v>777</v>
      </c>
      <c r="AO33" s="58">
        <v>6803859.1399999997</v>
      </c>
      <c r="AP33" s="58">
        <v>282395.92</v>
      </c>
      <c r="AQ33" s="58">
        <v>344161.97</v>
      </c>
      <c r="AR33" s="58">
        <v>248696.87</v>
      </c>
      <c r="AS33" s="58">
        <v>520576.77</v>
      </c>
      <c r="AT33" s="58">
        <v>688496.88</v>
      </c>
      <c r="AU33" s="58">
        <v>749965.9</v>
      </c>
      <c r="AV33" s="58">
        <v>845143.87</v>
      </c>
      <c r="AW33" s="58">
        <v>783421.12</v>
      </c>
      <c r="AX33" s="58">
        <v>584631.06999999995</v>
      </c>
      <c r="AY33" s="58">
        <v>830063.85</v>
      </c>
      <c r="AZ33" s="58">
        <v>404222.49</v>
      </c>
      <c r="BA33" s="58">
        <v>909444.63</v>
      </c>
      <c r="BB33" s="58">
        <v>425909.62</v>
      </c>
      <c r="BC33" s="58">
        <v>189405.73</v>
      </c>
      <c r="BD33" s="58">
        <v>824567.3</v>
      </c>
      <c r="BE33" s="58">
        <v>404438.68</v>
      </c>
      <c r="BF33" s="58">
        <v>557990.53</v>
      </c>
      <c r="BG33" s="58">
        <v>768399.57</v>
      </c>
      <c r="BH33" s="58">
        <v>312089.84999999998</v>
      </c>
      <c r="BI33" s="58">
        <v>441051.11</v>
      </c>
      <c r="BJ33" s="58">
        <v>260574.21</v>
      </c>
      <c r="BK33" s="58">
        <v>526499.42000000004</v>
      </c>
      <c r="BL33" s="58">
        <v>283573.73</v>
      </c>
      <c r="BM33" s="58">
        <v>255903.76</v>
      </c>
      <c r="BN33" s="58">
        <v>310572.02</v>
      </c>
      <c r="BO33" s="58">
        <v>496416.28</v>
      </c>
      <c r="BP33" s="58">
        <v>288956</v>
      </c>
      <c r="BQ33" s="58">
        <v>237258.98</v>
      </c>
      <c r="BR33" s="58">
        <v>183281.53</v>
      </c>
      <c r="BS33" s="58">
        <v>277844.03999999998</v>
      </c>
      <c r="BT33" s="58">
        <v>134180.65</v>
      </c>
      <c r="BU33" s="58">
        <v>381910.85</v>
      </c>
      <c r="BV33" s="58">
        <v>185788.57</v>
      </c>
      <c r="BW33" s="58">
        <v>127810.09</v>
      </c>
      <c r="BX33" s="58">
        <v>119098.89</v>
      </c>
      <c r="BY33" s="58">
        <v>253540.28</v>
      </c>
      <c r="BZ33" s="58">
        <v>120622.38</v>
      </c>
      <c r="CA33" s="58">
        <v>135512.78</v>
      </c>
      <c r="CB33" s="58">
        <v>189606.19</v>
      </c>
      <c r="CC33" s="58">
        <v>420268.03</v>
      </c>
      <c r="CD33" s="58">
        <v>487877.83</v>
      </c>
      <c r="CE33" s="58">
        <v>136727.21</v>
      </c>
      <c r="CF33" s="58">
        <v>31904.75</v>
      </c>
      <c r="CG33" s="58">
        <v>86960.82</v>
      </c>
      <c r="CH33" s="58">
        <v>106368.82</v>
      </c>
      <c r="CI33" s="58">
        <v>115006.53</v>
      </c>
      <c r="CJ33" s="58">
        <v>44169.85</v>
      </c>
      <c r="CK33" s="58">
        <v>120533.84</v>
      </c>
      <c r="CL33" s="58">
        <v>141091.06</v>
      </c>
      <c r="CM33" s="58">
        <v>111723.81</v>
      </c>
      <c r="CN33" s="58">
        <v>112510.51</v>
      </c>
      <c r="CO33" s="58">
        <v>61441.5</v>
      </c>
      <c r="CP33" s="58">
        <v>101753.81</v>
      </c>
      <c r="CQ33" s="58">
        <v>133082.23999999999</v>
      </c>
      <c r="CR33" s="58">
        <v>98545.88</v>
      </c>
      <c r="CS33" s="58">
        <v>85196.94</v>
      </c>
      <c r="CT33" s="58">
        <v>76354.429999999993</v>
      </c>
      <c r="CU33" s="58">
        <v>106193.65</v>
      </c>
      <c r="CV33" s="58">
        <v>70383.16</v>
      </c>
      <c r="CW33" s="58">
        <v>21883.56</v>
      </c>
      <c r="CX33" s="58">
        <v>69351.12</v>
      </c>
      <c r="CY33" s="58">
        <v>120457.04</v>
      </c>
      <c r="CZ33" s="58">
        <v>96425.14</v>
      </c>
      <c r="DA33" s="58">
        <v>21004.89</v>
      </c>
      <c r="DB33" s="58">
        <v>34292.660000000003</v>
      </c>
      <c r="DC33" s="63">
        <v>28580.44</v>
      </c>
    </row>
    <row r="34" spans="1:107">
      <c r="A34" s="47" t="s">
        <v>121</v>
      </c>
      <c r="B34" s="56">
        <v>2326698.4500000002</v>
      </c>
      <c r="C34" s="56">
        <v>1657525.66</v>
      </c>
      <c r="D34" s="56">
        <v>40719.49</v>
      </c>
      <c r="E34" s="56">
        <v>64124.87</v>
      </c>
      <c r="F34" s="56">
        <v>53823.6</v>
      </c>
      <c r="G34" s="56">
        <v>0</v>
      </c>
      <c r="H34" s="56">
        <v>0</v>
      </c>
      <c r="I34" s="56">
        <v>0</v>
      </c>
      <c r="J34" s="56">
        <v>489855.18</v>
      </c>
      <c r="K34" s="56">
        <v>0</v>
      </c>
      <c r="L34" s="56">
        <v>0</v>
      </c>
      <c r="M34" s="56">
        <v>0</v>
      </c>
      <c r="N34" s="56">
        <v>2706</v>
      </c>
      <c r="O34" s="56">
        <v>0</v>
      </c>
      <c r="P34" s="56">
        <v>0</v>
      </c>
      <c r="Q34" s="56">
        <v>0</v>
      </c>
      <c r="R34" s="56">
        <v>0</v>
      </c>
      <c r="S34" s="56">
        <v>264</v>
      </c>
      <c r="T34" s="56">
        <v>0</v>
      </c>
      <c r="U34" s="56">
        <v>0</v>
      </c>
      <c r="V34" s="56">
        <v>0</v>
      </c>
      <c r="W34" s="56">
        <v>0</v>
      </c>
      <c r="X34" s="56">
        <v>-6593.73</v>
      </c>
      <c r="Y34" s="56">
        <v>0</v>
      </c>
      <c r="Z34" s="56">
        <v>17679.650000000001</v>
      </c>
      <c r="AA34" s="56">
        <v>0</v>
      </c>
      <c r="AB34" s="56">
        <v>17679.650000000001</v>
      </c>
      <c r="AC34" s="56">
        <v>17679.650000000001</v>
      </c>
      <c r="AD34" s="56">
        <v>17679.650000000001</v>
      </c>
      <c r="AE34" s="56">
        <v>0</v>
      </c>
      <c r="AF34" s="56">
        <v>14181.32</v>
      </c>
      <c r="AG34" s="56">
        <v>9449.7199999999993</v>
      </c>
      <c r="AH34" s="56">
        <v>17088.45</v>
      </c>
      <c r="AI34" s="56">
        <v>0</v>
      </c>
      <c r="AJ34" s="56">
        <v>17679.650000000001</v>
      </c>
      <c r="AK34" s="56">
        <v>26911.89</v>
      </c>
      <c r="AL34" s="56">
        <v>26911.71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105396</v>
      </c>
      <c r="AU34" s="56">
        <v>100322.8</v>
      </c>
      <c r="AV34" s="56">
        <v>13211.03</v>
      </c>
      <c r="AW34" s="56">
        <v>102157</v>
      </c>
      <c r="AX34" s="56">
        <v>74311.839999999997</v>
      </c>
      <c r="AY34" s="56">
        <v>92120.12</v>
      </c>
      <c r="AZ34" s="56">
        <v>27590.5</v>
      </c>
      <c r="BA34" s="56">
        <v>154182</v>
      </c>
      <c r="BB34" s="56">
        <v>14067</v>
      </c>
      <c r="BC34" s="56">
        <v>29626.01</v>
      </c>
      <c r="BD34" s="56">
        <v>44922.48</v>
      </c>
      <c r="BE34" s="56">
        <v>88256</v>
      </c>
      <c r="BF34" s="56">
        <v>87507.36</v>
      </c>
      <c r="BG34" s="56">
        <v>54120.35</v>
      </c>
      <c r="BH34" s="56">
        <v>75114.460000000006</v>
      </c>
      <c r="BI34" s="56">
        <v>24382.400000000001</v>
      </c>
      <c r="BJ34" s="56">
        <v>64254.76</v>
      </c>
      <c r="BK34" s="56">
        <v>63658.55</v>
      </c>
      <c r="BL34" s="56">
        <v>46837.599999999999</v>
      </c>
      <c r="BM34" s="56">
        <v>33483.230000000003</v>
      </c>
      <c r="BN34" s="56">
        <v>36185.33</v>
      </c>
      <c r="BO34" s="56">
        <v>125021.09</v>
      </c>
      <c r="BP34" s="56">
        <v>6530</v>
      </c>
      <c r="BQ34" s="56">
        <v>8204</v>
      </c>
      <c r="BR34" s="56">
        <v>11607.03</v>
      </c>
      <c r="BS34" s="56">
        <v>9095</v>
      </c>
      <c r="BT34" s="56">
        <v>11518</v>
      </c>
      <c r="BU34" s="56">
        <v>10767.96</v>
      </c>
      <c r="BV34" s="56">
        <v>21462</v>
      </c>
      <c r="BW34" s="56">
        <v>18708.75</v>
      </c>
      <c r="BX34" s="56">
        <v>6577.61</v>
      </c>
      <c r="BY34" s="56">
        <v>21364</v>
      </c>
      <c r="BZ34" s="56">
        <v>5351.25</v>
      </c>
      <c r="CA34" s="56">
        <v>11030</v>
      </c>
      <c r="CB34" s="56">
        <v>460</v>
      </c>
      <c r="CC34" s="56">
        <v>22490.25</v>
      </c>
      <c r="CD34" s="56">
        <v>12444.16</v>
      </c>
      <c r="CE34" s="56">
        <v>897</v>
      </c>
      <c r="CF34" s="56">
        <v>0</v>
      </c>
      <c r="CG34" s="56">
        <v>2750.46</v>
      </c>
      <c r="CH34" s="56">
        <v>521.6</v>
      </c>
      <c r="CI34" s="56">
        <v>0</v>
      </c>
      <c r="CJ34" s="56">
        <v>987</v>
      </c>
      <c r="CK34" s="56">
        <v>1</v>
      </c>
      <c r="CL34" s="56">
        <v>4516</v>
      </c>
      <c r="CM34" s="56">
        <v>3838.5</v>
      </c>
      <c r="CN34" s="56">
        <v>2641</v>
      </c>
      <c r="CO34" s="56">
        <v>315.83999999999997</v>
      </c>
      <c r="CP34" s="56">
        <v>3</v>
      </c>
      <c r="CQ34" s="56">
        <v>2453</v>
      </c>
      <c r="CR34" s="56">
        <v>0</v>
      </c>
      <c r="CS34" s="56">
        <v>2452.6</v>
      </c>
      <c r="CT34" s="56">
        <v>0</v>
      </c>
      <c r="CU34" s="56">
        <v>503</v>
      </c>
      <c r="CV34" s="56">
        <v>0</v>
      </c>
      <c r="CW34" s="56">
        <v>500</v>
      </c>
      <c r="CX34" s="56">
        <v>0</v>
      </c>
      <c r="CY34" s="56">
        <v>655.7</v>
      </c>
      <c r="CZ34" s="56">
        <v>0</v>
      </c>
      <c r="DA34" s="56">
        <v>0</v>
      </c>
      <c r="DB34" s="56">
        <v>0.24</v>
      </c>
      <c r="DC34" s="56">
        <v>151.80000000000001</v>
      </c>
    </row>
    <row r="35" spans="1:107">
      <c r="A35" s="47" t="s">
        <v>122</v>
      </c>
      <c r="B35" s="56">
        <v>1915343.86</v>
      </c>
      <c r="C35" s="56">
        <v>1043489.54</v>
      </c>
      <c r="D35" s="56">
        <v>49883.56</v>
      </c>
      <c r="E35" s="56">
        <v>242200.85</v>
      </c>
      <c r="F35" s="56">
        <v>70019.73</v>
      </c>
      <c r="G35" s="56">
        <v>31260.75</v>
      </c>
      <c r="H35" s="56">
        <v>126141.6</v>
      </c>
      <c r="I35" s="56">
        <v>5496.07</v>
      </c>
      <c r="J35" s="56">
        <v>246696.08</v>
      </c>
      <c r="K35" s="56">
        <v>20462.580000000002</v>
      </c>
      <c r="L35" s="56">
        <v>1448.19</v>
      </c>
      <c r="M35" s="56">
        <v>1909.49</v>
      </c>
      <c r="N35" s="56">
        <v>6108.39</v>
      </c>
      <c r="O35" s="56">
        <v>886.74</v>
      </c>
      <c r="P35" s="56">
        <v>4187.13</v>
      </c>
      <c r="Q35" s="56">
        <v>2953.05</v>
      </c>
      <c r="R35" s="56">
        <v>4078.08</v>
      </c>
      <c r="S35" s="56">
        <v>9301.75</v>
      </c>
      <c r="T35" s="56">
        <v>10294.84</v>
      </c>
      <c r="U35" s="56">
        <v>29653.040000000001</v>
      </c>
      <c r="V35" s="56">
        <v>0</v>
      </c>
      <c r="W35" s="56">
        <v>0</v>
      </c>
      <c r="X35" s="56">
        <v>71302.87</v>
      </c>
      <c r="Y35" s="56">
        <v>0</v>
      </c>
      <c r="Z35" s="56">
        <v>75278.880000000005</v>
      </c>
      <c r="AA35" s="56">
        <v>0</v>
      </c>
      <c r="AB35" s="56">
        <v>28114.79</v>
      </c>
      <c r="AC35" s="56">
        <v>43567.360000000001</v>
      </c>
      <c r="AD35" s="56">
        <v>23916.2</v>
      </c>
      <c r="AE35" s="56">
        <v>20.75</v>
      </c>
      <c r="AF35" s="56">
        <v>6647.34</v>
      </c>
      <c r="AG35" s="56">
        <v>10538.9</v>
      </c>
      <c r="AH35" s="56">
        <v>9099.24</v>
      </c>
      <c r="AI35" s="56">
        <v>23598.080000000002</v>
      </c>
      <c r="AJ35" s="56">
        <v>8872.4</v>
      </c>
      <c r="AK35" s="56">
        <v>48464.35</v>
      </c>
      <c r="AL35" s="56">
        <v>18617.099999999999</v>
      </c>
      <c r="AM35" s="56">
        <v>2938.28</v>
      </c>
      <c r="AN35" s="56">
        <v>0</v>
      </c>
      <c r="AO35" s="56">
        <v>2789.7</v>
      </c>
      <c r="AP35" s="56">
        <v>6650.66</v>
      </c>
      <c r="AQ35" s="56">
        <v>28676.09</v>
      </c>
      <c r="AR35" s="56">
        <v>13357.46</v>
      </c>
      <c r="AS35" s="56">
        <v>10198.81</v>
      </c>
      <c r="AT35" s="56">
        <v>28855.98</v>
      </c>
      <c r="AU35" s="56">
        <v>48492.25</v>
      </c>
      <c r="AV35" s="56">
        <v>20172.150000000001</v>
      </c>
      <c r="AW35" s="56">
        <v>45552.31</v>
      </c>
      <c r="AX35" s="56">
        <v>24688.33</v>
      </c>
      <c r="AY35" s="56">
        <v>48003.65</v>
      </c>
      <c r="AZ35" s="56">
        <v>32895.19</v>
      </c>
      <c r="BA35" s="56">
        <v>25786.9</v>
      </c>
      <c r="BB35" s="56">
        <v>40916.120000000003</v>
      </c>
      <c r="BC35" s="56">
        <v>35690.67</v>
      </c>
      <c r="BD35" s="56">
        <v>44801.79</v>
      </c>
      <c r="BE35" s="56">
        <v>46255.79</v>
      </c>
      <c r="BF35" s="56">
        <v>68456.62</v>
      </c>
      <c r="BG35" s="56">
        <v>47863.040000000001</v>
      </c>
      <c r="BH35" s="56">
        <v>18629.990000000002</v>
      </c>
      <c r="BI35" s="56">
        <v>12150</v>
      </c>
      <c r="BJ35" s="56">
        <v>12902.66</v>
      </c>
      <c r="BK35" s="56">
        <v>26215.59</v>
      </c>
      <c r="BL35" s="56">
        <v>12106.92</v>
      </c>
      <c r="BM35" s="56">
        <v>13352</v>
      </c>
      <c r="BN35" s="56">
        <v>14519.7</v>
      </c>
      <c r="BO35" s="56">
        <v>15703.83</v>
      </c>
      <c r="BP35" s="56">
        <v>7037.02</v>
      </c>
      <c r="BQ35" s="56">
        <v>2927.5</v>
      </c>
      <c r="BR35" s="56">
        <v>11168.74</v>
      </c>
      <c r="BS35" s="56">
        <v>2539</v>
      </c>
      <c r="BT35" s="56">
        <v>3173.66</v>
      </c>
      <c r="BU35" s="56">
        <v>17922.46</v>
      </c>
      <c r="BV35" s="56">
        <v>2681</v>
      </c>
      <c r="BW35" s="56">
        <v>109626.95</v>
      </c>
      <c r="BX35" s="56">
        <v>6460.5</v>
      </c>
      <c r="BY35" s="56">
        <v>4434.99</v>
      </c>
      <c r="BZ35" s="56">
        <v>5171.75</v>
      </c>
      <c r="CA35" s="56">
        <v>6725</v>
      </c>
      <c r="CB35" s="56">
        <v>5924.6</v>
      </c>
      <c r="CC35" s="56">
        <v>23508.83</v>
      </c>
      <c r="CD35" s="56">
        <v>17959.349999999999</v>
      </c>
      <c r="CE35" s="56">
        <v>1728</v>
      </c>
      <c r="CF35" s="56">
        <v>584</v>
      </c>
      <c r="CG35" s="56">
        <v>325</v>
      </c>
      <c r="CH35" s="56">
        <v>1300</v>
      </c>
      <c r="CI35" s="56">
        <v>4790</v>
      </c>
      <c r="CJ35" s="56">
        <v>280</v>
      </c>
      <c r="CK35" s="56">
        <v>2410</v>
      </c>
      <c r="CL35" s="56">
        <v>1044</v>
      </c>
      <c r="CM35" s="56">
        <v>4595.6099999999997</v>
      </c>
      <c r="CN35" s="56">
        <v>3733</v>
      </c>
      <c r="CO35" s="56">
        <v>3090</v>
      </c>
      <c r="CP35" s="56">
        <v>3640</v>
      </c>
      <c r="CQ35" s="56">
        <v>3634</v>
      </c>
      <c r="CR35" s="56">
        <v>4726</v>
      </c>
      <c r="CS35" s="56">
        <v>1281</v>
      </c>
      <c r="CT35" s="56">
        <v>0</v>
      </c>
      <c r="CU35" s="56">
        <v>832</v>
      </c>
      <c r="CV35" s="56">
        <v>2900</v>
      </c>
      <c r="CW35" s="56">
        <v>0</v>
      </c>
      <c r="CX35" s="56">
        <v>4500</v>
      </c>
      <c r="CY35" s="56">
        <v>5344</v>
      </c>
      <c r="CZ35" s="56">
        <v>3863</v>
      </c>
      <c r="DA35" s="56">
        <v>390</v>
      </c>
      <c r="DB35" s="56">
        <v>14617.8</v>
      </c>
      <c r="DC35" s="56">
        <v>936.58</v>
      </c>
    </row>
    <row r="36" spans="1:107">
      <c r="A36" s="47" t="s">
        <v>123</v>
      </c>
      <c r="B36" s="56">
        <v>949831.01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949831.01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0</v>
      </c>
      <c r="CY36" s="56">
        <v>0</v>
      </c>
      <c r="CZ36" s="56">
        <v>0</v>
      </c>
      <c r="DA36" s="56">
        <v>0</v>
      </c>
      <c r="DB36" s="56">
        <v>0</v>
      </c>
      <c r="DC36" s="56">
        <v>0</v>
      </c>
    </row>
    <row r="37" spans="1:107">
      <c r="A37" s="47" t="s">
        <v>124</v>
      </c>
      <c r="B37" s="56">
        <v>1425420.06</v>
      </c>
      <c r="C37" s="56">
        <v>1126766.9099999999</v>
      </c>
      <c r="D37" s="56">
        <v>0</v>
      </c>
      <c r="E37" s="56">
        <v>40434.230000000003</v>
      </c>
      <c r="F37" s="56">
        <v>32334.59</v>
      </c>
      <c r="G37" s="56">
        <v>0</v>
      </c>
      <c r="H37" s="56">
        <v>0</v>
      </c>
      <c r="I37" s="56">
        <v>0</v>
      </c>
      <c r="J37" s="56">
        <v>166754.99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47169.81</v>
      </c>
      <c r="V37" s="56">
        <v>0</v>
      </c>
      <c r="W37" s="56">
        <v>0</v>
      </c>
      <c r="X37" s="56">
        <v>-8945.27</v>
      </c>
      <c r="Y37" s="56">
        <v>0</v>
      </c>
      <c r="Z37" s="56">
        <v>11959.53</v>
      </c>
      <c r="AA37" s="56">
        <v>0</v>
      </c>
      <c r="AB37" s="56">
        <v>11959.53</v>
      </c>
      <c r="AC37" s="56">
        <v>13500.91</v>
      </c>
      <c r="AD37" s="56">
        <v>11959.53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11959.53</v>
      </c>
      <c r="AK37" s="56">
        <v>16167.29</v>
      </c>
      <c r="AL37" s="56">
        <v>16167.3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54008.15</v>
      </c>
      <c r="AU37" s="56">
        <v>119926.15</v>
      </c>
      <c r="AV37" s="56">
        <v>25868</v>
      </c>
      <c r="AW37" s="56">
        <v>83015.289999999994</v>
      </c>
      <c r="AX37" s="56">
        <v>60276</v>
      </c>
      <c r="AY37" s="56">
        <v>59066.92</v>
      </c>
      <c r="AZ37" s="56">
        <v>17838.66</v>
      </c>
      <c r="BA37" s="56">
        <v>72717</v>
      </c>
      <c r="BB37" s="56">
        <v>31182</v>
      </c>
      <c r="BC37" s="56">
        <v>28746</v>
      </c>
      <c r="BD37" s="56">
        <v>127151.9</v>
      </c>
      <c r="BE37" s="56">
        <v>39481.67</v>
      </c>
      <c r="BF37" s="56">
        <v>64440</v>
      </c>
      <c r="BG37" s="56">
        <v>7547</v>
      </c>
      <c r="BH37" s="56">
        <v>29461.68</v>
      </c>
      <c r="BI37" s="56">
        <v>6215</v>
      </c>
      <c r="BJ37" s="56">
        <v>386</v>
      </c>
      <c r="BK37" s="56">
        <v>47022</v>
      </c>
      <c r="BL37" s="56">
        <v>28745</v>
      </c>
      <c r="BM37" s="56">
        <v>1348</v>
      </c>
      <c r="BN37" s="56">
        <v>574</v>
      </c>
      <c r="BO37" s="56">
        <v>66514.5</v>
      </c>
      <c r="BP37" s="56">
        <v>1115</v>
      </c>
      <c r="BQ37" s="56">
        <v>218</v>
      </c>
      <c r="BR37" s="56">
        <v>1800.09</v>
      </c>
      <c r="BS37" s="56">
        <v>365</v>
      </c>
      <c r="BT37" s="56">
        <v>3172</v>
      </c>
      <c r="BU37" s="56">
        <v>1596</v>
      </c>
      <c r="BV37" s="56">
        <v>951</v>
      </c>
      <c r="BW37" s="56">
        <v>22309</v>
      </c>
      <c r="BX37" s="56">
        <v>163</v>
      </c>
      <c r="BY37" s="56">
        <v>30389</v>
      </c>
      <c r="BZ37" s="56">
        <v>162</v>
      </c>
      <c r="CA37" s="56">
        <v>21288.06</v>
      </c>
      <c r="CB37" s="56">
        <v>430</v>
      </c>
      <c r="CC37" s="56">
        <v>36354.6</v>
      </c>
      <c r="CD37" s="56">
        <v>30763.24</v>
      </c>
      <c r="CE37" s="56">
        <v>542</v>
      </c>
      <c r="CF37" s="56">
        <v>16</v>
      </c>
      <c r="CG37" s="56">
        <v>1928</v>
      </c>
      <c r="CH37" s="56">
        <v>103</v>
      </c>
      <c r="CI37" s="56">
        <v>111</v>
      </c>
      <c r="CJ37" s="56">
        <v>116</v>
      </c>
      <c r="CK37" s="56">
        <v>57</v>
      </c>
      <c r="CL37" s="56">
        <v>98</v>
      </c>
      <c r="CM37" s="56">
        <v>30</v>
      </c>
      <c r="CN37" s="56">
        <v>241</v>
      </c>
      <c r="CO37" s="56">
        <v>103</v>
      </c>
      <c r="CP37" s="56">
        <v>331</v>
      </c>
      <c r="CQ37" s="56">
        <v>134</v>
      </c>
      <c r="CR37" s="56">
        <v>25</v>
      </c>
      <c r="CS37" s="56">
        <v>48</v>
      </c>
      <c r="CT37" s="56">
        <v>20</v>
      </c>
      <c r="CU37" s="56">
        <v>34</v>
      </c>
      <c r="CV37" s="56">
        <v>15</v>
      </c>
      <c r="CW37" s="56">
        <v>0</v>
      </c>
      <c r="CX37" s="56">
        <v>74</v>
      </c>
      <c r="CY37" s="56">
        <v>10</v>
      </c>
      <c r="CZ37" s="56">
        <v>8</v>
      </c>
      <c r="DA37" s="56">
        <v>0</v>
      </c>
      <c r="DB37" s="56">
        <v>102</v>
      </c>
      <c r="DC37" s="56">
        <v>14</v>
      </c>
    </row>
    <row r="38" spans="1:107">
      <c r="A38" s="47" t="s">
        <v>125</v>
      </c>
      <c r="B38" s="56">
        <v>107632.81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106347.81</v>
      </c>
      <c r="J38" s="56">
        <v>0</v>
      </c>
      <c r="K38" s="56">
        <v>0</v>
      </c>
      <c r="L38" s="56">
        <v>0</v>
      </c>
      <c r="M38" s="56">
        <v>1285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</row>
    <row r="39" spans="1:107">
      <c r="A39" s="47" t="s">
        <v>126</v>
      </c>
      <c r="B39" s="56">
        <v>417941.67</v>
      </c>
      <c r="C39" s="56">
        <v>227797.72</v>
      </c>
      <c r="D39" s="56">
        <v>41092</v>
      </c>
      <c r="E39" s="56">
        <v>15178</v>
      </c>
      <c r="F39" s="56">
        <v>300</v>
      </c>
      <c r="G39" s="56">
        <v>0</v>
      </c>
      <c r="H39" s="56">
        <v>0</v>
      </c>
      <c r="I39" s="56">
        <v>0</v>
      </c>
      <c r="J39" s="56">
        <v>133573.95000000001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2618</v>
      </c>
      <c r="Y39" s="56">
        <v>0</v>
      </c>
      <c r="Z39" s="56">
        <v>3140</v>
      </c>
      <c r="AA39" s="56">
        <v>0</v>
      </c>
      <c r="AB39" s="56">
        <v>3140</v>
      </c>
      <c r="AC39" s="56">
        <v>3140</v>
      </c>
      <c r="AD39" s="56">
        <v>3140</v>
      </c>
      <c r="AE39" s="56">
        <v>0</v>
      </c>
      <c r="AF39" s="56">
        <v>38610</v>
      </c>
      <c r="AG39" s="56">
        <v>1241</v>
      </c>
      <c r="AH39" s="56">
        <v>1241</v>
      </c>
      <c r="AI39" s="56">
        <v>0</v>
      </c>
      <c r="AJ39" s="56">
        <v>0</v>
      </c>
      <c r="AK39" s="56">
        <v>0</v>
      </c>
      <c r="AL39" s="56">
        <v>300</v>
      </c>
      <c r="AM39" s="56">
        <v>0</v>
      </c>
      <c r="AN39" s="56">
        <v>0</v>
      </c>
      <c r="AO39" s="56">
        <v>0</v>
      </c>
      <c r="AP39" s="56">
        <v>0</v>
      </c>
      <c r="AQ39" s="56">
        <v>5400</v>
      </c>
      <c r="AR39" s="56">
        <v>0</v>
      </c>
      <c r="AS39" s="56">
        <v>0</v>
      </c>
      <c r="AT39" s="56">
        <v>31697.09</v>
      </c>
      <c r="AU39" s="56">
        <v>14239</v>
      </c>
      <c r="AV39" s="56">
        <v>0</v>
      </c>
      <c r="AW39" s="56">
        <v>18607.95</v>
      </c>
      <c r="AX39" s="56">
        <v>21617.65</v>
      </c>
      <c r="AY39" s="56">
        <v>11374</v>
      </c>
      <c r="AZ39" s="56">
        <v>4500</v>
      </c>
      <c r="BA39" s="56">
        <v>3930</v>
      </c>
      <c r="BB39" s="56">
        <v>1600</v>
      </c>
      <c r="BC39" s="56">
        <v>0</v>
      </c>
      <c r="BD39" s="56">
        <v>30939</v>
      </c>
      <c r="BE39" s="56">
        <v>23793.85</v>
      </c>
      <c r="BF39" s="56">
        <v>3557</v>
      </c>
      <c r="BG39" s="56">
        <v>0</v>
      </c>
      <c r="BH39" s="56">
        <v>7400</v>
      </c>
      <c r="BI39" s="56">
        <v>0</v>
      </c>
      <c r="BJ39" s="56">
        <v>1200</v>
      </c>
      <c r="BK39" s="56">
        <v>3645</v>
      </c>
      <c r="BL39" s="56">
        <v>1850</v>
      </c>
      <c r="BM39" s="56">
        <v>0</v>
      </c>
      <c r="BN39" s="56">
        <v>0</v>
      </c>
      <c r="BO39" s="56">
        <v>0</v>
      </c>
      <c r="BP39" s="56">
        <v>800</v>
      </c>
      <c r="BQ39" s="56">
        <v>0</v>
      </c>
      <c r="BR39" s="56">
        <v>754.72</v>
      </c>
      <c r="BS39" s="56">
        <v>0</v>
      </c>
      <c r="BT39" s="56">
        <v>0</v>
      </c>
      <c r="BU39" s="56">
        <v>0</v>
      </c>
      <c r="BV39" s="56">
        <v>0</v>
      </c>
      <c r="BW39" s="56">
        <v>7664</v>
      </c>
      <c r="BX39" s="56">
        <v>1500</v>
      </c>
      <c r="BY39" s="56">
        <v>5998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3300</v>
      </c>
      <c r="CM39" s="56">
        <v>0</v>
      </c>
      <c r="CN39" s="56">
        <v>0</v>
      </c>
      <c r="CO39" s="56">
        <v>0</v>
      </c>
      <c r="CP39" s="56">
        <v>0</v>
      </c>
      <c r="CQ39" s="56">
        <v>300</v>
      </c>
      <c r="CR39" s="56">
        <v>0</v>
      </c>
      <c r="CS39" s="56">
        <v>1029.46</v>
      </c>
      <c r="CT39" s="56">
        <v>0</v>
      </c>
      <c r="CU39" s="56">
        <v>0</v>
      </c>
      <c r="CV39" s="56">
        <v>5500</v>
      </c>
      <c r="CW39" s="56">
        <v>0</v>
      </c>
      <c r="CX39" s="56">
        <v>0</v>
      </c>
      <c r="CY39" s="56">
        <v>5075</v>
      </c>
      <c r="CZ39" s="56">
        <v>10526</v>
      </c>
      <c r="DA39" s="56">
        <v>0</v>
      </c>
      <c r="DB39" s="56">
        <v>0</v>
      </c>
      <c r="DC39" s="56">
        <v>0</v>
      </c>
    </row>
    <row r="40" spans="1:107">
      <c r="A40" s="47" t="s">
        <v>127</v>
      </c>
      <c r="B40" s="56">
        <v>1804347</v>
      </c>
      <c r="C40" s="56">
        <v>202130</v>
      </c>
      <c r="D40" s="56">
        <v>0</v>
      </c>
      <c r="E40" s="56">
        <v>0</v>
      </c>
      <c r="F40" s="56">
        <v>5000</v>
      </c>
      <c r="G40" s="56">
        <v>0</v>
      </c>
      <c r="H40" s="56">
        <v>1597217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5000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8000</v>
      </c>
      <c r="BC40" s="56">
        <v>0</v>
      </c>
      <c r="BD40" s="56">
        <v>30000</v>
      </c>
      <c r="BE40" s="56">
        <v>22130</v>
      </c>
      <c r="BF40" s="56">
        <v>8000</v>
      </c>
      <c r="BG40" s="56">
        <v>8000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3000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5000</v>
      </c>
      <c r="CD40" s="56">
        <v>5000</v>
      </c>
      <c r="CE40" s="56">
        <v>0</v>
      </c>
      <c r="CF40" s="56">
        <v>0</v>
      </c>
      <c r="CG40" s="56">
        <v>18000</v>
      </c>
      <c r="CH40" s="56">
        <v>30000</v>
      </c>
      <c r="CI40" s="56">
        <v>0</v>
      </c>
      <c r="CJ40" s="56">
        <v>0</v>
      </c>
      <c r="CK40" s="56">
        <v>0</v>
      </c>
      <c r="CL40" s="56">
        <v>0</v>
      </c>
      <c r="CM40" s="56">
        <v>20000</v>
      </c>
      <c r="CN40" s="56">
        <v>0</v>
      </c>
      <c r="CO40" s="56">
        <v>0</v>
      </c>
      <c r="CP40" s="56">
        <v>10000</v>
      </c>
      <c r="CQ40" s="56">
        <v>0</v>
      </c>
      <c r="CR40" s="56">
        <v>0</v>
      </c>
      <c r="CS40" s="56">
        <v>15000</v>
      </c>
      <c r="CT40" s="56">
        <v>0</v>
      </c>
      <c r="CU40" s="56">
        <v>0</v>
      </c>
      <c r="CV40" s="56">
        <v>0</v>
      </c>
      <c r="CW40" s="56">
        <v>0</v>
      </c>
      <c r="CX40" s="56">
        <v>20000</v>
      </c>
      <c r="CY40" s="56">
        <v>0</v>
      </c>
      <c r="CZ40" s="56">
        <v>0</v>
      </c>
      <c r="DA40" s="56">
        <v>0</v>
      </c>
      <c r="DB40" s="56">
        <v>0</v>
      </c>
      <c r="DC40" s="56">
        <v>0</v>
      </c>
    </row>
    <row r="41" spans="1:107">
      <c r="A41" s="47" t="s">
        <v>128</v>
      </c>
      <c r="B41" s="56">
        <v>252296.01</v>
      </c>
      <c r="C41" s="56">
        <v>0</v>
      </c>
      <c r="D41" s="56">
        <v>67169.8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35126.21</v>
      </c>
      <c r="N41" s="56">
        <v>0</v>
      </c>
      <c r="O41" s="56">
        <v>0</v>
      </c>
      <c r="P41" s="56">
        <v>150000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38867.919999999998</v>
      </c>
      <c r="AH41" s="56">
        <v>28301.88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0</v>
      </c>
      <c r="CY41" s="56">
        <v>0</v>
      </c>
      <c r="CZ41" s="56">
        <v>0</v>
      </c>
      <c r="DA41" s="56">
        <v>0</v>
      </c>
      <c r="DB41" s="56">
        <v>0</v>
      </c>
      <c r="DC41" s="56">
        <v>0</v>
      </c>
    </row>
    <row r="42" spans="1:107">
      <c r="A42" s="47" t="s">
        <v>129</v>
      </c>
      <c r="B42" s="56">
        <v>350</v>
      </c>
      <c r="C42" s="56">
        <v>-1050</v>
      </c>
      <c r="D42" s="56">
        <v>0</v>
      </c>
      <c r="E42" s="56">
        <v>1400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1400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-1050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</row>
    <row r="43" spans="1:107">
      <c r="A43" s="47" t="s">
        <v>130</v>
      </c>
      <c r="B43" s="56">
        <v>4084761.18</v>
      </c>
      <c r="C43" s="56">
        <v>3359972.73</v>
      </c>
      <c r="D43" s="56">
        <v>0</v>
      </c>
      <c r="E43" s="56">
        <v>195227.25</v>
      </c>
      <c r="F43" s="56">
        <v>122994.53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406566.67</v>
      </c>
      <c r="V43" s="56">
        <v>0</v>
      </c>
      <c r="W43" s="56">
        <v>0</v>
      </c>
      <c r="X43" s="56">
        <v>0</v>
      </c>
      <c r="Y43" s="56">
        <v>0</v>
      </c>
      <c r="Z43" s="56">
        <v>11008</v>
      </c>
      <c r="AA43" s="56">
        <v>0</v>
      </c>
      <c r="AB43" s="56">
        <v>34400</v>
      </c>
      <c r="AC43" s="56">
        <v>68904</v>
      </c>
      <c r="AD43" s="56">
        <v>80915.25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122994.53</v>
      </c>
      <c r="AL43" s="56">
        <v>0</v>
      </c>
      <c r="AM43" s="56">
        <v>0</v>
      </c>
      <c r="AN43" s="56">
        <v>0</v>
      </c>
      <c r="AO43" s="56">
        <v>219000</v>
      </c>
      <c r="AP43" s="56">
        <v>0</v>
      </c>
      <c r="AQ43" s="56">
        <v>0</v>
      </c>
      <c r="AR43" s="56">
        <v>0</v>
      </c>
      <c r="AS43" s="56">
        <v>3371.67</v>
      </c>
      <c r="AT43" s="56">
        <v>128628.27</v>
      </c>
      <c r="AU43" s="56">
        <v>168826.14</v>
      </c>
      <c r="AV43" s="56">
        <v>215657.66</v>
      </c>
      <c r="AW43" s="56">
        <v>103975.24</v>
      </c>
      <c r="AX43" s="56">
        <v>163599.44</v>
      </c>
      <c r="AY43" s="56">
        <v>154767.79999999999</v>
      </c>
      <c r="AZ43" s="56">
        <v>88770.16</v>
      </c>
      <c r="BA43" s="56">
        <v>201762.94</v>
      </c>
      <c r="BB43" s="56">
        <v>139409.54</v>
      </c>
      <c r="BC43" s="56">
        <v>93420.44</v>
      </c>
      <c r="BD43" s="56">
        <v>223791.28</v>
      </c>
      <c r="BE43" s="56">
        <v>155204.28</v>
      </c>
      <c r="BF43" s="56">
        <v>112036.72</v>
      </c>
      <c r="BG43" s="56">
        <v>99752.18</v>
      </c>
      <c r="BH43" s="56">
        <v>94964.46</v>
      </c>
      <c r="BI43" s="56">
        <v>60784.44</v>
      </c>
      <c r="BJ43" s="56">
        <v>100043.66</v>
      </c>
      <c r="BK43" s="56">
        <v>76355.14</v>
      </c>
      <c r="BL43" s="56">
        <v>90299.82</v>
      </c>
      <c r="BM43" s="56">
        <v>41559.440000000002</v>
      </c>
      <c r="BN43" s="56">
        <v>48442.46</v>
      </c>
      <c r="BO43" s="56">
        <v>104229.41</v>
      </c>
      <c r="BP43" s="56">
        <v>11419.46</v>
      </c>
      <c r="BQ43" s="56">
        <v>20704</v>
      </c>
      <c r="BR43" s="56">
        <v>8803</v>
      </c>
      <c r="BS43" s="56">
        <v>24046</v>
      </c>
      <c r="BT43" s="56">
        <v>8086</v>
      </c>
      <c r="BU43" s="56">
        <v>16042</v>
      </c>
      <c r="BV43" s="56">
        <v>26205</v>
      </c>
      <c r="BW43" s="56">
        <v>9143</v>
      </c>
      <c r="BX43" s="56">
        <v>5479</v>
      </c>
      <c r="BY43" s="56">
        <v>11854</v>
      </c>
      <c r="BZ43" s="56">
        <v>3713</v>
      </c>
      <c r="CA43" s="56">
        <v>4560</v>
      </c>
      <c r="CB43" s="56">
        <v>11721</v>
      </c>
      <c r="CC43" s="56">
        <v>74911.899999999994</v>
      </c>
      <c r="CD43" s="56">
        <v>151638</v>
      </c>
      <c r="CE43" s="56">
        <v>9066.76</v>
      </c>
      <c r="CF43" s="56">
        <v>0</v>
      </c>
      <c r="CG43" s="56">
        <v>1084</v>
      </c>
      <c r="CH43" s="56">
        <v>7276</v>
      </c>
      <c r="CI43" s="56">
        <v>0</v>
      </c>
      <c r="CJ43" s="56">
        <v>417</v>
      </c>
      <c r="CK43" s="56">
        <v>107.4</v>
      </c>
      <c r="CL43" s="56">
        <v>6000</v>
      </c>
      <c r="CM43" s="56">
        <v>8707</v>
      </c>
      <c r="CN43" s="56">
        <v>6069</v>
      </c>
      <c r="CO43" s="56">
        <v>0</v>
      </c>
      <c r="CP43" s="56">
        <v>591</v>
      </c>
      <c r="CQ43" s="56">
        <v>4415</v>
      </c>
      <c r="CR43" s="56">
        <v>0</v>
      </c>
      <c r="CS43" s="56">
        <v>2021.53</v>
      </c>
      <c r="CT43" s="56">
        <v>4360</v>
      </c>
      <c r="CU43" s="56">
        <v>217.98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11662.11</v>
      </c>
      <c r="DC43" s="56">
        <v>21000</v>
      </c>
    </row>
    <row r="44" spans="1:107">
      <c r="A44" s="47" t="s">
        <v>131</v>
      </c>
      <c r="B44" s="56">
        <v>1680583.9</v>
      </c>
      <c r="C44" s="56">
        <v>756491.33</v>
      </c>
      <c r="D44" s="56">
        <v>3533.97</v>
      </c>
      <c r="E44" s="56">
        <v>302704.14</v>
      </c>
      <c r="F44" s="56">
        <v>5953.02</v>
      </c>
      <c r="G44" s="56">
        <v>0</v>
      </c>
      <c r="H44" s="56">
        <v>0</v>
      </c>
      <c r="I44" s="56">
        <v>0</v>
      </c>
      <c r="J44" s="56">
        <v>0</v>
      </c>
      <c r="K44" s="56">
        <v>49505.2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33679.26</v>
      </c>
      <c r="T44" s="56">
        <v>0</v>
      </c>
      <c r="U44" s="56">
        <v>528716.98</v>
      </c>
      <c r="V44" s="56">
        <v>0</v>
      </c>
      <c r="W44" s="56">
        <v>0</v>
      </c>
      <c r="X44" s="56">
        <v>0</v>
      </c>
      <c r="Y44" s="56">
        <v>0</v>
      </c>
      <c r="Z44" s="56">
        <v>76360</v>
      </c>
      <c r="AA44" s="56">
        <v>0</v>
      </c>
      <c r="AB44" s="56">
        <v>2303.4</v>
      </c>
      <c r="AC44" s="56">
        <v>112020.37</v>
      </c>
      <c r="AD44" s="56">
        <v>112020.37</v>
      </c>
      <c r="AE44" s="56">
        <v>0</v>
      </c>
      <c r="AF44" s="56">
        <v>0</v>
      </c>
      <c r="AG44" s="56">
        <v>1600</v>
      </c>
      <c r="AH44" s="56">
        <v>0</v>
      </c>
      <c r="AI44" s="56">
        <v>1933.97</v>
      </c>
      <c r="AJ44" s="56">
        <v>0</v>
      </c>
      <c r="AK44" s="56">
        <v>3373.02</v>
      </c>
      <c r="AL44" s="56">
        <v>2580</v>
      </c>
      <c r="AM44" s="56">
        <v>0</v>
      </c>
      <c r="AN44" s="56">
        <v>0</v>
      </c>
      <c r="AO44" s="56">
        <v>10000</v>
      </c>
      <c r="AP44" s="56">
        <v>0</v>
      </c>
      <c r="AQ44" s="56">
        <v>2000</v>
      </c>
      <c r="AR44" s="56">
        <v>0</v>
      </c>
      <c r="AS44" s="56">
        <v>0</v>
      </c>
      <c r="AT44" s="56">
        <v>40356</v>
      </c>
      <c r="AU44" s="56">
        <v>53362</v>
      </c>
      <c r="AV44" s="56">
        <v>57465</v>
      </c>
      <c r="AW44" s="56">
        <v>34989</v>
      </c>
      <c r="AX44" s="56">
        <v>55739.53</v>
      </c>
      <c r="AY44" s="56">
        <v>46758</v>
      </c>
      <c r="AZ44" s="56">
        <v>19326</v>
      </c>
      <c r="BA44" s="56">
        <v>57712</v>
      </c>
      <c r="BB44" s="56">
        <v>19571</v>
      </c>
      <c r="BC44" s="56">
        <v>20529.34</v>
      </c>
      <c r="BD44" s="56">
        <v>33888</v>
      </c>
      <c r="BE44" s="56">
        <v>35898</v>
      </c>
      <c r="BF44" s="56">
        <v>22221</v>
      </c>
      <c r="BG44" s="56">
        <v>26999</v>
      </c>
      <c r="BH44" s="56">
        <v>19606</v>
      </c>
      <c r="BI44" s="56">
        <v>18967</v>
      </c>
      <c r="BJ44" s="56">
        <v>17495</v>
      </c>
      <c r="BK44" s="56">
        <v>18406</v>
      </c>
      <c r="BL44" s="56">
        <v>16784</v>
      </c>
      <c r="BM44" s="56">
        <v>7853</v>
      </c>
      <c r="BN44" s="56">
        <v>13594</v>
      </c>
      <c r="BO44" s="56">
        <v>18292</v>
      </c>
      <c r="BP44" s="56">
        <v>3674</v>
      </c>
      <c r="BQ44" s="56">
        <v>6628</v>
      </c>
      <c r="BR44" s="56">
        <v>3852</v>
      </c>
      <c r="BS44" s="56">
        <v>9604</v>
      </c>
      <c r="BT44" s="56">
        <v>4145</v>
      </c>
      <c r="BU44" s="56">
        <v>7906</v>
      </c>
      <c r="BV44" s="56">
        <v>7081</v>
      </c>
      <c r="BW44" s="56">
        <v>5044</v>
      </c>
      <c r="BX44" s="56">
        <v>2306</v>
      </c>
      <c r="BY44" s="56">
        <v>5796</v>
      </c>
      <c r="BZ44" s="56">
        <v>1972</v>
      </c>
      <c r="CA44" s="56">
        <v>2421</v>
      </c>
      <c r="CB44" s="56">
        <v>5754</v>
      </c>
      <c r="CC44" s="56">
        <v>4416</v>
      </c>
      <c r="CD44" s="56">
        <v>10865</v>
      </c>
      <c r="CE44" s="56">
        <v>1860</v>
      </c>
      <c r="CF44" s="56">
        <v>0</v>
      </c>
      <c r="CG44" s="56">
        <v>544</v>
      </c>
      <c r="CH44" s="56">
        <v>1333</v>
      </c>
      <c r="CI44" s="56">
        <v>0</v>
      </c>
      <c r="CJ44" s="56">
        <v>248</v>
      </c>
      <c r="CK44" s="56">
        <v>120.54</v>
      </c>
      <c r="CL44" s="56">
        <v>0</v>
      </c>
      <c r="CM44" s="56">
        <v>514</v>
      </c>
      <c r="CN44" s="56">
        <v>64.92</v>
      </c>
      <c r="CO44" s="56">
        <v>0</v>
      </c>
      <c r="CP44" s="56">
        <v>335</v>
      </c>
      <c r="CQ44" s="56">
        <v>84</v>
      </c>
      <c r="CR44" s="56">
        <v>0</v>
      </c>
      <c r="CS44" s="56">
        <v>1030</v>
      </c>
      <c r="CT44" s="56">
        <v>470</v>
      </c>
      <c r="CU44" s="56">
        <v>213</v>
      </c>
      <c r="CV44" s="56">
        <v>0</v>
      </c>
      <c r="CW44" s="56">
        <v>0</v>
      </c>
      <c r="CX44" s="56">
        <v>0</v>
      </c>
      <c r="CY44" s="56">
        <v>0</v>
      </c>
      <c r="CZ44" s="56">
        <v>0</v>
      </c>
      <c r="DA44" s="56">
        <v>0</v>
      </c>
      <c r="DB44" s="56">
        <v>0</v>
      </c>
      <c r="DC44" s="56">
        <v>400</v>
      </c>
    </row>
    <row r="45" spans="1:107">
      <c r="A45" s="47" t="s">
        <v>132</v>
      </c>
      <c r="B45" s="56">
        <v>21436878.620000001</v>
      </c>
      <c r="C45" s="56">
        <v>15117220.59</v>
      </c>
      <c r="D45" s="56">
        <v>511307.9</v>
      </c>
      <c r="E45" s="56">
        <v>1646211.81</v>
      </c>
      <c r="F45" s="56">
        <v>734456.78</v>
      </c>
      <c r="G45" s="56">
        <v>0</v>
      </c>
      <c r="H45" s="56">
        <v>0</v>
      </c>
      <c r="I45" s="56">
        <v>0</v>
      </c>
      <c r="J45" s="56">
        <v>371715.56</v>
      </c>
      <c r="K45" s="56">
        <v>0</v>
      </c>
      <c r="L45" s="56">
        <v>0</v>
      </c>
      <c r="M45" s="56">
        <v>0</v>
      </c>
      <c r="N45" s="56">
        <v>86892</v>
      </c>
      <c r="O45" s="56">
        <v>0</v>
      </c>
      <c r="P45" s="56">
        <v>0</v>
      </c>
      <c r="Q45" s="56">
        <v>0</v>
      </c>
      <c r="R45" s="56">
        <v>0</v>
      </c>
      <c r="S45" s="56">
        <v>28063.57</v>
      </c>
      <c r="T45" s="56">
        <v>0</v>
      </c>
      <c r="U45" s="56">
        <v>2829166.69</v>
      </c>
      <c r="V45" s="56">
        <v>0</v>
      </c>
      <c r="W45" s="56">
        <v>0</v>
      </c>
      <c r="X45" s="56">
        <v>1187692.1100000001</v>
      </c>
      <c r="Y45" s="56">
        <v>0</v>
      </c>
      <c r="Z45" s="56">
        <v>118189.32</v>
      </c>
      <c r="AA45" s="56">
        <v>0</v>
      </c>
      <c r="AB45" s="56">
        <v>118184.32000000001</v>
      </c>
      <c r="AC45" s="56">
        <v>110302.34</v>
      </c>
      <c r="AD45" s="56">
        <v>111843.72</v>
      </c>
      <c r="AE45" s="56">
        <v>0</v>
      </c>
      <c r="AF45" s="56">
        <v>154563.12</v>
      </c>
      <c r="AG45" s="56">
        <v>160376.64000000001</v>
      </c>
      <c r="AH45" s="56">
        <v>196368.14</v>
      </c>
      <c r="AI45" s="56">
        <v>0</v>
      </c>
      <c r="AJ45" s="56">
        <v>111843.72</v>
      </c>
      <c r="AK45" s="56">
        <v>362205.95</v>
      </c>
      <c r="AL45" s="56">
        <v>372250.83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438143.5</v>
      </c>
      <c r="AU45" s="56">
        <v>606136.66</v>
      </c>
      <c r="AV45" s="56">
        <v>599871.01</v>
      </c>
      <c r="AW45" s="56">
        <v>466608</v>
      </c>
      <c r="AX45" s="56">
        <v>778160.18</v>
      </c>
      <c r="AY45" s="56">
        <v>267844.34000000003</v>
      </c>
      <c r="AZ45" s="56">
        <v>122356.51</v>
      </c>
      <c r="BA45" s="56">
        <v>260424</v>
      </c>
      <c r="BB45" s="56">
        <v>746808</v>
      </c>
      <c r="BC45" s="56">
        <v>826712.47</v>
      </c>
      <c r="BD45" s="56">
        <v>1259511.22</v>
      </c>
      <c r="BE45" s="56">
        <v>652560.69999999995</v>
      </c>
      <c r="BF45" s="56">
        <v>1148666.05</v>
      </c>
      <c r="BG45" s="56">
        <v>781579.14</v>
      </c>
      <c r="BH45" s="56">
        <v>374025.97</v>
      </c>
      <c r="BI45" s="56">
        <v>94717</v>
      </c>
      <c r="BJ45" s="56">
        <v>296538.49</v>
      </c>
      <c r="BK45" s="56">
        <v>162368.48000000001</v>
      </c>
      <c r="BL45" s="56">
        <v>183494.66</v>
      </c>
      <c r="BM45" s="56">
        <v>177602</v>
      </c>
      <c r="BN45" s="56">
        <v>167441.96</v>
      </c>
      <c r="BO45" s="56">
        <v>239476.6</v>
      </c>
      <c r="BP45" s="56">
        <v>247311.52</v>
      </c>
      <c r="BQ45" s="56">
        <v>47320</v>
      </c>
      <c r="BR45" s="56">
        <v>80318</v>
      </c>
      <c r="BS45" s="56">
        <v>68089.41</v>
      </c>
      <c r="BT45" s="56">
        <v>73498.36</v>
      </c>
      <c r="BU45" s="56">
        <v>123887</v>
      </c>
      <c r="BV45" s="56">
        <v>84261.46</v>
      </c>
      <c r="BW45" s="56">
        <v>368434.76</v>
      </c>
      <c r="BX45" s="56">
        <v>74456.36</v>
      </c>
      <c r="BY45" s="56">
        <v>162133.35999999999</v>
      </c>
      <c r="BZ45" s="56">
        <v>32885.160000000003</v>
      </c>
      <c r="CA45" s="56">
        <v>23427.360000000001</v>
      </c>
      <c r="CB45" s="56">
        <v>77109.23</v>
      </c>
      <c r="CC45" s="56">
        <v>788379.18</v>
      </c>
      <c r="CD45" s="56">
        <v>180654.12</v>
      </c>
      <c r="CE45" s="56">
        <v>100880.8</v>
      </c>
      <c r="CF45" s="56">
        <v>98801.53</v>
      </c>
      <c r="CG45" s="56">
        <v>177213.35</v>
      </c>
      <c r="CH45" s="56">
        <v>65872.820000000007</v>
      </c>
      <c r="CI45" s="56">
        <v>55934.48</v>
      </c>
      <c r="CJ45" s="56">
        <v>54764.6</v>
      </c>
      <c r="CK45" s="56">
        <v>54625.05</v>
      </c>
      <c r="CL45" s="56">
        <v>53749.5</v>
      </c>
      <c r="CM45" s="56">
        <v>74486.039999999994</v>
      </c>
      <c r="CN45" s="56">
        <v>128541.97</v>
      </c>
      <c r="CO45" s="56">
        <v>51729</v>
      </c>
      <c r="CP45" s="56">
        <v>89127.1</v>
      </c>
      <c r="CQ45" s="56">
        <v>77892.14</v>
      </c>
      <c r="CR45" s="56">
        <v>33043.67</v>
      </c>
      <c r="CS45" s="56">
        <v>84349.78</v>
      </c>
      <c r="CT45" s="56">
        <v>30379.84</v>
      </c>
      <c r="CU45" s="56">
        <v>78200.320000000007</v>
      </c>
      <c r="CV45" s="56">
        <v>75923</v>
      </c>
      <c r="CW45" s="56">
        <v>43698.85</v>
      </c>
      <c r="CX45" s="56">
        <v>22260</v>
      </c>
      <c r="CY45" s="56">
        <v>81630.06</v>
      </c>
      <c r="CZ45" s="56">
        <v>35097.699999999997</v>
      </c>
      <c r="DA45" s="56">
        <v>149206.35</v>
      </c>
      <c r="DB45" s="56">
        <v>262833.74</v>
      </c>
      <c r="DC45" s="56">
        <v>53766.68</v>
      </c>
    </row>
    <row r="46" spans="1:107">
      <c r="A46" s="47" t="s">
        <v>133</v>
      </c>
      <c r="B46" s="56">
        <v>10416762.369999999</v>
      </c>
      <c r="C46" s="56">
        <v>1715724.14</v>
      </c>
      <c r="D46" s="56">
        <v>0</v>
      </c>
      <c r="E46" s="56">
        <v>446678.63</v>
      </c>
      <c r="F46" s="56">
        <v>144692.87</v>
      </c>
      <c r="G46" s="56">
        <v>0</v>
      </c>
      <c r="H46" s="56">
        <v>8109666.7300000004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446678.63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61693.3</v>
      </c>
      <c r="AL46" s="56">
        <v>79186.929999999993</v>
      </c>
      <c r="AM46" s="56">
        <v>3812.64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107925.24</v>
      </c>
      <c r="AU46" s="56">
        <v>55645.09</v>
      </c>
      <c r="AV46" s="56">
        <v>76125.16</v>
      </c>
      <c r="AW46" s="56">
        <v>54801.71</v>
      </c>
      <c r="AX46" s="56">
        <v>57749.67</v>
      </c>
      <c r="AY46" s="56">
        <v>212340.44</v>
      </c>
      <c r="AZ46" s="56">
        <v>36541.019999999997</v>
      </c>
      <c r="BA46" s="56">
        <v>52344.94</v>
      </c>
      <c r="BB46" s="56">
        <v>47142.81</v>
      </c>
      <c r="BC46" s="56">
        <v>34286.519999999997</v>
      </c>
      <c r="BD46" s="56">
        <v>70199.100000000006</v>
      </c>
      <c r="BE46" s="56">
        <v>34863.550000000003</v>
      </c>
      <c r="BF46" s="56">
        <v>51736.2</v>
      </c>
      <c r="BG46" s="56">
        <v>81576.5</v>
      </c>
      <c r="BH46" s="56">
        <v>31771.91</v>
      </c>
      <c r="BI46" s="56">
        <v>41920.51</v>
      </c>
      <c r="BJ46" s="56">
        <v>18277.259999999998</v>
      </c>
      <c r="BK46" s="56">
        <v>20816.240000000002</v>
      </c>
      <c r="BL46" s="56">
        <v>43440.36</v>
      </c>
      <c r="BM46" s="56">
        <v>35044.620000000003</v>
      </c>
      <c r="BN46" s="56">
        <v>36199.5</v>
      </c>
      <c r="BO46" s="56">
        <v>23583.77</v>
      </c>
      <c r="BP46" s="56">
        <v>23315.47</v>
      </c>
      <c r="BQ46" s="56">
        <v>13622</v>
      </c>
      <c r="BR46" s="56">
        <v>31952.78</v>
      </c>
      <c r="BS46" s="56">
        <v>11787.88</v>
      </c>
      <c r="BT46" s="56">
        <v>21983.77</v>
      </c>
      <c r="BU46" s="56">
        <v>61262.22</v>
      </c>
      <c r="BV46" s="56">
        <v>16106.87</v>
      </c>
      <c r="BW46" s="56">
        <v>21492.41</v>
      </c>
      <c r="BX46" s="56">
        <v>5961.34</v>
      </c>
      <c r="BY46" s="56">
        <v>33086.06</v>
      </c>
      <c r="BZ46" s="56">
        <v>6421.52</v>
      </c>
      <c r="CA46" s="56">
        <v>5754.8</v>
      </c>
      <c r="CB46" s="56">
        <v>20107.599999999999</v>
      </c>
      <c r="CC46" s="56">
        <v>63031.21</v>
      </c>
      <c r="CD46" s="56">
        <v>67962.210000000006</v>
      </c>
      <c r="CE46" s="56">
        <v>3757.36</v>
      </c>
      <c r="CF46" s="56">
        <v>0</v>
      </c>
      <c r="CG46" s="56">
        <v>2330.64</v>
      </c>
      <c r="CH46" s="56">
        <v>6639.47</v>
      </c>
      <c r="CI46" s="56">
        <v>183.66</v>
      </c>
      <c r="CJ46" s="56">
        <v>2811.19</v>
      </c>
      <c r="CK46" s="56">
        <v>2052.2199999999998</v>
      </c>
      <c r="CL46" s="56">
        <v>1594.79</v>
      </c>
      <c r="CM46" s="56">
        <v>8863.14</v>
      </c>
      <c r="CN46" s="56">
        <v>13828.55</v>
      </c>
      <c r="CO46" s="56">
        <v>801.44</v>
      </c>
      <c r="CP46" s="56">
        <v>6519.23</v>
      </c>
      <c r="CQ46" s="56">
        <v>5920.2</v>
      </c>
      <c r="CR46" s="56">
        <v>695.25</v>
      </c>
      <c r="CS46" s="56">
        <v>6210.95</v>
      </c>
      <c r="CT46" s="56">
        <v>1300</v>
      </c>
      <c r="CU46" s="56">
        <v>9370.35</v>
      </c>
      <c r="CV46" s="56">
        <v>1116.71</v>
      </c>
      <c r="CW46" s="56">
        <v>283.06</v>
      </c>
      <c r="CX46" s="56">
        <v>2837.92</v>
      </c>
      <c r="CY46" s="56">
        <v>1438.9</v>
      </c>
      <c r="CZ46" s="56">
        <v>136.18</v>
      </c>
      <c r="DA46" s="56">
        <v>1269.56</v>
      </c>
      <c r="DB46" s="56">
        <v>7583.11</v>
      </c>
      <c r="DC46" s="56">
        <v>0</v>
      </c>
    </row>
    <row r="47" spans="1:107">
      <c r="A47" s="47" t="s">
        <v>134</v>
      </c>
      <c r="B47" s="56">
        <v>3295283.99</v>
      </c>
      <c r="C47" s="56">
        <v>57777.81</v>
      </c>
      <c r="D47" s="56">
        <v>0</v>
      </c>
      <c r="E47" s="56">
        <v>0</v>
      </c>
      <c r="F47" s="56">
        <v>358719.99</v>
      </c>
      <c r="G47" s="56">
        <v>0</v>
      </c>
      <c r="H47" s="56">
        <v>2878786.19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358719.99</v>
      </c>
      <c r="AL47" s="56">
        <v>0</v>
      </c>
      <c r="AM47" s="56">
        <v>0</v>
      </c>
      <c r="AN47" s="56">
        <v>0</v>
      </c>
      <c r="AO47" s="56">
        <v>0</v>
      </c>
      <c r="AP47" s="56">
        <v>11666.69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11111.12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35000</v>
      </c>
      <c r="BX47" s="56">
        <v>0</v>
      </c>
      <c r="BY47" s="56">
        <v>0</v>
      </c>
      <c r="BZ47" s="56">
        <v>0</v>
      </c>
      <c r="CA47" s="56">
        <v>0</v>
      </c>
      <c r="CB47" s="56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0</v>
      </c>
      <c r="CY47" s="56">
        <v>0</v>
      </c>
      <c r="CZ47" s="56">
        <v>0</v>
      </c>
      <c r="DA47" s="56">
        <v>0</v>
      </c>
      <c r="DB47" s="56">
        <v>0</v>
      </c>
      <c r="DC47" s="56">
        <v>0</v>
      </c>
    </row>
    <row r="48" spans="1:107">
      <c r="A48" s="47" t="s">
        <v>135</v>
      </c>
      <c r="B48" s="56">
        <v>4718768.13</v>
      </c>
      <c r="C48" s="56">
        <v>2363461.85</v>
      </c>
      <c r="D48" s="56">
        <v>274977.59999999998</v>
      </c>
      <c r="E48" s="56">
        <v>142745.63</v>
      </c>
      <c r="F48" s="56">
        <v>129748.69</v>
      </c>
      <c r="G48" s="56">
        <v>0</v>
      </c>
      <c r="H48" s="56">
        <v>1731294.51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42223.23</v>
      </c>
      <c r="V48" s="56">
        <v>0</v>
      </c>
      <c r="W48" s="56">
        <v>0</v>
      </c>
      <c r="X48" s="56">
        <v>27148.91</v>
      </c>
      <c r="Y48" s="56">
        <v>0</v>
      </c>
      <c r="Z48" s="56">
        <v>31367.18</v>
      </c>
      <c r="AA48" s="56">
        <v>0</v>
      </c>
      <c r="AB48" s="56">
        <v>28481.82</v>
      </c>
      <c r="AC48" s="56">
        <v>27948.46</v>
      </c>
      <c r="AD48" s="56">
        <v>27799.26</v>
      </c>
      <c r="AE48" s="56">
        <v>0</v>
      </c>
      <c r="AF48" s="56">
        <v>76542.679999999993</v>
      </c>
      <c r="AG48" s="56">
        <v>77796.12</v>
      </c>
      <c r="AH48" s="56">
        <v>120638.8</v>
      </c>
      <c r="AI48" s="56">
        <v>0</v>
      </c>
      <c r="AJ48" s="56">
        <v>34316.620000000003</v>
      </c>
      <c r="AK48" s="56">
        <v>62875.64</v>
      </c>
      <c r="AL48" s="56">
        <v>66873.05</v>
      </c>
      <c r="AM48" s="56">
        <v>0</v>
      </c>
      <c r="AN48" s="56">
        <v>0</v>
      </c>
      <c r="AO48" s="56">
        <v>3542.1</v>
      </c>
      <c r="AP48" s="56">
        <v>0</v>
      </c>
      <c r="AQ48" s="56">
        <v>0</v>
      </c>
      <c r="AR48" s="56">
        <v>0</v>
      </c>
      <c r="AS48" s="56">
        <v>0</v>
      </c>
      <c r="AT48" s="56">
        <v>18381.84</v>
      </c>
      <c r="AU48" s="56">
        <v>78029.27</v>
      </c>
      <c r="AV48" s="56">
        <v>283467.34999999998</v>
      </c>
      <c r="AW48" s="56">
        <v>22370.880000000001</v>
      </c>
      <c r="AX48" s="56">
        <v>78685.84</v>
      </c>
      <c r="AY48" s="56">
        <v>250228.4</v>
      </c>
      <c r="AZ48" s="56">
        <v>98117.14</v>
      </c>
      <c r="BA48" s="56">
        <v>0</v>
      </c>
      <c r="BB48" s="56">
        <v>100335.3</v>
      </c>
      <c r="BC48" s="56">
        <v>105501.84</v>
      </c>
      <c r="BD48" s="56">
        <v>0</v>
      </c>
      <c r="BE48" s="56">
        <v>0</v>
      </c>
      <c r="BF48" s="56">
        <v>0</v>
      </c>
      <c r="BG48" s="56">
        <v>65390</v>
      </c>
      <c r="BH48" s="56">
        <v>0</v>
      </c>
      <c r="BI48" s="56">
        <v>113558.44</v>
      </c>
      <c r="BJ48" s="56">
        <v>19626.68</v>
      </c>
      <c r="BK48" s="56">
        <v>12306.8</v>
      </c>
      <c r="BL48" s="56">
        <v>27462.66</v>
      </c>
      <c r="BM48" s="56">
        <v>29712.83</v>
      </c>
      <c r="BN48" s="56">
        <v>76601.119999999995</v>
      </c>
      <c r="BO48" s="56">
        <v>50883.95</v>
      </c>
      <c r="BP48" s="56">
        <v>70064.320000000007</v>
      </c>
      <c r="BQ48" s="56">
        <v>24738.560000000001</v>
      </c>
      <c r="BR48" s="56">
        <v>64296.24</v>
      </c>
      <c r="BS48" s="56">
        <v>0</v>
      </c>
      <c r="BT48" s="56">
        <v>37286.879999999997</v>
      </c>
      <c r="BU48" s="56">
        <v>57793.760000000002</v>
      </c>
      <c r="BV48" s="56">
        <v>38582.339999999997</v>
      </c>
      <c r="BW48" s="56">
        <v>113519.29</v>
      </c>
      <c r="BX48" s="56">
        <v>30286.82</v>
      </c>
      <c r="BY48" s="56">
        <v>6422.24</v>
      </c>
      <c r="BZ48" s="56">
        <v>21420</v>
      </c>
      <c r="CA48" s="56">
        <v>9979.2800000000007</v>
      </c>
      <c r="CB48" s="56">
        <v>30057.200000000001</v>
      </c>
      <c r="CC48" s="56">
        <v>189540.24</v>
      </c>
      <c r="CD48" s="56">
        <v>29256.98</v>
      </c>
      <c r="CE48" s="56">
        <v>0</v>
      </c>
      <c r="CF48" s="56">
        <v>7142.13</v>
      </c>
      <c r="CG48" s="56">
        <v>0</v>
      </c>
      <c r="CH48" s="56">
        <v>6933.36</v>
      </c>
      <c r="CI48" s="56">
        <v>1180.3499999999999</v>
      </c>
      <c r="CJ48" s="56">
        <v>83522.22</v>
      </c>
      <c r="CK48" s="56">
        <v>890</v>
      </c>
      <c r="CL48" s="56">
        <v>11459.65</v>
      </c>
      <c r="CM48" s="56">
        <v>10851.12</v>
      </c>
      <c r="CN48" s="56">
        <v>9043.4500000000007</v>
      </c>
      <c r="CO48" s="56">
        <v>1025.97</v>
      </c>
      <c r="CP48" s="56">
        <v>12652.1</v>
      </c>
      <c r="CQ48" s="56">
        <v>0</v>
      </c>
      <c r="CR48" s="56">
        <v>4852.5200000000004</v>
      </c>
      <c r="CS48" s="56">
        <v>21533.47</v>
      </c>
      <c r="CT48" s="56">
        <v>4491.78</v>
      </c>
      <c r="CU48" s="56">
        <v>6995.84</v>
      </c>
      <c r="CV48" s="56">
        <v>0</v>
      </c>
      <c r="CW48" s="56">
        <v>0</v>
      </c>
      <c r="CX48" s="56">
        <v>17263.54</v>
      </c>
      <c r="CY48" s="56">
        <v>0</v>
      </c>
      <c r="CZ48" s="56">
        <v>0</v>
      </c>
      <c r="DA48" s="56">
        <v>0</v>
      </c>
      <c r="DB48" s="56">
        <v>6177.76</v>
      </c>
      <c r="DC48" s="56">
        <v>0</v>
      </c>
    </row>
    <row r="49" spans="1:107">
      <c r="A49" s="47" t="s">
        <v>136</v>
      </c>
      <c r="B49" s="56">
        <v>37668.089999999997</v>
      </c>
      <c r="C49" s="56">
        <v>3253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33215.089999999997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1200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3253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</row>
    <row r="50" spans="1:107" s="49" customFormat="1">
      <c r="A50" s="57" t="s">
        <v>99</v>
      </c>
      <c r="B50" s="58">
        <v>54870567.149999999</v>
      </c>
      <c r="C50" s="58">
        <v>27630561.280000001</v>
      </c>
      <c r="D50" s="58">
        <v>988684.32</v>
      </c>
      <c r="E50" s="58">
        <v>3096905.41</v>
      </c>
      <c r="F50" s="58">
        <v>1658043.8</v>
      </c>
      <c r="G50" s="58">
        <v>31260.75</v>
      </c>
      <c r="H50" s="58">
        <v>15392937.039999999</v>
      </c>
      <c r="I50" s="58">
        <v>111843.88</v>
      </c>
      <c r="J50" s="58">
        <v>1408595.76</v>
      </c>
      <c r="K50" s="58">
        <v>69967.78</v>
      </c>
      <c r="L50" s="58">
        <v>1448.19</v>
      </c>
      <c r="M50" s="58">
        <v>38320.699999999997</v>
      </c>
      <c r="N50" s="58">
        <v>95706.39</v>
      </c>
      <c r="O50" s="58">
        <v>886.74</v>
      </c>
      <c r="P50" s="58">
        <v>154187.13</v>
      </c>
      <c r="Q50" s="58">
        <v>2953.05</v>
      </c>
      <c r="R50" s="58">
        <v>4078.08</v>
      </c>
      <c r="S50" s="58">
        <v>71308.58</v>
      </c>
      <c r="T50" s="58">
        <v>10294.84</v>
      </c>
      <c r="U50" s="58">
        <v>3916711.51</v>
      </c>
      <c r="V50" s="58">
        <v>0</v>
      </c>
      <c r="W50" s="58">
        <v>0</v>
      </c>
      <c r="X50" s="58">
        <v>1719901.52</v>
      </c>
      <c r="Y50" s="58">
        <v>0</v>
      </c>
      <c r="Z50" s="58">
        <v>346382.56</v>
      </c>
      <c r="AA50" s="58">
        <v>0</v>
      </c>
      <c r="AB50" s="58">
        <v>244263.51</v>
      </c>
      <c r="AC50" s="58">
        <v>397063.09</v>
      </c>
      <c r="AD50" s="58">
        <v>389273.98</v>
      </c>
      <c r="AE50" s="58">
        <v>20.75</v>
      </c>
      <c r="AF50" s="58">
        <v>290544.46000000002</v>
      </c>
      <c r="AG50" s="58">
        <v>299870.3</v>
      </c>
      <c r="AH50" s="58">
        <v>372737.51</v>
      </c>
      <c r="AI50" s="58">
        <v>25532.05</v>
      </c>
      <c r="AJ50" s="58">
        <v>185871.92</v>
      </c>
      <c r="AK50" s="58">
        <v>1063405.96</v>
      </c>
      <c r="AL50" s="58">
        <v>587886.92000000004</v>
      </c>
      <c r="AM50" s="58">
        <v>6750.92</v>
      </c>
      <c r="AN50" s="58">
        <v>0</v>
      </c>
      <c r="AO50" s="58">
        <v>235331.8</v>
      </c>
      <c r="AP50" s="58">
        <v>18317.349999999999</v>
      </c>
      <c r="AQ50" s="58">
        <v>36076.089999999997</v>
      </c>
      <c r="AR50" s="58">
        <v>13357.46</v>
      </c>
      <c r="AS50" s="58">
        <v>13570.48</v>
      </c>
      <c r="AT50" s="58">
        <v>953392.07</v>
      </c>
      <c r="AU50" s="58">
        <v>1244979.3600000001</v>
      </c>
      <c r="AV50" s="58">
        <v>1291837.3600000001</v>
      </c>
      <c r="AW50" s="58">
        <v>932077.38</v>
      </c>
      <c r="AX50" s="58">
        <v>1314828.48</v>
      </c>
      <c r="AY50" s="58">
        <v>1142503.67</v>
      </c>
      <c r="AZ50" s="58">
        <v>447935.18</v>
      </c>
      <c r="BA50" s="58">
        <v>828859.78</v>
      </c>
      <c r="BB50" s="58">
        <v>1149031.77</v>
      </c>
      <c r="BC50" s="58">
        <v>1174513.29</v>
      </c>
      <c r="BD50" s="58">
        <v>1865204.77</v>
      </c>
      <c r="BE50" s="58">
        <v>1098443.8400000001</v>
      </c>
      <c r="BF50" s="58">
        <v>1566620.95</v>
      </c>
      <c r="BG50" s="58">
        <v>1187191.33</v>
      </c>
      <c r="BH50" s="58">
        <v>650974.47</v>
      </c>
      <c r="BI50" s="58">
        <v>372694.79</v>
      </c>
      <c r="BJ50" s="58">
        <v>530724.51</v>
      </c>
      <c r="BK50" s="58">
        <v>430793.8</v>
      </c>
      <c r="BL50" s="58">
        <v>451021.02</v>
      </c>
      <c r="BM50" s="58">
        <v>339955.12</v>
      </c>
      <c r="BN50" s="58">
        <v>393558.07</v>
      </c>
      <c r="BO50" s="58">
        <v>643705.15</v>
      </c>
      <c r="BP50" s="58">
        <v>371266.79</v>
      </c>
      <c r="BQ50" s="58">
        <v>124362.06</v>
      </c>
      <c r="BR50" s="58">
        <v>217552.6</v>
      </c>
      <c r="BS50" s="58">
        <v>125526.29</v>
      </c>
      <c r="BT50" s="58">
        <v>162863.67000000001</v>
      </c>
      <c r="BU50" s="58">
        <v>297177.40000000002</v>
      </c>
      <c r="BV50" s="58">
        <v>197330.67</v>
      </c>
      <c r="BW50" s="58">
        <v>710942.16</v>
      </c>
      <c r="BX50" s="58">
        <v>133190.63</v>
      </c>
      <c r="BY50" s="58">
        <v>281477.65000000002</v>
      </c>
      <c r="BZ50" s="58">
        <v>77096.679999999993</v>
      </c>
      <c r="CA50" s="58">
        <v>85185.5</v>
      </c>
      <c r="CB50" s="58">
        <v>151563.63</v>
      </c>
      <c r="CC50" s="58">
        <v>1207632.21</v>
      </c>
      <c r="CD50" s="58">
        <v>505493.06</v>
      </c>
      <c r="CE50" s="58">
        <v>118731.92</v>
      </c>
      <c r="CF50" s="58">
        <v>106543.66</v>
      </c>
      <c r="CG50" s="58">
        <v>204175.45</v>
      </c>
      <c r="CH50" s="58">
        <v>119979.25</v>
      </c>
      <c r="CI50" s="58">
        <v>62199.49</v>
      </c>
      <c r="CJ50" s="58">
        <v>143146.01</v>
      </c>
      <c r="CK50" s="58">
        <v>60263.21</v>
      </c>
      <c r="CL50" s="58">
        <v>81761.94</v>
      </c>
      <c r="CM50" s="58">
        <v>131885.41</v>
      </c>
      <c r="CN50" s="58">
        <v>164162.89000000001</v>
      </c>
      <c r="CO50" s="58">
        <v>57065.25</v>
      </c>
      <c r="CP50" s="58">
        <v>123198.43</v>
      </c>
      <c r="CQ50" s="58">
        <v>94832.34</v>
      </c>
      <c r="CR50" s="58">
        <v>43342.44</v>
      </c>
      <c r="CS50" s="58">
        <v>134956.79</v>
      </c>
      <c r="CT50" s="58">
        <v>41021.620000000003</v>
      </c>
      <c r="CU50" s="58">
        <v>96366.49</v>
      </c>
      <c r="CV50" s="58">
        <v>85454.71</v>
      </c>
      <c r="CW50" s="58">
        <v>44481.91</v>
      </c>
      <c r="CX50" s="58">
        <v>66935.460000000006</v>
      </c>
      <c r="CY50" s="58">
        <v>94153.66</v>
      </c>
      <c r="CZ50" s="58">
        <v>49630.879999999997</v>
      </c>
      <c r="DA50" s="58">
        <v>150865.91</v>
      </c>
      <c r="DB50" s="58">
        <v>302976.76</v>
      </c>
      <c r="DC50" s="63">
        <v>76269.06</v>
      </c>
    </row>
    <row r="51" spans="1:107" s="49" customFormat="1">
      <c r="A51" s="59" t="s">
        <v>3</v>
      </c>
      <c r="B51" s="60">
        <v>410378667.64999998</v>
      </c>
      <c r="C51" s="60">
        <v>203540745.66999999</v>
      </c>
      <c r="D51" s="60">
        <v>99548642.620000005</v>
      </c>
      <c r="E51" s="60">
        <v>19186534.219999999</v>
      </c>
      <c r="F51" s="60">
        <v>10375107.050000001</v>
      </c>
      <c r="G51" s="60">
        <v>10169920.52</v>
      </c>
      <c r="H51" s="60">
        <v>26853151.68</v>
      </c>
      <c r="I51" s="60">
        <v>1498691.17</v>
      </c>
      <c r="J51" s="60">
        <v>6424847.2300000004</v>
      </c>
      <c r="K51" s="60">
        <v>3138298.1</v>
      </c>
      <c r="L51" s="60">
        <v>1331204.02</v>
      </c>
      <c r="M51" s="60">
        <v>2096631.79</v>
      </c>
      <c r="N51" s="60">
        <v>566923.66</v>
      </c>
      <c r="O51" s="60">
        <v>358217.47</v>
      </c>
      <c r="P51" s="60">
        <v>1755042.52</v>
      </c>
      <c r="Q51" s="60">
        <v>1501686.21</v>
      </c>
      <c r="R51" s="60">
        <v>1665805.64</v>
      </c>
      <c r="S51" s="60">
        <v>3673014.7</v>
      </c>
      <c r="T51" s="60">
        <v>2893147.53</v>
      </c>
      <c r="U51" s="60">
        <v>9458571.5399999991</v>
      </c>
      <c r="V51" s="60">
        <v>64404.22</v>
      </c>
      <c r="W51" s="60">
        <v>19327.96</v>
      </c>
      <c r="X51" s="60">
        <v>3403523.56</v>
      </c>
      <c r="Y51" s="60">
        <v>40534.32</v>
      </c>
      <c r="Z51" s="60">
        <v>6625701.75</v>
      </c>
      <c r="AA51" s="60">
        <v>3776.58</v>
      </c>
      <c r="AB51" s="60">
        <v>2654607.59</v>
      </c>
      <c r="AC51" s="60">
        <v>3557335.68</v>
      </c>
      <c r="AD51" s="60">
        <v>2751876.72</v>
      </c>
      <c r="AE51" s="60">
        <v>149178.01999999999</v>
      </c>
      <c r="AF51" s="60">
        <v>2308496.75</v>
      </c>
      <c r="AG51" s="60">
        <v>71767455.819999993</v>
      </c>
      <c r="AH51" s="60">
        <v>17554896.550000001</v>
      </c>
      <c r="AI51" s="60">
        <v>7917793.5</v>
      </c>
      <c r="AJ51" s="60">
        <v>4243741.74</v>
      </c>
      <c r="AK51" s="60">
        <v>7154541.5</v>
      </c>
      <c r="AL51" s="60">
        <v>2654590.63</v>
      </c>
      <c r="AM51" s="60">
        <v>565974.92000000004</v>
      </c>
      <c r="AN51" s="60">
        <v>15010.39</v>
      </c>
      <c r="AO51" s="60">
        <v>51972273.93</v>
      </c>
      <c r="AP51" s="60">
        <v>2160064.8199999998</v>
      </c>
      <c r="AQ51" s="60">
        <v>2086120.01</v>
      </c>
      <c r="AR51" s="60">
        <v>4235621.87</v>
      </c>
      <c r="AS51" s="60">
        <v>1926824.61</v>
      </c>
      <c r="AT51" s="60">
        <v>5863135.7999999998</v>
      </c>
      <c r="AU51" s="60">
        <v>7398384.1399999997</v>
      </c>
      <c r="AV51" s="60">
        <v>7880644.4000000004</v>
      </c>
      <c r="AW51" s="60">
        <v>7796726.0499999998</v>
      </c>
      <c r="AX51" s="60">
        <v>6293777.3300000001</v>
      </c>
      <c r="AY51" s="60">
        <v>6477825.1399999997</v>
      </c>
      <c r="AZ51" s="60">
        <v>3106139</v>
      </c>
      <c r="BA51" s="60">
        <v>7535340.7699999996</v>
      </c>
      <c r="BB51" s="60">
        <v>3345010.72</v>
      </c>
      <c r="BC51" s="60">
        <v>2776082.47</v>
      </c>
      <c r="BD51" s="60">
        <v>7591724.6600000001</v>
      </c>
      <c r="BE51" s="60">
        <v>6330910.1699999999</v>
      </c>
      <c r="BF51" s="60">
        <v>5406382.79</v>
      </c>
      <c r="BG51" s="60">
        <v>5259838.3</v>
      </c>
      <c r="BH51" s="60">
        <v>3039433.96</v>
      </c>
      <c r="BI51" s="60">
        <v>2877982.33</v>
      </c>
      <c r="BJ51" s="60">
        <v>3347577.71</v>
      </c>
      <c r="BK51" s="60">
        <v>3016778.48</v>
      </c>
      <c r="BL51" s="60">
        <v>2056386.24</v>
      </c>
      <c r="BM51" s="60">
        <v>2078578.27</v>
      </c>
      <c r="BN51" s="60">
        <v>2683296.7400000002</v>
      </c>
      <c r="BO51" s="60">
        <v>3543490.11</v>
      </c>
      <c r="BP51" s="60">
        <v>1384950.94</v>
      </c>
      <c r="BQ51" s="60">
        <v>1247389.02</v>
      </c>
      <c r="BR51" s="60">
        <v>917772.5</v>
      </c>
      <c r="BS51" s="60">
        <v>1497041.85</v>
      </c>
      <c r="BT51" s="60">
        <v>1159467.67</v>
      </c>
      <c r="BU51" s="60">
        <v>2343821.37</v>
      </c>
      <c r="BV51" s="60">
        <v>1281646.4099999999</v>
      </c>
      <c r="BW51" s="60">
        <v>8891017.7799999993</v>
      </c>
      <c r="BX51" s="60">
        <v>549737.65</v>
      </c>
      <c r="BY51" s="60">
        <v>1192077.04</v>
      </c>
      <c r="BZ51" s="60">
        <v>701422.4</v>
      </c>
      <c r="CA51" s="60">
        <v>731755.16</v>
      </c>
      <c r="CB51" s="60">
        <v>877558.93</v>
      </c>
      <c r="CC51" s="60">
        <v>2722727.75</v>
      </c>
      <c r="CD51" s="60">
        <v>2549310.87</v>
      </c>
      <c r="CE51" s="60">
        <v>481990.12</v>
      </c>
      <c r="CF51" s="60">
        <v>185697.64</v>
      </c>
      <c r="CG51" s="60">
        <v>493709.67</v>
      </c>
      <c r="CH51" s="60">
        <v>317992.81</v>
      </c>
      <c r="CI51" s="60">
        <v>254032.09</v>
      </c>
      <c r="CJ51" s="60">
        <v>361115.28</v>
      </c>
      <c r="CK51" s="60">
        <v>296614.46999999997</v>
      </c>
      <c r="CL51" s="60">
        <v>331053.42</v>
      </c>
      <c r="CM51" s="60">
        <v>394293.93</v>
      </c>
      <c r="CN51" s="60">
        <v>368281.1</v>
      </c>
      <c r="CO51" s="60">
        <v>160567.28</v>
      </c>
      <c r="CP51" s="60">
        <v>389537.37</v>
      </c>
      <c r="CQ51" s="60">
        <v>331154.46000000002</v>
      </c>
      <c r="CR51" s="60">
        <v>188323.45</v>
      </c>
      <c r="CS51" s="60">
        <v>460815.97</v>
      </c>
      <c r="CT51" s="60">
        <v>169730.41</v>
      </c>
      <c r="CU51" s="60">
        <v>309367.15000000002</v>
      </c>
      <c r="CV51" s="60">
        <v>257266.67</v>
      </c>
      <c r="CW51" s="60">
        <v>95920.03</v>
      </c>
      <c r="CX51" s="60">
        <v>174108.62</v>
      </c>
      <c r="CY51" s="60">
        <v>339711.8</v>
      </c>
      <c r="CZ51" s="60">
        <v>166697.89000000001</v>
      </c>
      <c r="DA51" s="60">
        <v>237987.35</v>
      </c>
      <c r="DB51" s="60">
        <v>358110.81</v>
      </c>
      <c r="DC51" s="64">
        <v>282617.71999999997</v>
      </c>
    </row>
    <row r="54" spans="1:107">
      <c r="A54" s="50" t="s">
        <v>484</v>
      </c>
    </row>
    <row r="55" spans="1:107">
      <c r="A55" s="52"/>
      <c r="B55" s="53" t="s">
        <v>391</v>
      </c>
      <c r="C55" s="54" t="s">
        <v>392</v>
      </c>
      <c r="D55" s="54" t="s">
        <v>393</v>
      </c>
      <c r="E55" s="54" t="s">
        <v>394</v>
      </c>
      <c r="F55" s="54" t="s">
        <v>395</v>
      </c>
      <c r="G55" s="55" t="s">
        <v>396</v>
      </c>
      <c r="H55" s="55" t="s">
        <v>304</v>
      </c>
      <c r="I55" s="61" t="s">
        <v>397</v>
      </c>
      <c r="J55" s="61" t="s">
        <v>398</v>
      </c>
      <c r="K55" s="61" t="s">
        <v>399</v>
      </c>
      <c r="L55" s="61" t="s">
        <v>400</v>
      </c>
      <c r="M55" s="61" t="s">
        <v>401</v>
      </c>
      <c r="N55" s="61" t="s">
        <v>402</v>
      </c>
      <c r="O55" s="61" t="s">
        <v>403</v>
      </c>
      <c r="P55" s="61" t="s">
        <v>404</v>
      </c>
      <c r="Q55" s="61" t="s">
        <v>68</v>
      </c>
      <c r="R55" s="61" t="s">
        <v>405</v>
      </c>
      <c r="S55" s="61" t="s">
        <v>406</v>
      </c>
      <c r="T55" s="61" t="s">
        <v>407</v>
      </c>
      <c r="U55" s="61" t="s">
        <v>408</v>
      </c>
      <c r="V55" s="61" t="s">
        <v>409</v>
      </c>
      <c r="W55" s="61" t="s">
        <v>410</v>
      </c>
      <c r="X55" s="61" t="s">
        <v>411</v>
      </c>
      <c r="Y55" s="61" t="s">
        <v>412</v>
      </c>
      <c r="Z55" s="61" t="s">
        <v>67</v>
      </c>
      <c r="AA55" s="61" t="s">
        <v>15</v>
      </c>
      <c r="AB55" s="61" t="s">
        <v>16</v>
      </c>
      <c r="AC55" s="61" t="s">
        <v>413</v>
      </c>
      <c r="AD55" s="61" t="s">
        <v>414</v>
      </c>
      <c r="AE55" s="61" t="s">
        <v>17</v>
      </c>
      <c r="AF55" s="61" t="s">
        <v>415</v>
      </c>
      <c r="AG55" s="61" t="s">
        <v>70</v>
      </c>
      <c r="AH55" s="61" t="s">
        <v>416</v>
      </c>
      <c r="AI55" s="61" t="s">
        <v>69</v>
      </c>
      <c r="AJ55" s="61" t="s">
        <v>8</v>
      </c>
      <c r="AK55" s="61" t="s">
        <v>31</v>
      </c>
      <c r="AL55" s="61" t="s">
        <v>417</v>
      </c>
      <c r="AM55" s="61" t="s">
        <v>30</v>
      </c>
      <c r="AN55" s="61" t="s">
        <v>32</v>
      </c>
      <c r="AO55" s="61" t="s">
        <v>418</v>
      </c>
      <c r="AP55" s="61" t="s">
        <v>419</v>
      </c>
      <c r="AQ55" s="61" t="s">
        <v>33</v>
      </c>
      <c r="AR55" s="61" t="s">
        <v>420</v>
      </c>
      <c r="AS55" s="61" t="s">
        <v>421</v>
      </c>
      <c r="AT55" s="61" t="s">
        <v>422</v>
      </c>
      <c r="AU55" s="61" t="s">
        <v>423</v>
      </c>
      <c r="AV55" s="61" t="s">
        <v>424</v>
      </c>
      <c r="AW55" s="61" t="s">
        <v>425</v>
      </c>
      <c r="AX55" s="61" t="s">
        <v>426</v>
      </c>
      <c r="AY55" s="61" t="s">
        <v>427</v>
      </c>
      <c r="AZ55" s="61" t="s">
        <v>428</v>
      </c>
      <c r="BA55" s="61" t="s">
        <v>429</v>
      </c>
      <c r="BB55" s="61" t="s">
        <v>430</v>
      </c>
      <c r="BC55" s="61" t="s">
        <v>431</v>
      </c>
      <c r="BD55" s="61" t="s">
        <v>432</v>
      </c>
      <c r="BE55" s="61" t="s">
        <v>433</v>
      </c>
      <c r="BF55" s="61" t="s">
        <v>434</v>
      </c>
      <c r="BG55" s="61" t="s">
        <v>435</v>
      </c>
      <c r="BH55" s="61" t="s">
        <v>436</v>
      </c>
      <c r="BI55" s="61" t="s">
        <v>437</v>
      </c>
      <c r="BJ55" s="61" t="s">
        <v>438</v>
      </c>
      <c r="BK55" s="61" t="s">
        <v>439</v>
      </c>
      <c r="BL55" s="61" t="s">
        <v>440</v>
      </c>
      <c r="BM55" s="61" t="s">
        <v>441</v>
      </c>
      <c r="BN55" s="61" t="s">
        <v>442</v>
      </c>
      <c r="BO55" s="61" t="s">
        <v>443</v>
      </c>
      <c r="BP55" s="61" t="s">
        <v>444</v>
      </c>
      <c r="BQ55" s="61" t="s">
        <v>445</v>
      </c>
      <c r="BR55" s="61" t="s">
        <v>446</v>
      </c>
      <c r="BS55" s="61" t="s">
        <v>447</v>
      </c>
      <c r="BT55" s="61" t="s">
        <v>448</v>
      </c>
      <c r="BU55" s="61" t="s">
        <v>449</v>
      </c>
      <c r="BV55" s="61" t="s">
        <v>450</v>
      </c>
      <c r="BW55" s="61" t="s">
        <v>451</v>
      </c>
      <c r="BX55" s="61" t="s">
        <v>452</v>
      </c>
      <c r="BY55" s="61" t="s">
        <v>453</v>
      </c>
      <c r="BZ55" s="61" t="s">
        <v>454</v>
      </c>
      <c r="CA55" s="61" t="s">
        <v>455</v>
      </c>
      <c r="CB55" s="61" t="s">
        <v>456</v>
      </c>
      <c r="CC55" s="61" t="s">
        <v>457</v>
      </c>
      <c r="CD55" s="61" t="s">
        <v>458</v>
      </c>
      <c r="CE55" s="61" t="s">
        <v>459</v>
      </c>
      <c r="CF55" s="61" t="s">
        <v>460</v>
      </c>
      <c r="CG55" s="61" t="s">
        <v>461</v>
      </c>
      <c r="CH55" s="61" t="s">
        <v>462</v>
      </c>
      <c r="CI55" s="61" t="s">
        <v>463</v>
      </c>
      <c r="CJ55" s="61" t="s">
        <v>464</v>
      </c>
      <c r="CK55" s="61" t="s">
        <v>465</v>
      </c>
      <c r="CL55" s="61" t="s">
        <v>466</v>
      </c>
      <c r="CM55" s="61" t="s">
        <v>467</v>
      </c>
      <c r="CN55" s="61" t="s">
        <v>468</v>
      </c>
      <c r="CO55" s="61" t="s">
        <v>469</v>
      </c>
      <c r="CP55" s="61" t="s">
        <v>470</v>
      </c>
      <c r="CQ55" s="61" t="s">
        <v>471</v>
      </c>
      <c r="CR55" s="61" t="s">
        <v>472</v>
      </c>
      <c r="CS55" s="61" t="s">
        <v>473</v>
      </c>
      <c r="CT55" s="61" t="s">
        <v>474</v>
      </c>
      <c r="CU55" s="61" t="s">
        <v>475</v>
      </c>
      <c r="CV55" s="61" t="s">
        <v>476</v>
      </c>
      <c r="CW55" s="61" t="s">
        <v>477</v>
      </c>
      <c r="CX55" s="61" t="s">
        <v>478</v>
      </c>
      <c r="CY55" s="61" t="s">
        <v>479</v>
      </c>
      <c r="CZ55" s="61" t="s">
        <v>480</v>
      </c>
      <c r="DA55" s="61" t="s">
        <v>481</v>
      </c>
      <c r="DB55" s="61" t="s">
        <v>482</v>
      </c>
      <c r="DC55" s="62" t="s">
        <v>483</v>
      </c>
    </row>
    <row r="56" spans="1:107">
      <c r="A56" s="47" t="s">
        <v>89</v>
      </c>
      <c r="B56" s="56">
        <v>13936246.470000001</v>
      </c>
      <c r="C56" s="56">
        <v>6488971.0199999996</v>
      </c>
      <c r="D56" s="56">
        <v>1890112.13</v>
      </c>
      <c r="E56" s="56">
        <v>1163948.9099999999</v>
      </c>
      <c r="F56" s="56">
        <v>663465.5</v>
      </c>
      <c r="G56" s="56">
        <v>781666.67</v>
      </c>
      <c r="H56" s="56">
        <v>0</v>
      </c>
      <c r="I56" s="56">
        <v>111804.48</v>
      </c>
      <c r="J56" s="56">
        <v>232689.85</v>
      </c>
      <c r="K56" s="56">
        <v>287746.53999999998</v>
      </c>
      <c r="L56" s="56">
        <v>99197.96</v>
      </c>
      <c r="M56" s="56">
        <v>183615.82</v>
      </c>
      <c r="N56" s="56">
        <v>0</v>
      </c>
      <c r="O56" s="56">
        <v>17290.91</v>
      </c>
      <c r="P56" s="56">
        <v>151513.82</v>
      </c>
      <c r="Q56" s="56">
        <v>139578.82999999999</v>
      </c>
      <c r="R56" s="56">
        <v>160952.53</v>
      </c>
      <c r="S56" s="56">
        <v>328266.46999999997</v>
      </c>
      <c r="T56" s="56">
        <v>278936.53000000003</v>
      </c>
      <c r="U56" s="56">
        <v>512844.76</v>
      </c>
      <c r="V56" s="56">
        <v>36980</v>
      </c>
      <c r="W56" s="56">
        <v>0</v>
      </c>
      <c r="X56" s="56">
        <v>64329.33</v>
      </c>
      <c r="Y56" s="56">
        <v>37329.33</v>
      </c>
      <c r="Z56" s="56">
        <v>350482.82</v>
      </c>
      <c r="AA56" s="56">
        <v>0</v>
      </c>
      <c r="AB56" s="56">
        <v>187082.19</v>
      </c>
      <c r="AC56" s="56">
        <v>254008.42</v>
      </c>
      <c r="AD56" s="56">
        <v>152641.16</v>
      </c>
      <c r="AE56" s="56">
        <v>118075.66</v>
      </c>
      <c r="AF56" s="56">
        <v>172745.05</v>
      </c>
      <c r="AG56" s="56">
        <v>470845.01</v>
      </c>
      <c r="AH56" s="56">
        <v>746247.61</v>
      </c>
      <c r="AI56" s="56">
        <v>500274.46</v>
      </c>
      <c r="AJ56" s="56">
        <v>399247.74</v>
      </c>
      <c r="AK56" s="56">
        <v>444427.83</v>
      </c>
      <c r="AL56" s="56">
        <v>164039.67000000001</v>
      </c>
      <c r="AM56" s="56">
        <v>54998</v>
      </c>
      <c r="AN56" s="56">
        <v>7416</v>
      </c>
      <c r="AO56" s="56">
        <v>189522.95</v>
      </c>
      <c r="AP56" s="56">
        <v>236260.4</v>
      </c>
      <c r="AQ56" s="56">
        <v>136616.01</v>
      </c>
      <c r="AR56" s="56">
        <v>162797.84</v>
      </c>
      <c r="AS56" s="56">
        <v>185481.48</v>
      </c>
      <c r="AT56" s="56">
        <v>315755.2</v>
      </c>
      <c r="AU56" s="56">
        <v>307136.3</v>
      </c>
      <c r="AV56" s="56">
        <v>350803.48</v>
      </c>
      <c r="AW56" s="56">
        <v>255657.55</v>
      </c>
      <c r="AX56" s="56">
        <v>270084.82</v>
      </c>
      <c r="AY56" s="56">
        <v>245708.05</v>
      </c>
      <c r="AZ56" s="56">
        <v>119138.04</v>
      </c>
      <c r="BA56" s="56">
        <v>268572.52</v>
      </c>
      <c r="BB56" s="56">
        <v>105045</v>
      </c>
      <c r="BC56" s="56">
        <v>93536.37</v>
      </c>
      <c r="BD56" s="56">
        <v>285447.21999999997</v>
      </c>
      <c r="BE56" s="56">
        <v>184943.85</v>
      </c>
      <c r="BF56" s="56">
        <v>243800.7</v>
      </c>
      <c r="BG56" s="56">
        <v>164282.57999999999</v>
      </c>
      <c r="BH56" s="56">
        <v>112641.17</v>
      </c>
      <c r="BI56" s="56">
        <v>143724.56</v>
      </c>
      <c r="BJ56" s="56">
        <v>151365.79999999999</v>
      </c>
      <c r="BK56" s="56">
        <v>121423.85</v>
      </c>
      <c r="BL56" s="56">
        <v>88119.45</v>
      </c>
      <c r="BM56" s="56">
        <v>102667.52</v>
      </c>
      <c r="BN56" s="56">
        <v>111613.45</v>
      </c>
      <c r="BO56" s="56">
        <v>141282.04</v>
      </c>
      <c r="BP56" s="56">
        <v>46258.73</v>
      </c>
      <c r="BQ56" s="56">
        <v>58110.65</v>
      </c>
      <c r="BR56" s="56">
        <v>37875.94</v>
      </c>
      <c r="BS56" s="56">
        <v>54080.01</v>
      </c>
      <c r="BT56" s="56">
        <v>56988.88</v>
      </c>
      <c r="BU56" s="56">
        <v>101835.69</v>
      </c>
      <c r="BV56" s="56">
        <v>44008.14</v>
      </c>
      <c r="BW56" s="56">
        <v>330971.74</v>
      </c>
      <c r="BX56" s="56">
        <v>13380</v>
      </c>
      <c r="BY56" s="56">
        <v>36805.519999999997</v>
      </c>
      <c r="BZ56" s="56">
        <v>28202</v>
      </c>
      <c r="CA56" s="56">
        <v>23475.16</v>
      </c>
      <c r="CB56" s="56">
        <v>39185.699999999997</v>
      </c>
      <c r="CC56" s="56">
        <v>89242.67</v>
      </c>
      <c r="CD56" s="56">
        <v>50172.4</v>
      </c>
      <c r="CE56" s="56">
        <v>23800.91</v>
      </c>
      <c r="CF56" s="56">
        <v>8000</v>
      </c>
      <c r="CG56" s="56">
        <v>14200</v>
      </c>
      <c r="CH56" s="56">
        <v>14420</v>
      </c>
      <c r="CI56" s="56">
        <v>4582.67</v>
      </c>
      <c r="CJ56" s="56">
        <v>30200</v>
      </c>
      <c r="CK56" s="56">
        <v>20369.650000000001</v>
      </c>
      <c r="CL56" s="56">
        <v>14137.72</v>
      </c>
      <c r="CM56" s="56">
        <v>23751.56</v>
      </c>
      <c r="CN56" s="56">
        <v>8000</v>
      </c>
      <c r="CO56" s="56">
        <v>8000</v>
      </c>
      <c r="CP56" s="56">
        <v>9600</v>
      </c>
      <c r="CQ56" s="56">
        <v>17135.509999999998</v>
      </c>
      <c r="CR56" s="56">
        <v>8000</v>
      </c>
      <c r="CS56" s="56">
        <v>14554</v>
      </c>
      <c r="CT56" s="56">
        <v>8000</v>
      </c>
      <c r="CU56" s="56">
        <v>13977.21</v>
      </c>
      <c r="CV56" s="56">
        <v>12815.17</v>
      </c>
      <c r="CW56" s="56">
        <v>8000</v>
      </c>
      <c r="CX56" s="56">
        <v>16572.64</v>
      </c>
      <c r="CY56" s="56">
        <v>17126.27</v>
      </c>
      <c r="CZ56" s="56">
        <v>8000</v>
      </c>
      <c r="DA56" s="56">
        <v>11760</v>
      </c>
      <c r="DB56" s="56">
        <v>13318</v>
      </c>
      <c r="DC56" s="65">
        <v>56628.28</v>
      </c>
    </row>
    <row r="57" spans="1:107">
      <c r="A57" s="47" t="s">
        <v>90</v>
      </c>
      <c r="B57" s="56">
        <v>169953.53</v>
      </c>
      <c r="C57" s="56">
        <v>44244.42</v>
      </c>
      <c r="D57" s="56">
        <v>35637.800000000003</v>
      </c>
      <c r="E57" s="56">
        <v>1470</v>
      </c>
      <c r="F57" s="56">
        <v>884.11</v>
      </c>
      <c r="G57" s="56">
        <v>0</v>
      </c>
      <c r="H57" s="56">
        <v>0</v>
      </c>
      <c r="I57" s="56">
        <v>2695</v>
      </c>
      <c r="J57" s="56">
        <v>14420</v>
      </c>
      <c r="K57" s="56">
        <v>10185</v>
      </c>
      <c r="L57" s="56">
        <v>2695</v>
      </c>
      <c r="M57" s="56">
        <v>5913</v>
      </c>
      <c r="N57" s="56">
        <v>0</v>
      </c>
      <c r="O57" s="56">
        <v>490</v>
      </c>
      <c r="P57" s="56">
        <v>6335</v>
      </c>
      <c r="Q57" s="56">
        <v>5040</v>
      </c>
      <c r="R57" s="56">
        <v>2730</v>
      </c>
      <c r="S57" s="56">
        <v>10193</v>
      </c>
      <c r="T57" s="56">
        <v>9765</v>
      </c>
      <c r="U57" s="56">
        <v>1897</v>
      </c>
      <c r="V57" s="56">
        <v>0</v>
      </c>
      <c r="W57" s="56">
        <v>0</v>
      </c>
      <c r="X57" s="56">
        <v>0</v>
      </c>
      <c r="Y57" s="56">
        <v>0</v>
      </c>
      <c r="Z57" s="56">
        <v>70</v>
      </c>
      <c r="AA57" s="56">
        <v>0</v>
      </c>
      <c r="AB57" s="56">
        <v>1400</v>
      </c>
      <c r="AC57" s="56">
        <v>0</v>
      </c>
      <c r="AD57" s="56">
        <v>0</v>
      </c>
      <c r="AE57" s="56">
        <v>0</v>
      </c>
      <c r="AF57" s="56">
        <v>6685</v>
      </c>
      <c r="AG57" s="56">
        <v>8088</v>
      </c>
      <c r="AH57" s="56">
        <v>4865</v>
      </c>
      <c r="AI57" s="56">
        <v>15999.8</v>
      </c>
      <c r="AJ57" s="56">
        <v>15260</v>
      </c>
      <c r="AK57" s="56">
        <v>398.21</v>
      </c>
      <c r="AL57" s="56">
        <v>485.9</v>
      </c>
      <c r="AM57" s="56">
        <v>0</v>
      </c>
      <c r="AN57" s="56">
        <v>99.2</v>
      </c>
      <c r="AO57" s="56">
        <v>1890</v>
      </c>
      <c r="AP57" s="56">
        <v>10150</v>
      </c>
      <c r="AQ57" s="56">
        <v>4305</v>
      </c>
      <c r="AR57" s="56">
        <v>4445</v>
      </c>
      <c r="AS57" s="56">
        <v>7630</v>
      </c>
      <c r="AT57" s="56">
        <v>0</v>
      </c>
      <c r="AU57" s="56">
        <v>-454.93</v>
      </c>
      <c r="AV57" s="56">
        <v>0</v>
      </c>
      <c r="AW57" s="56">
        <v>-221.93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91</v>
      </c>
      <c r="BE57" s="56">
        <v>0</v>
      </c>
      <c r="BF57" s="56">
        <v>941.8</v>
      </c>
      <c r="BG57" s="56">
        <v>0</v>
      </c>
      <c r="BH57" s="56">
        <v>0</v>
      </c>
      <c r="BI57" s="56">
        <v>0</v>
      </c>
      <c r="BJ57" s="56">
        <v>0</v>
      </c>
      <c r="BK57" s="56">
        <v>-1075.96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10000</v>
      </c>
      <c r="BV57" s="56">
        <v>0</v>
      </c>
      <c r="BW57" s="56">
        <v>4795</v>
      </c>
      <c r="BX57" s="56">
        <v>0</v>
      </c>
      <c r="BY57" s="56">
        <v>0</v>
      </c>
      <c r="BZ57" s="56">
        <v>0</v>
      </c>
      <c r="CA57" s="56">
        <v>0</v>
      </c>
      <c r="CB57" s="56">
        <v>-1075.96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1883.6</v>
      </c>
      <c r="DB57" s="56">
        <v>0</v>
      </c>
      <c r="DC57" s="65">
        <v>941.8</v>
      </c>
    </row>
    <row r="58" spans="1:107">
      <c r="A58" s="47" t="s">
        <v>91</v>
      </c>
      <c r="B58" s="56">
        <v>583216.69999999995</v>
      </c>
      <c r="C58" s="56">
        <v>213537.37</v>
      </c>
      <c r="D58" s="56">
        <v>121157.98</v>
      </c>
      <c r="E58" s="56">
        <v>21827.21</v>
      </c>
      <c r="F58" s="56">
        <v>15058.27</v>
      </c>
      <c r="G58" s="56">
        <v>15641.73</v>
      </c>
      <c r="H58" s="56">
        <v>136601.49</v>
      </c>
      <c r="I58" s="56">
        <v>2252.89</v>
      </c>
      <c r="J58" s="56">
        <v>4731.59</v>
      </c>
      <c r="K58" s="56">
        <v>5754.93</v>
      </c>
      <c r="L58" s="56">
        <v>1983.96</v>
      </c>
      <c r="M58" s="56">
        <v>3672.32</v>
      </c>
      <c r="N58" s="56">
        <v>0</v>
      </c>
      <c r="O58" s="56">
        <v>345.82</v>
      </c>
      <c r="P58" s="56">
        <v>3030.28</v>
      </c>
      <c r="Q58" s="56">
        <v>2791.58</v>
      </c>
      <c r="R58" s="56">
        <v>3219.05</v>
      </c>
      <c r="S58" s="56">
        <v>6573.73</v>
      </c>
      <c r="T58" s="56">
        <v>5578.73</v>
      </c>
      <c r="U58" s="56">
        <v>10542.9</v>
      </c>
      <c r="V58" s="56">
        <v>748</v>
      </c>
      <c r="W58" s="56">
        <v>0</v>
      </c>
      <c r="X58" s="56">
        <v>1286.5899999999999</v>
      </c>
      <c r="Y58" s="56">
        <v>746.59</v>
      </c>
      <c r="Z58" s="56">
        <v>7009.66</v>
      </c>
      <c r="AA58" s="56">
        <v>0</v>
      </c>
      <c r="AB58" s="56">
        <v>3741.63</v>
      </c>
      <c r="AC58" s="56">
        <v>3628.41</v>
      </c>
      <c r="AD58" s="56">
        <v>3052.82</v>
      </c>
      <c r="AE58" s="56">
        <v>2361.5100000000002</v>
      </c>
      <c r="AF58" s="56">
        <v>3454.9</v>
      </c>
      <c r="AG58" s="56">
        <v>80938.899999999994</v>
      </c>
      <c r="AH58" s="56">
        <v>14924.95</v>
      </c>
      <c r="AI58" s="56">
        <v>21839.23</v>
      </c>
      <c r="AJ58" s="56">
        <v>8010.15</v>
      </c>
      <c r="AK58" s="56">
        <v>10576.72</v>
      </c>
      <c r="AL58" s="56">
        <v>3339.59</v>
      </c>
      <c r="AM58" s="56">
        <v>1141.96</v>
      </c>
      <c r="AN58" s="56">
        <v>156.72</v>
      </c>
      <c r="AO58" s="56">
        <v>4205.96</v>
      </c>
      <c r="AP58" s="56">
        <v>4725.21</v>
      </c>
      <c r="AQ58" s="56">
        <v>2740.72</v>
      </c>
      <c r="AR58" s="56">
        <v>3255.96</v>
      </c>
      <c r="AS58" s="56">
        <v>3709.63</v>
      </c>
      <c r="AT58" s="56">
        <v>9371.66</v>
      </c>
      <c r="AU58" s="56">
        <v>11988.18</v>
      </c>
      <c r="AV58" s="56">
        <v>14317.79</v>
      </c>
      <c r="AW58" s="56">
        <v>8410.57</v>
      </c>
      <c r="AX58" s="56">
        <v>10552.76</v>
      </c>
      <c r="AY58" s="56">
        <v>8287.5300000000007</v>
      </c>
      <c r="AZ58" s="56">
        <v>4328.57</v>
      </c>
      <c r="BA58" s="56">
        <v>12102.01</v>
      </c>
      <c r="BB58" s="56">
        <v>3260.43</v>
      </c>
      <c r="BC58" s="56">
        <v>2311.42</v>
      </c>
      <c r="BD58" s="56">
        <v>9996.08</v>
      </c>
      <c r="BE58" s="56">
        <v>7547.63</v>
      </c>
      <c r="BF58" s="56">
        <v>7400.68</v>
      </c>
      <c r="BG58" s="56">
        <v>4566.1400000000003</v>
      </c>
      <c r="BH58" s="56">
        <v>3457.57</v>
      </c>
      <c r="BI58" s="56">
        <v>4284.78</v>
      </c>
      <c r="BJ58" s="56">
        <v>5792.71</v>
      </c>
      <c r="BK58" s="56">
        <v>4162.6499999999996</v>
      </c>
      <c r="BL58" s="56">
        <v>3129.23</v>
      </c>
      <c r="BM58" s="56">
        <v>3533.11</v>
      </c>
      <c r="BN58" s="56">
        <v>5026.63</v>
      </c>
      <c r="BO58" s="56">
        <v>4451.17</v>
      </c>
      <c r="BP58" s="56">
        <v>1869.05</v>
      </c>
      <c r="BQ58" s="56">
        <v>1754.9</v>
      </c>
      <c r="BR58" s="56">
        <v>853.72</v>
      </c>
      <c r="BS58" s="56">
        <v>2050.5100000000002</v>
      </c>
      <c r="BT58" s="56">
        <v>2105.6</v>
      </c>
      <c r="BU58" s="56">
        <v>3362.57</v>
      </c>
      <c r="BV58" s="56">
        <v>2337.4899999999998</v>
      </c>
      <c r="BW58" s="56">
        <v>11327.26</v>
      </c>
      <c r="BX58" s="56">
        <v>697.75</v>
      </c>
      <c r="BY58" s="56">
        <v>1981.39</v>
      </c>
      <c r="BZ58" s="56">
        <v>1062.8599999999999</v>
      </c>
      <c r="CA58" s="56">
        <v>1203.18</v>
      </c>
      <c r="CB58" s="56">
        <v>1115.22</v>
      </c>
      <c r="CC58" s="56">
        <v>3799.05</v>
      </c>
      <c r="CD58" s="56">
        <v>1579.75</v>
      </c>
      <c r="CE58" s="56">
        <v>501.15</v>
      </c>
      <c r="CF58" s="56">
        <v>190.73</v>
      </c>
      <c r="CG58" s="56">
        <v>538.54999999999995</v>
      </c>
      <c r="CH58" s="56">
        <v>386.14</v>
      </c>
      <c r="CI58" s="56">
        <v>106.94</v>
      </c>
      <c r="CJ58" s="56">
        <v>620.79999999999995</v>
      </c>
      <c r="CK58" s="56">
        <v>491.63</v>
      </c>
      <c r="CL58" s="56">
        <v>367.23</v>
      </c>
      <c r="CM58" s="56">
        <v>758.04</v>
      </c>
      <c r="CN58" s="56">
        <v>245.4</v>
      </c>
      <c r="CO58" s="56">
        <v>174.48</v>
      </c>
      <c r="CP58" s="56">
        <v>315.63</v>
      </c>
      <c r="CQ58" s="56">
        <v>519.91</v>
      </c>
      <c r="CR58" s="56">
        <v>203.08</v>
      </c>
      <c r="CS58" s="56">
        <v>353.82</v>
      </c>
      <c r="CT58" s="56">
        <v>239.71</v>
      </c>
      <c r="CU58" s="56">
        <v>326.31</v>
      </c>
      <c r="CV58" s="56">
        <v>348.58</v>
      </c>
      <c r="CW58" s="56">
        <v>168.4</v>
      </c>
      <c r="CX58" s="56">
        <v>349.85</v>
      </c>
      <c r="CY58" s="56">
        <v>392.1</v>
      </c>
      <c r="CZ58" s="56">
        <v>172.27</v>
      </c>
      <c r="DA58" s="56">
        <v>243.6</v>
      </c>
      <c r="DB58" s="56">
        <v>339.77</v>
      </c>
      <c r="DC58" s="65">
        <v>1166.17</v>
      </c>
    </row>
    <row r="59" spans="1:107">
      <c r="A59" s="47" t="s">
        <v>92</v>
      </c>
      <c r="B59" s="56">
        <v>50700.63</v>
      </c>
      <c r="C59" s="56">
        <v>50700.63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1904</v>
      </c>
      <c r="BC59" s="56">
        <v>1149.9000000000001</v>
      </c>
      <c r="BD59" s="56">
        <v>0</v>
      </c>
      <c r="BE59" s="56">
        <v>7401</v>
      </c>
      <c r="BF59" s="56">
        <v>0</v>
      </c>
      <c r="BG59" s="56">
        <v>0</v>
      </c>
      <c r="BH59" s="56">
        <v>11655</v>
      </c>
      <c r="BI59" s="56">
        <v>2247</v>
      </c>
      <c r="BJ59" s="56">
        <v>0</v>
      </c>
      <c r="BK59" s="56">
        <v>4066</v>
      </c>
      <c r="BL59" s="56">
        <v>0</v>
      </c>
      <c r="BM59" s="56">
        <v>0</v>
      </c>
      <c r="BN59" s="56">
        <v>4380</v>
      </c>
      <c r="BO59" s="56">
        <v>0</v>
      </c>
      <c r="BP59" s="56">
        <v>0</v>
      </c>
      <c r="BQ59" s="56">
        <v>0</v>
      </c>
      <c r="BR59" s="56">
        <v>834</v>
      </c>
      <c r="BS59" s="56">
        <v>0</v>
      </c>
      <c r="BT59" s="56">
        <v>0</v>
      </c>
      <c r="BU59" s="56">
        <v>2316</v>
      </c>
      <c r="BV59" s="56">
        <v>0</v>
      </c>
      <c r="BW59" s="56">
        <v>8642.7999999999993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2264.5</v>
      </c>
      <c r="CD59" s="56">
        <v>0</v>
      </c>
      <c r="CE59" s="56">
        <v>109</v>
      </c>
      <c r="CF59" s="56">
        <v>0</v>
      </c>
      <c r="CG59" s="56">
        <v>0</v>
      </c>
      <c r="CH59" s="56">
        <v>0</v>
      </c>
      <c r="CI59" s="56">
        <v>1379.14</v>
      </c>
      <c r="CJ59" s="56">
        <v>0</v>
      </c>
      <c r="CK59" s="56">
        <v>0</v>
      </c>
      <c r="CL59" s="56">
        <v>514.29</v>
      </c>
      <c r="CM59" s="56">
        <v>200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900</v>
      </c>
      <c r="CT59" s="56">
        <v>0</v>
      </c>
      <c r="CU59" s="56">
        <v>0</v>
      </c>
      <c r="CV59" s="56">
        <v>0</v>
      </c>
      <c r="CW59" s="56">
        <v>0</v>
      </c>
      <c r="CX59" s="56">
        <v>238</v>
      </c>
      <c r="CY59" s="56">
        <v>500</v>
      </c>
      <c r="CZ59" s="56">
        <v>0</v>
      </c>
      <c r="DA59" s="56">
        <v>0</v>
      </c>
      <c r="DB59" s="56">
        <v>0</v>
      </c>
      <c r="DC59" s="65">
        <v>0</v>
      </c>
    </row>
    <row r="60" spans="1:107">
      <c r="A60" s="47" t="s">
        <v>93</v>
      </c>
      <c r="B60" s="56">
        <v>3211228.13</v>
      </c>
      <c r="C60" s="56">
        <v>1601395.6</v>
      </c>
      <c r="D60" s="56">
        <v>385850.58</v>
      </c>
      <c r="E60" s="56">
        <v>248789.95</v>
      </c>
      <c r="F60" s="56">
        <v>197625.56</v>
      </c>
      <c r="G60" s="56">
        <v>63461.2</v>
      </c>
      <c r="H60" s="56">
        <v>0</v>
      </c>
      <c r="I60" s="56">
        <v>25594.54</v>
      </c>
      <c r="J60" s="56">
        <v>61598.22</v>
      </c>
      <c r="K60" s="56">
        <v>68973.600000000006</v>
      </c>
      <c r="L60" s="56">
        <v>20083.52</v>
      </c>
      <c r="M60" s="56">
        <v>37949.79</v>
      </c>
      <c r="N60" s="56">
        <v>0</v>
      </c>
      <c r="O60" s="56">
        <v>5223.6400000000003</v>
      </c>
      <c r="P60" s="56">
        <v>35326.06</v>
      </c>
      <c r="Q60" s="56">
        <v>28561.74</v>
      </c>
      <c r="R60" s="56">
        <v>32086.2</v>
      </c>
      <c r="S60" s="56">
        <v>87358.15</v>
      </c>
      <c r="T60" s="56">
        <v>79199.25</v>
      </c>
      <c r="U60" s="56">
        <v>115407.28</v>
      </c>
      <c r="V60" s="56">
        <v>6256.22</v>
      </c>
      <c r="W60" s="56">
        <v>0</v>
      </c>
      <c r="X60" s="56">
        <v>21546.07</v>
      </c>
      <c r="Y60" s="56">
        <v>0</v>
      </c>
      <c r="Z60" s="56">
        <v>71045.91</v>
      </c>
      <c r="AA60" s="56">
        <v>0</v>
      </c>
      <c r="AB60" s="56">
        <v>67925.7</v>
      </c>
      <c r="AC60" s="56">
        <v>54565.24</v>
      </c>
      <c r="AD60" s="56">
        <v>33422.03</v>
      </c>
      <c r="AE60" s="56">
        <v>285</v>
      </c>
      <c r="AF60" s="56">
        <v>36808.01</v>
      </c>
      <c r="AG60" s="56">
        <v>129504.38</v>
      </c>
      <c r="AH60" s="56">
        <v>82079.97</v>
      </c>
      <c r="AI60" s="56">
        <v>137458.22</v>
      </c>
      <c r="AJ60" s="56">
        <v>109081.99</v>
      </c>
      <c r="AK60" s="56">
        <v>146750.07</v>
      </c>
      <c r="AL60" s="56">
        <v>32458.400000000001</v>
      </c>
      <c r="AM60" s="56">
        <v>18417.09</v>
      </c>
      <c r="AN60" s="56">
        <v>1405.04</v>
      </c>
      <c r="AO60" s="56">
        <v>17553.8</v>
      </c>
      <c r="AP60" s="56">
        <v>51542.84</v>
      </c>
      <c r="AQ60" s="56">
        <v>35293.9</v>
      </c>
      <c r="AR60" s="56">
        <v>34772.980000000003</v>
      </c>
      <c r="AS60" s="56">
        <v>42487.56</v>
      </c>
      <c r="AT60" s="56">
        <v>74237.64</v>
      </c>
      <c r="AU60" s="56">
        <v>79789.22</v>
      </c>
      <c r="AV60" s="56">
        <v>57205.03</v>
      </c>
      <c r="AW60" s="56">
        <v>66076.34</v>
      </c>
      <c r="AX60" s="56">
        <v>74525.73</v>
      </c>
      <c r="AY60" s="56">
        <v>67589.350000000006</v>
      </c>
      <c r="AZ60" s="56">
        <v>6285.69</v>
      </c>
      <c r="BA60" s="56">
        <v>61413.32</v>
      </c>
      <c r="BB60" s="56">
        <v>40429.269999999997</v>
      </c>
      <c r="BC60" s="56">
        <v>32504.61</v>
      </c>
      <c r="BD60" s="56">
        <v>111087.07</v>
      </c>
      <c r="BE60" s="56">
        <v>50228.66</v>
      </c>
      <c r="BF60" s="56">
        <v>62162.04</v>
      </c>
      <c r="BG60" s="56">
        <v>47392.36</v>
      </c>
      <c r="BH60" s="56">
        <v>37281.82</v>
      </c>
      <c r="BI60" s="56">
        <v>1606.1</v>
      </c>
      <c r="BJ60" s="56">
        <v>27126.25</v>
      </c>
      <c r="BK60" s="56">
        <v>31549.15</v>
      </c>
      <c r="BL60" s="56">
        <v>28577.040000000001</v>
      </c>
      <c r="BM60" s="56">
        <v>2190.75</v>
      </c>
      <c r="BN60" s="56">
        <v>32666.02</v>
      </c>
      <c r="BO60" s="56">
        <v>46602.29</v>
      </c>
      <c r="BP60" s="56">
        <v>11010.79</v>
      </c>
      <c r="BQ60" s="56">
        <v>3781.56</v>
      </c>
      <c r="BR60" s="56">
        <v>7249.07</v>
      </c>
      <c r="BS60" s="56">
        <v>17595.97</v>
      </c>
      <c r="BT60" s="56">
        <v>11704.31</v>
      </c>
      <c r="BU60" s="56">
        <v>23666.45</v>
      </c>
      <c r="BV60" s="56">
        <v>12422.56</v>
      </c>
      <c r="BW60" s="56">
        <v>117732.61</v>
      </c>
      <c r="BX60" s="56">
        <v>4073.06</v>
      </c>
      <c r="BY60" s="56">
        <v>11131.31</v>
      </c>
      <c r="BZ60" s="56">
        <v>6589.37</v>
      </c>
      <c r="CA60" s="56">
        <v>7014.78</v>
      </c>
      <c r="CB60" s="56">
        <v>13066.15</v>
      </c>
      <c r="CC60" s="56">
        <v>40180.160000000003</v>
      </c>
      <c r="CD60" s="56">
        <v>14236.2</v>
      </c>
      <c r="CE60" s="56">
        <v>5158.05</v>
      </c>
      <c r="CF60" s="56">
        <v>1216.9000000000001</v>
      </c>
      <c r="CG60" s="56">
        <v>3871.36</v>
      </c>
      <c r="CH60" s="56">
        <v>990.5</v>
      </c>
      <c r="CI60" s="56">
        <v>2062.1</v>
      </c>
      <c r="CJ60" s="56">
        <v>3467.64</v>
      </c>
      <c r="CK60" s="56">
        <v>1903.7</v>
      </c>
      <c r="CL60" s="56">
        <v>3311.1</v>
      </c>
      <c r="CM60" s="56">
        <v>2536.9499999999998</v>
      </c>
      <c r="CN60" s="56">
        <v>1604.94</v>
      </c>
      <c r="CO60" s="56">
        <v>0</v>
      </c>
      <c r="CP60" s="56">
        <v>3026</v>
      </c>
      <c r="CQ60" s="56">
        <v>221.93</v>
      </c>
      <c r="CR60" s="56">
        <v>2399.02</v>
      </c>
      <c r="CS60" s="56">
        <v>4119.16</v>
      </c>
      <c r="CT60" s="56">
        <v>2336.6799999999998</v>
      </c>
      <c r="CU60" s="56">
        <v>2566.1</v>
      </c>
      <c r="CV60" s="56">
        <v>2264</v>
      </c>
      <c r="CW60" s="56">
        <v>0</v>
      </c>
      <c r="CX60" s="56">
        <v>6484.8</v>
      </c>
      <c r="CY60" s="56">
        <v>2771.16</v>
      </c>
      <c r="CZ60" s="56">
        <v>1599.22</v>
      </c>
      <c r="DA60" s="56">
        <v>6072.53</v>
      </c>
      <c r="DB60" s="56">
        <v>2539.11</v>
      </c>
      <c r="DC60" s="65">
        <v>17241.47</v>
      </c>
    </row>
    <row r="61" spans="1:107">
      <c r="A61" s="47" t="s">
        <v>94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0</v>
      </c>
      <c r="CY61" s="56">
        <v>0</v>
      </c>
      <c r="CZ61" s="56">
        <v>0</v>
      </c>
      <c r="DA61" s="56">
        <v>0</v>
      </c>
      <c r="DB61" s="56">
        <v>0</v>
      </c>
      <c r="DC61" s="65">
        <v>0</v>
      </c>
    </row>
    <row r="62" spans="1:107">
      <c r="A62" s="47" t="s">
        <v>95</v>
      </c>
      <c r="B62" s="56">
        <v>-2433</v>
      </c>
      <c r="C62" s="56">
        <v>-1216.5</v>
      </c>
      <c r="D62" s="56">
        <v>0</v>
      </c>
      <c r="E62" s="56">
        <v>-1216.5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-1216.5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6">
        <v>0</v>
      </c>
      <c r="AQ62" s="56">
        <v>0</v>
      </c>
      <c r="AR62" s="56">
        <v>-1216.5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  <c r="CM62" s="56">
        <v>0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65">
        <v>0</v>
      </c>
    </row>
    <row r="63" spans="1:107">
      <c r="A63" s="47" t="s">
        <v>96</v>
      </c>
      <c r="B63" s="56">
        <v>127440</v>
      </c>
      <c r="C63" s="56">
        <v>87020</v>
      </c>
      <c r="D63" s="56">
        <v>0</v>
      </c>
      <c r="E63" s="56">
        <v>0</v>
      </c>
      <c r="F63" s="56">
        <v>19820</v>
      </c>
      <c r="G63" s="56">
        <v>420</v>
      </c>
      <c r="H63" s="56">
        <v>0</v>
      </c>
      <c r="I63" s="56">
        <v>840</v>
      </c>
      <c r="J63" s="56">
        <v>2520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420</v>
      </c>
      <c r="T63" s="56">
        <v>0</v>
      </c>
      <c r="U63" s="56">
        <v>14300</v>
      </c>
      <c r="V63" s="56">
        <v>420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1260</v>
      </c>
      <c r="AK63" s="56">
        <v>14780</v>
      </c>
      <c r="AL63" s="56">
        <v>2940</v>
      </c>
      <c r="AM63" s="56">
        <v>2100</v>
      </c>
      <c r="AN63" s="56">
        <v>420</v>
      </c>
      <c r="AO63" s="56">
        <v>0</v>
      </c>
      <c r="AP63" s="56">
        <v>0</v>
      </c>
      <c r="AQ63" s="56">
        <v>420</v>
      </c>
      <c r="AR63" s="56">
        <v>0</v>
      </c>
      <c r="AS63" s="56">
        <v>0</v>
      </c>
      <c r="AT63" s="56">
        <v>2520</v>
      </c>
      <c r="AU63" s="56">
        <v>2520</v>
      </c>
      <c r="AV63" s="56">
        <v>4200</v>
      </c>
      <c r="AW63" s="56">
        <v>2520</v>
      </c>
      <c r="AX63" s="56">
        <v>2940</v>
      </c>
      <c r="AY63" s="56">
        <v>2100</v>
      </c>
      <c r="AZ63" s="56">
        <v>1260</v>
      </c>
      <c r="BA63" s="56">
        <v>1260</v>
      </c>
      <c r="BB63" s="56">
        <v>1260</v>
      </c>
      <c r="BC63" s="56">
        <v>1680</v>
      </c>
      <c r="BD63" s="56">
        <v>2520</v>
      </c>
      <c r="BE63" s="56">
        <v>3360</v>
      </c>
      <c r="BF63" s="56">
        <v>2520</v>
      </c>
      <c r="BG63" s="56">
        <v>2520</v>
      </c>
      <c r="BH63" s="56">
        <v>1680</v>
      </c>
      <c r="BI63" s="56">
        <v>1260</v>
      </c>
      <c r="BJ63" s="56">
        <v>1260</v>
      </c>
      <c r="BK63" s="56">
        <v>1680</v>
      </c>
      <c r="BL63" s="56">
        <v>1260</v>
      </c>
      <c r="BM63" s="56">
        <v>840</v>
      </c>
      <c r="BN63" s="56">
        <v>1680</v>
      </c>
      <c r="BO63" s="56">
        <v>2100</v>
      </c>
      <c r="BP63" s="56">
        <v>840</v>
      </c>
      <c r="BQ63" s="56">
        <v>840</v>
      </c>
      <c r="BR63" s="56">
        <v>840</v>
      </c>
      <c r="BS63" s="56">
        <v>840</v>
      </c>
      <c r="BT63" s="56">
        <v>840</v>
      </c>
      <c r="BU63" s="56">
        <v>840</v>
      </c>
      <c r="BV63" s="56">
        <v>840</v>
      </c>
      <c r="BW63" s="56">
        <v>13020</v>
      </c>
      <c r="BX63" s="56">
        <v>840</v>
      </c>
      <c r="BY63" s="56">
        <v>840</v>
      </c>
      <c r="BZ63" s="56">
        <v>420</v>
      </c>
      <c r="CA63" s="56">
        <v>840</v>
      </c>
      <c r="CB63" s="56">
        <v>840</v>
      </c>
      <c r="CC63" s="56">
        <v>2520</v>
      </c>
      <c r="CD63" s="56">
        <v>1260</v>
      </c>
      <c r="CE63" s="56">
        <v>840</v>
      </c>
      <c r="CF63" s="56">
        <v>420</v>
      </c>
      <c r="CG63" s="56">
        <v>840</v>
      </c>
      <c r="CH63" s="56">
        <v>420</v>
      </c>
      <c r="CI63" s="56">
        <v>420</v>
      </c>
      <c r="CJ63" s="56">
        <v>840</v>
      </c>
      <c r="CK63" s="56">
        <v>420</v>
      </c>
      <c r="CL63" s="56">
        <v>840</v>
      </c>
      <c r="CM63" s="56">
        <v>420</v>
      </c>
      <c r="CN63" s="56">
        <v>420</v>
      </c>
      <c r="CO63" s="56">
        <v>420</v>
      </c>
      <c r="CP63" s="56">
        <v>420</v>
      </c>
      <c r="CQ63" s="56">
        <v>420</v>
      </c>
      <c r="CR63" s="56">
        <v>420</v>
      </c>
      <c r="CS63" s="56">
        <v>840</v>
      </c>
      <c r="CT63" s="56">
        <v>420</v>
      </c>
      <c r="CU63" s="56">
        <v>420</v>
      </c>
      <c r="CV63" s="56">
        <v>840</v>
      </c>
      <c r="CW63" s="56">
        <v>420</v>
      </c>
      <c r="CX63" s="56">
        <v>920</v>
      </c>
      <c r="CY63" s="56">
        <v>840</v>
      </c>
      <c r="CZ63" s="56">
        <v>420</v>
      </c>
      <c r="DA63" s="56">
        <v>420</v>
      </c>
      <c r="DB63" s="56">
        <v>420</v>
      </c>
      <c r="DC63" s="65">
        <v>1680</v>
      </c>
    </row>
    <row r="64" spans="1:107">
      <c r="A64" s="47" t="s">
        <v>97</v>
      </c>
      <c r="B64" s="56">
        <v>220731.59</v>
      </c>
      <c r="C64" s="56">
        <v>137469.28</v>
      </c>
      <c r="D64" s="56">
        <v>11048.42</v>
      </c>
      <c r="E64" s="56">
        <v>34654.879999999997</v>
      </c>
      <c r="F64" s="56">
        <v>0</v>
      </c>
      <c r="G64" s="56">
        <v>0</v>
      </c>
      <c r="H64" s="56">
        <v>0</v>
      </c>
      <c r="I64" s="56">
        <v>0</v>
      </c>
      <c r="J64" s="56">
        <v>19139.71</v>
      </c>
      <c r="K64" s="56">
        <v>0</v>
      </c>
      <c r="L64" s="56">
        <v>0</v>
      </c>
      <c r="M64" s="56">
        <v>5603.24</v>
      </c>
      <c r="N64" s="56">
        <v>12816.06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34654.879999999997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11048.42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137469.28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0</v>
      </c>
      <c r="CY64" s="56">
        <v>0</v>
      </c>
      <c r="CZ64" s="56">
        <v>0</v>
      </c>
      <c r="DA64" s="56">
        <v>0</v>
      </c>
      <c r="DB64" s="56">
        <v>0</v>
      </c>
      <c r="DC64" s="65">
        <v>0</v>
      </c>
    </row>
    <row r="65" spans="1:120">
      <c r="A65" s="47" t="s">
        <v>98</v>
      </c>
      <c r="B65" s="56">
        <v>6830074.4800000004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6830074.4800000004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65">
        <v>0</v>
      </c>
    </row>
    <row r="66" spans="1:120" s="49" customFormat="1">
      <c r="A66" s="57" t="s">
        <v>99</v>
      </c>
      <c r="B66" s="58">
        <v>25127158.530000001</v>
      </c>
      <c r="C66" s="58">
        <v>8622121.8200000003</v>
      </c>
      <c r="D66" s="58">
        <v>2443806.91</v>
      </c>
      <c r="E66" s="58">
        <v>1469474.45</v>
      </c>
      <c r="F66" s="58">
        <v>896853.44</v>
      </c>
      <c r="G66" s="58">
        <v>861189.6</v>
      </c>
      <c r="H66" s="58">
        <v>6966675.9699999997</v>
      </c>
      <c r="I66" s="58">
        <v>143186.91</v>
      </c>
      <c r="J66" s="58">
        <v>335099.37</v>
      </c>
      <c r="K66" s="58">
        <v>372660.07</v>
      </c>
      <c r="L66" s="58">
        <v>123960.44</v>
      </c>
      <c r="M66" s="58">
        <v>236754.17</v>
      </c>
      <c r="N66" s="58">
        <v>12816.06</v>
      </c>
      <c r="O66" s="58">
        <v>23350.37</v>
      </c>
      <c r="P66" s="58">
        <v>196205.16</v>
      </c>
      <c r="Q66" s="58">
        <v>175972.15</v>
      </c>
      <c r="R66" s="58">
        <v>198987.78</v>
      </c>
      <c r="S66" s="58">
        <v>432811.35</v>
      </c>
      <c r="T66" s="58">
        <v>373479.51</v>
      </c>
      <c r="U66" s="58">
        <v>654991.93999999994</v>
      </c>
      <c r="V66" s="58">
        <v>44404.22</v>
      </c>
      <c r="W66" s="58">
        <v>0</v>
      </c>
      <c r="X66" s="58">
        <v>121816.87</v>
      </c>
      <c r="Y66" s="58">
        <v>38075.919999999998</v>
      </c>
      <c r="Z66" s="58">
        <v>428608.39</v>
      </c>
      <c r="AA66" s="58">
        <v>0</v>
      </c>
      <c r="AB66" s="58">
        <v>260149.52</v>
      </c>
      <c r="AC66" s="58">
        <v>312202.07</v>
      </c>
      <c r="AD66" s="58">
        <v>187899.51</v>
      </c>
      <c r="AE66" s="58">
        <v>120722.17</v>
      </c>
      <c r="AF66" s="58">
        <v>230741.38</v>
      </c>
      <c r="AG66" s="58">
        <v>689376.29</v>
      </c>
      <c r="AH66" s="58">
        <v>848117.53</v>
      </c>
      <c r="AI66" s="58">
        <v>675571.71</v>
      </c>
      <c r="AJ66" s="58">
        <v>532859.88</v>
      </c>
      <c r="AK66" s="58">
        <v>616932.82999999996</v>
      </c>
      <c r="AL66" s="58">
        <v>203263.56</v>
      </c>
      <c r="AM66" s="58">
        <v>76657.05</v>
      </c>
      <c r="AN66" s="58">
        <v>9496.9599999999991</v>
      </c>
      <c r="AO66" s="58">
        <v>213172.71</v>
      </c>
      <c r="AP66" s="58">
        <v>302678.45</v>
      </c>
      <c r="AQ66" s="58">
        <v>179375.63</v>
      </c>
      <c r="AR66" s="58">
        <v>204055.28</v>
      </c>
      <c r="AS66" s="58">
        <v>239308.67</v>
      </c>
      <c r="AT66" s="58">
        <v>401884.5</v>
      </c>
      <c r="AU66" s="58">
        <v>400978.77</v>
      </c>
      <c r="AV66" s="58">
        <v>426526.3</v>
      </c>
      <c r="AW66" s="58">
        <v>332442.53000000003</v>
      </c>
      <c r="AX66" s="58">
        <v>358103.31</v>
      </c>
      <c r="AY66" s="58">
        <v>323684.93</v>
      </c>
      <c r="AZ66" s="58">
        <v>131012.3</v>
      </c>
      <c r="BA66" s="58">
        <v>343347.85</v>
      </c>
      <c r="BB66" s="58">
        <v>151898.70000000001</v>
      </c>
      <c r="BC66" s="58">
        <v>131182.29999999999</v>
      </c>
      <c r="BD66" s="58">
        <v>409141.37</v>
      </c>
      <c r="BE66" s="58">
        <v>253481.14</v>
      </c>
      <c r="BF66" s="58">
        <v>316825.21999999997</v>
      </c>
      <c r="BG66" s="58">
        <v>218761.08</v>
      </c>
      <c r="BH66" s="58">
        <v>166715.56</v>
      </c>
      <c r="BI66" s="58">
        <v>153122.44</v>
      </c>
      <c r="BJ66" s="58">
        <v>185544.76</v>
      </c>
      <c r="BK66" s="58">
        <v>161805.69</v>
      </c>
      <c r="BL66" s="58">
        <v>121085.72</v>
      </c>
      <c r="BM66" s="58">
        <v>109231.38</v>
      </c>
      <c r="BN66" s="58">
        <v>155366.1</v>
      </c>
      <c r="BO66" s="58">
        <v>194435.5</v>
      </c>
      <c r="BP66" s="58">
        <v>59978.57</v>
      </c>
      <c r="BQ66" s="58">
        <v>64487.11</v>
      </c>
      <c r="BR66" s="58">
        <v>47652.73</v>
      </c>
      <c r="BS66" s="58">
        <v>74566.490000000005</v>
      </c>
      <c r="BT66" s="58">
        <v>71638.789999999994</v>
      </c>
      <c r="BU66" s="58">
        <v>142020.71</v>
      </c>
      <c r="BV66" s="58">
        <v>59608.19</v>
      </c>
      <c r="BW66" s="58">
        <v>623958.68999999994</v>
      </c>
      <c r="BX66" s="58">
        <v>18990.810000000001</v>
      </c>
      <c r="BY66" s="58">
        <v>50758.22</v>
      </c>
      <c r="BZ66" s="58">
        <v>36274.230000000003</v>
      </c>
      <c r="CA66" s="58">
        <v>32533.119999999999</v>
      </c>
      <c r="CB66" s="58">
        <v>53131.11</v>
      </c>
      <c r="CC66" s="58">
        <v>138006.38</v>
      </c>
      <c r="CD66" s="58">
        <v>67248.350000000006</v>
      </c>
      <c r="CE66" s="58">
        <v>30409.11</v>
      </c>
      <c r="CF66" s="58">
        <v>9827.6299999999992</v>
      </c>
      <c r="CG66" s="58">
        <v>19449.91</v>
      </c>
      <c r="CH66" s="58">
        <v>16216.64</v>
      </c>
      <c r="CI66" s="58">
        <v>8550.85</v>
      </c>
      <c r="CJ66" s="58">
        <v>35128.44</v>
      </c>
      <c r="CK66" s="58">
        <v>23184.98</v>
      </c>
      <c r="CL66" s="58">
        <v>19170.34</v>
      </c>
      <c r="CM66" s="58">
        <v>27666.55</v>
      </c>
      <c r="CN66" s="58">
        <v>10270.34</v>
      </c>
      <c r="CO66" s="58">
        <v>8594.48</v>
      </c>
      <c r="CP66" s="58">
        <v>13361.63</v>
      </c>
      <c r="CQ66" s="58">
        <v>18297.349999999999</v>
      </c>
      <c r="CR66" s="58">
        <v>11022.1</v>
      </c>
      <c r="CS66" s="58">
        <v>20766.98</v>
      </c>
      <c r="CT66" s="58">
        <v>10996.39</v>
      </c>
      <c r="CU66" s="58">
        <v>17289.62</v>
      </c>
      <c r="CV66" s="58">
        <v>16267.75</v>
      </c>
      <c r="CW66" s="58">
        <v>8588.4</v>
      </c>
      <c r="CX66" s="58">
        <v>24565.29</v>
      </c>
      <c r="CY66" s="58">
        <v>21629.53</v>
      </c>
      <c r="CZ66" s="58">
        <v>10191.49</v>
      </c>
      <c r="DA66" s="58">
        <v>20379.73</v>
      </c>
      <c r="DB66" s="58">
        <v>16616.88</v>
      </c>
      <c r="DC66" s="58">
        <v>77657.72</v>
      </c>
      <c r="DD66" s="58">
        <f t="shared" ref="DD66:DP66" si="0">SUM(DD56:DD65)</f>
        <v>0</v>
      </c>
      <c r="DE66" s="58">
        <f t="shared" si="0"/>
        <v>0</v>
      </c>
      <c r="DF66" s="58">
        <f t="shared" si="0"/>
        <v>0</v>
      </c>
      <c r="DG66" s="58">
        <f t="shared" si="0"/>
        <v>0</v>
      </c>
      <c r="DH66" s="58">
        <f t="shared" si="0"/>
        <v>0</v>
      </c>
      <c r="DI66" s="58">
        <f t="shared" si="0"/>
        <v>0</v>
      </c>
      <c r="DJ66" s="58">
        <f t="shared" si="0"/>
        <v>0</v>
      </c>
      <c r="DK66" s="58">
        <f t="shared" si="0"/>
        <v>0</v>
      </c>
      <c r="DL66" s="58">
        <f t="shared" si="0"/>
        <v>0</v>
      </c>
      <c r="DM66" s="58">
        <f t="shared" si="0"/>
        <v>0</v>
      </c>
      <c r="DN66" s="58">
        <f t="shared" si="0"/>
        <v>0</v>
      </c>
      <c r="DO66" s="58">
        <f t="shared" si="0"/>
        <v>0</v>
      </c>
      <c r="DP66" s="58">
        <f t="shared" si="0"/>
        <v>0</v>
      </c>
    </row>
    <row r="67" spans="1:120">
      <c r="A67" s="47" t="s">
        <v>101</v>
      </c>
      <c r="B67" s="56">
        <v>7936531.6600000001</v>
      </c>
      <c r="C67" s="56">
        <v>3639333</v>
      </c>
      <c r="D67" s="56">
        <v>4167787</v>
      </c>
      <c r="E67" s="56">
        <v>59783.66</v>
      </c>
      <c r="F67" s="56">
        <v>69628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-62353.32</v>
      </c>
      <c r="AD67" s="56">
        <v>122136.98</v>
      </c>
      <c r="AE67" s="56">
        <v>0</v>
      </c>
      <c r="AF67" s="56">
        <v>0</v>
      </c>
      <c r="AG67" s="56">
        <v>3576100</v>
      </c>
      <c r="AH67" s="56">
        <v>0</v>
      </c>
      <c r="AI67" s="56">
        <v>591687</v>
      </c>
      <c r="AJ67" s="56">
        <v>0</v>
      </c>
      <c r="AK67" s="56">
        <v>69628</v>
      </c>
      <c r="AL67" s="56">
        <v>0</v>
      </c>
      <c r="AM67" s="56">
        <v>0</v>
      </c>
      <c r="AN67" s="56">
        <v>0</v>
      </c>
      <c r="AO67" s="56">
        <v>20774.96</v>
      </c>
      <c r="AP67" s="56">
        <v>0</v>
      </c>
      <c r="AQ67" s="56">
        <v>0</v>
      </c>
      <c r="AR67" s="56">
        <v>0</v>
      </c>
      <c r="AS67" s="56">
        <v>0</v>
      </c>
      <c r="AT67" s="56">
        <v>138247.78</v>
      </c>
      <c r="AU67" s="56">
        <v>280742.83</v>
      </c>
      <c r="AV67" s="56">
        <v>360885.79</v>
      </c>
      <c r="AW67" s="56">
        <v>145947.82</v>
      </c>
      <c r="AX67" s="56">
        <v>243383.33</v>
      </c>
      <c r="AY67" s="56">
        <v>162568.4</v>
      </c>
      <c r="AZ67" s="56">
        <v>94830.41</v>
      </c>
      <c r="BA67" s="56">
        <v>296107.77</v>
      </c>
      <c r="BB67" s="56">
        <v>35116.449999999997</v>
      </c>
      <c r="BC67" s="56">
        <v>19554.580000000002</v>
      </c>
      <c r="BD67" s="56">
        <v>190636.51</v>
      </c>
      <c r="BE67" s="56">
        <v>170828.01</v>
      </c>
      <c r="BF67" s="56">
        <v>103393.02</v>
      </c>
      <c r="BG67" s="56">
        <v>61104.33</v>
      </c>
      <c r="BH67" s="56">
        <v>56557.13</v>
      </c>
      <c r="BI67" s="56">
        <v>67434.05</v>
      </c>
      <c r="BJ67" s="56">
        <v>135549.82999999999</v>
      </c>
      <c r="BK67" s="56">
        <v>71754.259999999995</v>
      </c>
      <c r="BL67" s="56">
        <v>40188.160000000003</v>
      </c>
      <c r="BM67" s="56">
        <v>72381.72</v>
      </c>
      <c r="BN67" s="56">
        <v>103123.05</v>
      </c>
      <c r="BO67" s="56">
        <v>79176.240000000005</v>
      </c>
      <c r="BP67" s="56">
        <v>15742.12</v>
      </c>
      <c r="BQ67" s="56">
        <v>21924.45</v>
      </c>
      <c r="BR67" s="56">
        <v>3970.41</v>
      </c>
      <c r="BS67" s="56">
        <v>47205.41</v>
      </c>
      <c r="BT67" s="56">
        <v>47451.34</v>
      </c>
      <c r="BU67" s="56">
        <v>62953.01</v>
      </c>
      <c r="BV67" s="56">
        <v>66346.17</v>
      </c>
      <c r="BW67" s="56">
        <v>220851.09</v>
      </c>
      <c r="BX67" s="56">
        <v>6997.66</v>
      </c>
      <c r="BY67" s="56">
        <v>58684.22</v>
      </c>
      <c r="BZ67" s="56">
        <v>24361.05</v>
      </c>
      <c r="CA67" s="56">
        <v>21823.55</v>
      </c>
      <c r="CB67" s="56">
        <v>3755.19</v>
      </c>
      <c r="CC67" s="56">
        <v>9972.68</v>
      </c>
      <c r="CD67" s="56">
        <v>16355.1</v>
      </c>
      <c r="CE67" s="56">
        <v>416.45</v>
      </c>
      <c r="CF67" s="56">
        <v>1116.6600000000001</v>
      </c>
      <c r="CG67" s="56">
        <v>11887.57</v>
      </c>
      <c r="CH67" s="56">
        <v>1727.04</v>
      </c>
      <c r="CI67" s="56">
        <v>344.57</v>
      </c>
      <c r="CJ67" s="56">
        <v>0</v>
      </c>
      <c r="CK67" s="56">
        <v>3791.82</v>
      </c>
      <c r="CL67" s="56">
        <v>3383.91</v>
      </c>
      <c r="CM67" s="56">
        <v>8630.66</v>
      </c>
      <c r="CN67" s="56">
        <v>3850.24</v>
      </c>
      <c r="CO67" s="56">
        <v>303.81</v>
      </c>
      <c r="CP67" s="56">
        <v>5405.64</v>
      </c>
      <c r="CQ67" s="56">
        <v>4443.46</v>
      </c>
      <c r="CR67" s="56">
        <v>1734.16</v>
      </c>
      <c r="CS67" s="56">
        <v>2297.1</v>
      </c>
      <c r="CT67" s="56">
        <v>3565.48</v>
      </c>
      <c r="CU67" s="56">
        <v>848.2</v>
      </c>
      <c r="CV67" s="56">
        <v>3773.75</v>
      </c>
      <c r="CW67" s="56">
        <v>0</v>
      </c>
      <c r="CX67" s="56">
        <v>0</v>
      </c>
      <c r="CY67" s="56">
        <v>1638.72</v>
      </c>
      <c r="CZ67" s="56">
        <v>193.31</v>
      </c>
      <c r="DA67" s="56">
        <v>0</v>
      </c>
      <c r="DB67" s="56">
        <v>1300.57</v>
      </c>
      <c r="DC67" s="65">
        <v>0</v>
      </c>
    </row>
    <row r="68" spans="1:120">
      <c r="A68" s="47" t="s">
        <v>102</v>
      </c>
      <c r="B68" s="56">
        <v>6820073.1299999999</v>
      </c>
      <c r="C68" s="56">
        <v>5884287.3700000001</v>
      </c>
      <c r="D68" s="56">
        <v>935785.76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31200</v>
      </c>
      <c r="AH68" s="56">
        <v>0</v>
      </c>
      <c r="AI68" s="56">
        <v>904585.76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5759929.04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5063.46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119168.87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126</v>
      </c>
      <c r="CJ68" s="56">
        <v>0</v>
      </c>
      <c r="CK68" s="56">
        <v>0</v>
      </c>
      <c r="CL68" s="56">
        <v>0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0</v>
      </c>
      <c r="CY68" s="56">
        <v>0</v>
      </c>
      <c r="CZ68" s="56">
        <v>0</v>
      </c>
      <c r="DA68" s="56">
        <v>0</v>
      </c>
      <c r="DB68" s="56">
        <v>0</v>
      </c>
      <c r="DC68" s="65">
        <v>0</v>
      </c>
    </row>
    <row r="69" spans="1:120">
      <c r="A69" s="47" t="s">
        <v>103</v>
      </c>
      <c r="B69" s="56">
        <v>4543794.6900000004</v>
      </c>
      <c r="C69" s="56">
        <v>4175929.59</v>
      </c>
      <c r="D69" s="56">
        <v>1629678.85</v>
      </c>
      <c r="E69" s="56">
        <v>199915.15</v>
      </c>
      <c r="F69" s="56">
        <v>5.4</v>
      </c>
      <c r="G69" s="56">
        <v>0</v>
      </c>
      <c r="H69" s="56">
        <v>-952863.57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6323.45</v>
      </c>
      <c r="X69" s="56">
        <v>17.600000000000001</v>
      </c>
      <c r="Y69" s="56">
        <v>0</v>
      </c>
      <c r="Z69" s="56">
        <v>867543.04000000004</v>
      </c>
      <c r="AA69" s="56">
        <v>0</v>
      </c>
      <c r="AB69" s="56">
        <v>-645405.29</v>
      </c>
      <c r="AC69" s="56">
        <v>-50943.12</v>
      </c>
      <c r="AD69" s="56">
        <v>28702.92</v>
      </c>
      <c r="AE69" s="56">
        <v>0</v>
      </c>
      <c r="AF69" s="56">
        <v>0</v>
      </c>
      <c r="AG69" s="56">
        <v>1309767.49</v>
      </c>
      <c r="AH69" s="56">
        <v>175130.83</v>
      </c>
      <c r="AI69" s="56">
        <v>144780.53</v>
      </c>
      <c r="AJ69" s="56">
        <v>-515194.18</v>
      </c>
      <c r="AK69" s="56">
        <v>-0.94</v>
      </c>
      <c r="AL69" s="56">
        <v>6.34</v>
      </c>
      <c r="AM69" s="56">
        <v>0</v>
      </c>
      <c r="AN69" s="56">
        <v>0</v>
      </c>
      <c r="AO69" s="56">
        <v>6034.49</v>
      </c>
      <c r="AP69" s="56">
        <v>7932.03</v>
      </c>
      <c r="AQ69" s="56">
        <v>0</v>
      </c>
      <c r="AR69" s="56">
        <v>1119698.8700000001</v>
      </c>
      <c r="AS69" s="56">
        <v>0</v>
      </c>
      <c r="AT69" s="56">
        <v>129569.84</v>
      </c>
      <c r="AU69" s="56">
        <v>185128.01</v>
      </c>
      <c r="AV69" s="56">
        <v>160922.63</v>
      </c>
      <c r="AW69" s="56">
        <v>125230.96</v>
      </c>
      <c r="AX69" s="56">
        <v>164418.43</v>
      </c>
      <c r="AY69" s="56">
        <v>156641.04</v>
      </c>
      <c r="AZ69" s="56">
        <v>49641</v>
      </c>
      <c r="BA69" s="56">
        <v>174757.46</v>
      </c>
      <c r="BB69" s="56">
        <v>63555.25</v>
      </c>
      <c r="BC69" s="56">
        <v>55705.48</v>
      </c>
      <c r="BD69" s="56">
        <v>134973.12</v>
      </c>
      <c r="BE69" s="56">
        <v>493856.13</v>
      </c>
      <c r="BF69" s="56">
        <v>74835.66</v>
      </c>
      <c r="BG69" s="56">
        <v>118043.88</v>
      </c>
      <c r="BH69" s="56">
        <v>43992.03</v>
      </c>
      <c r="BI69" s="56">
        <v>50289.37</v>
      </c>
      <c r="BJ69" s="56">
        <v>53531.08</v>
      </c>
      <c r="BK69" s="56">
        <v>55948.12</v>
      </c>
      <c r="BL69" s="56">
        <v>47048.54</v>
      </c>
      <c r="BM69" s="56">
        <v>23601.22</v>
      </c>
      <c r="BN69" s="56">
        <v>36088.910000000003</v>
      </c>
      <c r="BO69" s="56">
        <v>55947.839999999997</v>
      </c>
      <c r="BP69" s="56">
        <v>12171.72</v>
      </c>
      <c r="BQ69" s="56">
        <v>19273.95</v>
      </c>
      <c r="BR69" s="56">
        <v>10656.45</v>
      </c>
      <c r="BS69" s="56">
        <v>20964.87</v>
      </c>
      <c r="BT69" s="56">
        <v>9142.07</v>
      </c>
      <c r="BU69" s="56">
        <v>20670.18</v>
      </c>
      <c r="BV69" s="56">
        <v>12161.88</v>
      </c>
      <c r="BW69" s="56">
        <v>8091.51</v>
      </c>
      <c r="BX69" s="56">
        <v>8089.11</v>
      </c>
      <c r="BY69" s="56">
        <v>14238.75</v>
      </c>
      <c r="BZ69" s="56">
        <v>4823.2299999999996</v>
      </c>
      <c r="CA69" s="56">
        <v>6079.21</v>
      </c>
      <c r="CB69" s="56">
        <v>13753.72</v>
      </c>
      <c r="CC69" s="56">
        <v>9880.25</v>
      </c>
      <c r="CD69" s="56">
        <v>405095.97</v>
      </c>
      <c r="CE69" s="56">
        <v>4503.5600000000004</v>
      </c>
      <c r="CF69" s="56">
        <v>4.63</v>
      </c>
      <c r="CG69" s="56">
        <v>3022.89</v>
      </c>
      <c r="CH69" s="56">
        <v>-838.75</v>
      </c>
      <c r="CI69" s="56">
        <v>30.24</v>
      </c>
      <c r="CJ69" s="56">
        <v>1683.68</v>
      </c>
      <c r="CK69" s="56">
        <v>146.53</v>
      </c>
      <c r="CL69" s="56">
        <v>31.32</v>
      </c>
      <c r="CM69" s="56">
        <v>217.5</v>
      </c>
      <c r="CN69" s="56">
        <v>-222.16</v>
      </c>
      <c r="CO69" s="56">
        <v>9.0500000000000007</v>
      </c>
      <c r="CP69" s="56">
        <v>-6.71</v>
      </c>
      <c r="CQ69" s="56">
        <v>1262.3499999999999</v>
      </c>
      <c r="CR69" s="56">
        <v>27.67</v>
      </c>
      <c r="CS69" s="56">
        <v>2404.13</v>
      </c>
      <c r="CT69" s="56">
        <v>124.88</v>
      </c>
      <c r="CU69" s="56">
        <v>275.58999999999997</v>
      </c>
      <c r="CV69" s="56">
        <v>3.78</v>
      </c>
      <c r="CW69" s="56">
        <v>4.32</v>
      </c>
      <c r="CX69" s="56">
        <v>67.91</v>
      </c>
      <c r="CY69" s="56">
        <v>262.94</v>
      </c>
      <c r="CZ69" s="56">
        <v>0</v>
      </c>
      <c r="DA69" s="56">
        <v>7.0000000000000007E-2</v>
      </c>
      <c r="DB69" s="56">
        <v>79.459999999999994</v>
      </c>
      <c r="DC69" s="65">
        <v>350.45</v>
      </c>
    </row>
    <row r="70" spans="1:120">
      <c r="A70" s="47" t="s">
        <v>104</v>
      </c>
      <c r="B70" s="56">
        <v>23293.01</v>
      </c>
      <c r="C70" s="56">
        <v>23293.01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6">
        <v>0</v>
      </c>
      <c r="AX70" s="56">
        <v>4581.6400000000003</v>
      </c>
      <c r="AY70" s="56">
        <v>1752.33</v>
      </c>
      <c r="AZ70" s="56">
        <v>0</v>
      </c>
      <c r="BA70" s="56">
        <v>0</v>
      </c>
      <c r="BB70" s="56">
        <v>0</v>
      </c>
      <c r="BC70" s="56">
        <v>0</v>
      </c>
      <c r="BD70" s="56">
        <v>1946.24</v>
      </c>
      <c r="BE70" s="56">
        <v>7963.06</v>
      </c>
      <c r="BF70" s="56">
        <v>0</v>
      </c>
      <c r="BG70" s="56">
        <v>0</v>
      </c>
      <c r="BH70" s="56">
        <v>569.89</v>
      </c>
      <c r="BI70" s="56">
        <v>685.23</v>
      </c>
      <c r="BJ70" s="56">
        <v>671.66</v>
      </c>
      <c r="BK70" s="56">
        <v>0</v>
      </c>
      <c r="BL70" s="56">
        <v>0</v>
      </c>
      <c r="BM70" s="56">
        <v>278.97000000000003</v>
      </c>
      <c r="BN70" s="56">
        <v>0</v>
      </c>
      <c r="BO70" s="56">
        <v>2383.15</v>
      </c>
      <c r="BP70" s="56">
        <v>0</v>
      </c>
      <c r="BQ70" s="56">
        <v>0</v>
      </c>
      <c r="BR70" s="56">
        <v>1803.04</v>
      </c>
      <c r="BS70" s="56">
        <v>0</v>
      </c>
      <c r="BT70" s="56">
        <v>0</v>
      </c>
      <c r="BU70" s="56">
        <v>0</v>
      </c>
      <c r="BV70" s="56">
        <v>281.57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  <c r="CM70" s="56">
        <v>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0</v>
      </c>
      <c r="CY70" s="56">
        <v>0</v>
      </c>
      <c r="CZ70" s="56">
        <v>0</v>
      </c>
      <c r="DA70" s="56">
        <v>376.23</v>
      </c>
      <c r="DB70" s="56">
        <v>0</v>
      </c>
      <c r="DC70" s="65">
        <v>0</v>
      </c>
    </row>
    <row r="71" spans="1:120">
      <c r="A71" s="47" t="s">
        <v>105</v>
      </c>
      <c r="B71" s="56">
        <v>2568307.1</v>
      </c>
      <c r="C71" s="56">
        <v>20000</v>
      </c>
      <c r="D71" s="56">
        <v>0</v>
      </c>
      <c r="E71" s="56">
        <v>-383650</v>
      </c>
      <c r="F71" s="56">
        <v>0</v>
      </c>
      <c r="G71" s="56">
        <v>0</v>
      </c>
      <c r="H71" s="56">
        <v>2931957.1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-383650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10000</v>
      </c>
      <c r="CX71" s="56">
        <v>0</v>
      </c>
      <c r="CY71" s="56">
        <v>10000</v>
      </c>
      <c r="CZ71" s="56">
        <v>0</v>
      </c>
      <c r="DA71" s="56">
        <v>0</v>
      </c>
      <c r="DB71" s="56">
        <v>0</v>
      </c>
      <c r="DC71" s="65">
        <v>0</v>
      </c>
    </row>
    <row r="72" spans="1:120" s="49" customFormat="1">
      <c r="A72" s="57" t="s">
        <v>99</v>
      </c>
      <c r="B72" s="58">
        <v>21891999.59</v>
      </c>
      <c r="C72" s="58">
        <v>13742842.970000001</v>
      </c>
      <c r="D72" s="58">
        <v>6733251.6100000003</v>
      </c>
      <c r="E72" s="58">
        <v>-123951.19</v>
      </c>
      <c r="F72" s="58">
        <v>69633.399999999994</v>
      </c>
      <c r="G72" s="58">
        <v>0</v>
      </c>
      <c r="H72" s="58">
        <v>1979093.53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6323.45</v>
      </c>
      <c r="X72" s="58">
        <v>17.600000000000001</v>
      </c>
      <c r="Y72" s="58">
        <v>0</v>
      </c>
      <c r="Z72" s="58">
        <v>483893.04</v>
      </c>
      <c r="AA72" s="58">
        <v>0</v>
      </c>
      <c r="AB72" s="58">
        <v>-645405.29</v>
      </c>
      <c r="AC72" s="58">
        <v>-113296.44</v>
      </c>
      <c r="AD72" s="58">
        <v>150839.9</v>
      </c>
      <c r="AE72" s="58">
        <v>0</v>
      </c>
      <c r="AF72" s="58">
        <v>0</v>
      </c>
      <c r="AG72" s="58">
        <v>4917067.49</v>
      </c>
      <c r="AH72" s="58">
        <v>175130.83</v>
      </c>
      <c r="AI72" s="58">
        <v>1641053.29</v>
      </c>
      <c r="AJ72" s="58">
        <v>-515194.18</v>
      </c>
      <c r="AK72" s="58">
        <v>69627.06</v>
      </c>
      <c r="AL72" s="58">
        <v>6.34</v>
      </c>
      <c r="AM72" s="58">
        <v>0</v>
      </c>
      <c r="AN72" s="58">
        <v>0</v>
      </c>
      <c r="AO72" s="58">
        <v>5786738.4900000002</v>
      </c>
      <c r="AP72" s="58">
        <v>7932.03</v>
      </c>
      <c r="AQ72" s="58">
        <v>0</v>
      </c>
      <c r="AR72" s="58">
        <v>1119698.8700000001</v>
      </c>
      <c r="AS72" s="58">
        <v>0</v>
      </c>
      <c r="AT72" s="58">
        <v>267817.62</v>
      </c>
      <c r="AU72" s="58">
        <v>465870.84</v>
      </c>
      <c r="AV72" s="58">
        <v>521808.42</v>
      </c>
      <c r="AW72" s="58">
        <v>271178.78000000003</v>
      </c>
      <c r="AX72" s="58">
        <v>412383.4</v>
      </c>
      <c r="AY72" s="58">
        <v>320961.77</v>
      </c>
      <c r="AZ72" s="58">
        <v>144471.41</v>
      </c>
      <c r="BA72" s="58">
        <v>470865.23</v>
      </c>
      <c r="BB72" s="58">
        <v>98671.7</v>
      </c>
      <c r="BC72" s="58">
        <v>75260.06</v>
      </c>
      <c r="BD72" s="58">
        <v>327555.87</v>
      </c>
      <c r="BE72" s="58">
        <v>672647.2</v>
      </c>
      <c r="BF72" s="58">
        <v>178228.68</v>
      </c>
      <c r="BG72" s="58">
        <v>184211.67</v>
      </c>
      <c r="BH72" s="58">
        <v>101119.05</v>
      </c>
      <c r="BI72" s="58">
        <v>118408.65</v>
      </c>
      <c r="BJ72" s="58">
        <v>189752.57</v>
      </c>
      <c r="BK72" s="58">
        <v>127702.38</v>
      </c>
      <c r="BL72" s="58">
        <v>87236.7</v>
      </c>
      <c r="BM72" s="58">
        <v>96261.91</v>
      </c>
      <c r="BN72" s="58">
        <v>139211.96</v>
      </c>
      <c r="BO72" s="58">
        <v>137507.23000000001</v>
      </c>
      <c r="BP72" s="58">
        <v>27913.84</v>
      </c>
      <c r="BQ72" s="58">
        <v>41198.400000000001</v>
      </c>
      <c r="BR72" s="58">
        <v>16429.900000000001</v>
      </c>
      <c r="BS72" s="58">
        <v>68170.28</v>
      </c>
      <c r="BT72" s="58">
        <v>56593.41</v>
      </c>
      <c r="BU72" s="58">
        <v>83623.19</v>
      </c>
      <c r="BV72" s="58">
        <v>78789.62</v>
      </c>
      <c r="BW72" s="58">
        <v>348111.47</v>
      </c>
      <c r="BX72" s="58">
        <v>15086.77</v>
      </c>
      <c r="BY72" s="58">
        <v>72922.97</v>
      </c>
      <c r="BZ72" s="58">
        <v>29184.28</v>
      </c>
      <c r="CA72" s="58">
        <v>27902.76</v>
      </c>
      <c r="CB72" s="58">
        <v>17508.91</v>
      </c>
      <c r="CC72" s="58">
        <v>19852.93</v>
      </c>
      <c r="CD72" s="58">
        <v>421451.07</v>
      </c>
      <c r="CE72" s="58">
        <v>4920.01</v>
      </c>
      <c r="CF72" s="58">
        <v>1121.29</v>
      </c>
      <c r="CG72" s="58">
        <v>14910.46</v>
      </c>
      <c r="CH72" s="58">
        <v>888.29</v>
      </c>
      <c r="CI72" s="58">
        <v>500.81</v>
      </c>
      <c r="CJ72" s="58">
        <v>1683.68</v>
      </c>
      <c r="CK72" s="58">
        <v>3938.35</v>
      </c>
      <c r="CL72" s="58">
        <v>3415.23</v>
      </c>
      <c r="CM72" s="58">
        <v>8848.16</v>
      </c>
      <c r="CN72" s="58">
        <v>3628.08</v>
      </c>
      <c r="CO72" s="58">
        <v>312.86</v>
      </c>
      <c r="CP72" s="58">
        <v>5398.93</v>
      </c>
      <c r="CQ72" s="58">
        <v>5705.81</v>
      </c>
      <c r="CR72" s="58">
        <v>1761.83</v>
      </c>
      <c r="CS72" s="58">
        <v>4701.2299999999996</v>
      </c>
      <c r="CT72" s="58">
        <v>3690.36</v>
      </c>
      <c r="CU72" s="58">
        <v>1123.79</v>
      </c>
      <c r="CV72" s="58">
        <v>3777.53</v>
      </c>
      <c r="CW72" s="58">
        <v>10004.32</v>
      </c>
      <c r="CX72" s="58">
        <v>67.91</v>
      </c>
      <c r="CY72" s="58">
        <v>11901.66</v>
      </c>
      <c r="CZ72" s="58">
        <v>193.31</v>
      </c>
      <c r="DA72" s="58">
        <v>376.3</v>
      </c>
      <c r="DB72" s="58">
        <v>1380.03</v>
      </c>
      <c r="DC72" s="58">
        <v>350.45</v>
      </c>
      <c r="DD72" s="58">
        <f t="shared" ref="DD72:DL72" si="1">SUM(DD67:DD71)</f>
        <v>0</v>
      </c>
      <c r="DE72" s="58">
        <f t="shared" si="1"/>
        <v>0</v>
      </c>
      <c r="DF72" s="58">
        <f t="shared" si="1"/>
        <v>0</v>
      </c>
      <c r="DG72" s="58">
        <f t="shared" si="1"/>
        <v>0</v>
      </c>
      <c r="DH72" s="58">
        <f t="shared" si="1"/>
        <v>0</v>
      </c>
      <c r="DI72" s="58">
        <f t="shared" si="1"/>
        <v>0</v>
      </c>
      <c r="DJ72" s="58">
        <f t="shared" si="1"/>
        <v>0</v>
      </c>
      <c r="DK72" s="58">
        <f t="shared" si="1"/>
        <v>0</v>
      </c>
      <c r="DL72" s="58">
        <f t="shared" si="1"/>
        <v>0</v>
      </c>
    </row>
    <row r="73" spans="1:120">
      <c r="A73" s="47" t="s">
        <v>107</v>
      </c>
      <c r="B73" s="56">
        <v>1895217.84</v>
      </c>
      <c r="C73" s="56">
        <v>739575.18</v>
      </c>
      <c r="D73" s="56">
        <v>409489.79</v>
      </c>
      <c r="E73" s="56">
        <v>121464.81</v>
      </c>
      <c r="F73" s="56">
        <v>70687.75</v>
      </c>
      <c r="G73" s="56">
        <v>26555.14</v>
      </c>
      <c r="H73" s="56">
        <v>270323</v>
      </c>
      <c r="I73" s="56">
        <v>1191</v>
      </c>
      <c r="J73" s="56">
        <v>100211.6</v>
      </c>
      <c r="K73" s="56">
        <v>7388.93</v>
      </c>
      <c r="L73" s="56">
        <v>27173</v>
      </c>
      <c r="M73" s="56">
        <v>1176</v>
      </c>
      <c r="N73" s="56">
        <v>0</v>
      </c>
      <c r="O73" s="56">
        <v>3149</v>
      </c>
      <c r="P73" s="56">
        <v>3405</v>
      </c>
      <c r="Q73" s="56">
        <v>0</v>
      </c>
      <c r="R73" s="56">
        <v>2247</v>
      </c>
      <c r="S73" s="56">
        <v>8112.66</v>
      </c>
      <c r="T73" s="56">
        <v>0</v>
      </c>
      <c r="U73" s="56">
        <v>0</v>
      </c>
      <c r="V73" s="56">
        <v>0</v>
      </c>
      <c r="W73" s="56">
        <v>0</v>
      </c>
      <c r="X73" s="56">
        <v>8232.5</v>
      </c>
      <c r="Y73" s="56">
        <v>0</v>
      </c>
      <c r="Z73" s="56">
        <v>32640.31</v>
      </c>
      <c r="AA73" s="56">
        <v>1661</v>
      </c>
      <c r="AB73" s="56">
        <v>7742</v>
      </c>
      <c r="AC73" s="56">
        <v>26536.5</v>
      </c>
      <c r="AD73" s="56">
        <v>36225.5</v>
      </c>
      <c r="AE73" s="56">
        <v>8427</v>
      </c>
      <c r="AF73" s="56">
        <v>10744</v>
      </c>
      <c r="AG73" s="56">
        <v>327173.23</v>
      </c>
      <c r="AH73" s="56">
        <v>27158.31</v>
      </c>
      <c r="AI73" s="56">
        <v>44414.25</v>
      </c>
      <c r="AJ73" s="56">
        <v>103067.98</v>
      </c>
      <c r="AK73" s="56">
        <v>41527.599999999999</v>
      </c>
      <c r="AL73" s="56">
        <v>27873.35</v>
      </c>
      <c r="AM73" s="56">
        <v>1286.8</v>
      </c>
      <c r="AN73" s="56">
        <v>0</v>
      </c>
      <c r="AO73" s="56">
        <v>4395</v>
      </c>
      <c r="AP73" s="56">
        <v>4173</v>
      </c>
      <c r="AQ73" s="56">
        <v>9276</v>
      </c>
      <c r="AR73" s="56">
        <v>0</v>
      </c>
      <c r="AS73" s="56">
        <v>8379</v>
      </c>
      <c r="AT73" s="56">
        <v>47756.4</v>
      </c>
      <c r="AU73" s="56">
        <v>45998.84</v>
      </c>
      <c r="AV73" s="56">
        <v>28046</v>
      </c>
      <c r="AW73" s="56">
        <v>43194.38</v>
      </c>
      <c r="AX73" s="56">
        <v>4143</v>
      </c>
      <c r="AY73" s="56">
        <v>28772.2</v>
      </c>
      <c r="AZ73" s="56">
        <v>7573</v>
      </c>
      <c r="BA73" s="56">
        <v>7449</v>
      </c>
      <c r="BB73" s="56">
        <v>21807.5</v>
      </c>
      <c r="BC73" s="56">
        <v>17631.5</v>
      </c>
      <c r="BD73" s="56">
        <v>36474.6</v>
      </c>
      <c r="BE73" s="56">
        <v>4294</v>
      </c>
      <c r="BF73" s="56">
        <v>18053</v>
      </c>
      <c r="BG73" s="56">
        <v>23446</v>
      </c>
      <c r="BH73" s="56">
        <v>4564</v>
      </c>
      <c r="BI73" s="56">
        <v>20938</v>
      </c>
      <c r="BJ73" s="56">
        <v>0</v>
      </c>
      <c r="BK73" s="56">
        <v>17283.599999999999</v>
      </c>
      <c r="BL73" s="56">
        <v>2400</v>
      </c>
      <c r="BM73" s="56">
        <v>0</v>
      </c>
      <c r="BN73" s="56">
        <v>14574</v>
      </c>
      <c r="BO73" s="56">
        <v>6273</v>
      </c>
      <c r="BP73" s="56">
        <v>12165.5</v>
      </c>
      <c r="BQ73" s="56">
        <v>39105</v>
      </c>
      <c r="BR73" s="56">
        <v>0</v>
      </c>
      <c r="BS73" s="56">
        <v>0</v>
      </c>
      <c r="BT73" s="56">
        <v>2687</v>
      </c>
      <c r="BU73" s="56">
        <v>3265.4</v>
      </c>
      <c r="BV73" s="56">
        <v>1553</v>
      </c>
      <c r="BW73" s="56">
        <v>3142</v>
      </c>
      <c r="BX73" s="56">
        <v>0</v>
      </c>
      <c r="BY73" s="56">
        <v>5388.6</v>
      </c>
      <c r="BZ73" s="56">
        <v>0</v>
      </c>
      <c r="CA73" s="56">
        <v>0</v>
      </c>
      <c r="CB73" s="56">
        <v>12340</v>
      </c>
      <c r="CC73" s="56">
        <v>30247.7</v>
      </c>
      <c r="CD73" s="56">
        <v>13466.28</v>
      </c>
      <c r="CE73" s="56">
        <v>11459</v>
      </c>
      <c r="CF73" s="56">
        <v>10846</v>
      </c>
      <c r="CG73" s="56">
        <v>6942.3</v>
      </c>
      <c r="CH73" s="56">
        <v>1082</v>
      </c>
      <c r="CI73" s="56">
        <v>41235.360000000001</v>
      </c>
      <c r="CJ73" s="56">
        <v>2397</v>
      </c>
      <c r="CK73" s="56">
        <v>4108</v>
      </c>
      <c r="CL73" s="56">
        <v>234</v>
      </c>
      <c r="CM73" s="56">
        <v>1399</v>
      </c>
      <c r="CN73" s="56">
        <v>0</v>
      </c>
      <c r="CO73" s="56">
        <v>0</v>
      </c>
      <c r="CP73" s="56">
        <v>10138</v>
      </c>
      <c r="CQ73" s="56">
        <v>21606.22</v>
      </c>
      <c r="CR73" s="56">
        <v>557</v>
      </c>
      <c r="CS73" s="56">
        <v>4992</v>
      </c>
      <c r="CT73" s="56">
        <v>7093.9</v>
      </c>
      <c r="CU73" s="56">
        <v>1528</v>
      </c>
      <c r="CV73" s="56">
        <v>0</v>
      </c>
      <c r="CW73" s="56">
        <v>7324</v>
      </c>
      <c r="CX73" s="56">
        <v>23821</v>
      </c>
      <c r="CY73" s="56">
        <v>8597</v>
      </c>
      <c r="CZ73" s="56">
        <v>9816.9</v>
      </c>
      <c r="DA73" s="56">
        <v>3886</v>
      </c>
      <c r="DB73" s="56">
        <v>885</v>
      </c>
      <c r="DC73" s="65">
        <v>9372</v>
      </c>
    </row>
    <row r="74" spans="1:120">
      <c r="A74" s="47" t="s">
        <v>108</v>
      </c>
      <c r="B74" s="56">
        <v>1267550.46</v>
      </c>
      <c r="C74" s="56">
        <v>288484.3</v>
      </c>
      <c r="D74" s="56">
        <v>484007.84</v>
      </c>
      <c r="E74" s="56">
        <v>162454.03</v>
      </c>
      <c r="F74" s="56">
        <v>58814.78</v>
      </c>
      <c r="G74" s="56">
        <v>64901.88</v>
      </c>
      <c r="H74" s="56">
        <v>0</v>
      </c>
      <c r="I74" s="56">
        <v>7000.21</v>
      </c>
      <c r="J74" s="56">
        <v>8967.74</v>
      </c>
      <c r="K74" s="56">
        <v>9697</v>
      </c>
      <c r="L74" s="56">
        <v>13428.08</v>
      </c>
      <c r="M74" s="56">
        <v>23613.94</v>
      </c>
      <c r="N74" s="56">
        <v>0</v>
      </c>
      <c r="O74" s="56">
        <v>0</v>
      </c>
      <c r="P74" s="56">
        <v>2370</v>
      </c>
      <c r="Q74" s="56">
        <v>14816</v>
      </c>
      <c r="R74" s="56">
        <v>21259.03</v>
      </c>
      <c r="S74" s="56">
        <v>49480.33</v>
      </c>
      <c r="T74" s="56">
        <v>4143.5</v>
      </c>
      <c r="U74" s="56">
        <v>4467.0600000000004</v>
      </c>
      <c r="V74" s="56">
        <v>0</v>
      </c>
      <c r="W74" s="56">
        <v>0</v>
      </c>
      <c r="X74" s="56">
        <v>15296.75</v>
      </c>
      <c r="Y74" s="56">
        <v>2458.4</v>
      </c>
      <c r="Z74" s="56">
        <v>70934.19</v>
      </c>
      <c r="AA74" s="56">
        <v>2115.58</v>
      </c>
      <c r="AB74" s="56">
        <v>11199.7</v>
      </c>
      <c r="AC74" s="56">
        <v>15237.62</v>
      </c>
      <c r="AD74" s="56">
        <v>25203.69</v>
      </c>
      <c r="AE74" s="56">
        <v>20008.099999999999</v>
      </c>
      <c r="AF74" s="56">
        <v>25941</v>
      </c>
      <c r="AG74" s="56">
        <v>303958.14</v>
      </c>
      <c r="AH74" s="56">
        <v>70447.240000000005</v>
      </c>
      <c r="AI74" s="56">
        <v>83661.460000000006</v>
      </c>
      <c r="AJ74" s="56">
        <v>48867.74</v>
      </c>
      <c r="AK74" s="56">
        <v>26530.09</v>
      </c>
      <c r="AL74" s="56">
        <v>11745.17</v>
      </c>
      <c r="AM74" s="56">
        <v>20539.52</v>
      </c>
      <c r="AN74" s="56">
        <v>777</v>
      </c>
      <c r="AO74" s="56">
        <v>711.32</v>
      </c>
      <c r="AP74" s="56">
        <v>28494.51</v>
      </c>
      <c r="AQ74" s="56">
        <v>30190.82</v>
      </c>
      <c r="AR74" s="56">
        <v>3782.5</v>
      </c>
      <c r="AS74" s="56">
        <v>14053.08</v>
      </c>
      <c r="AT74" s="56">
        <v>7170</v>
      </c>
      <c r="AU74" s="56">
        <v>8183</v>
      </c>
      <c r="AV74" s="56">
        <v>0</v>
      </c>
      <c r="AW74" s="56">
        <v>11183.39</v>
      </c>
      <c r="AX74" s="56">
        <v>1421</v>
      </c>
      <c r="AY74" s="56">
        <v>3170.5</v>
      </c>
      <c r="AZ74" s="56">
        <v>477</v>
      </c>
      <c r="BA74" s="56">
        <v>16606.5</v>
      </c>
      <c r="BB74" s="56">
        <v>11098.5</v>
      </c>
      <c r="BC74" s="56">
        <v>4303.5</v>
      </c>
      <c r="BD74" s="56">
        <v>18216.34</v>
      </c>
      <c r="BE74" s="56">
        <v>3349</v>
      </c>
      <c r="BF74" s="56">
        <v>1450.8</v>
      </c>
      <c r="BG74" s="56">
        <v>9114.08</v>
      </c>
      <c r="BH74" s="56">
        <v>3046.21</v>
      </c>
      <c r="BI74" s="56">
        <v>9472.85</v>
      </c>
      <c r="BJ74" s="56">
        <v>0</v>
      </c>
      <c r="BK74" s="56">
        <v>3621.61</v>
      </c>
      <c r="BL74" s="56">
        <v>0</v>
      </c>
      <c r="BM74" s="56">
        <v>0</v>
      </c>
      <c r="BN74" s="56">
        <v>1654</v>
      </c>
      <c r="BO74" s="56">
        <v>9563.5</v>
      </c>
      <c r="BP74" s="56">
        <v>5658.92</v>
      </c>
      <c r="BQ74" s="56">
        <v>0</v>
      </c>
      <c r="BR74" s="56">
        <v>0</v>
      </c>
      <c r="BS74" s="56">
        <v>0</v>
      </c>
      <c r="BT74" s="56">
        <v>0</v>
      </c>
      <c r="BU74" s="56">
        <v>1856.5</v>
      </c>
      <c r="BV74" s="56">
        <v>0</v>
      </c>
      <c r="BW74" s="56">
        <v>595.28</v>
      </c>
      <c r="BX74" s="56">
        <v>623</v>
      </c>
      <c r="BY74" s="56">
        <v>4957</v>
      </c>
      <c r="BZ74" s="56">
        <v>0</v>
      </c>
      <c r="CA74" s="56">
        <v>0</v>
      </c>
      <c r="CB74" s="56">
        <v>0</v>
      </c>
      <c r="CC74" s="56">
        <v>3435.5</v>
      </c>
      <c r="CD74" s="56">
        <v>3529</v>
      </c>
      <c r="CE74" s="56">
        <v>3350</v>
      </c>
      <c r="CF74" s="56">
        <v>1935.5</v>
      </c>
      <c r="CG74" s="56">
        <v>5029.68</v>
      </c>
      <c r="CH74" s="56">
        <v>3284.9</v>
      </c>
      <c r="CI74" s="56">
        <v>3755</v>
      </c>
      <c r="CJ74" s="56">
        <v>1884.5</v>
      </c>
      <c r="CK74" s="56">
        <v>3279</v>
      </c>
      <c r="CL74" s="56">
        <v>0</v>
      </c>
      <c r="CM74" s="56">
        <v>2023</v>
      </c>
      <c r="CN74" s="56">
        <v>0</v>
      </c>
      <c r="CO74" s="56">
        <v>2682</v>
      </c>
      <c r="CP74" s="56">
        <v>3665.5</v>
      </c>
      <c r="CQ74" s="56">
        <v>1509.5</v>
      </c>
      <c r="CR74" s="56">
        <v>8148.5</v>
      </c>
      <c r="CS74" s="56">
        <v>797.6</v>
      </c>
      <c r="CT74" s="56">
        <v>2693.9</v>
      </c>
      <c r="CU74" s="56">
        <v>1613</v>
      </c>
      <c r="CV74" s="56">
        <v>0</v>
      </c>
      <c r="CW74" s="56">
        <v>0</v>
      </c>
      <c r="CX74" s="56">
        <v>2350</v>
      </c>
      <c r="CY74" s="56">
        <v>8649.7999999999993</v>
      </c>
      <c r="CZ74" s="56">
        <v>3985.4</v>
      </c>
      <c r="DA74" s="56">
        <v>2617.7800000000002</v>
      </c>
      <c r="DB74" s="56">
        <v>1666</v>
      </c>
      <c r="DC74" s="65">
        <v>2574.5300000000002</v>
      </c>
    </row>
    <row r="75" spans="1:120">
      <c r="A75" s="47" t="s">
        <v>109</v>
      </c>
      <c r="B75" s="56">
        <v>491910.59</v>
      </c>
      <c r="C75" s="56">
        <v>197928.18</v>
      </c>
      <c r="D75" s="56">
        <v>202100.83</v>
      </c>
      <c r="E75" s="56">
        <v>6946.63</v>
      </c>
      <c r="F75" s="56">
        <v>2509.71</v>
      </c>
      <c r="G75" s="56">
        <v>6567.8</v>
      </c>
      <c r="H75" s="56">
        <v>310.89999999999998</v>
      </c>
      <c r="I75" s="56">
        <v>1000</v>
      </c>
      <c r="J75" s="56">
        <v>63159.62</v>
      </c>
      <c r="K75" s="56">
        <v>4784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223.92</v>
      </c>
      <c r="S75" s="56">
        <v>3827</v>
      </c>
      <c r="T75" s="56">
        <v>0</v>
      </c>
      <c r="U75" s="56">
        <v>0</v>
      </c>
      <c r="V75" s="56">
        <v>0</v>
      </c>
      <c r="W75" s="56">
        <v>0</v>
      </c>
      <c r="X75" s="56">
        <v>1046.8699999999999</v>
      </c>
      <c r="Y75" s="56">
        <v>0</v>
      </c>
      <c r="Z75" s="56">
        <v>1392.19</v>
      </c>
      <c r="AA75" s="56">
        <v>0</v>
      </c>
      <c r="AB75" s="56">
        <v>898.19</v>
      </c>
      <c r="AC75" s="56">
        <v>935.19</v>
      </c>
      <c r="AD75" s="56">
        <v>2674.19</v>
      </c>
      <c r="AE75" s="56">
        <v>0</v>
      </c>
      <c r="AF75" s="56">
        <v>1930</v>
      </c>
      <c r="AG75" s="56">
        <v>156271.1</v>
      </c>
      <c r="AH75" s="56">
        <v>26030</v>
      </c>
      <c r="AI75" s="56">
        <v>17869.73</v>
      </c>
      <c r="AJ75" s="56">
        <v>2552</v>
      </c>
      <c r="AK75" s="56">
        <v>1462.81</v>
      </c>
      <c r="AL75" s="56">
        <v>0</v>
      </c>
      <c r="AM75" s="56">
        <v>1046.9000000000001</v>
      </c>
      <c r="AN75" s="56">
        <v>0</v>
      </c>
      <c r="AO75" s="56">
        <v>0</v>
      </c>
      <c r="AP75" s="56">
        <v>316</v>
      </c>
      <c r="AQ75" s="56">
        <v>0</v>
      </c>
      <c r="AR75" s="56">
        <v>0</v>
      </c>
      <c r="AS75" s="56">
        <v>0</v>
      </c>
      <c r="AT75" s="56">
        <v>23604</v>
      </c>
      <c r="AU75" s="56">
        <v>10396</v>
      </c>
      <c r="AV75" s="56">
        <v>2700</v>
      </c>
      <c r="AW75" s="56">
        <v>12755.99</v>
      </c>
      <c r="AX75" s="56">
        <v>7562.79</v>
      </c>
      <c r="AY75" s="56">
        <v>14975.64</v>
      </c>
      <c r="AZ75" s="56">
        <v>0</v>
      </c>
      <c r="BA75" s="56">
        <v>1984.5</v>
      </c>
      <c r="BB75" s="56">
        <v>2905.47</v>
      </c>
      <c r="BC75" s="56">
        <v>90.2</v>
      </c>
      <c r="BD75" s="56">
        <v>16714.900000000001</v>
      </c>
      <c r="BE75" s="56">
        <v>2801.8</v>
      </c>
      <c r="BF75" s="56">
        <v>5920.5</v>
      </c>
      <c r="BG75" s="56">
        <v>1215.9000000000001</v>
      </c>
      <c r="BH75" s="56">
        <v>2655.81</v>
      </c>
      <c r="BI75" s="56">
        <v>0</v>
      </c>
      <c r="BJ75" s="56">
        <v>0</v>
      </c>
      <c r="BK75" s="56">
        <v>13150.7</v>
      </c>
      <c r="BL75" s="56">
        <v>0</v>
      </c>
      <c r="BM75" s="56">
        <v>0</v>
      </c>
      <c r="BN75" s="56">
        <v>12786</v>
      </c>
      <c r="BO75" s="56">
        <v>5951</v>
      </c>
      <c r="BP75" s="56">
        <v>3132.6</v>
      </c>
      <c r="BQ75" s="56">
        <v>3424.28</v>
      </c>
      <c r="BR75" s="56">
        <v>0</v>
      </c>
      <c r="BS75" s="56">
        <v>0</v>
      </c>
      <c r="BT75" s="56">
        <v>0</v>
      </c>
      <c r="BU75" s="56">
        <v>620.29999999999995</v>
      </c>
      <c r="BV75" s="56">
        <v>767.5</v>
      </c>
      <c r="BW75" s="56">
        <v>150</v>
      </c>
      <c r="BX75" s="56">
        <v>537.46</v>
      </c>
      <c r="BY75" s="56">
        <v>9219</v>
      </c>
      <c r="BZ75" s="56">
        <v>0</v>
      </c>
      <c r="CA75" s="56">
        <v>0</v>
      </c>
      <c r="CB75" s="56">
        <v>0</v>
      </c>
      <c r="CC75" s="56">
        <v>3918.3</v>
      </c>
      <c r="CD75" s="56">
        <v>0</v>
      </c>
      <c r="CE75" s="56">
        <v>2059.6999999999998</v>
      </c>
      <c r="CF75" s="56">
        <v>1179.7</v>
      </c>
      <c r="CG75" s="56">
        <v>1334</v>
      </c>
      <c r="CH75" s="56">
        <v>293.97000000000003</v>
      </c>
      <c r="CI75" s="56">
        <v>540.29999999999995</v>
      </c>
      <c r="CJ75" s="56">
        <v>0</v>
      </c>
      <c r="CK75" s="56">
        <v>0</v>
      </c>
      <c r="CL75" s="56">
        <v>0</v>
      </c>
      <c r="CM75" s="56">
        <v>0</v>
      </c>
      <c r="CN75" s="56">
        <v>0</v>
      </c>
      <c r="CO75" s="56">
        <v>3379.3</v>
      </c>
      <c r="CP75" s="56">
        <v>1526.9</v>
      </c>
      <c r="CQ75" s="56">
        <v>452.9</v>
      </c>
      <c r="CR75" s="56">
        <v>4998.8999999999996</v>
      </c>
      <c r="CS75" s="56">
        <v>1178.68</v>
      </c>
      <c r="CT75" s="56">
        <v>0</v>
      </c>
      <c r="CU75" s="56">
        <v>3400.65</v>
      </c>
      <c r="CV75" s="56">
        <v>0</v>
      </c>
      <c r="CW75" s="56">
        <v>5913.9</v>
      </c>
      <c r="CX75" s="56">
        <v>123</v>
      </c>
      <c r="CY75" s="56">
        <v>0</v>
      </c>
      <c r="CZ75" s="56">
        <v>4304</v>
      </c>
      <c r="DA75" s="56">
        <v>2334.13</v>
      </c>
      <c r="DB75" s="56">
        <v>0</v>
      </c>
      <c r="DC75" s="65">
        <v>4651.51</v>
      </c>
    </row>
    <row r="76" spans="1:120">
      <c r="A76" s="47" t="s">
        <v>110</v>
      </c>
      <c r="B76" s="56">
        <v>144195.46</v>
      </c>
      <c r="C76" s="56">
        <v>69619.45</v>
      </c>
      <c r="D76" s="56">
        <v>52170</v>
      </c>
      <c r="E76" s="56">
        <v>480</v>
      </c>
      <c r="F76" s="56">
        <v>0</v>
      </c>
      <c r="G76" s="56">
        <v>0</v>
      </c>
      <c r="H76" s="56">
        <v>0</v>
      </c>
      <c r="I76" s="56">
        <v>0</v>
      </c>
      <c r="J76" s="56">
        <v>3430</v>
      </c>
      <c r="K76" s="56">
        <v>4670.37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13825.64</v>
      </c>
      <c r="V76" s="56">
        <v>0</v>
      </c>
      <c r="W76" s="56">
        <v>0</v>
      </c>
      <c r="X76" s="56">
        <v>0</v>
      </c>
      <c r="Y76" s="56">
        <v>0</v>
      </c>
      <c r="Z76" s="56">
        <v>480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42121</v>
      </c>
      <c r="AH76" s="56">
        <v>9410</v>
      </c>
      <c r="AI76" s="56">
        <v>639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750</v>
      </c>
      <c r="AQ76" s="56">
        <v>0</v>
      </c>
      <c r="AR76" s="56">
        <v>0</v>
      </c>
      <c r="AS76" s="56">
        <v>0</v>
      </c>
      <c r="AT76" s="56">
        <v>0</v>
      </c>
      <c r="AU76" s="56">
        <v>0</v>
      </c>
      <c r="AV76" s="56">
        <v>2495</v>
      </c>
      <c r="AW76" s="56">
        <v>3085.47</v>
      </c>
      <c r="AX76" s="56">
        <v>3573.5</v>
      </c>
      <c r="AY76" s="56">
        <v>780.6</v>
      </c>
      <c r="AZ76" s="56">
        <v>0</v>
      </c>
      <c r="BA76" s="56">
        <v>9295</v>
      </c>
      <c r="BB76" s="56">
        <v>4791.5600000000004</v>
      </c>
      <c r="BC76" s="56">
        <v>1778.42</v>
      </c>
      <c r="BD76" s="56">
        <v>358.37</v>
      </c>
      <c r="BE76" s="56">
        <v>0</v>
      </c>
      <c r="BF76" s="56">
        <v>400</v>
      </c>
      <c r="BG76" s="56">
        <v>0</v>
      </c>
      <c r="BH76" s="56">
        <v>3742.92</v>
      </c>
      <c r="BI76" s="56">
        <v>0</v>
      </c>
      <c r="BJ76" s="56">
        <v>0</v>
      </c>
      <c r="BK76" s="56">
        <v>1691</v>
      </c>
      <c r="BL76" s="56">
        <v>0</v>
      </c>
      <c r="BM76" s="56">
        <v>0</v>
      </c>
      <c r="BN76" s="56">
        <v>0</v>
      </c>
      <c r="BO76" s="56">
        <v>2347.52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1059.5</v>
      </c>
      <c r="BV76" s="56">
        <v>0</v>
      </c>
      <c r="BW76" s="56">
        <v>1082.05</v>
      </c>
      <c r="BX76" s="56">
        <v>190</v>
      </c>
      <c r="BY76" s="56">
        <v>10163</v>
      </c>
      <c r="BZ76" s="56">
        <v>0</v>
      </c>
      <c r="CA76" s="56">
        <v>0</v>
      </c>
      <c r="CB76" s="56">
        <v>0</v>
      </c>
      <c r="CC76" s="56">
        <v>0</v>
      </c>
      <c r="CD76" s="56">
        <v>335.24</v>
      </c>
      <c r="CE76" s="56">
        <v>2023.6</v>
      </c>
      <c r="CF76" s="56">
        <v>0</v>
      </c>
      <c r="CG76" s="56">
        <v>0</v>
      </c>
      <c r="CH76" s="56">
        <v>0</v>
      </c>
      <c r="CI76" s="56">
        <v>6538.5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2399.4</v>
      </c>
      <c r="CQ76" s="56">
        <v>1000</v>
      </c>
      <c r="CR76" s="56">
        <v>0</v>
      </c>
      <c r="CS76" s="56">
        <v>0</v>
      </c>
      <c r="CT76" s="56">
        <v>2646.8</v>
      </c>
      <c r="CU76" s="56">
        <v>1894</v>
      </c>
      <c r="CV76" s="56">
        <v>0</v>
      </c>
      <c r="CW76" s="56">
        <v>1600</v>
      </c>
      <c r="CX76" s="56">
        <v>0</v>
      </c>
      <c r="CY76" s="56">
        <v>368</v>
      </c>
      <c r="CZ76" s="56">
        <v>1730</v>
      </c>
      <c r="DA76" s="56">
        <v>1500</v>
      </c>
      <c r="DB76" s="56">
        <v>0</v>
      </c>
      <c r="DC76" s="65">
        <v>0</v>
      </c>
    </row>
    <row r="77" spans="1:120">
      <c r="A77" s="47" t="s">
        <v>111</v>
      </c>
      <c r="B77" s="56">
        <v>193295.3</v>
      </c>
      <c r="C77" s="56">
        <v>59443.54</v>
      </c>
      <c r="D77" s="56">
        <v>3800</v>
      </c>
      <c r="E77" s="56">
        <v>0</v>
      </c>
      <c r="F77" s="56">
        <v>0</v>
      </c>
      <c r="G77" s="56">
        <v>0</v>
      </c>
      <c r="H77" s="56">
        <v>110968.94</v>
      </c>
      <c r="I77" s="56">
        <v>17572.82</v>
      </c>
      <c r="J77" s="56">
        <v>1510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3800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6">
        <v>14532.04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3350</v>
      </c>
      <c r="BE77" s="56">
        <v>5631.07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6833.4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240</v>
      </c>
      <c r="BR77" s="56">
        <v>2333.33</v>
      </c>
      <c r="BS77" s="56">
        <v>0</v>
      </c>
      <c r="BT77" s="56">
        <v>0</v>
      </c>
      <c r="BU77" s="56">
        <v>0</v>
      </c>
      <c r="BV77" s="56">
        <v>-188.3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3519</v>
      </c>
      <c r="CE77" s="56">
        <v>0</v>
      </c>
      <c r="CF77" s="56">
        <v>4041</v>
      </c>
      <c r="CG77" s="56">
        <v>0</v>
      </c>
      <c r="CH77" s="56">
        <v>0</v>
      </c>
      <c r="CI77" s="56">
        <v>9181</v>
      </c>
      <c r="CJ77" s="56">
        <v>0</v>
      </c>
      <c r="CK77" s="56">
        <v>300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340</v>
      </c>
      <c r="CV77" s="56">
        <v>0</v>
      </c>
      <c r="CW77" s="56">
        <v>0</v>
      </c>
      <c r="CX77" s="56">
        <v>0</v>
      </c>
      <c r="CY77" s="56">
        <v>779</v>
      </c>
      <c r="CZ77" s="56">
        <v>2000</v>
      </c>
      <c r="DA77" s="56">
        <v>0</v>
      </c>
      <c r="DB77" s="56">
        <v>0</v>
      </c>
      <c r="DC77" s="65">
        <v>6552</v>
      </c>
    </row>
    <row r="78" spans="1:120">
      <c r="A78" s="47" t="s">
        <v>112</v>
      </c>
      <c r="B78" s="56">
        <v>-185547.17</v>
      </c>
      <c r="C78" s="56">
        <v>3698.11</v>
      </c>
      <c r="D78" s="56">
        <v>0</v>
      </c>
      <c r="E78" s="56">
        <v>-260000</v>
      </c>
      <c r="F78" s="56">
        <v>70754.720000000001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-260000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70754.720000000001</v>
      </c>
      <c r="AL78" s="56">
        <v>0</v>
      </c>
      <c r="AM78" s="56">
        <v>0</v>
      </c>
      <c r="AN78" s="56">
        <v>0</v>
      </c>
      <c r="AO78" s="56">
        <v>3698.11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65">
        <v>0</v>
      </c>
    </row>
    <row r="79" spans="1:120">
      <c r="A79" s="47" t="s">
        <v>113</v>
      </c>
      <c r="B79" s="56">
        <v>423036.14</v>
      </c>
      <c r="C79" s="56">
        <v>116177.13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229932.59</v>
      </c>
      <c r="K79" s="56">
        <v>0</v>
      </c>
      <c r="L79" s="56">
        <v>0</v>
      </c>
      <c r="M79" s="56">
        <v>0</v>
      </c>
      <c r="N79" s="56">
        <v>0</v>
      </c>
      <c r="O79" s="56">
        <v>70226.42</v>
      </c>
      <c r="P79" s="56">
        <v>0</v>
      </c>
      <c r="Q79" s="56">
        <v>0</v>
      </c>
      <c r="R79" s="56">
        <v>0</v>
      </c>
      <c r="S79" s="56">
        <v>6700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88448.51</v>
      </c>
      <c r="AP79" s="56">
        <v>0</v>
      </c>
      <c r="AQ79" s="56">
        <v>0</v>
      </c>
      <c r="AR79" s="56">
        <v>0</v>
      </c>
      <c r="AS79" s="56">
        <v>21879.56</v>
      </c>
      <c r="AT79" s="56">
        <v>0</v>
      </c>
      <c r="AU79" s="56">
        <v>0</v>
      </c>
      <c r="AV79" s="56">
        <v>5849.06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65">
        <v>0</v>
      </c>
    </row>
    <row r="80" spans="1:120">
      <c r="A80" s="47" t="s">
        <v>114</v>
      </c>
      <c r="B80" s="56">
        <v>28047.93</v>
      </c>
      <c r="C80" s="56">
        <v>7703.19</v>
      </c>
      <c r="D80" s="56">
        <v>20296.740000000002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48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17316.580000000002</v>
      </c>
      <c r="AH80" s="56">
        <v>1152</v>
      </c>
      <c r="AI80" s="56">
        <v>1828.16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120</v>
      </c>
      <c r="AV80" s="56">
        <v>0</v>
      </c>
      <c r="AW80" s="56">
        <v>0</v>
      </c>
      <c r="AX80" s="56">
        <v>0</v>
      </c>
      <c r="AY80" s="56">
        <v>2000</v>
      </c>
      <c r="AZ80" s="56">
        <v>150</v>
      </c>
      <c r="BA80" s="56">
        <v>0</v>
      </c>
      <c r="BB80" s="56">
        <v>0</v>
      </c>
      <c r="BC80" s="56">
        <v>0</v>
      </c>
      <c r="BD80" s="56">
        <v>2489.3200000000002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970.87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1335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638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65">
        <v>0</v>
      </c>
    </row>
    <row r="81" spans="1:118">
      <c r="A81" s="47" t="s">
        <v>115</v>
      </c>
      <c r="B81" s="56">
        <v>3173.3</v>
      </c>
      <c r="C81" s="56">
        <v>2829.5</v>
      </c>
      <c r="D81" s="56">
        <v>305.8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38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305.8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2000</v>
      </c>
      <c r="BB81" s="56">
        <v>0</v>
      </c>
      <c r="BC81" s="56">
        <v>421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63.8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222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122.7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65">
        <v>0</v>
      </c>
    </row>
    <row r="82" spans="1:118">
      <c r="A82" s="47" t="s">
        <v>116</v>
      </c>
      <c r="B82" s="56">
        <v>93553.72</v>
      </c>
      <c r="C82" s="56">
        <v>28402.34</v>
      </c>
      <c r="D82" s="56">
        <v>38415.75</v>
      </c>
      <c r="E82" s="56">
        <v>7431.85</v>
      </c>
      <c r="F82" s="56">
        <v>3146.22</v>
      </c>
      <c r="G82" s="56">
        <v>4412.43</v>
      </c>
      <c r="H82" s="56">
        <v>1456</v>
      </c>
      <c r="I82" s="56">
        <v>339.95</v>
      </c>
      <c r="J82" s="56">
        <v>3082.69</v>
      </c>
      <c r="K82" s="56">
        <v>3020.7</v>
      </c>
      <c r="L82" s="56">
        <v>1450.58</v>
      </c>
      <c r="M82" s="56">
        <v>475.66</v>
      </c>
      <c r="N82" s="56">
        <v>0</v>
      </c>
      <c r="O82" s="56">
        <v>0</v>
      </c>
      <c r="P82" s="56">
        <v>0</v>
      </c>
      <c r="Q82" s="56">
        <v>378.41</v>
      </c>
      <c r="R82" s="56">
        <v>395.2</v>
      </c>
      <c r="S82" s="56">
        <v>501</v>
      </c>
      <c r="T82" s="56">
        <v>183.22</v>
      </c>
      <c r="U82" s="56">
        <v>252.86</v>
      </c>
      <c r="V82" s="56">
        <v>0</v>
      </c>
      <c r="W82" s="56">
        <v>0</v>
      </c>
      <c r="X82" s="56">
        <v>562.20000000000005</v>
      </c>
      <c r="Y82" s="56">
        <v>0</v>
      </c>
      <c r="Z82" s="56">
        <v>2100.9699999999998</v>
      </c>
      <c r="AA82" s="56">
        <v>0</v>
      </c>
      <c r="AB82" s="56">
        <v>1904.36</v>
      </c>
      <c r="AC82" s="56">
        <v>2301.2199999999998</v>
      </c>
      <c r="AD82" s="56">
        <v>563.1</v>
      </c>
      <c r="AE82" s="56">
        <v>0</v>
      </c>
      <c r="AF82" s="56">
        <v>1243.1099999999999</v>
      </c>
      <c r="AG82" s="56">
        <v>21096.3</v>
      </c>
      <c r="AH82" s="56">
        <v>2231</v>
      </c>
      <c r="AI82" s="56">
        <v>13845.34</v>
      </c>
      <c r="AJ82" s="56">
        <v>208.86</v>
      </c>
      <c r="AK82" s="56">
        <v>1338.77</v>
      </c>
      <c r="AL82" s="56">
        <v>655.23</v>
      </c>
      <c r="AM82" s="56">
        <v>1152.22</v>
      </c>
      <c r="AN82" s="56">
        <v>0</v>
      </c>
      <c r="AO82" s="56">
        <v>0</v>
      </c>
      <c r="AP82" s="56">
        <v>794.32</v>
      </c>
      <c r="AQ82" s="56">
        <v>447.26</v>
      </c>
      <c r="AR82" s="56">
        <v>0</v>
      </c>
      <c r="AS82" s="56">
        <v>105.34</v>
      </c>
      <c r="AT82" s="56">
        <v>86</v>
      </c>
      <c r="AU82" s="56">
        <v>950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56</v>
      </c>
      <c r="BB82" s="56">
        <v>879</v>
      </c>
      <c r="BC82" s="56">
        <v>715</v>
      </c>
      <c r="BD82" s="56">
        <v>203</v>
      </c>
      <c r="BE82" s="56">
        <v>234</v>
      </c>
      <c r="BF82" s="56">
        <v>856.6</v>
      </c>
      <c r="BG82" s="56">
        <v>1215.5999999999999</v>
      </c>
      <c r="BH82" s="56">
        <v>542</v>
      </c>
      <c r="BI82" s="56">
        <v>0</v>
      </c>
      <c r="BJ82" s="56">
        <v>0</v>
      </c>
      <c r="BK82" s="56">
        <v>26</v>
      </c>
      <c r="BL82" s="56">
        <v>0</v>
      </c>
      <c r="BM82" s="56">
        <v>0</v>
      </c>
      <c r="BN82" s="56">
        <v>427</v>
      </c>
      <c r="BO82" s="56">
        <v>501.5</v>
      </c>
      <c r="BP82" s="56">
        <v>655</v>
      </c>
      <c r="BQ82" s="56">
        <v>211</v>
      </c>
      <c r="BR82" s="56">
        <v>0</v>
      </c>
      <c r="BS82" s="56">
        <v>0</v>
      </c>
      <c r="BT82" s="56">
        <v>0</v>
      </c>
      <c r="BU82" s="56">
        <v>559</v>
      </c>
      <c r="BV82" s="56">
        <v>0</v>
      </c>
      <c r="BW82" s="56">
        <v>1999.5</v>
      </c>
      <c r="BX82" s="56">
        <v>400.6</v>
      </c>
      <c r="BY82" s="56">
        <v>418</v>
      </c>
      <c r="BZ82" s="56">
        <v>0</v>
      </c>
      <c r="CA82" s="56">
        <v>0</v>
      </c>
      <c r="CB82" s="56">
        <v>198</v>
      </c>
      <c r="CC82" s="56">
        <v>5631.3</v>
      </c>
      <c r="CD82" s="56">
        <v>0</v>
      </c>
      <c r="CE82" s="56">
        <v>1982.3</v>
      </c>
      <c r="CF82" s="56">
        <v>0</v>
      </c>
      <c r="CG82" s="56">
        <v>0</v>
      </c>
      <c r="CH82" s="56">
        <v>863.8</v>
      </c>
      <c r="CI82" s="56">
        <v>1064</v>
      </c>
      <c r="CJ82" s="56">
        <v>745.9</v>
      </c>
      <c r="CK82" s="56">
        <v>89</v>
      </c>
      <c r="CL82" s="56">
        <v>147</v>
      </c>
      <c r="CM82" s="56">
        <v>458.2</v>
      </c>
      <c r="CN82" s="56">
        <v>0</v>
      </c>
      <c r="CO82" s="56">
        <v>0</v>
      </c>
      <c r="CP82" s="56">
        <v>0</v>
      </c>
      <c r="CQ82" s="56">
        <v>629.5</v>
      </c>
      <c r="CR82" s="56">
        <v>0</v>
      </c>
      <c r="CS82" s="56">
        <v>386.9</v>
      </c>
      <c r="CT82" s="56">
        <v>281.2</v>
      </c>
      <c r="CU82" s="56">
        <v>1626.9</v>
      </c>
      <c r="CV82" s="56">
        <v>0</v>
      </c>
      <c r="CW82" s="56">
        <v>745.66</v>
      </c>
      <c r="CX82" s="56">
        <v>141.52000000000001</v>
      </c>
      <c r="CY82" s="56">
        <v>0</v>
      </c>
      <c r="CZ82" s="56">
        <v>734.44</v>
      </c>
      <c r="DA82" s="56">
        <v>0</v>
      </c>
      <c r="DB82" s="56">
        <v>395</v>
      </c>
      <c r="DC82" s="65">
        <v>0</v>
      </c>
    </row>
    <row r="83" spans="1:118">
      <c r="A83" s="47" t="s">
        <v>117</v>
      </c>
      <c r="B83" s="56">
        <v>180514.13</v>
      </c>
      <c r="C83" s="56">
        <v>53938.98</v>
      </c>
      <c r="D83" s="56">
        <v>16544</v>
      </c>
      <c r="E83" s="56">
        <v>9368</v>
      </c>
      <c r="F83" s="56">
        <v>27040</v>
      </c>
      <c r="G83" s="56">
        <v>62171.61</v>
      </c>
      <c r="H83" s="56">
        <v>0</v>
      </c>
      <c r="I83" s="56">
        <v>0</v>
      </c>
      <c r="J83" s="56">
        <v>-31438.48</v>
      </c>
      <c r="K83" s="56">
        <v>2330</v>
      </c>
      <c r="L83" s="56">
        <v>0</v>
      </c>
      <c r="M83" s="56">
        <v>0</v>
      </c>
      <c r="N83" s="56">
        <v>18560.02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20000</v>
      </c>
      <c r="W83" s="56">
        <v>0</v>
      </c>
      <c r="X83" s="56">
        <v>7543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1825</v>
      </c>
      <c r="AE83" s="56">
        <v>0</v>
      </c>
      <c r="AF83" s="56">
        <v>8017</v>
      </c>
      <c r="AG83" s="56">
        <v>2482</v>
      </c>
      <c r="AH83" s="56">
        <v>1345</v>
      </c>
      <c r="AI83" s="56">
        <v>4700</v>
      </c>
      <c r="AJ83" s="56">
        <v>2000</v>
      </c>
      <c r="AK83" s="56">
        <v>0</v>
      </c>
      <c r="AL83" s="56">
        <v>27040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6927.36</v>
      </c>
      <c r="AU83" s="56">
        <v>0</v>
      </c>
      <c r="AV83" s="56">
        <v>3135</v>
      </c>
      <c r="AW83" s="56">
        <v>0</v>
      </c>
      <c r="AX83" s="56">
        <v>900</v>
      </c>
      <c r="AY83" s="56">
        <v>1900</v>
      </c>
      <c r="AZ83" s="56">
        <v>2273.4</v>
      </c>
      <c r="BA83" s="56">
        <v>4055</v>
      </c>
      <c r="BB83" s="56">
        <v>1791</v>
      </c>
      <c r="BC83" s="56">
        <v>0</v>
      </c>
      <c r="BD83" s="56">
        <v>3511.22</v>
      </c>
      <c r="BE83" s="56">
        <v>0</v>
      </c>
      <c r="BF83" s="56">
        <v>0</v>
      </c>
      <c r="BG83" s="56">
        <v>0</v>
      </c>
      <c r="BH83" s="56">
        <v>2907</v>
      </c>
      <c r="BI83" s="56">
        <v>1395</v>
      </c>
      <c r="BJ83" s="56">
        <v>0</v>
      </c>
      <c r="BK83" s="56">
        <v>2199</v>
      </c>
      <c r="BL83" s="56">
        <v>0</v>
      </c>
      <c r="BM83" s="56">
        <v>0</v>
      </c>
      <c r="BN83" s="56">
        <v>0</v>
      </c>
      <c r="BO83" s="56">
        <v>0</v>
      </c>
      <c r="BP83" s="56">
        <v>3724</v>
      </c>
      <c r="BQ83" s="56">
        <v>1300</v>
      </c>
      <c r="BR83" s="56">
        <v>0</v>
      </c>
      <c r="BS83" s="56">
        <v>0</v>
      </c>
      <c r="BT83" s="56">
        <v>774</v>
      </c>
      <c r="BU83" s="56">
        <v>5813</v>
      </c>
      <c r="BV83" s="56">
        <v>0</v>
      </c>
      <c r="BW83" s="56">
        <v>0</v>
      </c>
      <c r="BX83" s="56">
        <v>0</v>
      </c>
      <c r="BY83" s="56">
        <v>2000</v>
      </c>
      <c r="BZ83" s="56">
        <v>0</v>
      </c>
      <c r="CA83" s="56">
        <v>0</v>
      </c>
      <c r="CB83" s="56">
        <v>3600</v>
      </c>
      <c r="CC83" s="56">
        <v>1658</v>
      </c>
      <c r="CD83" s="56">
        <v>685</v>
      </c>
      <c r="CE83" s="56">
        <v>1611</v>
      </c>
      <c r="CF83" s="56">
        <v>0</v>
      </c>
      <c r="CG83" s="56">
        <v>0</v>
      </c>
      <c r="CH83" s="56">
        <v>0</v>
      </c>
      <c r="CI83" s="56">
        <v>40</v>
      </c>
      <c r="CJ83" s="56">
        <v>0</v>
      </c>
      <c r="CK83" s="56">
        <v>1310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430</v>
      </c>
      <c r="DC83" s="65">
        <v>0</v>
      </c>
    </row>
    <row r="84" spans="1:118">
      <c r="A84" s="47" t="s">
        <v>118</v>
      </c>
      <c r="B84" s="56">
        <v>659694.64</v>
      </c>
      <c r="C84" s="56">
        <v>659694.64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12060</v>
      </c>
      <c r="AU84" s="56">
        <v>9010</v>
      </c>
      <c r="AV84" s="56">
        <v>34989</v>
      </c>
      <c r="AW84" s="56">
        <v>16402.82</v>
      </c>
      <c r="AX84" s="56">
        <v>20330</v>
      </c>
      <c r="AY84" s="56">
        <v>78373.5</v>
      </c>
      <c r="AZ84" s="56">
        <v>1200</v>
      </c>
      <c r="BA84" s="56">
        <v>56730</v>
      </c>
      <c r="BB84" s="56">
        <v>21600</v>
      </c>
      <c r="BC84" s="56">
        <v>5570</v>
      </c>
      <c r="BD84" s="56">
        <v>32900</v>
      </c>
      <c r="BE84" s="56">
        <v>18250</v>
      </c>
      <c r="BF84" s="56">
        <v>20320</v>
      </c>
      <c r="BG84" s="56">
        <v>400</v>
      </c>
      <c r="BH84" s="56">
        <v>3239</v>
      </c>
      <c r="BI84" s="56">
        <v>3038</v>
      </c>
      <c r="BJ84" s="56">
        <v>1460</v>
      </c>
      <c r="BK84" s="56">
        <v>13274.34</v>
      </c>
      <c r="BL84" s="56">
        <v>26893.55</v>
      </c>
      <c r="BM84" s="56">
        <v>766.48</v>
      </c>
      <c r="BN84" s="56">
        <v>34915</v>
      </c>
      <c r="BO84" s="56">
        <v>0</v>
      </c>
      <c r="BP84" s="56">
        <v>30612</v>
      </c>
      <c r="BQ84" s="56">
        <v>6870</v>
      </c>
      <c r="BR84" s="56">
        <v>0</v>
      </c>
      <c r="BS84" s="56">
        <v>400</v>
      </c>
      <c r="BT84" s="56">
        <v>0</v>
      </c>
      <c r="BU84" s="56">
        <v>2500</v>
      </c>
      <c r="BV84" s="56">
        <v>18277</v>
      </c>
      <c r="BW84" s="56">
        <v>1520</v>
      </c>
      <c r="BX84" s="56">
        <v>13670</v>
      </c>
      <c r="BY84" s="56">
        <v>2740</v>
      </c>
      <c r="BZ84" s="56">
        <v>160</v>
      </c>
      <c r="CA84" s="56">
        <v>14020</v>
      </c>
      <c r="CB84" s="56">
        <v>11980</v>
      </c>
      <c r="CC84" s="56">
        <v>106714.51</v>
      </c>
      <c r="CD84" s="56">
        <v>11200</v>
      </c>
      <c r="CE84" s="56">
        <v>6994</v>
      </c>
      <c r="CF84" s="56">
        <v>0</v>
      </c>
      <c r="CG84" s="56">
        <v>0</v>
      </c>
      <c r="CH84" s="56">
        <v>2740</v>
      </c>
      <c r="CI84" s="56">
        <v>0</v>
      </c>
      <c r="CJ84" s="56">
        <v>528</v>
      </c>
      <c r="CK84" s="56">
        <v>0</v>
      </c>
      <c r="CL84" s="56">
        <v>0</v>
      </c>
      <c r="CM84" s="56">
        <v>5399</v>
      </c>
      <c r="CN84" s="56">
        <v>0</v>
      </c>
      <c r="CO84" s="56">
        <v>0</v>
      </c>
      <c r="CP84" s="56">
        <v>355.74</v>
      </c>
      <c r="CQ84" s="56">
        <v>3996.8</v>
      </c>
      <c r="CR84" s="56">
        <v>0</v>
      </c>
      <c r="CS84" s="56">
        <v>0</v>
      </c>
      <c r="CT84" s="56">
        <v>0</v>
      </c>
      <c r="CU84" s="56">
        <v>1070</v>
      </c>
      <c r="CV84" s="56">
        <v>0</v>
      </c>
      <c r="CW84" s="56">
        <v>0</v>
      </c>
      <c r="CX84" s="56">
        <v>0</v>
      </c>
      <c r="CY84" s="56">
        <v>0</v>
      </c>
      <c r="CZ84" s="56">
        <v>0</v>
      </c>
      <c r="DA84" s="56">
        <v>0</v>
      </c>
      <c r="DB84" s="56">
        <v>1950</v>
      </c>
      <c r="DC84" s="65">
        <v>4275.8999999999996</v>
      </c>
    </row>
    <row r="85" spans="1:118">
      <c r="A85" s="47" t="s">
        <v>119</v>
      </c>
      <c r="B85" s="56">
        <v>81569.91</v>
      </c>
      <c r="C85" s="56">
        <v>51249.91</v>
      </c>
      <c r="D85" s="56">
        <v>0</v>
      </c>
      <c r="E85" s="56">
        <v>0</v>
      </c>
      <c r="F85" s="56">
        <v>4520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25800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4520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2700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3800</v>
      </c>
      <c r="BE85" s="56">
        <v>0</v>
      </c>
      <c r="BF85" s="56">
        <v>1550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38834.949999999997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2800</v>
      </c>
      <c r="CC85" s="56">
        <v>1564.96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65">
        <v>0</v>
      </c>
    </row>
    <row r="86" spans="1:118" s="49" customFormat="1">
      <c r="A86" s="57" t="s">
        <v>99</v>
      </c>
      <c r="B86" s="58">
        <v>5276212.25</v>
      </c>
      <c r="C86" s="58">
        <v>2278744.4500000002</v>
      </c>
      <c r="D86" s="58">
        <v>1227130.75</v>
      </c>
      <c r="E86" s="58">
        <v>48145.32</v>
      </c>
      <c r="F86" s="58">
        <v>237473.18</v>
      </c>
      <c r="G86" s="58">
        <v>164608.85999999999</v>
      </c>
      <c r="H86" s="58">
        <v>383058.84</v>
      </c>
      <c r="I86" s="58">
        <v>27103.98</v>
      </c>
      <c r="J86" s="58">
        <v>378855.76</v>
      </c>
      <c r="K86" s="58">
        <v>31891</v>
      </c>
      <c r="L86" s="58">
        <v>42099.66</v>
      </c>
      <c r="M86" s="58">
        <v>25265.599999999999</v>
      </c>
      <c r="N86" s="58">
        <v>18560.02</v>
      </c>
      <c r="O86" s="58">
        <v>99175.42</v>
      </c>
      <c r="P86" s="58">
        <v>5813</v>
      </c>
      <c r="Q86" s="58">
        <v>15194.41</v>
      </c>
      <c r="R86" s="58">
        <v>24125.15</v>
      </c>
      <c r="S86" s="58">
        <v>68620.990000000005</v>
      </c>
      <c r="T86" s="58">
        <v>4326.72</v>
      </c>
      <c r="U86" s="58">
        <v>18545.560000000001</v>
      </c>
      <c r="V86" s="58">
        <v>20000</v>
      </c>
      <c r="W86" s="58">
        <v>0</v>
      </c>
      <c r="X86" s="58">
        <v>32681.32</v>
      </c>
      <c r="Y86" s="58">
        <v>2458.4</v>
      </c>
      <c r="Z86" s="58">
        <v>-152452.34</v>
      </c>
      <c r="AA86" s="58">
        <v>3776.58</v>
      </c>
      <c r="AB86" s="58">
        <v>21744.25</v>
      </c>
      <c r="AC86" s="58">
        <v>45010.53</v>
      </c>
      <c r="AD86" s="58">
        <v>66491.48</v>
      </c>
      <c r="AE86" s="58">
        <v>28435.1</v>
      </c>
      <c r="AF86" s="58">
        <v>51675.11</v>
      </c>
      <c r="AG86" s="58">
        <v>870418.35</v>
      </c>
      <c r="AH86" s="58">
        <v>137773.54999999999</v>
      </c>
      <c r="AI86" s="58">
        <v>167263.74</v>
      </c>
      <c r="AJ86" s="58">
        <v>156696.57999999999</v>
      </c>
      <c r="AK86" s="58">
        <v>146133.99</v>
      </c>
      <c r="AL86" s="58">
        <v>67313.75</v>
      </c>
      <c r="AM86" s="58">
        <v>24025.439999999999</v>
      </c>
      <c r="AN86" s="58">
        <v>777</v>
      </c>
      <c r="AO86" s="58">
        <v>97252.94</v>
      </c>
      <c r="AP86" s="58">
        <v>34527.83</v>
      </c>
      <c r="AQ86" s="58">
        <v>39914.080000000002</v>
      </c>
      <c r="AR86" s="58">
        <v>3782.5</v>
      </c>
      <c r="AS86" s="58">
        <v>44416.98</v>
      </c>
      <c r="AT86" s="58">
        <v>97603.76</v>
      </c>
      <c r="AU86" s="58">
        <v>77357.84</v>
      </c>
      <c r="AV86" s="58">
        <v>77214.06</v>
      </c>
      <c r="AW86" s="58">
        <v>101154.09</v>
      </c>
      <c r="AX86" s="58">
        <v>37930.29</v>
      </c>
      <c r="AY86" s="58">
        <v>129972.44</v>
      </c>
      <c r="AZ86" s="58">
        <v>11673.4</v>
      </c>
      <c r="BA86" s="58">
        <v>98176</v>
      </c>
      <c r="BB86" s="58">
        <v>64873.03</v>
      </c>
      <c r="BC86" s="58">
        <v>30509.62</v>
      </c>
      <c r="BD86" s="58">
        <v>118017.75</v>
      </c>
      <c r="BE86" s="58">
        <v>34559.870000000003</v>
      </c>
      <c r="BF86" s="58">
        <v>48550.9</v>
      </c>
      <c r="BG86" s="58">
        <v>35391.58</v>
      </c>
      <c r="BH86" s="58">
        <v>20696.939999999999</v>
      </c>
      <c r="BI86" s="58">
        <v>34843.85</v>
      </c>
      <c r="BJ86" s="58">
        <v>1460</v>
      </c>
      <c r="BK86" s="58">
        <v>58079.65</v>
      </c>
      <c r="BL86" s="58">
        <v>29293.55</v>
      </c>
      <c r="BM86" s="58">
        <v>766.48</v>
      </c>
      <c r="BN86" s="58">
        <v>65326.87</v>
      </c>
      <c r="BO86" s="58">
        <v>63471.47</v>
      </c>
      <c r="BP86" s="58">
        <v>55948.02</v>
      </c>
      <c r="BQ86" s="58">
        <v>51150.28</v>
      </c>
      <c r="BR86" s="58">
        <v>2333.33</v>
      </c>
      <c r="BS86" s="58">
        <v>400</v>
      </c>
      <c r="BT86" s="58">
        <v>3461</v>
      </c>
      <c r="BU86" s="58">
        <v>17008.7</v>
      </c>
      <c r="BV86" s="58">
        <v>20409.2</v>
      </c>
      <c r="BW86" s="58">
        <v>8488.83</v>
      </c>
      <c r="BX86" s="58">
        <v>15484.86</v>
      </c>
      <c r="BY86" s="58">
        <v>34885.599999999999</v>
      </c>
      <c r="BZ86" s="58">
        <v>160</v>
      </c>
      <c r="CA86" s="58">
        <v>14020</v>
      </c>
      <c r="CB86" s="58">
        <v>30918</v>
      </c>
      <c r="CC86" s="58">
        <v>153170.26999999999</v>
      </c>
      <c r="CD86" s="58">
        <v>32734.52</v>
      </c>
      <c r="CE86" s="58">
        <v>29479.599999999999</v>
      </c>
      <c r="CF86" s="58">
        <v>18002.2</v>
      </c>
      <c r="CG86" s="58">
        <v>13527.98</v>
      </c>
      <c r="CH86" s="58">
        <v>8264.67</v>
      </c>
      <c r="CI86" s="58">
        <v>62354.16</v>
      </c>
      <c r="CJ86" s="58">
        <v>5555.4</v>
      </c>
      <c r="CK86" s="58">
        <v>9086</v>
      </c>
      <c r="CL86" s="58">
        <v>381</v>
      </c>
      <c r="CM86" s="58">
        <v>9917.2000000000007</v>
      </c>
      <c r="CN86" s="58">
        <v>0</v>
      </c>
      <c r="CO86" s="58">
        <v>6061.3</v>
      </c>
      <c r="CP86" s="58">
        <v>18208.240000000002</v>
      </c>
      <c r="CQ86" s="58">
        <v>29194.92</v>
      </c>
      <c r="CR86" s="58">
        <v>13704.4</v>
      </c>
      <c r="CS86" s="58">
        <v>7355.18</v>
      </c>
      <c r="CT86" s="58">
        <v>12715.8</v>
      </c>
      <c r="CU86" s="58">
        <v>11472.55</v>
      </c>
      <c r="CV86" s="58">
        <v>0</v>
      </c>
      <c r="CW86" s="58">
        <v>15583.56</v>
      </c>
      <c r="CX86" s="58">
        <v>26435.52</v>
      </c>
      <c r="CY86" s="58">
        <v>18393.8</v>
      </c>
      <c r="CZ86" s="58">
        <v>22570.74</v>
      </c>
      <c r="DA86" s="58">
        <v>10337.91</v>
      </c>
      <c r="DB86" s="58">
        <v>5326</v>
      </c>
      <c r="DC86" s="58">
        <v>27425.94</v>
      </c>
      <c r="DD86" s="58">
        <f t="shared" ref="DD86:DN86" si="2">SUM(DD73:DD85)</f>
        <v>0</v>
      </c>
      <c r="DE86" s="58">
        <f t="shared" si="2"/>
        <v>0</v>
      </c>
      <c r="DF86" s="58">
        <f t="shared" si="2"/>
        <v>0</v>
      </c>
      <c r="DG86" s="58">
        <f t="shared" si="2"/>
        <v>0</v>
      </c>
      <c r="DH86" s="58">
        <f t="shared" si="2"/>
        <v>0</v>
      </c>
      <c r="DI86" s="58">
        <f t="shared" si="2"/>
        <v>0</v>
      </c>
      <c r="DJ86" s="58">
        <f t="shared" si="2"/>
        <v>0</v>
      </c>
      <c r="DK86" s="58">
        <f t="shared" si="2"/>
        <v>0</v>
      </c>
      <c r="DL86" s="58">
        <f t="shared" si="2"/>
        <v>0</v>
      </c>
      <c r="DM86" s="58">
        <f t="shared" si="2"/>
        <v>0</v>
      </c>
      <c r="DN86" s="58">
        <f t="shared" si="2"/>
        <v>0</v>
      </c>
    </row>
    <row r="87" spans="1:118">
      <c r="A87" s="47" t="s">
        <v>121</v>
      </c>
      <c r="B87" s="56">
        <v>289302.98</v>
      </c>
      <c r="C87" s="56">
        <v>276427.52000000002</v>
      </c>
      <c r="D87" s="56">
        <v>0</v>
      </c>
      <c r="E87" s="56">
        <v>498.74</v>
      </c>
      <c r="F87" s="56">
        <v>12376.72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498.74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6188.36</v>
      </c>
      <c r="AL87" s="56">
        <v>6188.36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20597.919999999998</v>
      </c>
      <c r="AU87" s="56">
        <v>15497.35</v>
      </c>
      <c r="AV87" s="56">
        <v>2886.79</v>
      </c>
      <c r="AW87" s="56">
        <v>10278</v>
      </c>
      <c r="AX87" s="56">
        <v>53032.47</v>
      </c>
      <c r="AY87" s="56">
        <v>14916.41</v>
      </c>
      <c r="AZ87" s="56">
        <v>7190.84</v>
      </c>
      <c r="BA87" s="56">
        <v>457</v>
      </c>
      <c r="BB87" s="56">
        <v>151</v>
      </c>
      <c r="BC87" s="56">
        <v>8672.01</v>
      </c>
      <c r="BD87" s="56">
        <v>-7314.7</v>
      </c>
      <c r="BE87" s="56">
        <v>34560</v>
      </c>
      <c r="BF87" s="56">
        <v>33449.58</v>
      </c>
      <c r="BG87" s="56">
        <v>1637.63</v>
      </c>
      <c r="BH87" s="56">
        <v>8887.4699999999993</v>
      </c>
      <c r="BI87" s="56">
        <v>148</v>
      </c>
      <c r="BJ87" s="56">
        <v>139</v>
      </c>
      <c r="BK87" s="56">
        <v>24931.1</v>
      </c>
      <c r="BL87" s="56">
        <v>137</v>
      </c>
      <c r="BM87" s="56">
        <v>62</v>
      </c>
      <c r="BN87" s="56">
        <v>8658.4599999999991</v>
      </c>
      <c r="BO87" s="56">
        <v>141</v>
      </c>
      <c r="BP87" s="56">
        <v>847.2</v>
      </c>
      <c r="BQ87" s="56">
        <v>1552</v>
      </c>
      <c r="BR87" s="56">
        <v>1670.34</v>
      </c>
      <c r="BS87" s="56">
        <v>72</v>
      </c>
      <c r="BT87" s="56">
        <v>2432</v>
      </c>
      <c r="BU87" s="56">
        <v>1644.49</v>
      </c>
      <c r="BV87" s="56">
        <v>6089</v>
      </c>
      <c r="BW87" s="56">
        <v>39</v>
      </c>
      <c r="BX87" s="56">
        <v>1018</v>
      </c>
      <c r="BY87" s="56">
        <v>11111</v>
      </c>
      <c r="BZ87" s="56">
        <v>14</v>
      </c>
      <c r="CA87" s="56">
        <v>18</v>
      </c>
      <c r="CB87" s="56">
        <v>45</v>
      </c>
      <c r="CC87" s="56">
        <v>4696</v>
      </c>
      <c r="CD87" s="56">
        <v>3173.19</v>
      </c>
      <c r="CE87" s="56">
        <v>16</v>
      </c>
      <c r="CF87" s="56">
        <v>0</v>
      </c>
      <c r="CG87" s="56">
        <v>767.09</v>
      </c>
      <c r="CH87" s="56">
        <v>12</v>
      </c>
      <c r="CI87" s="56">
        <v>0</v>
      </c>
      <c r="CJ87" s="56">
        <v>3</v>
      </c>
      <c r="CK87" s="56">
        <v>1</v>
      </c>
      <c r="CL87" s="56">
        <v>0</v>
      </c>
      <c r="CM87" s="56">
        <v>44</v>
      </c>
      <c r="CN87" s="56">
        <v>1</v>
      </c>
      <c r="CO87" s="56">
        <v>315.83999999999997</v>
      </c>
      <c r="CP87" s="56">
        <v>3</v>
      </c>
      <c r="CQ87" s="56">
        <v>408.3</v>
      </c>
      <c r="CR87" s="56">
        <v>0</v>
      </c>
      <c r="CS87" s="56">
        <v>8</v>
      </c>
      <c r="CT87" s="56">
        <v>0</v>
      </c>
      <c r="CU87" s="56">
        <v>3</v>
      </c>
      <c r="CV87" s="56">
        <v>0</v>
      </c>
      <c r="CW87" s="56">
        <v>500</v>
      </c>
      <c r="CX87" s="56">
        <v>0</v>
      </c>
      <c r="CY87" s="56">
        <v>655.7</v>
      </c>
      <c r="CZ87" s="56">
        <v>0</v>
      </c>
      <c r="DA87" s="56">
        <v>0</v>
      </c>
      <c r="DB87" s="56">
        <v>0.24</v>
      </c>
      <c r="DC87" s="65">
        <v>151.80000000000001</v>
      </c>
    </row>
    <row r="88" spans="1:118">
      <c r="A88" s="47" t="s">
        <v>122</v>
      </c>
      <c r="B88" s="56">
        <v>221911.49</v>
      </c>
      <c r="C88" s="56">
        <v>131471.85</v>
      </c>
      <c r="D88" s="56">
        <v>7124.57</v>
      </c>
      <c r="E88" s="56">
        <v>25550.29</v>
      </c>
      <c r="F88" s="56">
        <v>10404.959999999999</v>
      </c>
      <c r="G88" s="56">
        <v>1420.07</v>
      </c>
      <c r="H88" s="56">
        <v>0</v>
      </c>
      <c r="I88" s="56">
        <v>170.75</v>
      </c>
      <c r="J88" s="56">
        <v>38194.9</v>
      </c>
      <c r="K88" s="56">
        <v>2086.79</v>
      </c>
      <c r="L88" s="56">
        <v>230.19</v>
      </c>
      <c r="M88" s="56">
        <v>658.49</v>
      </c>
      <c r="N88" s="56">
        <v>0</v>
      </c>
      <c r="O88" s="56">
        <v>137.74</v>
      </c>
      <c r="P88" s="56">
        <v>42.45</v>
      </c>
      <c r="Q88" s="56">
        <v>0</v>
      </c>
      <c r="R88" s="56">
        <v>1232.08</v>
      </c>
      <c r="S88" s="56">
        <v>1262.73</v>
      </c>
      <c r="T88" s="56">
        <v>84.91</v>
      </c>
      <c r="U88" s="56">
        <v>1082.1199999999999</v>
      </c>
      <c r="V88" s="56">
        <v>0</v>
      </c>
      <c r="W88" s="56">
        <v>0</v>
      </c>
      <c r="X88" s="56">
        <v>4253.54</v>
      </c>
      <c r="Y88" s="56">
        <v>0</v>
      </c>
      <c r="Z88" s="56">
        <v>7067.12</v>
      </c>
      <c r="AA88" s="56">
        <v>0</v>
      </c>
      <c r="AB88" s="56">
        <v>3274.48</v>
      </c>
      <c r="AC88" s="56">
        <v>6195.23</v>
      </c>
      <c r="AD88" s="56">
        <v>4739.17</v>
      </c>
      <c r="AE88" s="56">
        <v>20.75</v>
      </c>
      <c r="AF88" s="56">
        <v>694.34</v>
      </c>
      <c r="AG88" s="56">
        <v>2737.9</v>
      </c>
      <c r="AH88" s="56">
        <v>729.25</v>
      </c>
      <c r="AI88" s="56">
        <v>2963.08</v>
      </c>
      <c r="AJ88" s="56">
        <v>756.6</v>
      </c>
      <c r="AK88" s="56">
        <v>3892.77</v>
      </c>
      <c r="AL88" s="56">
        <v>5417.03</v>
      </c>
      <c r="AM88" s="56">
        <v>1095.1600000000001</v>
      </c>
      <c r="AN88" s="56">
        <v>0</v>
      </c>
      <c r="AO88" s="56">
        <v>21.7</v>
      </c>
      <c r="AP88" s="56">
        <v>836.79</v>
      </c>
      <c r="AQ88" s="56">
        <v>3949.5</v>
      </c>
      <c r="AR88" s="56">
        <v>2304.73</v>
      </c>
      <c r="AS88" s="56">
        <v>569.80999999999995</v>
      </c>
      <c r="AT88" s="56">
        <v>4341.3100000000004</v>
      </c>
      <c r="AU88" s="56">
        <v>3879.78</v>
      </c>
      <c r="AV88" s="56">
        <v>0</v>
      </c>
      <c r="AW88" s="56">
        <v>7828.39</v>
      </c>
      <c r="AX88" s="56">
        <v>2001.53</v>
      </c>
      <c r="AY88" s="56">
        <v>3499.22</v>
      </c>
      <c r="AZ88" s="56">
        <v>7312.82</v>
      </c>
      <c r="BA88" s="56">
        <v>4520.3100000000004</v>
      </c>
      <c r="BB88" s="56">
        <v>10232.43</v>
      </c>
      <c r="BC88" s="56">
        <v>6367.8</v>
      </c>
      <c r="BD88" s="56">
        <v>5402.83</v>
      </c>
      <c r="BE88" s="56">
        <v>3810</v>
      </c>
      <c r="BF88" s="56">
        <v>8085.78</v>
      </c>
      <c r="BG88" s="56">
        <v>4315.28</v>
      </c>
      <c r="BH88" s="56">
        <v>876.74</v>
      </c>
      <c r="BI88" s="56">
        <v>400</v>
      </c>
      <c r="BJ88" s="56">
        <v>2324.83</v>
      </c>
      <c r="BK88" s="56">
        <v>3289.5</v>
      </c>
      <c r="BL88" s="56">
        <v>0</v>
      </c>
      <c r="BM88" s="56">
        <v>0</v>
      </c>
      <c r="BN88" s="56">
        <v>2268.5500000000002</v>
      </c>
      <c r="BO88" s="56">
        <v>991.71</v>
      </c>
      <c r="BP88" s="56">
        <v>68</v>
      </c>
      <c r="BQ88" s="56">
        <v>25</v>
      </c>
      <c r="BR88" s="56">
        <v>0</v>
      </c>
      <c r="BS88" s="56">
        <v>1300</v>
      </c>
      <c r="BT88" s="56">
        <v>0</v>
      </c>
      <c r="BU88" s="56">
        <v>1584.64</v>
      </c>
      <c r="BV88" s="56">
        <v>53</v>
      </c>
      <c r="BW88" s="56">
        <v>15666.79</v>
      </c>
      <c r="BX88" s="56">
        <v>2700</v>
      </c>
      <c r="BY88" s="56">
        <v>0</v>
      </c>
      <c r="BZ88" s="56">
        <v>0</v>
      </c>
      <c r="CA88" s="56">
        <v>0</v>
      </c>
      <c r="CB88" s="56">
        <v>900</v>
      </c>
      <c r="CC88" s="56">
        <v>5535.04</v>
      </c>
      <c r="CD88" s="56">
        <v>3888.26</v>
      </c>
      <c r="CE88" s="56">
        <v>228</v>
      </c>
      <c r="CF88" s="56">
        <v>500</v>
      </c>
      <c r="CG88" s="56">
        <v>0</v>
      </c>
      <c r="CH88" s="56">
        <v>120</v>
      </c>
      <c r="CI88" s="56">
        <v>3190</v>
      </c>
      <c r="CJ88" s="56">
        <v>0</v>
      </c>
      <c r="CK88" s="56">
        <v>50</v>
      </c>
      <c r="CL88" s="56">
        <v>0</v>
      </c>
      <c r="CM88" s="56">
        <v>69</v>
      </c>
      <c r="CN88" s="56">
        <v>0</v>
      </c>
      <c r="CO88" s="56">
        <v>0</v>
      </c>
      <c r="CP88" s="56">
        <v>0</v>
      </c>
      <c r="CQ88" s="56">
        <v>114</v>
      </c>
      <c r="CR88" s="56">
        <v>70</v>
      </c>
      <c r="CS88" s="56">
        <v>171</v>
      </c>
      <c r="CT88" s="56">
        <v>0</v>
      </c>
      <c r="CU88" s="56">
        <v>100</v>
      </c>
      <c r="CV88" s="56">
        <v>0</v>
      </c>
      <c r="CW88" s="56">
        <v>0</v>
      </c>
      <c r="CX88" s="56">
        <v>700</v>
      </c>
      <c r="CY88" s="56">
        <v>2790</v>
      </c>
      <c r="CZ88" s="56">
        <v>208</v>
      </c>
      <c r="DA88" s="56">
        <v>0</v>
      </c>
      <c r="DB88" s="56">
        <v>1186.2</v>
      </c>
      <c r="DC88" s="65">
        <v>823.58</v>
      </c>
    </row>
    <row r="89" spans="1:118">
      <c r="A89" s="47" t="s">
        <v>123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</v>
      </c>
      <c r="CM89" s="56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  <c r="CY89" s="56">
        <v>0</v>
      </c>
      <c r="CZ89" s="56">
        <v>0</v>
      </c>
      <c r="DA89" s="56">
        <v>0</v>
      </c>
      <c r="DB89" s="56">
        <v>0</v>
      </c>
      <c r="DC89" s="65">
        <v>0</v>
      </c>
    </row>
    <row r="90" spans="1:118">
      <c r="A90" s="47" t="s">
        <v>124</v>
      </c>
      <c r="B90" s="56">
        <v>224732.38</v>
      </c>
      <c r="C90" s="56">
        <v>202299.05</v>
      </c>
      <c r="D90" s="56">
        <v>0</v>
      </c>
      <c r="E90" s="56">
        <v>-1825.4</v>
      </c>
      <c r="F90" s="56">
        <v>0</v>
      </c>
      <c r="G90" s="56">
        <v>0</v>
      </c>
      <c r="H90" s="56">
        <v>0</v>
      </c>
      <c r="I90" s="56">
        <v>0</v>
      </c>
      <c r="J90" s="56">
        <v>22433.33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-9127</v>
      </c>
      <c r="Y90" s="56">
        <v>0</v>
      </c>
      <c r="Z90" s="56">
        <v>1825.4</v>
      </c>
      <c r="AA90" s="56">
        <v>0</v>
      </c>
      <c r="AB90" s="56">
        <v>1825.4</v>
      </c>
      <c r="AC90" s="56">
        <v>1825.4</v>
      </c>
      <c r="AD90" s="56">
        <v>1825.4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1825.4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9180.65</v>
      </c>
      <c r="AU90" s="56">
        <v>658</v>
      </c>
      <c r="AV90" s="56">
        <v>3468</v>
      </c>
      <c r="AW90" s="56">
        <v>24876.14</v>
      </c>
      <c r="AX90" s="56">
        <v>7848.57</v>
      </c>
      <c r="AY90" s="56">
        <v>10723.39</v>
      </c>
      <c r="AZ90" s="56">
        <v>5238.66</v>
      </c>
      <c r="BA90" s="56">
        <v>1569</v>
      </c>
      <c r="BB90" s="56">
        <v>1182</v>
      </c>
      <c r="BC90" s="56">
        <v>14746</v>
      </c>
      <c r="BD90" s="56">
        <v>17161.91</v>
      </c>
      <c r="BE90" s="56">
        <v>13001.67</v>
      </c>
      <c r="BF90" s="56">
        <v>25290</v>
      </c>
      <c r="BG90" s="56">
        <v>47</v>
      </c>
      <c r="BH90" s="56">
        <v>4234.4799999999996</v>
      </c>
      <c r="BI90" s="56">
        <v>215</v>
      </c>
      <c r="BJ90" s="56">
        <v>386</v>
      </c>
      <c r="BK90" s="56">
        <v>17412</v>
      </c>
      <c r="BL90" s="56">
        <v>1395</v>
      </c>
      <c r="BM90" s="56">
        <v>968</v>
      </c>
      <c r="BN90" s="56">
        <v>574</v>
      </c>
      <c r="BO90" s="56">
        <v>539</v>
      </c>
      <c r="BP90" s="56">
        <v>1115</v>
      </c>
      <c r="BQ90" s="56">
        <v>218</v>
      </c>
      <c r="BR90" s="56">
        <v>385</v>
      </c>
      <c r="BS90" s="56">
        <v>365</v>
      </c>
      <c r="BT90" s="56">
        <v>372</v>
      </c>
      <c r="BU90" s="56">
        <v>1596</v>
      </c>
      <c r="BV90" s="56">
        <v>951</v>
      </c>
      <c r="BW90" s="56">
        <v>3143</v>
      </c>
      <c r="BX90" s="56">
        <v>163</v>
      </c>
      <c r="BY90" s="56">
        <v>7389</v>
      </c>
      <c r="BZ90" s="56">
        <v>162</v>
      </c>
      <c r="CA90" s="56">
        <v>495</v>
      </c>
      <c r="CB90" s="56">
        <v>430</v>
      </c>
      <c r="CC90" s="56">
        <v>4065.58</v>
      </c>
      <c r="CD90" s="56">
        <v>18500</v>
      </c>
      <c r="CE90" s="56">
        <v>542</v>
      </c>
      <c r="CF90" s="56">
        <v>16</v>
      </c>
      <c r="CG90" s="56">
        <v>3</v>
      </c>
      <c r="CH90" s="56">
        <v>103</v>
      </c>
      <c r="CI90" s="56">
        <v>111</v>
      </c>
      <c r="CJ90" s="56">
        <v>116</v>
      </c>
      <c r="CK90" s="56">
        <v>57</v>
      </c>
      <c r="CL90" s="56">
        <v>98</v>
      </c>
      <c r="CM90" s="56">
        <v>30</v>
      </c>
      <c r="CN90" s="56">
        <v>241</v>
      </c>
      <c r="CO90" s="56">
        <v>103</v>
      </c>
      <c r="CP90" s="56">
        <v>331</v>
      </c>
      <c r="CQ90" s="56">
        <v>134</v>
      </c>
      <c r="CR90" s="56">
        <v>25</v>
      </c>
      <c r="CS90" s="56">
        <v>48</v>
      </c>
      <c r="CT90" s="56">
        <v>20</v>
      </c>
      <c r="CU90" s="56">
        <v>34</v>
      </c>
      <c r="CV90" s="56">
        <v>15</v>
      </c>
      <c r="CW90" s="56">
        <v>0</v>
      </c>
      <c r="CX90" s="56">
        <v>74</v>
      </c>
      <c r="CY90" s="56">
        <v>10</v>
      </c>
      <c r="CZ90" s="56">
        <v>8</v>
      </c>
      <c r="DA90" s="56">
        <v>0</v>
      </c>
      <c r="DB90" s="56">
        <v>102</v>
      </c>
      <c r="DC90" s="65">
        <v>14</v>
      </c>
    </row>
    <row r="91" spans="1:118">
      <c r="A91" s="47" t="s">
        <v>125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  <c r="CY91" s="56">
        <v>0</v>
      </c>
      <c r="CZ91" s="56">
        <v>0</v>
      </c>
      <c r="DA91" s="56">
        <v>0</v>
      </c>
      <c r="DB91" s="56">
        <v>0</v>
      </c>
      <c r="DC91" s="65">
        <v>0</v>
      </c>
    </row>
    <row r="92" spans="1:118">
      <c r="A92" s="47" t="s">
        <v>126</v>
      </c>
      <c r="B92" s="56">
        <v>68929.820000000007</v>
      </c>
      <c r="C92" s="56">
        <v>64279.82</v>
      </c>
      <c r="D92" s="56">
        <v>2760</v>
      </c>
      <c r="E92" s="56">
        <v>0</v>
      </c>
      <c r="F92" s="56">
        <v>300</v>
      </c>
      <c r="G92" s="56">
        <v>0</v>
      </c>
      <c r="H92" s="56">
        <v>0</v>
      </c>
      <c r="I92" s="56">
        <v>0</v>
      </c>
      <c r="J92" s="56">
        <v>1590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2760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300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19197.09</v>
      </c>
      <c r="AU92" s="56">
        <v>0</v>
      </c>
      <c r="AV92" s="56">
        <v>0</v>
      </c>
      <c r="AW92" s="56">
        <v>0</v>
      </c>
      <c r="AX92" s="56">
        <v>10513.73</v>
      </c>
      <c r="AY92" s="56">
        <v>0</v>
      </c>
      <c r="AZ92" s="56">
        <v>0</v>
      </c>
      <c r="BA92" s="56">
        <v>630</v>
      </c>
      <c r="BB92" s="56">
        <v>0</v>
      </c>
      <c r="BC92" s="56">
        <v>0</v>
      </c>
      <c r="BD92" s="56">
        <v>16863</v>
      </c>
      <c r="BE92" s="56">
        <v>0</v>
      </c>
      <c r="BF92" s="56">
        <v>0</v>
      </c>
      <c r="BG92" s="56">
        <v>0</v>
      </c>
      <c r="BH92" s="56">
        <v>850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6900</v>
      </c>
      <c r="BX92" s="56">
        <v>0</v>
      </c>
      <c r="BY92" s="56">
        <v>2800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  <c r="CY92" s="56">
        <v>0</v>
      </c>
      <c r="CZ92" s="56">
        <v>6526</v>
      </c>
      <c r="DA92" s="56">
        <v>0</v>
      </c>
      <c r="DB92" s="56">
        <v>0</v>
      </c>
      <c r="DC92" s="65">
        <v>0</v>
      </c>
    </row>
    <row r="93" spans="1:118">
      <c r="A93" s="47" t="s">
        <v>127</v>
      </c>
      <c r="B93" s="56">
        <v>378000</v>
      </c>
      <c r="C93" s="56">
        <v>28000</v>
      </c>
      <c r="D93" s="56">
        <v>0</v>
      </c>
      <c r="E93" s="56">
        <v>0</v>
      </c>
      <c r="F93" s="56">
        <v>0</v>
      </c>
      <c r="G93" s="56">
        <v>0</v>
      </c>
      <c r="H93" s="56">
        <v>973217</v>
      </c>
      <c r="I93" s="56">
        <v>0</v>
      </c>
      <c r="J93" s="56">
        <v>-623217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8000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20000</v>
      </c>
      <c r="CY93" s="56">
        <v>0</v>
      </c>
      <c r="CZ93" s="56">
        <v>0</v>
      </c>
      <c r="DA93" s="56">
        <v>0</v>
      </c>
      <c r="DB93" s="56">
        <v>0</v>
      </c>
      <c r="DC93" s="65">
        <v>0</v>
      </c>
    </row>
    <row r="94" spans="1:118">
      <c r="A94" s="47" t="s">
        <v>128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>
        <v>0</v>
      </c>
      <c r="BF94" s="56">
        <v>0</v>
      </c>
      <c r="BG94" s="56">
        <v>0</v>
      </c>
      <c r="BH94" s="56">
        <v>0</v>
      </c>
      <c r="BI94" s="56">
        <v>0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  <c r="CY94" s="56">
        <v>0</v>
      </c>
      <c r="CZ94" s="56">
        <v>0</v>
      </c>
      <c r="DA94" s="56">
        <v>0</v>
      </c>
      <c r="DB94" s="56">
        <v>0</v>
      </c>
      <c r="DC94" s="65">
        <v>0</v>
      </c>
    </row>
    <row r="95" spans="1:118">
      <c r="A95" s="47" t="s">
        <v>129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</v>
      </c>
      <c r="BG95" s="56">
        <v>0</v>
      </c>
      <c r="BH95" s="56">
        <v>0</v>
      </c>
      <c r="BI95" s="56">
        <v>0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  <c r="CY95" s="56">
        <v>0</v>
      </c>
      <c r="CZ95" s="56">
        <v>0</v>
      </c>
      <c r="DA95" s="56">
        <v>0</v>
      </c>
      <c r="DB95" s="56">
        <v>0</v>
      </c>
      <c r="DC95" s="65">
        <v>0</v>
      </c>
    </row>
    <row r="96" spans="1:118">
      <c r="A96" s="47" t="s">
        <v>130</v>
      </c>
      <c r="B96" s="56">
        <v>584906</v>
      </c>
      <c r="C96" s="56">
        <v>180996.99</v>
      </c>
      <c r="D96" s="56">
        <v>0</v>
      </c>
      <c r="E96" s="56">
        <v>0</v>
      </c>
      <c r="F96" s="56">
        <v>-257.66000000000003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404166.67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-257.66000000000003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6755</v>
      </c>
      <c r="AU96" s="56">
        <v>11530</v>
      </c>
      <c r="AV96" s="56">
        <v>9733</v>
      </c>
      <c r="AW96" s="56">
        <v>5847</v>
      </c>
      <c r="AX96" s="56">
        <v>8358</v>
      </c>
      <c r="AY96" s="56">
        <v>7980</v>
      </c>
      <c r="AZ96" s="56">
        <v>3215</v>
      </c>
      <c r="BA96" s="56">
        <v>13494</v>
      </c>
      <c r="BB96" s="56">
        <v>5183</v>
      </c>
      <c r="BC96" s="56">
        <v>2630</v>
      </c>
      <c r="BD96" s="56">
        <v>10980</v>
      </c>
      <c r="BE96" s="56">
        <v>6280</v>
      </c>
      <c r="BF96" s="56">
        <v>6473</v>
      </c>
      <c r="BG96" s="56">
        <v>9893.02</v>
      </c>
      <c r="BH96" s="56">
        <v>10650</v>
      </c>
      <c r="BI96" s="56">
        <v>3122</v>
      </c>
      <c r="BJ96" s="56">
        <v>6030</v>
      </c>
      <c r="BK96" s="56">
        <v>3308</v>
      </c>
      <c r="BL96" s="56">
        <v>2888</v>
      </c>
      <c r="BM96" s="56">
        <v>1311</v>
      </c>
      <c r="BN96" s="56">
        <v>2251</v>
      </c>
      <c r="BO96" s="56">
        <v>2960</v>
      </c>
      <c r="BP96" s="56">
        <v>644</v>
      </c>
      <c r="BQ96" s="56">
        <v>1098</v>
      </c>
      <c r="BR96" s="56">
        <v>612</v>
      </c>
      <c r="BS96" s="56">
        <v>4520</v>
      </c>
      <c r="BT96" s="56">
        <v>672</v>
      </c>
      <c r="BU96" s="56">
        <v>1306</v>
      </c>
      <c r="BV96" s="56">
        <v>1127</v>
      </c>
      <c r="BW96" s="56">
        <v>825</v>
      </c>
      <c r="BX96" s="56">
        <v>388</v>
      </c>
      <c r="BY96" s="56">
        <v>974</v>
      </c>
      <c r="BZ96" s="56">
        <v>287</v>
      </c>
      <c r="CA96" s="56">
        <v>378</v>
      </c>
      <c r="CB96" s="56">
        <v>956</v>
      </c>
      <c r="CC96" s="56">
        <v>552</v>
      </c>
      <c r="CD96" s="56">
        <v>1664</v>
      </c>
      <c r="CE96" s="56">
        <v>338</v>
      </c>
      <c r="CF96" s="56">
        <v>0</v>
      </c>
      <c r="CG96" s="56">
        <v>91</v>
      </c>
      <c r="CH96" s="56">
        <v>246</v>
      </c>
      <c r="CI96" s="56">
        <v>0</v>
      </c>
      <c r="CJ96" s="56">
        <v>62</v>
      </c>
      <c r="CK96" s="56">
        <v>27.79</v>
      </c>
      <c r="CL96" s="56">
        <v>0</v>
      </c>
      <c r="CM96" s="56">
        <v>111</v>
      </c>
      <c r="CN96" s="56">
        <v>12</v>
      </c>
      <c r="CO96" s="56">
        <v>0</v>
      </c>
      <c r="CP96" s="56">
        <v>68</v>
      </c>
      <c r="CQ96" s="56">
        <v>42</v>
      </c>
      <c r="CR96" s="56">
        <v>0</v>
      </c>
      <c r="CS96" s="56">
        <v>168</v>
      </c>
      <c r="CT96" s="56">
        <v>0</v>
      </c>
      <c r="CU96" s="56">
        <v>53</v>
      </c>
      <c r="CV96" s="56">
        <v>0</v>
      </c>
      <c r="CW96" s="56">
        <v>0</v>
      </c>
      <c r="CX96" s="56">
        <v>0</v>
      </c>
      <c r="CY96" s="56">
        <v>0</v>
      </c>
      <c r="CZ96" s="56">
        <v>0</v>
      </c>
      <c r="DA96" s="56">
        <v>0</v>
      </c>
      <c r="DB96" s="56">
        <v>1904.18</v>
      </c>
      <c r="DC96" s="65">
        <v>21000</v>
      </c>
    </row>
    <row r="97" spans="1:107">
      <c r="A97" s="47" t="s">
        <v>131</v>
      </c>
      <c r="B97" s="56">
        <v>6758.87</v>
      </c>
      <c r="C97" s="56">
        <v>6232.34</v>
      </c>
      <c r="D97" s="56">
        <v>0</v>
      </c>
      <c r="E97" s="56">
        <v>0</v>
      </c>
      <c r="F97" s="56">
        <v>385.02</v>
      </c>
      <c r="G97" s="56">
        <v>0</v>
      </c>
      <c r="H97" s="56">
        <v>0</v>
      </c>
      <c r="I97" s="56">
        <v>0</v>
      </c>
      <c r="J97" s="56">
        <v>0</v>
      </c>
      <c r="K97" s="56">
        <v>141.51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385.02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798</v>
      </c>
      <c r="BC97" s="56">
        <v>3944.34</v>
      </c>
      <c r="BD97" s="56">
        <v>0</v>
      </c>
      <c r="BE97" s="56">
        <v>0</v>
      </c>
      <c r="BF97" s="56">
        <v>60</v>
      </c>
      <c r="BG97" s="56">
        <v>100</v>
      </c>
      <c r="BH97" s="56">
        <v>0</v>
      </c>
      <c r="BI97" s="56">
        <v>260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260</v>
      </c>
      <c r="BP97" s="56">
        <v>0</v>
      </c>
      <c r="BQ97" s="56">
        <v>0</v>
      </c>
      <c r="BR97" s="56">
        <v>0</v>
      </c>
      <c r="BS97" s="56">
        <v>150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260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  <c r="CY97" s="56">
        <v>0</v>
      </c>
      <c r="CZ97" s="56">
        <v>0</v>
      </c>
      <c r="DA97" s="56">
        <v>0</v>
      </c>
      <c r="DB97" s="56">
        <v>0</v>
      </c>
      <c r="DC97" s="65">
        <v>400</v>
      </c>
    </row>
    <row r="98" spans="1:107">
      <c r="A98" s="47" t="s">
        <v>132</v>
      </c>
      <c r="B98" s="56">
        <v>2089346.27</v>
      </c>
      <c r="C98" s="56">
        <v>1948970.44</v>
      </c>
      <c r="D98" s="56">
        <v>1950</v>
      </c>
      <c r="E98" s="56">
        <v>36818.230000000003</v>
      </c>
      <c r="F98" s="56">
        <v>87857.600000000006</v>
      </c>
      <c r="G98" s="56">
        <v>0</v>
      </c>
      <c r="H98" s="56">
        <v>0</v>
      </c>
      <c r="I98" s="56">
        <v>0</v>
      </c>
      <c r="J98" s="56">
        <v>13750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35264.83</v>
      </c>
      <c r="Y98" s="56">
        <v>0</v>
      </c>
      <c r="Z98" s="56">
        <v>776.7</v>
      </c>
      <c r="AA98" s="56">
        <v>0</v>
      </c>
      <c r="AB98" s="56">
        <v>776.7</v>
      </c>
      <c r="AC98" s="56">
        <v>0</v>
      </c>
      <c r="AD98" s="56">
        <v>0</v>
      </c>
      <c r="AE98" s="56">
        <v>0</v>
      </c>
      <c r="AF98" s="56">
        <v>1950</v>
      </c>
      <c r="AG98" s="56">
        <v>0</v>
      </c>
      <c r="AH98" s="56">
        <v>0</v>
      </c>
      <c r="AI98" s="56">
        <v>0</v>
      </c>
      <c r="AJ98" s="56">
        <v>0</v>
      </c>
      <c r="AK98" s="56">
        <v>41016.18</v>
      </c>
      <c r="AL98" s="56">
        <v>46841.42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45992</v>
      </c>
      <c r="AU98" s="56">
        <v>73333.33</v>
      </c>
      <c r="AV98" s="56">
        <v>72981.67</v>
      </c>
      <c r="AW98" s="56">
        <v>55000</v>
      </c>
      <c r="AX98" s="56">
        <v>99718.06</v>
      </c>
      <c r="AY98" s="56">
        <v>24139.33</v>
      </c>
      <c r="AZ98" s="56">
        <v>17381.47</v>
      </c>
      <c r="BA98" s="56">
        <v>5000</v>
      </c>
      <c r="BB98" s="56">
        <v>93250</v>
      </c>
      <c r="BC98" s="56">
        <v>102274.87</v>
      </c>
      <c r="BD98" s="56">
        <v>143333.32999999999</v>
      </c>
      <c r="BE98" s="56">
        <v>76378.05</v>
      </c>
      <c r="BF98" s="56">
        <v>136388.29999999999</v>
      </c>
      <c r="BG98" s="56">
        <v>14953.16</v>
      </c>
      <c r="BH98" s="56">
        <v>56146.28</v>
      </c>
      <c r="BI98" s="56">
        <v>11025</v>
      </c>
      <c r="BJ98" s="56">
        <v>15392</v>
      </c>
      <c r="BK98" s="56">
        <v>20676.060000000001</v>
      </c>
      <c r="BL98" s="56">
        <v>18154.330000000002</v>
      </c>
      <c r="BM98" s="56">
        <v>19360</v>
      </c>
      <c r="BN98" s="56">
        <v>20858.330000000002</v>
      </c>
      <c r="BO98" s="56">
        <v>0</v>
      </c>
      <c r="BP98" s="56">
        <v>28310.57</v>
      </c>
      <c r="BQ98" s="56">
        <v>4624.25</v>
      </c>
      <c r="BR98" s="56">
        <v>10017</v>
      </c>
      <c r="BS98" s="56">
        <v>3988.1</v>
      </c>
      <c r="BT98" s="56">
        <v>9166.67</v>
      </c>
      <c r="BU98" s="56">
        <v>15268.5</v>
      </c>
      <c r="BV98" s="56">
        <v>10852.78</v>
      </c>
      <c r="BW98" s="56">
        <v>42008</v>
      </c>
      <c r="BX98" s="56">
        <v>7017.92</v>
      </c>
      <c r="BY98" s="56">
        <v>23525.77</v>
      </c>
      <c r="BZ98" s="56">
        <v>3177.29</v>
      </c>
      <c r="CA98" s="56">
        <v>2916.67</v>
      </c>
      <c r="CB98" s="56">
        <v>11812.18</v>
      </c>
      <c r="CC98" s="56">
        <v>94466.55</v>
      </c>
      <c r="CD98" s="56">
        <v>20508.09</v>
      </c>
      <c r="CE98" s="56">
        <v>12600</v>
      </c>
      <c r="CF98" s="56">
        <v>34116.089999999997</v>
      </c>
      <c r="CG98" s="56">
        <v>69090.149999999994</v>
      </c>
      <c r="CH98" s="56">
        <v>10185</v>
      </c>
      <c r="CI98" s="56">
        <v>8648.58</v>
      </c>
      <c r="CJ98" s="56">
        <v>16485.599999999999</v>
      </c>
      <c r="CK98" s="56">
        <v>10000</v>
      </c>
      <c r="CL98" s="56">
        <v>8899.02</v>
      </c>
      <c r="CM98" s="56">
        <v>9276.93</v>
      </c>
      <c r="CN98" s="56">
        <v>14282.22</v>
      </c>
      <c r="CO98" s="56">
        <v>12932.25</v>
      </c>
      <c r="CP98" s="56">
        <v>11402.47</v>
      </c>
      <c r="CQ98" s="56">
        <v>10447.629999999999</v>
      </c>
      <c r="CR98" s="56">
        <v>8260.92</v>
      </c>
      <c r="CS98" s="56">
        <v>10000</v>
      </c>
      <c r="CT98" s="56">
        <v>7594.96</v>
      </c>
      <c r="CU98" s="56">
        <v>7791.3</v>
      </c>
      <c r="CV98" s="56">
        <v>12544</v>
      </c>
      <c r="CW98" s="56">
        <v>14566.28</v>
      </c>
      <c r="CX98" s="56">
        <v>5250</v>
      </c>
      <c r="CY98" s="56">
        <v>11736.51</v>
      </c>
      <c r="CZ98" s="56">
        <v>9008.2999999999993</v>
      </c>
      <c r="DA98" s="56">
        <v>37301.589999999997</v>
      </c>
      <c r="DB98" s="56">
        <v>173713.06</v>
      </c>
      <c r="DC98" s="65">
        <v>13441.67</v>
      </c>
    </row>
    <row r="99" spans="1:107">
      <c r="A99" s="47" t="s">
        <v>133</v>
      </c>
      <c r="B99" s="56">
        <v>1394231.35</v>
      </c>
      <c r="C99" s="56">
        <v>231640.55</v>
      </c>
      <c r="D99" s="56">
        <v>0</v>
      </c>
      <c r="E99" s="56">
        <v>66964.47</v>
      </c>
      <c r="F99" s="56">
        <v>23668.81</v>
      </c>
      <c r="G99" s="56">
        <v>0</v>
      </c>
      <c r="H99" s="56">
        <v>1071957.52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66964.47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10974.65</v>
      </c>
      <c r="AL99" s="56">
        <v>12217.58</v>
      </c>
      <c r="AM99" s="56">
        <v>476.58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12322.42</v>
      </c>
      <c r="AU99" s="56">
        <v>8291.25</v>
      </c>
      <c r="AV99" s="56">
        <v>8865.02</v>
      </c>
      <c r="AW99" s="56">
        <v>8364.35</v>
      </c>
      <c r="AX99" s="56">
        <v>6677.75</v>
      </c>
      <c r="AY99" s="56">
        <v>26370.16</v>
      </c>
      <c r="AZ99" s="56">
        <v>4916.5</v>
      </c>
      <c r="BA99" s="56">
        <v>6633.95</v>
      </c>
      <c r="BB99" s="56">
        <v>5763.27</v>
      </c>
      <c r="BC99" s="56">
        <v>4540.83</v>
      </c>
      <c r="BD99" s="56">
        <v>7520.24</v>
      </c>
      <c r="BE99" s="56">
        <v>4644.5200000000004</v>
      </c>
      <c r="BF99" s="56">
        <v>5512.72</v>
      </c>
      <c r="BG99" s="56">
        <v>10137.61</v>
      </c>
      <c r="BH99" s="56">
        <v>4102.1499999999996</v>
      </c>
      <c r="BI99" s="56">
        <v>4764.01</v>
      </c>
      <c r="BJ99" s="56">
        <v>3576.71</v>
      </c>
      <c r="BK99" s="56">
        <v>2593.89</v>
      </c>
      <c r="BL99" s="56">
        <v>5584.5</v>
      </c>
      <c r="BM99" s="56">
        <v>3873.08</v>
      </c>
      <c r="BN99" s="56">
        <v>4463.88</v>
      </c>
      <c r="BO99" s="56">
        <v>2412.06</v>
      </c>
      <c r="BP99" s="56">
        <v>2785.34</v>
      </c>
      <c r="BQ99" s="56">
        <v>1702.59</v>
      </c>
      <c r="BR99" s="56">
        <v>3546.91</v>
      </c>
      <c r="BS99" s="56">
        <v>1403.18</v>
      </c>
      <c r="BT99" s="56">
        <v>2703.9</v>
      </c>
      <c r="BU99" s="56">
        <v>7514.98</v>
      </c>
      <c r="BV99" s="56">
        <v>2021.75</v>
      </c>
      <c r="BW99" s="56">
        <v>2836.24</v>
      </c>
      <c r="BX99" s="56">
        <v>615.03</v>
      </c>
      <c r="BY99" s="56">
        <v>4089.63</v>
      </c>
      <c r="BZ99" s="56">
        <v>426.7</v>
      </c>
      <c r="CA99" s="56">
        <v>719.35</v>
      </c>
      <c r="CB99" s="56">
        <v>2513.4499999999998</v>
      </c>
      <c r="CC99" s="56">
        <v>13339.53</v>
      </c>
      <c r="CD99" s="56">
        <v>9727.52</v>
      </c>
      <c r="CE99" s="56">
        <v>469.67</v>
      </c>
      <c r="CF99" s="56">
        <v>0</v>
      </c>
      <c r="CG99" s="56">
        <v>291.33</v>
      </c>
      <c r="CH99" s="56">
        <v>1058.18</v>
      </c>
      <c r="CI99" s="56">
        <v>183.66</v>
      </c>
      <c r="CJ99" s="56">
        <v>695.92</v>
      </c>
      <c r="CK99" s="56">
        <v>1143.24</v>
      </c>
      <c r="CL99" s="56">
        <v>1072.83</v>
      </c>
      <c r="CM99" s="56">
        <v>1352.7</v>
      </c>
      <c r="CN99" s="56">
        <v>2800.28</v>
      </c>
      <c r="CO99" s="56">
        <v>801.44</v>
      </c>
      <c r="CP99" s="56">
        <v>1610.32</v>
      </c>
      <c r="CQ99" s="56">
        <v>1040.83</v>
      </c>
      <c r="CR99" s="56">
        <v>695.25</v>
      </c>
      <c r="CS99" s="56">
        <v>1054.3599999999999</v>
      </c>
      <c r="CT99" s="56">
        <v>808.53</v>
      </c>
      <c r="CU99" s="56">
        <v>1397.12</v>
      </c>
      <c r="CV99" s="56">
        <v>493.53</v>
      </c>
      <c r="CW99" s="56">
        <v>283.06</v>
      </c>
      <c r="CX99" s="56">
        <v>1418.96</v>
      </c>
      <c r="CY99" s="56">
        <v>463.81</v>
      </c>
      <c r="CZ99" s="56">
        <v>68.09</v>
      </c>
      <c r="DA99" s="56">
        <v>634.78</v>
      </c>
      <c r="DB99" s="56">
        <v>3925.69</v>
      </c>
      <c r="DC99" s="65">
        <v>0</v>
      </c>
    </row>
    <row r="100" spans="1:107">
      <c r="A100" s="47" t="s">
        <v>134</v>
      </c>
      <c r="B100" s="56">
        <v>52635.56</v>
      </c>
      <c r="C100" s="56">
        <v>8055.56</v>
      </c>
      <c r="D100" s="56">
        <v>0</v>
      </c>
      <c r="E100" s="56">
        <v>0</v>
      </c>
      <c r="F100" s="56">
        <v>44580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44580</v>
      </c>
      <c r="AL100" s="56">
        <v>0</v>
      </c>
      <c r="AM100" s="56">
        <v>0</v>
      </c>
      <c r="AN100" s="56">
        <v>0</v>
      </c>
      <c r="AO100" s="56">
        <v>0</v>
      </c>
      <c r="AP100" s="56">
        <v>1666.67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0</v>
      </c>
      <c r="AZ100" s="56">
        <v>0</v>
      </c>
      <c r="BA100" s="56">
        <v>0</v>
      </c>
      <c r="BB100" s="56">
        <v>0</v>
      </c>
      <c r="BC100" s="56">
        <v>0</v>
      </c>
      <c r="BD100" s="56">
        <v>0</v>
      </c>
      <c r="BE100" s="56">
        <v>0</v>
      </c>
      <c r="BF100" s="56">
        <v>0</v>
      </c>
      <c r="BG100" s="56">
        <v>1388.89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</v>
      </c>
      <c r="BU100" s="56">
        <v>0</v>
      </c>
      <c r="BV100" s="56">
        <v>0</v>
      </c>
      <c r="BW100" s="56">
        <v>5000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  <c r="CY100" s="56">
        <v>0</v>
      </c>
      <c r="CZ100" s="56">
        <v>0</v>
      </c>
      <c r="DA100" s="56">
        <v>0</v>
      </c>
      <c r="DB100" s="56">
        <v>0</v>
      </c>
      <c r="DC100" s="65">
        <v>0</v>
      </c>
    </row>
    <row r="101" spans="1:107">
      <c r="A101" s="47" t="s">
        <v>135</v>
      </c>
      <c r="B101" s="56">
        <v>1031982.95</v>
      </c>
      <c r="C101" s="56">
        <v>386027.18</v>
      </c>
      <c r="D101" s="56">
        <v>34372.199999999997</v>
      </c>
      <c r="E101" s="56">
        <v>16790.62</v>
      </c>
      <c r="F101" s="56">
        <v>17497.14</v>
      </c>
      <c r="G101" s="56">
        <v>0</v>
      </c>
      <c r="H101" s="56">
        <v>573216.75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3183.1</v>
      </c>
      <c r="Y101" s="56">
        <v>0</v>
      </c>
      <c r="Z101" s="56">
        <v>3710.38</v>
      </c>
      <c r="AA101" s="56">
        <v>0</v>
      </c>
      <c r="AB101" s="56">
        <v>3349.71</v>
      </c>
      <c r="AC101" s="56">
        <v>3283.04</v>
      </c>
      <c r="AD101" s="56">
        <v>3264.39</v>
      </c>
      <c r="AE101" s="56">
        <v>0</v>
      </c>
      <c r="AF101" s="56">
        <v>10934.67</v>
      </c>
      <c r="AG101" s="56">
        <v>11091.35</v>
      </c>
      <c r="AH101" s="56">
        <v>12346.18</v>
      </c>
      <c r="AI101" s="56">
        <v>0</v>
      </c>
      <c r="AJ101" s="56">
        <v>4079.06</v>
      </c>
      <c r="AK101" s="56">
        <v>9138.01</v>
      </c>
      <c r="AL101" s="56">
        <v>8359.1299999999992</v>
      </c>
      <c r="AM101" s="56">
        <v>0</v>
      </c>
      <c r="AN101" s="56">
        <v>0</v>
      </c>
      <c r="AO101" s="56">
        <v>708.42</v>
      </c>
      <c r="AP101" s="56">
        <v>0</v>
      </c>
      <c r="AQ101" s="56">
        <v>0</v>
      </c>
      <c r="AR101" s="56">
        <v>0</v>
      </c>
      <c r="AS101" s="56">
        <v>0</v>
      </c>
      <c r="AT101" s="56">
        <v>3334.78</v>
      </c>
      <c r="AU101" s="56">
        <v>11280.17</v>
      </c>
      <c r="AV101" s="56">
        <v>36177.17</v>
      </c>
      <c r="AW101" s="56">
        <v>3195.92</v>
      </c>
      <c r="AX101" s="56">
        <v>19548.23</v>
      </c>
      <c r="AY101" s="56">
        <v>35986.050000000003</v>
      </c>
      <c r="AZ101" s="56">
        <v>13697.39</v>
      </c>
      <c r="BA101" s="56">
        <v>0</v>
      </c>
      <c r="BB101" s="56">
        <v>12684.77</v>
      </c>
      <c r="BC101" s="56">
        <v>13187.73</v>
      </c>
      <c r="BD101" s="56">
        <v>0</v>
      </c>
      <c r="BE101" s="56">
        <v>0</v>
      </c>
      <c r="BF101" s="56">
        <v>0</v>
      </c>
      <c r="BG101" s="56">
        <v>8173.75</v>
      </c>
      <c r="BH101" s="56">
        <v>0</v>
      </c>
      <c r="BI101" s="56">
        <v>74659.81</v>
      </c>
      <c r="BJ101" s="56">
        <v>0</v>
      </c>
      <c r="BK101" s="56">
        <v>1538.35</v>
      </c>
      <c r="BL101" s="56">
        <v>6433.42</v>
      </c>
      <c r="BM101" s="56">
        <v>4938.5600000000004</v>
      </c>
      <c r="BN101" s="56">
        <v>9575.14</v>
      </c>
      <c r="BO101" s="56">
        <v>8950.39</v>
      </c>
      <c r="BP101" s="56">
        <v>8758.0400000000009</v>
      </c>
      <c r="BQ101" s="56">
        <v>3092.32</v>
      </c>
      <c r="BR101" s="56">
        <v>8037.03</v>
      </c>
      <c r="BS101" s="56">
        <v>0</v>
      </c>
      <c r="BT101" s="56">
        <v>5048.2700000000004</v>
      </c>
      <c r="BU101" s="56">
        <v>7224.22</v>
      </c>
      <c r="BV101" s="56">
        <v>7427.37</v>
      </c>
      <c r="BW101" s="56">
        <v>13688.87</v>
      </c>
      <c r="BX101" s="56">
        <v>3191.18</v>
      </c>
      <c r="BY101" s="56">
        <v>802.78</v>
      </c>
      <c r="BZ101" s="56">
        <v>2677.5</v>
      </c>
      <c r="CA101" s="56">
        <v>1247.4100000000001</v>
      </c>
      <c r="CB101" s="56">
        <v>3969.25</v>
      </c>
      <c r="CC101" s="56">
        <v>23692.53</v>
      </c>
      <c r="CD101" s="56">
        <v>4179.57</v>
      </c>
      <c r="CE101" s="56">
        <v>0</v>
      </c>
      <c r="CF101" s="56">
        <v>2380.71</v>
      </c>
      <c r="CG101" s="56">
        <v>0</v>
      </c>
      <c r="CH101" s="56">
        <v>866.67</v>
      </c>
      <c r="CI101" s="56">
        <v>1180.3499999999999</v>
      </c>
      <c r="CJ101" s="56">
        <v>1436.11</v>
      </c>
      <c r="CK101" s="56">
        <v>0</v>
      </c>
      <c r="CL101" s="56">
        <v>3542.69</v>
      </c>
      <c r="CM101" s="56">
        <v>1356.39</v>
      </c>
      <c r="CN101" s="56">
        <v>1130.43</v>
      </c>
      <c r="CO101" s="56">
        <v>1025.97</v>
      </c>
      <c r="CP101" s="56">
        <v>1581.51</v>
      </c>
      <c r="CQ101" s="56">
        <v>0</v>
      </c>
      <c r="CR101" s="56">
        <v>2426.2600000000002</v>
      </c>
      <c r="CS101" s="56">
        <v>3076.21</v>
      </c>
      <c r="CT101" s="56">
        <v>1840.4</v>
      </c>
      <c r="CU101" s="56">
        <v>874.48</v>
      </c>
      <c r="CV101" s="56">
        <v>0</v>
      </c>
      <c r="CW101" s="56">
        <v>0</v>
      </c>
      <c r="CX101" s="56">
        <v>4658.17</v>
      </c>
      <c r="CY101" s="56">
        <v>0</v>
      </c>
      <c r="CZ101" s="56">
        <v>0</v>
      </c>
      <c r="DA101" s="56">
        <v>0</v>
      </c>
      <c r="DB101" s="56">
        <v>1544.44</v>
      </c>
      <c r="DC101" s="65">
        <v>0</v>
      </c>
    </row>
    <row r="102" spans="1:107">
      <c r="A102" s="47" t="s">
        <v>136</v>
      </c>
      <c r="B102" s="56">
        <v>37668.089999999997</v>
      </c>
      <c r="C102" s="56">
        <v>3253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33215.089999999997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1200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3253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  <c r="CY102" s="56">
        <v>0</v>
      </c>
      <c r="CZ102" s="56">
        <v>0</v>
      </c>
      <c r="DA102" s="56">
        <v>0</v>
      </c>
      <c r="DB102" s="56">
        <v>0</v>
      </c>
      <c r="DC102" s="65">
        <v>0</v>
      </c>
    </row>
    <row r="103" spans="1:107" s="49" customFormat="1">
      <c r="A103" s="57" t="s">
        <v>99</v>
      </c>
      <c r="B103" s="58">
        <v>6380405.7599999998</v>
      </c>
      <c r="C103" s="58">
        <v>3467654.3</v>
      </c>
      <c r="D103" s="58">
        <v>46206.77</v>
      </c>
      <c r="E103" s="58">
        <v>144796.95000000001</v>
      </c>
      <c r="F103" s="58">
        <v>196812.59</v>
      </c>
      <c r="G103" s="58">
        <v>1420.07</v>
      </c>
      <c r="H103" s="58">
        <v>2618391.27</v>
      </c>
      <c r="I103" s="58">
        <v>170.75</v>
      </c>
      <c r="J103" s="58">
        <v>-547248.77</v>
      </c>
      <c r="K103" s="58">
        <v>2228.3000000000002</v>
      </c>
      <c r="L103" s="58">
        <v>230.19</v>
      </c>
      <c r="M103" s="58">
        <v>658.49</v>
      </c>
      <c r="N103" s="58">
        <v>0</v>
      </c>
      <c r="O103" s="58">
        <v>137.74</v>
      </c>
      <c r="P103" s="58">
        <v>42.45</v>
      </c>
      <c r="Q103" s="58">
        <v>0</v>
      </c>
      <c r="R103" s="58">
        <v>1232.08</v>
      </c>
      <c r="S103" s="58">
        <v>1262.73</v>
      </c>
      <c r="T103" s="58">
        <v>84.91</v>
      </c>
      <c r="U103" s="58">
        <v>438463.88</v>
      </c>
      <c r="V103" s="58">
        <v>0</v>
      </c>
      <c r="W103" s="58">
        <v>0</v>
      </c>
      <c r="X103" s="58">
        <v>101037.68</v>
      </c>
      <c r="Y103" s="58">
        <v>0</v>
      </c>
      <c r="Z103" s="58">
        <v>13379.6</v>
      </c>
      <c r="AA103" s="58">
        <v>0</v>
      </c>
      <c r="AB103" s="58">
        <v>9226.2900000000009</v>
      </c>
      <c r="AC103" s="58">
        <v>11303.67</v>
      </c>
      <c r="AD103" s="58">
        <v>9828.9599999999991</v>
      </c>
      <c r="AE103" s="58">
        <v>20.75</v>
      </c>
      <c r="AF103" s="58">
        <v>16339.01</v>
      </c>
      <c r="AG103" s="58">
        <v>13829.25</v>
      </c>
      <c r="AH103" s="58">
        <v>13075.43</v>
      </c>
      <c r="AI103" s="58">
        <v>2963.08</v>
      </c>
      <c r="AJ103" s="58">
        <v>7861.06</v>
      </c>
      <c r="AK103" s="58">
        <v>115917.33</v>
      </c>
      <c r="AL103" s="58">
        <v>79323.520000000004</v>
      </c>
      <c r="AM103" s="58">
        <v>1571.74</v>
      </c>
      <c r="AN103" s="58">
        <v>0</v>
      </c>
      <c r="AO103" s="58">
        <v>730.12</v>
      </c>
      <c r="AP103" s="58">
        <v>2503.46</v>
      </c>
      <c r="AQ103" s="58">
        <v>3949.5</v>
      </c>
      <c r="AR103" s="58">
        <v>2304.73</v>
      </c>
      <c r="AS103" s="58">
        <v>569.80999999999995</v>
      </c>
      <c r="AT103" s="58">
        <v>121721.17</v>
      </c>
      <c r="AU103" s="58">
        <v>124469.88</v>
      </c>
      <c r="AV103" s="58">
        <v>134111.65</v>
      </c>
      <c r="AW103" s="58">
        <v>115389.8</v>
      </c>
      <c r="AX103" s="58">
        <v>207698.34</v>
      </c>
      <c r="AY103" s="58">
        <v>123614.56</v>
      </c>
      <c r="AZ103" s="58">
        <v>58952.68</v>
      </c>
      <c r="BA103" s="58">
        <v>32304.26</v>
      </c>
      <c r="BB103" s="58">
        <v>137244.47</v>
      </c>
      <c r="BC103" s="58">
        <v>156363.57999999999</v>
      </c>
      <c r="BD103" s="58">
        <v>193946.61</v>
      </c>
      <c r="BE103" s="58">
        <v>138674.23999999999</v>
      </c>
      <c r="BF103" s="58">
        <v>215259.38</v>
      </c>
      <c r="BG103" s="58">
        <v>53899.34</v>
      </c>
      <c r="BH103" s="58">
        <v>85747.12</v>
      </c>
      <c r="BI103" s="58">
        <v>94593.82</v>
      </c>
      <c r="BJ103" s="58">
        <v>27848.54</v>
      </c>
      <c r="BK103" s="58">
        <v>73748.899999999994</v>
      </c>
      <c r="BL103" s="58">
        <v>34592.25</v>
      </c>
      <c r="BM103" s="58">
        <v>30512.639999999999</v>
      </c>
      <c r="BN103" s="58">
        <v>48649.36</v>
      </c>
      <c r="BO103" s="58">
        <v>16254.16</v>
      </c>
      <c r="BP103" s="58">
        <v>42528.15</v>
      </c>
      <c r="BQ103" s="58">
        <v>12312.16</v>
      </c>
      <c r="BR103" s="58">
        <v>24268.28</v>
      </c>
      <c r="BS103" s="58">
        <v>11798.28</v>
      </c>
      <c r="BT103" s="58">
        <v>20394.84</v>
      </c>
      <c r="BU103" s="58">
        <v>36138.83</v>
      </c>
      <c r="BV103" s="58">
        <v>28521.9</v>
      </c>
      <c r="BW103" s="58">
        <v>90106.9</v>
      </c>
      <c r="BX103" s="58">
        <v>15093.13</v>
      </c>
      <c r="BY103" s="58">
        <v>50952.18</v>
      </c>
      <c r="BZ103" s="58">
        <v>6744.49</v>
      </c>
      <c r="CA103" s="58">
        <v>5774.43</v>
      </c>
      <c r="CB103" s="58">
        <v>20625.88</v>
      </c>
      <c r="CC103" s="58">
        <v>146347.23000000001</v>
      </c>
      <c r="CD103" s="58">
        <v>61640.63</v>
      </c>
      <c r="CE103" s="58">
        <v>14193.67</v>
      </c>
      <c r="CF103" s="58">
        <v>37012.800000000003</v>
      </c>
      <c r="CG103" s="58">
        <v>70242.570000000007</v>
      </c>
      <c r="CH103" s="58">
        <v>12590.85</v>
      </c>
      <c r="CI103" s="58">
        <v>13313.59</v>
      </c>
      <c r="CJ103" s="58">
        <v>18798.63</v>
      </c>
      <c r="CK103" s="58">
        <v>11279.03</v>
      </c>
      <c r="CL103" s="58">
        <v>13612.54</v>
      </c>
      <c r="CM103" s="58">
        <v>12240.02</v>
      </c>
      <c r="CN103" s="58">
        <v>18466.93</v>
      </c>
      <c r="CO103" s="58">
        <v>15178.5</v>
      </c>
      <c r="CP103" s="58">
        <v>14996.3</v>
      </c>
      <c r="CQ103" s="58">
        <v>12186.76</v>
      </c>
      <c r="CR103" s="58">
        <v>11477.43</v>
      </c>
      <c r="CS103" s="58">
        <v>14525.57</v>
      </c>
      <c r="CT103" s="58">
        <v>10263.89</v>
      </c>
      <c r="CU103" s="58">
        <v>10252.9</v>
      </c>
      <c r="CV103" s="58">
        <v>13052.53</v>
      </c>
      <c r="CW103" s="58">
        <v>15349.34</v>
      </c>
      <c r="CX103" s="58">
        <v>32101.13</v>
      </c>
      <c r="CY103" s="58">
        <v>15656.02</v>
      </c>
      <c r="CZ103" s="58">
        <v>15818.39</v>
      </c>
      <c r="DA103" s="58">
        <v>37936.370000000003</v>
      </c>
      <c r="DB103" s="58">
        <v>182375.81</v>
      </c>
      <c r="DC103" s="63">
        <v>35831.050000000003</v>
      </c>
    </row>
    <row r="104" spans="1:107" s="49" customFormat="1">
      <c r="A104" s="59" t="s">
        <v>3</v>
      </c>
      <c r="B104" s="60">
        <v>58675776.130000003</v>
      </c>
      <c r="C104" s="60">
        <v>28111363.539999999</v>
      </c>
      <c r="D104" s="60">
        <v>10450396.039999999</v>
      </c>
      <c r="E104" s="60">
        <v>1538465.53</v>
      </c>
      <c r="F104" s="60">
        <v>1400772.61</v>
      </c>
      <c r="G104" s="60">
        <v>1027218.53</v>
      </c>
      <c r="H104" s="60">
        <v>11947219.609999999</v>
      </c>
      <c r="I104" s="60">
        <v>170461.64</v>
      </c>
      <c r="J104" s="60">
        <v>166706.35999999999</v>
      </c>
      <c r="K104" s="60">
        <v>406779.37</v>
      </c>
      <c r="L104" s="60">
        <v>166290.29</v>
      </c>
      <c r="M104" s="60">
        <v>262678.26</v>
      </c>
      <c r="N104" s="60">
        <v>31376.080000000002</v>
      </c>
      <c r="O104" s="60">
        <v>122663.53</v>
      </c>
      <c r="P104" s="60">
        <v>202060.61</v>
      </c>
      <c r="Q104" s="60">
        <v>191166.56</v>
      </c>
      <c r="R104" s="60">
        <v>224345.01</v>
      </c>
      <c r="S104" s="60">
        <v>502695.07</v>
      </c>
      <c r="T104" s="60">
        <v>377891.14</v>
      </c>
      <c r="U104" s="60">
        <v>1112001.3799999999</v>
      </c>
      <c r="V104" s="60">
        <v>64404.22</v>
      </c>
      <c r="W104" s="60">
        <v>6323.45</v>
      </c>
      <c r="X104" s="60">
        <v>255553.47</v>
      </c>
      <c r="Y104" s="60">
        <v>40534.32</v>
      </c>
      <c r="Z104" s="60">
        <v>773428.69</v>
      </c>
      <c r="AA104" s="60">
        <v>3776.58</v>
      </c>
      <c r="AB104" s="60">
        <v>-354285.23</v>
      </c>
      <c r="AC104" s="60">
        <v>255219.83</v>
      </c>
      <c r="AD104" s="60">
        <v>415059.85</v>
      </c>
      <c r="AE104" s="60">
        <v>149178.01999999999</v>
      </c>
      <c r="AF104" s="60">
        <v>298755.5</v>
      </c>
      <c r="AG104" s="60">
        <v>6490691.3799999999</v>
      </c>
      <c r="AH104" s="60">
        <v>1174097.3400000001</v>
      </c>
      <c r="AI104" s="60">
        <v>2486851.8199999998</v>
      </c>
      <c r="AJ104" s="60">
        <v>182223.34</v>
      </c>
      <c r="AK104" s="60">
        <v>948611.21</v>
      </c>
      <c r="AL104" s="60">
        <v>349907.17</v>
      </c>
      <c r="AM104" s="60">
        <v>102254.23</v>
      </c>
      <c r="AN104" s="60">
        <v>10273.959999999999</v>
      </c>
      <c r="AO104" s="60">
        <v>6097894.2599999998</v>
      </c>
      <c r="AP104" s="60">
        <v>347641.77</v>
      </c>
      <c r="AQ104" s="60">
        <v>223239.21</v>
      </c>
      <c r="AR104" s="60">
        <v>1329841.3799999999</v>
      </c>
      <c r="AS104" s="60">
        <v>284295.46000000002</v>
      </c>
      <c r="AT104" s="60">
        <v>889027.05</v>
      </c>
      <c r="AU104" s="60">
        <v>1068677.33</v>
      </c>
      <c r="AV104" s="60">
        <v>1159660.43</v>
      </c>
      <c r="AW104" s="60">
        <v>820165.2</v>
      </c>
      <c r="AX104" s="60">
        <v>1016115.34</v>
      </c>
      <c r="AY104" s="60">
        <v>898233.7</v>
      </c>
      <c r="AZ104" s="60">
        <v>346109.79</v>
      </c>
      <c r="BA104" s="60">
        <v>944693.34</v>
      </c>
      <c r="BB104" s="60">
        <v>452687.9</v>
      </c>
      <c r="BC104" s="60">
        <v>393315.56</v>
      </c>
      <c r="BD104" s="60">
        <v>1048661.6000000001</v>
      </c>
      <c r="BE104" s="60">
        <v>1099362.45</v>
      </c>
      <c r="BF104" s="60">
        <v>758864.18</v>
      </c>
      <c r="BG104" s="60">
        <v>492263.67</v>
      </c>
      <c r="BH104" s="60">
        <v>374278.67</v>
      </c>
      <c r="BI104" s="60">
        <v>400968.76</v>
      </c>
      <c r="BJ104" s="60">
        <v>404605.87</v>
      </c>
      <c r="BK104" s="60">
        <v>421336.62</v>
      </c>
      <c r="BL104" s="60">
        <v>272208.21999999997</v>
      </c>
      <c r="BM104" s="60">
        <v>236772.41</v>
      </c>
      <c r="BN104" s="60">
        <v>408554.29</v>
      </c>
      <c r="BO104" s="60">
        <v>411668.36</v>
      </c>
      <c r="BP104" s="60">
        <v>186368.58</v>
      </c>
      <c r="BQ104" s="60">
        <v>169147.95</v>
      </c>
      <c r="BR104" s="60">
        <v>90684.24</v>
      </c>
      <c r="BS104" s="60">
        <v>154935.04999999999</v>
      </c>
      <c r="BT104" s="60">
        <v>152088.04</v>
      </c>
      <c r="BU104" s="60">
        <v>278791.43</v>
      </c>
      <c r="BV104" s="60">
        <v>187328.91</v>
      </c>
      <c r="BW104" s="60">
        <v>1070665.8899999999</v>
      </c>
      <c r="BX104" s="60">
        <v>64655.57</v>
      </c>
      <c r="BY104" s="60">
        <v>209518.97</v>
      </c>
      <c r="BZ104" s="60">
        <v>72363</v>
      </c>
      <c r="CA104" s="60">
        <v>80230.31</v>
      </c>
      <c r="CB104" s="60">
        <v>122183.9</v>
      </c>
      <c r="CC104" s="60">
        <v>457376.81</v>
      </c>
      <c r="CD104" s="60">
        <v>583074.56999999995</v>
      </c>
      <c r="CE104" s="60">
        <v>79002.39</v>
      </c>
      <c r="CF104" s="60">
        <v>65963.92</v>
      </c>
      <c r="CG104" s="60">
        <v>118130.92</v>
      </c>
      <c r="CH104" s="60">
        <v>37960.449999999997</v>
      </c>
      <c r="CI104" s="60">
        <v>84719.41</v>
      </c>
      <c r="CJ104" s="60">
        <v>61166.15</v>
      </c>
      <c r="CK104" s="60">
        <v>47488.36</v>
      </c>
      <c r="CL104" s="60">
        <v>36579.11</v>
      </c>
      <c r="CM104" s="60">
        <v>58671.93</v>
      </c>
      <c r="CN104" s="60">
        <v>32365.35</v>
      </c>
      <c r="CO104" s="60">
        <v>30147.14</v>
      </c>
      <c r="CP104" s="60">
        <v>51965.1</v>
      </c>
      <c r="CQ104" s="60">
        <v>65384.84</v>
      </c>
      <c r="CR104" s="60">
        <v>37965.760000000002</v>
      </c>
      <c r="CS104" s="60">
        <v>47348.959999999999</v>
      </c>
      <c r="CT104" s="60">
        <v>37666.44</v>
      </c>
      <c r="CU104" s="60">
        <v>40138.86</v>
      </c>
      <c r="CV104" s="60">
        <v>33097.81</v>
      </c>
      <c r="CW104" s="60">
        <v>49525.62</v>
      </c>
      <c r="CX104" s="60">
        <v>83169.850000000006</v>
      </c>
      <c r="CY104" s="60">
        <v>67581.009999999995</v>
      </c>
      <c r="CZ104" s="60">
        <v>48773.93</v>
      </c>
      <c r="DA104" s="60">
        <v>69030.31</v>
      </c>
      <c r="DB104" s="60">
        <v>205698.72</v>
      </c>
      <c r="DC104" s="64">
        <v>141265.16</v>
      </c>
    </row>
  </sheetData>
  <phoneticPr fontId="3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E18" sqref="E18"/>
    </sheetView>
  </sheetViews>
  <sheetFormatPr defaultColWidth="9" defaultRowHeight="13.5"/>
  <cols>
    <col min="1" max="1" width="23.375" customWidth="1"/>
    <col min="2" max="2" width="12.125" customWidth="1"/>
    <col min="3" max="3" width="11.625" customWidth="1"/>
    <col min="6" max="6" width="9.5" customWidth="1"/>
    <col min="7" max="7" width="11.625" customWidth="1"/>
    <col min="8" max="8" width="12.625" customWidth="1"/>
    <col min="9" max="9" width="10.25" customWidth="1"/>
    <col min="10" max="10" width="16.125" customWidth="1"/>
    <col min="11" max="12" width="10.25" customWidth="1"/>
    <col min="13" max="13" width="13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  <col min="27" max="27" width="16.375" customWidth="1"/>
    <col min="32" max="46" width="9" style="2"/>
  </cols>
  <sheetData>
    <row r="1" spans="1:31">
      <c r="A1" s="29" t="s">
        <v>63</v>
      </c>
    </row>
    <row r="2" spans="1:31" s="2" customFormat="1">
      <c r="A2" s="17" t="s">
        <v>2</v>
      </c>
      <c r="B2" s="18" t="str">
        <f>累计利润调整表!B3</f>
        <v>合计</v>
      </c>
      <c r="C2" s="18" t="str">
        <f>累计利润调整表!C3</f>
        <v>其他</v>
      </c>
      <c r="D2" s="18" t="str">
        <f>累计利润调整表!D3</f>
        <v>总部中后台</v>
      </c>
      <c r="E2" s="18" t="str">
        <f>累计利润调整表!E3</f>
        <v>经纪业务部</v>
      </c>
      <c r="F2" s="18" t="str">
        <f>累计利润调整表!F3</f>
        <v>资管业务</v>
      </c>
      <c r="G2" s="18" t="str">
        <f>累计利润调整表!G3</f>
        <v>资产管理部</v>
      </c>
      <c r="H2" s="18" t="str">
        <f>累计利润调整表!H3</f>
        <v>权益产品投资部</v>
      </c>
      <c r="I2" s="18" t="str">
        <f>累计利润调整表!I3</f>
        <v>固收产品投资部</v>
      </c>
      <c r="J2" s="18" t="str">
        <f>累计利润调整表!J3</f>
        <v>量化产品投资部</v>
      </c>
      <c r="K2" s="18" t="str">
        <f>累计利润调整表!K3</f>
        <v>深分公司合计</v>
      </c>
      <c r="L2" s="18" t="str">
        <f>累计利润调整表!L3</f>
        <v>固定收益投资部</v>
      </c>
      <c r="M2" s="18" t="str">
        <f>累计利润调整表!M3</f>
        <v>固定收益市场部</v>
      </c>
      <c r="N2" s="18" t="str">
        <f>累计利润调整表!N3</f>
        <v>投顾业务部</v>
      </c>
      <c r="O2" s="18" t="str">
        <f>累计利润调整表!O3</f>
        <v>证券投资部</v>
      </c>
      <c r="P2" s="18" t="str">
        <f>累计利润调整表!P3</f>
        <v>做市业务部</v>
      </c>
      <c r="Q2" s="18" t="str">
        <f>累计利润调整表!Q3</f>
        <v>金融衍生品部</v>
      </c>
      <c r="R2" s="18" t="str">
        <f>累计利润调整表!R3</f>
        <v>深圳管理总部</v>
      </c>
      <c r="S2" s="18" t="str">
        <f>累计利润调整表!S3</f>
        <v>投资银行合计</v>
      </c>
      <c r="T2" s="18" t="str">
        <f>累计利润调整表!T3</f>
        <v>投资银行三部</v>
      </c>
      <c r="U2" s="18" t="str">
        <f>累计利润调整表!U3</f>
        <v>投资银行一部</v>
      </c>
      <c r="V2" s="18" t="str">
        <f>累计利润调整表!V3</f>
        <v>投资银行二部</v>
      </c>
      <c r="W2" s="18" t="str">
        <f>累计利润调整表!W3</f>
        <v>投资银行四部</v>
      </c>
      <c r="X2" s="18" t="str">
        <f>累计利润调整表!X3</f>
        <v>投资银行北京一部</v>
      </c>
      <c r="Y2" s="18" t="str">
        <f>累计利润调整表!Y3</f>
        <v>投资银行北京二部</v>
      </c>
      <c r="Z2" s="18" t="str">
        <f>累计利润调整表!Z3</f>
        <v>投资银行深圳一部（筹）</v>
      </c>
      <c r="AA2" s="18" t="str">
        <f>累计利润调整表!AA3</f>
        <v>投资银行管理部</v>
      </c>
      <c r="AB2" s="18" t="str">
        <f>累计利润调整表!AB3</f>
        <v>运营支持部</v>
      </c>
      <c r="AC2" s="18"/>
      <c r="AD2" s="18"/>
      <c r="AE2" s="18"/>
    </row>
    <row r="3" spans="1:31">
      <c r="A3" s="30" t="s">
        <v>34</v>
      </c>
      <c r="B3" s="30">
        <f>累计利润调整表!B65/10000</f>
        <v>82393.434256333334</v>
      </c>
      <c r="C3" s="30">
        <f>累计利润调整表!C65/10000</f>
        <v>-1576.932431</v>
      </c>
      <c r="D3" s="30">
        <f>累计利润调整表!D65/10000</f>
        <v>-23367.660947966655</v>
      </c>
      <c r="E3" s="30">
        <f>累计利润调整表!E65/10000</f>
        <v>82390.540242256611</v>
      </c>
      <c r="F3" s="30">
        <f>累计利润调整表!F65/10000</f>
        <v>-22310.697060049057</v>
      </c>
      <c r="G3" s="30">
        <f>累计利润调整表!G65/10000</f>
        <v>840.31722395094334</v>
      </c>
      <c r="H3" s="30">
        <f>累计利润调整表!H65/10000</f>
        <v>-23689.893235000003</v>
      </c>
      <c r="I3" s="30">
        <f>累计利润调整表!I65/10000</f>
        <v>979.56599633333326</v>
      </c>
      <c r="J3" s="30">
        <f>累计利润调整表!J65/10000</f>
        <v>-440.68704533333329</v>
      </c>
      <c r="K3" s="30">
        <f>累计利润调整表!K65/10000</f>
        <v>20463.119574425786</v>
      </c>
      <c r="L3" s="30">
        <f>累计利润调整表!L65/10000</f>
        <v>5796.5780799999993</v>
      </c>
      <c r="M3" s="30">
        <f>累计利润调整表!M65/10000</f>
        <v>3338.4816140924527</v>
      </c>
      <c r="N3" s="30">
        <f>累计利润调整表!N65/10000</f>
        <v>476.29295099999996</v>
      </c>
      <c r="O3" s="30">
        <f>累计利润调整表!O65/10000</f>
        <v>10741.998034333334</v>
      </c>
      <c r="P3" s="30">
        <f>累计利润调整表!P65/10000</f>
        <v>-194.881539</v>
      </c>
      <c r="Q3" s="30">
        <f>累计利润调整表!Q65/10000</f>
        <v>298.02041199999991</v>
      </c>
      <c r="R3" s="30">
        <f>累计利润调整表!R65/10000</f>
        <v>0.68533299999999997</v>
      </c>
      <c r="S3" s="30">
        <f>累计利润调整表!S65/10000</f>
        <v>26795.064878666668</v>
      </c>
      <c r="T3" s="30">
        <f>累计利润调整表!T65/10000</f>
        <v>1283.485357</v>
      </c>
      <c r="U3" s="30">
        <f>累计利润调整表!U65/10000</f>
        <v>22638.456246000002</v>
      </c>
      <c r="V3" s="30">
        <f>累计利润调整表!V65/10000</f>
        <v>2765.1987466666665</v>
      </c>
      <c r="W3" s="30">
        <f>累计利润调整表!W65/10000</f>
        <v>107.92452900000001</v>
      </c>
      <c r="X3" s="30">
        <f>累计利润调整表!X65/10000</f>
        <v>0</v>
      </c>
      <c r="Y3" s="30">
        <f>累计利润调整表!Y65/10000</f>
        <v>0</v>
      </c>
      <c r="Z3" s="30">
        <f>累计利润调整表!Z65/10000</f>
        <v>0</v>
      </c>
      <c r="AA3" s="30">
        <f>累计利润调整表!AA65/10000</f>
        <v>0</v>
      </c>
      <c r="AB3" s="30">
        <f>累计利润调整表!AB65/10000</f>
        <v>0</v>
      </c>
      <c r="AC3" s="30"/>
      <c r="AD3" s="30"/>
      <c r="AE3" s="30"/>
    </row>
    <row r="4" spans="1:31">
      <c r="A4" s="31" t="s">
        <v>35</v>
      </c>
      <c r="B4" s="32">
        <f>累计利润调整表!B66/10000</f>
        <v>69179.742958000003</v>
      </c>
      <c r="C4" s="32">
        <f>累计利润调整表!C66/10000</f>
        <v>23.025944000000042</v>
      </c>
      <c r="D4" s="32">
        <f>累计利润调整表!D66/10000</f>
        <v>-213.15777199999201</v>
      </c>
      <c r="E4" s="32">
        <f>累计利润调整表!E66/10000</f>
        <v>37470.660238256605</v>
      </c>
      <c r="F4" s="32">
        <f>累计利润调整表!F66/10000</f>
        <v>4882.2877269509436</v>
      </c>
      <c r="G4" s="32">
        <f>累计利润调整表!G66/10000</f>
        <v>816.30237195094332</v>
      </c>
      <c r="H4" s="32">
        <f>累计利润调整表!H66/10000</f>
        <v>3179.286286</v>
      </c>
      <c r="I4" s="32">
        <f>累计利润调整表!I66/10000</f>
        <v>682.57130700000005</v>
      </c>
      <c r="J4" s="32">
        <f>累计利润调整表!J66/10000</f>
        <v>204.12776200000002</v>
      </c>
      <c r="K4" s="32">
        <f>累计利润调整表!K66/10000</f>
        <v>528.96787679245278</v>
      </c>
      <c r="L4" s="32">
        <f>累计利润调整表!L66/10000</f>
        <v>-8.3035519999999998</v>
      </c>
      <c r="M4" s="32">
        <f>累计利润调整表!M66/10000</f>
        <v>90.584808792452819</v>
      </c>
      <c r="N4" s="32">
        <f>累计利润调整表!N66/10000</f>
        <v>424.76406199999991</v>
      </c>
      <c r="O4" s="32">
        <f>累计利润调整表!O66/10000</f>
        <v>17.667050999999997</v>
      </c>
      <c r="P4" s="32">
        <f>累计利润调整表!P66/10000</f>
        <v>0</v>
      </c>
      <c r="Q4" s="32">
        <f>累计利润调整表!Q66/10000</f>
        <v>-1.426982</v>
      </c>
      <c r="R4" s="32">
        <f>累计利润调整表!R66/10000</f>
        <v>-0.26219999999999999</v>
      </c>
      <c r="S4" s="32">
        <f>累计利润调整表!S66/10000</f>
        <v>26487.958943999998</v>
      </c>
      <c r="T4" s="32">
        <f>累计利润调整表!T66/10000</f>
        <v>1288.1052040000002</v>
      </c>
      <c r="U4" s="32">
        <f>累计利润调整表!U66/10000</f>
        <v>22342.797130999999</v>
      </c>
      <c r="V4" s="32">
        <f>累计利润调整表!V66/10000</f>
        <v>2749.1320799999999</v>
      </c>
      <c r="W4" s="32">
        <f>累计利润调整表!W66/10000</f>
        <v>107.92452900000001</v>
      </c>
      <c r="X4" s="32">
        <f>累计利润调整表!X66/10000</f>
        <v>0</v>
      </c>
      <c r="Y4" s="32">
        <f>累计利润调整表!Y66/10000</f>
        <v>0</v>
      </c>
      <c r="Z4" s="32">
        <f>累计利润调整表!Z66/10000</f>
        <v>0</v>
      </c>
      <c r="AA4" s="32">
        <f>累计利润调整表!AA66/10000</f>
        <v>0</v>
      </c>
      <c r="AB4" s="32">
        <f>累计利润调整表!AB66/10000</f>
        <v>0</v>
      </c>
      <c r="AC4" s="32"/>
      <c r="AD4" s="32"/>
      <c r="AE4" s="32"/>
    </row>
    <row r="5" spans="1:31">
      <c r="A5" s="33" t="s">
        <v>36</v>
      </c>
      <c r="B5" s="33">
        <f>累计利润调整表!B67/10000</f>
        <v>36711.095899</v>
      </c>
      <c r="C5" s="33">
        <f>累计利润调整表!C67/10000</f>
        <v>-5.0000000000000001E-3</v>
      </c>
      <c r="D5" s="33">
        <f>累计利润调整表!D67/10000</f>
        <v>-170.18992500000144</v>
      </c>
      <c r="E5" s="33">
        <f>累计利润调整表!E67/10000</f>
        <v>36650.609323207551</v>
      </c>
      <c r="F5" s="33">
        <f>累计利润调整表!F67/10000</f>
        <v>94.400295000000014</v>
      </c>
      <c r="G5" s="33">
        <f>累计利润调整表!G67/10000</f>
        <v>41.313420000000001</v>
      </c>
      <c r="H5" s="33">
        <f>累计利润调整表!H67/10000</f>
        <v>0</v>
      </c>
      <c r="I5" s="33">
        <f>累计利润调整表!I67/10000</f>
        <v>0</v>
      </c>
      <c r="J5" s="33">
        <f>累计利润调整表!J67/10000</f>
        <v>53.086874999999999</v>
      </c>
      <c r="K5" s="33">
        <f>累计利润调整表!K67/10000</f>
        <v>136.28120579245282</v>
      </c>
      <c r="L5" s="33">
        <f>累计利润调整表!L67/10000</f>
        <v>0</v>
      </c>
      <c r="M5" s="33">
        <f>累计利润调整表!M67/10000</f>
        <v>120.04113679245282</v>
      </c>
      <c r="N5" s="33">
        <f>累计利润调整表!N67/10000</f>
        <v>0</v>
      </c>
      <c r="O5" s="33">
        <f>累计利润调整表!O67/10000</f>
        <v>17.667050999999997</v>
      </c>
      <c r="P5" s="33">
        <f>累计利润调整表!P67/10000</f>
        <v>0</v>
      </c>
      <c r="Q5" s="33">
        <f>累计利润调整表!Q67/10000</f>
        <v>-1.426982</v>
      </c>
      <c r="R5" s="33">
        <f>累计利润调整表!R67/10000</f>
        <v>0</v>
      </c>
      <c r="S5" s="33">
        <f>累计利润调整表!S67/10000</f>
        <v>0</v>
      </c>
      <c r="T5" s="33">
        <f>累计利润调整表!T67/10000</f>
        <v>0</v>
      </c>
      <c r="U5" s="33">
        <f>累计利润调整表!U67/10000</f>
        <v>0</v>
      </c>
      <c r="V5" s="33">
        <f>累计利润调整表!V67/10000</f>
        <v>0</v>
      </c>
      <c r="W5" s="33">
        <f>累计利润调整表!W67/10000</f>
        <v>0</v>
      </c>
      <c r="X5" s="33">
        <f>累计利润调整表!X67/10000</f>
        <v>0</v>
      </c>
      <c r="Y5" s="33">
        <f>累计利润调整表!Y67/10000</f>
        <v>0</v>
      </c>
      <c r="Z5" s="33">
        <f>累计利润调整表!Z67/10000</f>
        <v>0</v>
      </c>
      <c r="AA5" s="33">
        <f>累计利润调整表!AA67/10000</f>
        <v>0</v>
      </c>
      <c r="AB5" s="33">
        <f>累计利润调整表!AB67/10000</f>
        <v>0</v>
      </c>
      <c r="AC5" s="33"/>
      <c r="AD5" s="33"/>
      <c r="AE5" s="33"/>
    </row>
    <row r="6" spans="1:31">
      <c r="A6" s="33" t="s">
        <v>37</v>
      </c>
      <c r="B6" s="33">
        <f>累计利润调整表!B68/10000</f>
        <v>26705.438503000001</v>
      </c>
      <c r="C6" s="33">
        <f>累计利润调整表!C68/10000</f>
        <v>-134.56761099999997</v>
      </c>
      <c r="D6" s="33">
        <f>累计利润调整表!D68/10000</f>
        <v>1.9092112779617311E-12</v>
      </c>
      <c r="E6" s="33">
        <f>累计利润调整表!E68/10000</f>
        <v>381.14622699999995</v>
      </c>
      <c r="F6" s="33">
        <f>累计利润调整表!F68/10000</f>
        <v>0</v>
      </c>
      <c r="G6" s="33">
        <f>累计利润调整表!G68/10000</f>
        <v>0</v>
      </c>
      <c r="H6" s="33">
        <f>累计利润调整表!H68/10000</f>
        <v>0</v>
      </c>
      <c r="I6" s="33">
        <f>累计利润调整表!I68/10000</f>
        <v>0</v>
      </c>
      <c r="J6" s="33">
        <f>累计利润调整表!J68/10000</f>
        <v>0</v>
      </c>
      <c r="K6" s="33">
        <f>累计利润调整表!K68/10000</f>
        <v>6.75</v>
      </c>
      <c r="L6" s="33">
        <f>累计利润调整表!L68/10000</f>
        <v>0</v>
      </c>
      <c r="M6" s="33">
        <f>累计利润调整表!M68/10000</f>
        <v>6.75</v>
      </c>
      <c r="N6" s="33">
        <f>累计利润调整表!N68/10000</f>
        <v>0</v>
      </c>
      <c r="O6" s="33">
        <f>累计利润调整表!O68/10000</f>
        <v>0</v>
      </c>
      <c r="P6" s="33">
        <f>累计利润调整表!P68/10000</f>
        <v>0</v>
      </c>
      <c r="Q6" s="33">
        <f>累计利润调整表!Q68/10000</f>
        <v>0</v>
      </c>
      <c r="R6" s="33">
        <f>累计利润调整表!R68/10000</f>
        <v>0</v>
      </c>
      <c r="S6" s="33">
        <f>累计利润调整表!S68/10000</f>
        <v>26452.109886999999</v>
      </c>
      <c r="T6" s="33">
        <f>累计利润调整表!T68/10000</f>
        <v>1288.1052040000002</v>
      </c>
      <c r="U6" s="33">
        <f>累计利润调整表!U68/10000</f>
        <v>22306.948073999996</v>
      </c>
      <c r="V6" s="33">
        <f>累计利润调整表!V68/10000</f>
        <v>2749.1320799999999</v>
      </c>
      <c r="W6" s="33">
        <f>累计利润调整表!W68/10000</f>
        <v>107.92452900000001</v>
      </c>
      <c r="X6" s="33">
        <f>累计利润调整表!X68/10000</f>
        <v>0</v>
      </c>
      <c r="Y6" s="33">
        <f>累计利润调整表!Y68/10000</f>
        <v>0</v>
      </c>
      <c r="Z6" s="33">
        <f>累计利润调整表!Z68/10000</f>
        <v>0</v>
      </c>
      <c r="AA6" s="33">
        <f>累计利润调整表!AA68/10000</f>
        <v>0</v>
      </c>
      <c r="AB6" s="33">
        <f>累计利润调整表!AB68/10000</f>
        <v>0</v>
      </c>
      <c r="AC6" s="33"/>
      <c r="AD6" s="33"/>
      <c r="AE6" s="33"/>
    </row>
    <row r="7" spans="1:31">
      <c r="A7" s="33" t="s">
        <v>38</v>
      </c>
      <c r="B7" s="33">
        <f>累计利润调整表!B69/10000</f>
        <v>5452.1071910000001</v>
      </c>
      <c r="C7" s="33">
        <f>累计利润调整表!C69/10000</f>
        <v>157.598555</v>
      </c>
      <c r="D7" s="33">
        <f>累计利润调整表!D69/10000</f>
        <v>0</v>
      </c>
      <c r="E7" s="33">
        <f>累计利润调整表!E69/10000</f>
        <v>252.09989504905664</v>
      </c>
      <c r="F7" s="33">
        <f>累计利润调整表!F69/10000</f>
        <v>4788.6199589509424</v>
      </c>
      <c r="G7" s="33">
        <f>累计利润调整表!G69/10000</f>
        <v>775.72147895094338</v>
      </c>
      <c r="H7" s="33">
        <f>累计利润调整表!H69/10000</f>
        <v>3179.286286</v>
      </c>
      <c r="I7" s="33">
        <f>累计利润调整表!I69/10000</f>
        <v>682.57130700000005</v>
      </c>
      <c r="J7" s="33">
        <f>累计利润调整表!J69/10000</f>
        <v>151.040887</v>
      </c>
      <c r="K7" s="33">
        <f>累计利润调整表!K69/10000</f>
        <v>217.93972500000001</v>
      </c>
      <c r="L7" s="33">
        <f>累计利润调整表!L69/10000</f>
        <v>0</v>
      </c>
      <c r="M7" s="33">
        <f>累计利润调整表!M69/10000</f>
        <v>0</v>
      </c>
      <c r="N7" s="33">
        <f>累计利润调整表!N69/10000</f>
        <v>217.93972500000001</v>
      </c>
      <c r="O7" s="33">
        <f>累计利润调整表!O69/10000</f>
        <v>0</v>
      </c>
      <c r="P7" s="33">
        <f>累计利润调整表!P69/10000</f>
        <v>0</v>
      </c>
      <c r="Q7" s="33">
        <f>累计利润调整表!Q69/10000</f>
        <v>0</v>
      </c>
      <c r="R7" s="33">
        <f>累计利润调整表!R69/10000</f>
        <v>0</v>
      </c>
      <c r="S7" s="33">
        <f>累计利润调整表!S69/10000</f>
        <v>35.849057000000002</v>
      </c>
      <c r="T7" s="33">
        <f>累计利润调整表!T69/10000</f>
        <v>0</v>
      </c>
      <c r="U7" s="33">
        <f>累计利润调整表!U69/10000</f>
        <v>35.849057000000002</v>
      </c>
      <c r="V7" s="33">
        <f>累计利润调整表!V69/10000</f>
        <v>0</v>
      </c>
      <c r="W7" s="33">
        <f>累计利润调整表!W69/10000</f>
        <v>0</v>
      </c>
      <c r="X7" s="33">
        <f>累计利润调整表!X69/10000</f>
        <v>0</v>
      </c>
      <c r="Y7" s="33">
        <f>累计利润调整表!Y69/10000</f>
        <v>0</v>
      </c>
      <c r="Z7" s="33">
        <f>累计利润调整表!Z69/10000</f>
        <v>0</v>
      </c>
      <c r="AA7" s="33">
        <f>累计利润调整表!AA69/10000</f>
        <v>0</v>
      </c>
      <c r="AB7" s="33">
        <f>累计利润调整表!AB69/10000</f>
        <v>0</v>
      </c>
      <c r="AC7" s="33"/>
      <c r="AD7" s="33"/>
      <c r="AE7" s="33"/>
    </row>
    <row r="8" spans="1:31">
      <c r="A8" s="31" t="s">
        <v>39</v>
      </c>
      <c r="B8" s="31">
        <f>累计利润调整表!B70/10000</f>
        <v>22751.271902</v>
      </c>
      <c r="C8" s="31">
        <f>累计利润调整表!C70/10000</f>
        <v>277.79805299999998</v>
      </c>
      <c r="D8" s="31">
        <f>累计利润调整表!D70/10000</f>
        <v>-23782.372755666664</v>
      </c>
      <c r="E8" s="31">
        <f>累计利润调整表!E70/10000</f>
        <v>43538.821075</v>
      </c>
      <c r="F8" s="31">
        <f>累计利润调整表!F70/10000</f>
        <v>266.89147000000003</v>
      </c>
      <c r="G8" s="31">
        <f>累计利润调整表!G70/10000</f>
        <v>26.384509000000001</v>
      </c>
      <c r="H8" s="31">
        <f>累计利润调整表!H70/10000</f>
        <v>7.4748649999999994</v>
      </c>
      <c r="I8" s="31">
        <f>累计利润调整表!I70/10000</f>
        <v>0</v>
      </c>
      <c r="J8" s="31">
        <f>累计利润调整表!J70/10000</f>
        <v>233.032096</v>
      </c>
      <c r="K8" s="31">
        <f>累计利润调整表!K70/10000</f>
        <v>2138.4082780000003</v>
      </c>
      <c r="L8" s="31">
        <f>累计利润调整表!L70/10000</f>
        <v>-8.7487570000000012</v>
      </c>
      <c r="M8" s="31">
        <f>累计利润调整表!M70/10000</f>
        <v>105.411383</v>
      </c>
      <c r="N8" s="31">
        <f>累计利润调整表!N70/10000</f>
        <v>0</v>
      </c>
      <c r="O8" s="31">
        <f>累计利润调整表!O70/10000</f>
        <v>2011.326327</v>
      </c>
      <c r="P8" s="31">
        <f>累计利润调整表!P70/10000</f>
        <v>0</v>
      </c>
      <c r="Q8" s="31">
        <f>累计利润调整表!Q70/10000</f>
        <v>29.471792000000004</v>
      </c>
      <c r="R8" s="31">
        <f>累计利润调整表!R70/10000</f>
        <v>0.94753299999999996</v>
      </c>
      <c r="S8" s="31">
        <f>累计利润调整表!S70/10000</f>
        <v>311.72578166666665</v>
      </c>
      <c r="T8" s="31">
        <f>累计利润调整表!T70/10000</f>
        <v>0</v>
      </c>
      <c r="U8" s="31">
        <f>累计利润调整表!U70/10000</f>
        <v>295.65911499999999</v>
      </c>
      <c r="V8" s="31">
        <f>累计利润调整表!V70/10000</f>
        <v>16.06666666666667</v>
      </c>
      <c r="W8" s="31">
        <f>累计利润调整表!W70/10000</f>
        <v>0</v>
      </c>
      <c r="X8" s="31">
        <f>累计利润调整表!X70/10000</f>
        <v>0</v>
      </c>
      <c r="Y8" s="31">
        <f>累计利润调整表!Y70/10000</f>
        <v>0</v>
      </c>
      <c r="Z8" s="31">
        <f>累计利润调整表!Z70/10000</f>
        <v>0</v>
      </c>
      <c r="AA8" s="31">
        <f>累计利润调整表!AA70/10000</f>
        <v>0</v>
      </c>
      <c r="AB8" s="31">
        <f>累计利润调整表!AB70/10000</f>
        <v>0</v>
      </c>
      <c r="AC8" s="31"/>
      <c r="AD8" s="31"/>
      <c r="AE8" s="31"/>
    </row>
    <row r="9" spans="1:31">
      <c r="A9" s="31" t="s">
        <v>40</v>
      </c>
      <c r="B9" s="31">
        <f>累计利润调整表!B71/10000</f>
        <v>-75.894265999999973</v>
      </c>
      <c r="C9" s="31">
        <f>累计利润调整表!C71/10000</f>
        <v>-2548.812222</v>
      </c>
      <c r="D9" s="31">
        <f>累计利润调整表!D71/10000</f>
        <v>620.25301570000056</v>
      </c>
      <c r="E9" s="31">
        <f>累计利润调整表!E71/10000</f>
        <v>17.014206000000001</v>
      </c>
      <c r="F9" s="31">
        <f>累计利润调整表!F71/10000</f>
        <v>-8969.8637400000007</v>
      </c>
      <c r="G9" s="31">
        <f>累计利润调整表!G71/10000</f>
        <v>15.722587000000011</v>
      </c>
      <c r="H9" s="31">
        <f>累计利润调整表!H71/10000</f>
        <v>-8462.4194590000006</v>
      </c>
      <c r="I9" s="31">
        <f>累计利润调整表!I71/10000</f>
        <v>2.1477110000000001</v>
      </c>
      <c r="J9" s="31">
        <f>累计利润调整表!J71/10000</f>
        <v>-525.31457899999998</v>
      </c>
      <c r="K9" s="31">
        <f>累计利润调整表!K71/10000</f>
        <v>10812.983156299999</v>
      </c>
      <c r="L9" s="31">
        <f>累计利润调整表!L71/10000</f>
        <v>6014.1971140000005</v>
      </c>
      <c r="M9" s="31">
        <f>累计利润调整表!M71/10000</f>
        <v>5648.8448192999995</v>
      </c>
      <c r="N9" s="31">
        <f>累计利润调整表!N71/10000</f>
        <v>176.27678799999998</v>
      </c>
      <c r="O9" s="31">
        <f>累计利润调整表!O71/10000</f>
        <v>-2933.7606159999996</v>
      </c>
      <c r="P9" s="31">
        <f>累计利润调整表!P71/10000</f>
        <v>1195.8948929999999</v>
      </c>
      <c r="Q9" s="31">
        <f>累计利润调整表!Q71/10000</f>
        <v>711.53015800000003</v>
      </c>
      <c r="R9" s="31">
        <f>累计利润调整表!R71/10000</f>
        <v>0</v>
      </c>
      <c r="S9" s="31">
        <f>累计利润调整表!S71/10000</f>
        <v>-7.4686820000000003</v>
      </c>
      <c r="T9" s="31">
        <f>累计利润调整表!T71/10000</f>
        <v>-7.4686820000000003</v>
      </c>
      <c r="U9" s="31">
        <f>累计利润调整表!U71/10000</f>
        <v>0</v>
      </c>
      <c r="V9" s="31">
        <f>累计利润调整表!V71/10000</f>
        <v>0</v>
      </c>
      <c r="W9" s="31">
        <f>累计利润调整表!W71/10000</f>
        <v>0</v>
      </c>
      <c r="X9" s="31">
        <f>累计利润调整表!X71/10000</f>
        <v>0</v>
      </c>
      <c r="Y9" s="31">
        <f>累计利润调整表!Y71/10000</f>
        <v>0</v>
      </c>
      <c r="Z9" s="31">
        <f>累计利润调整表!Z71/10000</f>
        <v>0</v>
      </c>
      <c r="AA9" s="31">
        <f>累计利润调整表!AA71/10000</f>
        <v>0</v>
      </c>
      <c r="AB9" s="31">
        <f>累计利润调整表!AB71/10000</f>
        <v>0</v>
      </c>
      <c r="AC9" s="31"/>
      <c r="AD9" s="31"/>
      <c r="AE9" s="31"/>
    </row>
    <row r="10" spans="1:31">
      <c r="A10" s="31" t="s">
        <v>41</v>
      </c>
      <c r="B10" s="31">
        <f>累计利润调整表!B72/10000</f>
        <v>0</v>
      </c>
      <c r="C10" s="31">
        <f>累计利润调整表!C72/10000</f>
        <v>0</v>
      </c>
      <c r="D10" s="31">
        <f>累计利润调整表!D72/10000</f>
        <v>0</v>
      </c>
      <c r="E10" s="31">
        <f>累计利润调整表!E72/10000</f>
        <v>0</v>
      </c>
      <c r="F10" s="31">
        <f>累计利润调整表!F72/10000</f>
        <v>0</v>
      </c>
      <c r="G10" s="31">
        <f>累计利润调整表!G72/10000</f>
        <v>0</v>
      </c>
      <c r="H10" s="31">
        <f>累计利润调整表!H72/10000</f>
        <v>0</v>
      </c>
      <c r="I10" s="31">
        <f>累计利润调整表!I72/10000</f>
        <v>0</v>
      </c>
      <c r="J10" s="31">
        <f>累计利润调整表!J72/10000</f>
        <v>0</v>
      </c>
      <c r="K10" s="31">
        <f>累计利润调整表!K72/10000</f>
        <v>0</v>
      </c>
      <c r="L10" s="31">
        <f>累计利润调整表!L72/10000</f>
        <v>0</v>
      </c>
      <c r="M10" s="31">
        <f>累计利润调整表!M72/10000</f>
        <v>0</v>
      </c>
      <c r="N10" s="31">
        <f>累计利润调整表!N72/10000</f>
        <v>0</v>
      </c>
      <c r="O10" s="31">
        <f>累计利润调整表!O72/10000</f>
        <v>0</v>
      </c>
      <c r="P10" s="31">
        <f>累计利润调整表!P72/10000</f>
        <v>0</v>
      </c>
      <c r="Q10" s="31">
        <f>累计利润调整表!Q72/10000</f>
        <v>0</v>
      </c>
      <c r="R10" s="31">
        <f>累计利润调整表!R72/10000</f>
        <v>0</v>
      </c>
      <c r="S10" s="31">
        <f>累计利润调整表!S72/10000</f>
        <v>0</v>
      </c>
      <c r="T10" s="31">
        <f>累计利润调整表!T72/10000</f>
        <v>0</v>
      </c>
      <c r="U10" s="31">
        <f>累计利润调整表!U72/10000</f>
        <v>0</v>
      </c>
      <c r="V10" s="31">
        <f>累计利润调整表!V72/10000</f>
        <v>0</v>
      </c>
      <c r="W10" s="31">
        <f>累计利润调整表!W72/10000</f>
        <v>0</v>
      </c>
      <c r="X10" s="31">
        <f>累计利润调整表!X72/10000</f>
        <v>0</v>
      </c>
      <c r="Y10" s="31">
        <f>累计利润调整表!Y72/10000</f>
        <v>0</v>
      </c>
      <c r="Z10" s="31">
        <f>累计利润调整表!Z72/10000</f>
        <v>0</v>
      </c>
      <c r="AA10" s="31">
        <f>累计利润调整表!AA72/10000</f>
        <v>0</v>
      </c>
      <c r="AB10" s="31">
        <f>累计利润调整表!AB72/10000</f>
        <v>0</v>
      </c>
      <c r="AC10" s="31"/>
      <c r="AD10" s="31"/>
      <c r="AE10" s="31"/>
    </row>
    <row r="11" spans="1:31">
      <c r="A11" s="31" t="s">
        <v>42</v>
      </c>
      <c r="B11" s="31">
        <f>累计利润调整表!B73/10000</f>
        <v>-10329.250881666669</v>
      </c>
      <c r="C11" s="31">
        <f>累计利润调整表!C73/10000</f>
        <v>1001.2660969999998</v>
      </c>
      <c r="D11" s="31">
        <f>累计利润调整表!D73/10000</f>
        <v>0</v>
      </c>
      <c r="E11" s="31">
        <f>累计利润调整表!E73/10000</f>
        <v>173.88644000000002</v>
      </c>
      <c r="F11" s="31">
        <f>累计利润调整表!F73/10000</f>
        <v>-18490.012517000003</v>
      </c>
      <c r="G11" s="31">
        <f>累计利润调整表!G73/10000</f>
        <v>-18.092244000000001</v>
      </c>
      <c r="H11" s="31">
        <f>累计利润调整表!H73/10000</f>
        <v>-18414.234927000001</v>
      </c>
      <c r="I11" s="31">
        <f>累计利润调整表!I73/10000</f>
        <v>294.84697833333331</v>
      </c>
      <c r="J11" s="31">
        <f>累计利润调整表!J73/10000</f>
        <v>-352.53232433333335</v>
      </c>
      <c r="K11" s="31">
        <f>累计利润调整表!K73/10000</f>
        <v>6982.7602633333345</v>
      </c>
      <c r="L11" s="31">
        <f>累计利润调整表!L73/10000</f>
        <v>-200.56672499999999</v>
      </c>
      <c r="M11" s="31">
        <f>累计利润调整表!M73/10000</f>
        <v>-2506.3593969999997</v>
      </c>
      <c r="N11" s="31">
        <f>累计利润调整表!N73/10000</f>
        <v>-124.747899</v>
      </c>
      <c r="O11" s="31">
        <f>累计利润调整表!O73/10000</f>
        <v>11646.765272333332</v>
      </c>
      <c r="P11" s="31">
        <f>累计利润调整表!P73/10000</f>
        <v>-1390.7764320000001</v>
      </c>
      <c r="Q11" s="31">
        <f>累计利润调整表!Q73/10000</f>
        <v>-441.55455599999993</v>
      </c>
      <c r="R11" s="31">
        <f>累计利润调整表!R73/10000</f>
        <v>0</v>
      </c>
      <c r="S11" s="31">
        <f>累计利润调整表!S73/10000</f>
        <v>2.8488349999999998</v>
      </c>
      <c r="T11" s="31">
        <f>累计利润调整表!T73/10000</f>
        <v>2.8488349999999998</v>
      </c>
      <c r="U11" s="31">
        <f>累计利润调整表!U73/10000</f>
        <v>0</v>
      </c>
      <c r="V11" s="31">
        <f>累计利润调整表!V73/10000</f>
        <v>0</v>
      </c>
      <c r="W11" s="31">
        <f>累计利润调整表!W73/10000</f>
        <v>0</v>
      </c>
      <c r="X11" s="31">
        <f>累计利润调整表!X73/10000</f>
        <v>0</v>
      </c>
      <c r="Y11" s="31">
        <f>累计利润调整表!Y73/10000</f>
        <v>0</v>
      </c>
      <c r="Z11" s="31">
        <f>累计利润调整表!Z73/10000</f>
        <v>0</v>
      </c>
      <c r="AA11" s="31">
        <f>累计利润调整表!AA73/10000</f>
        <v>0</v>
      </c>
      <c r="AB11" s="31">
        <f>累计利润调整表!AB73/10000</f>
        <v>0</v>
      </c>
      <c r="AC11" s="31"/>
      <c r="AD11" s="31"/>
      <c r="AE11" s="31"/>
    </row>
    <row r="12" spans="1:31">
      <c r="A12" s="31" t="s">
        <v>43</v>
      </c>
      <c r="B12" s="31">
        <f>累计利润调整表!B74/10000</f>
        <v>-65.341837999999996</v>
      </c>
      <c r="C12" s="31">
        <f>累计利润调整表!C74/10000</f>
        <v>0</v>
      </c>
      <c r="D12" s="31">
        <f>累计利润调整表!D74/10000</f>
        <v>7.6165640000000012</v>
      </c>
      <c r="E12" s="31">
        <f>累计利润调整表!E74/10000</f>
        <v>-72.958402000000007</v>
      </c>
      <c r="F12" s="31">
        <f>累计利润调整表!F74/10000</f>
        <v>0</v>
      </c>
      <c r="G12" s="31">
        <f>累计利润调整表!G74/10000</f>
        <v>0</v>
      </c>
      <c r="H12" s="31">
        <f>累计利润调整表!H74/10000</f>
        <v>0</v>
      </c>
      <c r="I12" s="31">
        <f>累计利润调整表!I74/10000</f>
        <v>0</v>
      </c>
      <c r="J12" s="31">
        <f>累计利润调整表!J74/10000</f>
        <v>0</v>
      </c>
      <c r="K12" s="31">
        <f>累计利润调整表!K74/10000</f>
        <v>0</v>
      </c>
      <c r="L12" s="31">
        <f>累计利润调整表!L74/10000</f>
        <v>0</v>
      </c>
      <c r="M12" s="31">
        <f>累计利润调整表!M74/10000</f>
        <v>0</v>
      </c>
      <c r="N12" s="31">
        <f>累计利润调整表!N74/10000</f>
        <v>0</v>
      </c>
      <c r="O12" s="31">
        <f>累计利润调整表!O74/10000</f>
        <v>0</v>
      </c>
      <c r="P12" s="31">
        <f>累计利润调整表!P74/10000</f>
        <v>0</v>
      </c>
      <c r="Q12" s="31">
        <f>累计利润调整表!Q74/10000</f>
        <v>0</v>
      </c>
      <c r="R12" s="31">
        <f>累计利润调整表!R74/10000</f>
        <v>0</v>
      </c>
      <c r="S12" s="31">
        <f>累计利润调整表!S74/10000</f>
        <v>0</v>
      </c>
      <c r="T12" s="31">
        <f>累计利润调整表!T74/10000</f>
        <v>0</v>
      </c>
      <c r="U12" s="31">
        <f>累计利润调整表!U74/10000</f>
        <v>0</v>
      </c>
      <c r="V12" s="31">
        <f>累计利润调整表!V74/10000</f>
        <v>0</v>
      </c>
      <c r="W12" s="31">
        <f>累计利润调整表!W74/10000</f>
        <v>0</v>
      </c>
      <c r="X12" s="31">
        <f>累计利润调整表!X74/10000</f>
        <v>0</v>
      </c>
      <c r="Y12" s="31">
        <f>累计利润调整表!Y74/10000</f>
        <v>0</v>
      </c>
      <c r="Z12" s="31">
        <f>累计利润调整表!Z74/10000</f>
        <v>0</v>
      </c>
      <c r="AA12" s="31">
        <f>累计利润调整表!AA74/10000</f>
        <v>0</v>
      </c>
      <c r="AB12" s="31">
        <f>累计利润调整表!AB74/10000</f>
        <v>0</v>
      </c>
      <c r="AC12" s="31"/>
      <c r="AD12" s="31"/>
      <c r="AE12" s="31"/>
    </row>
    <row r="13" spans="1:31">
      <c r="A13" s="31" t="s">
        <v>44</v>
      </c>
      <c r="B13" s="31">
        <f>累计利润调整表!B75/10000</f>
        <v>932.90638200000001</v>
      </c>
      <c r="C13" s="31">
        <f>累计利润调整表!C75/10000</f>
        <v>-330.21030300000001</v>
      </c>
      <c r="D13" s="31">
        <f>累计利润调整表!D75/10000</f>
        <v>0</v>
      </c>
      <c r="E13" s="31">
        <f>累计利润调整表!E75/10000</f>
        <v>1263.1166850000002</v>
      </c>
      <c r="F13" s="31">
        <f>累计利润调整表!F75/10000</f>
        <v>0</v>
      </c>
      <c r="G13" s="31">
        <f>累计利润调整表!G75/10000</f>
        <v>0</v>
      </c>
      <c r="H13" s="31">
        <f>累计利润调整表!H75/10000</f>
        <v>0</v>
      </c>
      <c r="I13" s="31">
        <f>累计利润调整表!I75/10000</f>
        <v>0</v>
      </c>
      <c r="J13" s="31">
        <f>累计利润调整表!J75/10000</f>
        <v>0</v>
      </c>
      <c r="K13" s="31">
        <f>累计利润调整表!K75/10000</f>
        <v>0</v>
      </c>
      <c r="L13" s="31">
        <f>累计利润调整表!L75/10000</f>
        <v>0</v>
      </c>
      <c r="M13" s="31">
        <f>累计利润调整表!M75/10000</f>
        <v>0</v>
      </c>
      <c r="N13" s="31">
        <f>累计利润调整表!N75/10000</f>
        <v>0</v>
      </c>
      <c r="O13" s="31">
        <f>累计利润调整表!O75/10000</f>
        <v>0</v>
      </c>
      <c r="P13" s="31">
        <f>累计利润调整表!P75/10000</f>
        <v>0</v>
      </c>
      <c r="Q13" s="31">
        <f>累计利润调整表!Q75/10000</f>
        <v>0</v>
      </c>
      <c r="R13" s="31">
        <f>累计利润调整表!R75/10000</f>
        <v>0</v>
      </c>
      <c r="S13" s="31">
        <f>累计利润调整表!S75/10000</f>
        <v>0</v>
      </c>
      <c r="T13" s="31">
        <f>累计利润调整表!T75/10000</f>
        <v>0</v>
      </c>
      <c r="U13" s="31">
        <f>累计利润调整表!U75/10000</f>
        <v>0</v>
      </c>
      <c r="V13" s="31">
        <f>累计利润调整表!V75/10000</f>
        <v>0</v>
      </c>
      <c r="W13" s="31">
        <f>累计利润调整表!W75/10000</f>
        <v>0</v>
      </c>
      <c r="X13" s="31">
        <f>累计利润调整表!X75/10000</f>
        <v>0</v>
      </c>
      <c r="Y13" s="31">
        <f>累计利润调整表!Y75/10000</f>
        <v>0</v>
      </c>
      <c r="Z13" s="31">
        <f>累计利润调整表!Z75/10000</f>
        <v>0</v>
      </c>
      <c r="AA13" s="31">
        <f>累计利润调整表!AA75/10000</f>
        <v>0</v>
      </c>
      <c r="AB13" s="31">
        <f>累计利润调整表!AB75/10000</f>
        <v>0</v>
      </c>
      <c r="AC13" s="31"/>
      <c r="AD13" s="31"/>
      <c r="AE13" s="31"/>
    </row>
    <row r="14" spans="1:31">
      <c r="A14" s="34" t="s">
        <v>45</v>
      </c>
      <c r="B14" s="35">
        <f>累计利润调整表!B76/10000</f>
        <v>59457.530605999993</v>
      </c>
      <c r="C14" s="35">
        <f>累计利润调整表!C76/10000</f>
        <v>-0.77836400000002248</v>
      </c>
      <c r="D14" s="35">
        <f>累计利润调整表!D76/10000</f>
        <v>13956.382402999994</v>
      </c>
      <c r="E14" s="35">
        <f>累计利润调整表!E76/10000</f>
        <v>29114.921867999994</v>
      </c>
      <c r="F14" s="35">
        <f>累计利润调整表!F76/10000</f>
        <v>1585.500319</v>
      </c>
      <c r="G14" s="35">
        <f>累计利润调整表!G76/10000</f>
        <v>402.232146</v>
      </c>
      <c r="H14" s="35">
        <f>累计利润调整表!H76/10000</f>
        <v>268.30075399999998</v>
      </c>
      <c r="I14" s="35">
        <f>累计利润调整表!I76/10000</f>
        <v>364.14678300000003</v>
      </c>
      <c r="J14" s="35">
        <f>累计利润调整表!J76/10000</f>
        <v>550.82063599999992</v>
      </c>
      <c r="K14" s="35">
        <f>累计利润调整表!K76/10000</f>
        <v>2851.507791</v>
      </c>
      <c r="L14" s="35">
        <f>累计利润调整表!L76/10000</f>
        <v>423.12325600000003</v>
      </c>
      <c r="M14" s="35">
        <f>累计利润调整表!M76/10000</f>
        <v>383.33368300000001</v>
      </c>
      <c r="N14" s="35">
        <f>累计利润调整表!N76/10000</f>
        <v>147.20818199999999</v>
      </c>
      <c r="O14" s="35">
        <f>累计利润调整表!O76/10000</f>
        <v>632.025982</v>
      </c>
      <c r="P14" s="35">
        <f>累计利润调整表!P76/10000</f>
        <v>287.36352200000005</v>
      </c>
      <c r="Q14" s="35">
        <f>累计利润调整表!Q76/10000</f>
        <v>340.16478499999994</v>
      </c>
      <c r="R14" s="35">
        <f>累计利润调整表!R76/10000</f>
        <v>638.28838100000007</v>
      </c>
      <c r="S14" s="35">
        <f>累计利润调整表!S76/10000</f>
        <v>10732.187182</v>
      </c>
      <c r="T14" s="35">
        <f>累计利润调整表!T76/10000</f>
        <v>1091.0729729999998</v>
      </c>
      <c r="U14" s="35">
        <f>累计利润调整表!U76/10000</f>
        <v>7435.2365060000002</v>
      </c>
      <c r="V14" s="35">
        <f>累计利润调整表!V76/10000</f>
        <v>1996.5164710000001</v>
      </c>
      <c r="W14" s="35">
        <f>累计利润调整表!W76/10000</f>
        <v>44.194049</v>
      </c>
      <c r="X14" s="35">
        <f>累计利润调整表!X76/10000</f>
        <v>128.145261</v>
      </c>
      <c r="Y14" s="35">
        <f>累计利润调整表!Y76/10000</f>
        <v>26.081357000000001</v>
      </c>
      <c r="Z14" s="35">
        <f>累计利润调整表!Z76/10000</f>
        <v>10.940564999999999</v>
      </c>
      <c r="AA14" s="35">
        <f>累计利润调整表!AA76/10000</f>
        <v>628.44807600000001</v>
      </c>
      <c r="AB14" s="35">
        <f>累计利润调整表!AB76/10000</f>
        <v>589.36133099999995</v>
      </c>
      <c r="AC14" s="35"/>
      <c r="AD14" s="35"/>
      <c r="AE14" s="35"/>
    </row>
    <row r="15" spans="1:31">
      <c r="A15" s="32" t="s">
        <v>46</v>
      </c>
      <c r="B15" s="32">
        <f>累计利润调整表!B77/10000</f>
        <v>850.33799600000009</v>
      </c>
      <c r="C15" s="32">
        <f>累计利润调整表!C77/10000</f>
        <v>-18.185625000000002</v>
      </c>
      <c r="D15" s="32">
        <f>累计利润调整表!D77/10000</f>
        <v>-101.09272799999989</v>
      </c>
      <c r="E15" s="32">
        <f>累计利润调整表!E77/10000</f>
        <v>546.10124099999996</v>
      </c>
      <c r="F15" s="32">
        <f>累计利润调整表!F77/10000</f>
        <v>31.198944999999995</v>
      </c>
      <c r="G15" s="32">
        <f>累计利润调整表!G77/10000</f>
        <v>6.9347570000000003</v>
      </c>
      <c r="H15" s="32">
        <f>累计利润调整表!H77/10000</f>
        <v>22.838186999999998</v>
      </c>
      <c r="I15" s="32">
        <f>累计利润调整表!I77/10000</f>
        <v>4.9074939999999998</v>
      </c>
      <c r="J15" s="32">
        <f>累计利润调整表!J77/10000</f>
        <v>-3.4814929999999999</v>
      </c>
      <c r="K15" s="32">
        <f>累计利润调整表!K77/10000</f>
        <v>203.52142499999999</v>
      </c>
      <c r="L15" s="32">
        <f>累计利润调整表!L77/10000</f>
        <v>158.49676299999999</v>
      </c>
      <c r="M15" s="32">
        <f>累计利润调整表!M77/10000</f>
        <v>56.836268999999994</v>
      </c>
      <c r="N15" s="32">
        <f>累计利润调整表!N77/10000</f>
        <v>4.0047860000000002</v>
      </c>
      <c r="O15" s="32">
        <f>累计利润调整表!O77/10000</f>
        <v>-27.438061999999999</v>
      </c>
      <c r="P15" s="32">
        <f>累计利润调整表!P77/10000</f>
        <v>6.5943959999999988</v>
      </c>
      <c r="Q15" s="32">
        <f>累计利润调整表!Q77/10000</f>
        <v>5.0272730000000001</v>
      </c>
      <c r="R15" s="32">
        <f>累计利润调整表!R77/10000</f>
        <v>0</v>
      </c>
      <c r="S15" s="32">
        <f>累计利润调整表!S77/10000</f>
        <v>189.60340400000004</v>
      </c>
      <c r="T15" s="32">
        <f>累计利润调整表!T77/10000</f>
        <v>9.183129000000001</v>
      </c>
      <c r="U15" s="32">
        <f>累计利润调整表!U77/10000</f>
        <v>160.066879</v>
      </c>
      <c r="V15" s="32">
        <f>累计利润调整表!V77/10000</f>
        <v>19.598913</v>
      </c>
      <c r="W15" s="32">
        <f>累计利润调整表!W77/10000</f>
        <v>0.77143700000000004</v>
      </c>
      <c r="X15" s="32">
        <f>累计利润调整表!X77/10000</f>
        <v>-9.640000000000001E-3</v>
      </c>
      <c r="Y15" s="32">
        <f>累计利润调整表!Y77/10000</f>
        <v>-7.3140000000000002E-3</v>
      </c>
      <c r="Z15" s="32">
        <f>累计利润调整表!Z77/10000</f>
        <v>0</v>
      </c>
      <c r="AA15" s="32">
        <f>累计利润调整表!AA77/10000</f>
        <v>-0.73417500000000002</v>
      </c>
      <c r="AB15" s="32">
        <f>累计利润调整表!AB77/10000</f>
        <v>-7.4491000000000002E-2</v>
      </c>
      <c r="AC15" s="32"/>
      <c r="AD15" s="32"/>
      <c r="AE15" s="32"/>
    </row>
    <row r="16" spans="1:31">
      <c r="A16" s="32" t="s">
        <v>47</v>
      </c>
      <c r="B16" s="32">
        <f>累计利润调整表!B78/10000</f>
        <v>58266.369608000001</v>
      </c>
      <c r="C16" s="32">
        <f>累计利润调整表!C78/10000</f>
        <v>17.407260999999977</v>
      </c>
      <c r="D16" s="32">
        <f>累计利润调整表!D78/10000</f>
        <v>14057.475131000001</v>
      </c>
      <c r="E16" s="32">
        <f>累计利润调整表!E78/10000</f>
        <v>28227.997625</v>
      </c>
      <c r="F16" s="32">
        <f>累计利润调整表!F78/10000</f>
        <v>1554.3013739999999</v>
      </c>
      <c r="G16" s="32">
        <f>累计利润调整表!G78/10000</f>
        <v>395.29738899999995</v>
      </c>
      <c r="H16" s="32">
        <f>累计利润调整表!H78/10000</f>
        <v>245.46256699999998</v>
      </c>
      <c r="I16" s="32">
        <f>累计利润调整表!I78/10000</f>
        <v>359.23928899999999</v>
      </c>
      <c r="J16" s="32">
        <f>累计利润调整表!J78/10000</f>
        <v>554.30212900000004</v>
      </c>
      <c r="K16" s="32">
        <f>累计利润调整表!K78/10000</f>
        <v>2647.9863660000001</v>
      </c>
      <c r="L16" s="32">
        <f>累计利润调整表!L78/10000</f>
        <v>264.62649300000004</v>
      </c>
      <c r="M16" s="32">
        <f>累计利润调整表!M78/10000</f>
        <v>326.49741399999999</v>
      </c>
      <c r="N16" s="32">
        <f>累计利润调整表!N78/10000</f>
        <v>143.203396</v>
      </c>
      <c r="O16" s="32">
        <f>累计利润调整表!O78/10000</f>
        <v>659.46404399999994</v>
      </c>
      <c r="P16" s="32">
        <f>累计利润调整表!P78/10000</f>
        <v>280.76912600000003</v>
      </c>
      <c r="Q16" s="32">
        <f>累计利润调整表!Q78/10000</f>
        <v>335.13751200000002</v>
      </c>
      <c r="R16" s="32">
        <f>累计利润调整表!R78/10000</f>
        <v>638.28838100000007</v>
      </c>
      <c r="S16" s="32">
        <f>累计利润调整表!S78/10000</f>
        <v>10542.583778</v>
      </c>
      <c r="T16" s="32">
        <f>累计利润调整表!T78/10000</f>
        <v>1081.889844</v>
      </c>
      <c r="U16" s="32">
        <f>累计利润调整表!U78/10000</f>
        <v>7275.1696269999993</v>
      </c>
      <c r="V16" s="32">
        <f>累计利润调整表!V78/10000</f>
        <v>1976.9175580000001</v>
      </c>
      <c r="W16" s="32">
        <f>累计利润调整表!W78/10000</f>
        <v>43.422612000000001</v>
      </c>
      <c r="X16" s="32">
        <f>累计利润调整表!X78/10000</f>
        <v>128.154901</v>
      </c>
      <c r="Y16" s="32">
        <f>累计利润调整表!Y78/10000</f>
        <v>26.088670999999998</v>
      </c>
      <c r="Z16" s="32">
        <f>累计利润调整表!Z78/10000</f>
        <v>10.940564999999999</v>
      </c>
      <c r="AA16" s="32">
        <f>累计利润调整表!AA78/10000</f>
        <v>629.18225100000006</v>
      </c>
      <c r="AB16" s="32">
        <f>累计利润调整表!AB78/10000</f>
        <v>589.43582200000003</v>
      </c>
      <c r="AC16" s="32"/>
      <c r="AD16" s="32"/>
      <c r="AE16" s="32"/>
    </row>
    <row r="17" spans="1:31">
      <c r="A17" s="32" t="s">
        <v>48</v>
      </c>
      <c r="B17" s="32">
        <f>累计利润调整表!B79/10000</f>
        <v>0</v>
      </c>
      <c r="C17" s="32">
        <f>累计利润调整表!C79/10000</f>
        <v>0</v>
      </c>
      <c r="D17" s="32">
        <f>累计利润调整表!D79/10000</f>
        <v>0</v>
      </c>
      <c r="E17" s="32">
        <f>累计利润调整表!E79/10000</f>
        <v>0</v>
      </c>
      <c r="F17" s="32">
        <f>累计利润调整表!F79/10000</f>
        <v>0</v>
      </c>
      <c r="G17" s="32">
        <f>累计利润调整表!G79/10000</f>
        <v>0</v>
      </c>
      <c r="H17" s="32">
        <f>累计利润调整表!H79/10000</f>
        <v>0</v>
      </c>
      <c r="I17" s="32">
        <f>累计利润调整表!I79/10000</f>
        <v>0</v>
      </c>
      <c r="J17" s="32">
        <f>累计利润调整表!J79/10000</f>
        <v>0</v>
      </c>
      <c r="K17" s="32">
        <f>累计利润调整表!K79/10000</f>
        <v>0</v>
      </c>
      <c r="L17" s="32">
        <f>累计利润调整表!L79/10000</f>
        <v>0</v>
      </c>
      <c r="M17" s="32">
        <f>累计利润调整表!M79/10000</f>
        <v>0</v>
      </c>
      <c r="N17" s="32">
        <f>累计利润调整表!N79/10000</f>
        <v>0</v>
      </c>
      <c r="O17" s="32">
        <f>累计利润调整表!O79/10000</f>
        <v>0</v>
      </c>
      <c r="P17" s="32">
        <f>累计利润调整表!P79/10000</f>
        <v>0</v>
      </c>
      <c r="Q17" s="32">
        <f>累计利润调整表!Q79/10000</f>
        <v>0</v>
      </c>
      <c r="R17" s="32">
        <f>累计利润调整表!R79/10000</f>
        <v>0</v>
      </c>
      <c r="S17" s="32">
        <f>累计利润调整表!S79/10000</f>
        <v>0</v>
      </c>
      <c r="T17" s="32">
        <f>累计利润调整表!T79/10000</f>
        <v>0</v>
      </c>
      <c r="U17" s="32">
        <f>累计利润调整表!U79/10000</f>
        <v>0</v>
      </c>
      <c r="V17" s="32">
        <f>累计利润调整表!V79/10000</f>
        <v>0</v>
      </c>
      <c r="W17" s="32">
        <f>累计利润调整表!W79/10000</f>
        <v>0</v>
      </c>
      <c r="X17" s="32">
        <f>累计利润调整表!X79/10000</f>
        <v>0</v>
      </c>
      <c r="Y17" s="32">
        <f>累计利润调整表!Y79/10000</f>
        <v>0</v>
      </c>
      <c r="Z17" s="32">
        <f>累计利润调整表!Z79/10000</f>
        <v>0</v>
      </c>
      <c r="AA17" s="32">
        <f>累计利润调整表!AA79/10000</f>
        <v>0</v>
      </c>
      <c r="AB17" s="32">
        <f>累计利润调整表!AB79/10000</f>
        <v>0</v>
      </c>
      <c r="AC17" s="32"/>
      <c r="AD17" s="32"/>
      <c r="AE17" s="32"/>
    </row>
    <row r="18" spans="1:31">
      <c r="A18" s="32" t="s">
        <v>49</v>
      </c>
      <c r="B18" s="32">
        <f>累计利润调整表!B80/10000</f>
        <v>340.82300199999997</v>
      </c>
      <c r="C18" s="32">
        <f>累计利润调整表!C80/10000</f>
        <v>0</v>
      </c>
      <c r="D18" s="32">
        <f>累计利润调整表!D80/10000</f>
        <v>0</v>
      </c>
      <c r="E18" s="32">
        <f>累计利润调整表!E80/10000</f>
        <v>340.82300199999997</v>
      </c>
      <c r="F18" s="32">
        <f>累计利润调整表!F80/10000</f>
        <v>0</v>
      </c>
      <c r="G18" s="32">
        <f>累计利润调整表!G80/10000</f>
        <v>0</v>
      </c>
      <c r="H18" s="32">
        <f>累计利润调整表!H80/10000</f>
        <v>0</v>
      </c>
      <c r="I18" s="32">
        <f>累计利润调整表!I80/10000</f>
        <v>0</v>
      </c>
      <c r="J18" s="32">
        <f>累计利润调整表!J80/10000</f>
        <v>0</v>
      </c>
      <c r="K18" s="32">
        <f>累计利润调整表!K80/10000</f>
        <v>0</v>
      </c>
      <c r="L18" s="32">
        <f>累计利润调整表!L80/10000</f>
        <v>0</v>
      </c>
      <c r="M18" s="32">
        <f>累计利润调整表!M80/10000</f>
        <v>0</v>
      </c>
      <c r="N18" s="32">
        <f>累计利润调整表!N80/10000</f>
        <v>0</v>
      </c>
      <c r="O18" s="32">
        <f>累计利润调整表!O80/10000</f>
        <v>0</v>
      </c>
      <c r="P18" s="32">
        <f>累计利润调整表!P80/10000</f>
        <v>0</v>
      </c>
      <c r="Q18" s="32">
        <f>累计利润调整表!Q80/10000</f>
        <v>0</v>
      </c>
      <c r="R18" s="32">
        <f>累计利润调整表!R80/10000</f>
        <v>0</v>
      </c>
      <c r="S18" s="32">
        <f>累计利润调整表!S80/10000</f>
        <v>0</v>
      </c>
      <c r="T18" s="32">
        <f>累计利润调整表!T80/10000</f>
        <v>0</v>
      </c>
      <c r="U18" s="32">
        <f>累计利润调整表!U80/10000</f>
        <v>0</v>
      </c>
      <c r="V18" s="32">
        <f>累计利润调整表!V80/10000</f>
        <v>0</v>
      </c>
      <c r="W18" s="32">
        <f>累计利润调整表!W80/10000</f>
        <v>0</v>
      </c>
      <c r="X18" s="32">
        <f>累计利润调整表!X80/10000</f>
        <v>0</v>
      </c>
      <c r="Y18" s="32">
        <f>累计利润调整表!Y80/10000</f>
        <v>0</v>
      </c>
      <c r="Z18" s="32">
        <f>累计利润调整表!Z80/10000</f>
        <v>0</v>
      </c>
      <c r="AA18" s="32">
        <f>累计利润调整表!AA80/10000</f>
        <v>0</v>
      </c>
      <c r="AB18" s="32">
        <f>累计利润调整表!AB80/10000</f>
        <v>0</v>
      </c>
      <c r="AC18" s="32"/>
      <c r="AD18" s="32"/>
      <c r="AE18" s="32"/>
    </row>
    <row r="19" spans="1:31">
      <c r="A19" s="34" t="s">
        <v>50</v>
      </c>
      <c r="B19" s="35">
        <f>累计利润调整表!B81/10000</f>
        <v>22935.903650333334</v>
      </c>
      <c r="C19" s="35">
        <f>累计利润调整表!C81/10000</f>
        <v>-1576.1540670000002</v>
      </c>
      <c r="D19" s="35">
        <f>累计利润调整表!D81/10000</f>
        <v>-37324.043350966669</v>
      </c>
      <c r="E19" s="35">
        <f>累计利润调整表!E81/10000</f>
        <v>53275.618374256606</v>
      </c>
      <c r="F19" s="35">
        <f>累计利润调整表!F81/10000</f>
        <v>-23896.197379049059</v>
      </c>
      <c r="G19" s="35">
        <f>累计利润调整表!G81/10000</f>
        <v>438.08507795094334</v>
      </c>
      <c r="H19" s="35">
        <f>累计利润调整表!H81/10000</f>
        <v>-23958.193989000003</v>
      </c>
      <c r="I19" s="35">
        <f>累计利润调整表!I81/10000</f>
        <v>615.41921333333323</v>
      </c>
      <c r="J19" s="35">
        <f>累计利润调整表!J81/10000</f>
        <v>-991.50768133333327</v>
      </c>
      <c r="K19" s="35">
        <f>累计利润调整表!K81/10000</f>
        <v>17611.611783425786</v>
      </c>
      <c r="L19" s="35">
        <f>累计利润调整表!L81/10000</f>
        <v>5373.4548240000004</v>
      </c>
      <c r="M19" s="35">
        <f>累计利润调整表!M81/10000</f>
        <v>2955.1479310924528</v>
      </c>
      <c r="N19" s="35">
        <f>累计利润调整表!N81/10000</f>
        <v>329.08476899999999</v>
      </c>
      <c r="O19" s="35">
        <f>累计利润调整表!O81/10000</f>
        <v>10109.972052333333</v>
      </c>
      <c r="P19" s="35">
        <f>累计利润调整表!P81/10000</f>
        <v>-482.24506100000002</v>
      </c>
      <c r="Q19" s="35">
        <f>累计利润调整表!Q81/10000</f>
        <v>-42.144373000000044</v>
      </c>
      <c r="R19" s="35">
        <f>累计利润调整表!R81/10000</f>
        <v>-637.60304800000006</v>
      </c>
      <c r="S19" s="35">
        <f>累计利润调整表!S81/10000</f>
        <v>16062.87769666667</v>
      </c>
      <c r="T19" s="35">
        <f>累计利润调整表!T81/10000</f>
        <v>192.41238400000003</v>
      </c>
      <c r="U19" s="35">
        <f>累计利润调整表!U81/10000</f>
        <v>15203.21974</v>
      </c>
      <c r="V19" s="35">
        <f>累计利润调整表!V81/10000</f>
        <v>768.68227566666667</v>
      </c>
      <c r="W19" s="35">
        <f>累计利润调整表!W81/10000</f>
        <v>63.730480000000007</v>
      </c>
      <c r="X19" s="35">
        <f>累计利润调整表!X81/10000</f>
        <v>-128.145261</v>
      </c>
      <c r="Y19" s="35">
        <f>累计利润调整表!Y81/10000</f>
        <v>-26.081357000000001</v>
      </c>
      <c r="Z19" s="35">
        <f>累计利润调整表!Z81/10000</f>
        <v>-10.940564999999999</v>
      </c>
      <c r="AA19" s="35">
        <f>累计利润调整表!AA81/10000</f>
        <v>-628.44807600000001</v>
      </c>
      <c r="AB19" s="35">
        <f>累计利润调整表!AB81/10000</f>
        <v>-589.36133099999995</v>
      </c>
      <c r="AC19" s="35"/>
      <c r="AD19" s="35"/>
      <c r="AE19" s="35"/>
    </row>
    <row r="20" spans="1:31">
      <c r="A20" s="32" t="s">
        <v>51</v>
      </c>
      <c r="B20" s="32">
        <f>累计利润调整表!B82/10000</f>
        <v>212.72979799999999</v>
      </c>
      <c r="C20" s="32">
        <f>累计利润调整表!C82/10000</f>
        <v>66.642188000000004</v>
      </c>
      <c r="D20" s="32">
        <f>累计利润调整表!D82/10000</f>
        <v>104.578548</v>
      </c>
      <c r="E20" s="32">
        <f>累计利润调整表!E82/10000</f>
        <v>40.479966000000005</v>
      </c>
      <c r="F20" s="32">
        <f>累计利润调整表!F82/10000</f>
        <v>1.029096</v>
      </c>
      <c r="G20" s="32">
        <f>累计利润调整表!G82/10000</f>
        <v>1.029096</v>
      </c>
      <c r="H20" s="32">
        <f>累计利润调整表!H82/10000</f>
        <v>0</v>
      </c>
      <c r="I20" s="32">
        <f>累计利润调整表!I82/10000</f>
        <v>0</v>
      </c>
      <c r="J20" s="32">
        <f>累计利润调整表!J82/10000</f>
        <v>0</v>
      </c>
      <c r="K20" s="32">
        <f>累计利润调整表!K82/10000</f>
        <v>0</v>
      </c>
      <c r="L20" s="32">
        <f>累计利润调整表!L82/10000</f>
        <v>0</v>
      </c>
      <c r="M20" s="32">
        <f>累计利润调整表!M82/10000</f>
        <v>0</v>
      </c>
      <c r="N20" s="32">
        <f>累计利润调整表!N82/10000</f>
        <v>0</v>
      </c>
      <c r="O20" s="32">
        <f>累计利润调整表!O82/10000</f>
        <v>0</v>
      </c>
      <c r="P20" s="32">
        <f>累计利润调整表!P82/10000</f>
        <v>0</v>
      </c>
      <c r="Q20" s="32">
        <f>累计利润调整表!Q82/10000</f>
        <v>0</v>
      </c>
      <c r="R20" s="32">
        <f>累计利润调整表!R82/10000</f>
        <v>0</v>
      </c>
      <c r="S20" s="32">
        <f>累计利润调整表!S82/10000</f>
        <v>0</v>
      </c>
      <c r="T20" s="32">
        <f>累计利润调整表!T82/10000</f>
        <v>0</v>
      </c>
      <c r="U20" s="32">
        <f>累计利润调整表!U82/10000</f>
        <v>0</v>
      </c>
      <c r="V20" s="32">
        <f>累计利润调整表!V82/10000</f>
        <v>0</v>
      </c>
      <c r="W20" s="32">
        <f>累计利润调整表!W82/10000</f>
        <v>0</v>
      </c>
      <c r="X20" s="32">
        <f>累计利润调整表!X82/10000</f>
        <v>0</v>
      </c>
      <c r="Y20" s="32">
        <f>累计利润调整表!Y82/10000</f>
        <v>0</v>
      </c>
      <c r="Z20" s="32">
        <f>累计利润调整表!Z82/10000</f>
        <v>0</v>
      </c>
      <c r="AA20" s="32">
        <f>累计利润调整表!AA82/10000</f>
        <v>0</v>
      </c>
      <c r="AB20" s="32">
        <f>累计利润调整表!AB82/10000</f>
        <v>0</v>
      </c>
      <c r="AC20" s="32"/>
      <c r="AD20" s="32"/>
      <c r="AE20" s="32"/>
    </row>
    <row r="21" spans="1:31">
      <c r="A21" s="32" t="s">
        <v>52</v>
      </c>
      <c r="B21" s="32">
        <f>累计利润调整表!B83/10000</f>
        <v>182.92462700000002</v>
      </c>
      <c r="C21" s="32">
        <f>累计利润调整表!C83/10000</f>
        <v>0</v>
      </c>
      <c r="D21" s="32">
        <f>累计利润调整表!D83/10000</f>
        <v>129.88725400000001</v>
      </c>
      <c r="E21" s="32">
        <f>累计利润调整表!E83/10000</f>
        <v>52.794405999999995</v>
      </c>
      <c r="F21" s="32">
        <f>累计利润调整表!F83/10000</f>
        <v>8.3750000000000005E-2</v>
      </c>
      <c r="G21" s="32">
        <f>累计利润调整表!G83/10000</f>
        <v>0</v>
      </c>
      <c r="H21" s="32">
        <f>累计利润调整表!H83/10000</f>
        <v>0</v>
      </c>
      <c r="I21" s="32">
        <f>累计利润调整表!I83/10000</f>
        <v>0</v>
      </c>
      <c r="J21" s="32">
        <f>累计利润调整表!J83/10000</f>
        <v>8.3750000000000005E-2</v>
      </c>
      <c r="K21" s="32">
        <f>累计利润调整表!K83/10000</f>
        <v>0.159217</v>
      </c>
      <c r="L21" s="32">
        <f>累计利润调整表!L83/10000</f>
        <v>0</v>
      </c>
      <c r="M21" s="32">
        <f>累计利润调整表!M83/10000</f>
        <v>0</v>
      </c>
      <c r="N21" s="32">
        <f>累计利润调整表!N83/10000</f>
        <v>0</v>
      </c>
      <c r="O21" s="32">
        <f>累计利润调整表!O83/10000</f>
        <v>0</v>
      </c>
      <c r="P21" s="32">
        <f>累计利润调整表!P83/10000</f>
        <v>0</v>
      </c>
      <c r="Q21" s="32">
        <f>累计利润调整表!Q83/10000</f>
        <v>0</v>
      </c>
      <c r="R21" s="32">
        <f>累计利润调整表!R83/10000</f>
        <v>0.159217</v>
      </c>
      <c r="S21" s="32">
        <f>累计利润调整表!S83/10000</f>
        <v>0</v>
      </c>
      <c r="T21" s="32">
        <f>累计利润调整表!T83/10000</f>
        <v>0</v>
      </c>
      <c r="U21" s="32">
        <f>累计利润调整表!U83/10000</f>
        <v>0</v>
      </c>
      <c r="V21" s="32">
        <f>累计利润调整表!V83/10000</f>
        <v>0</v>
      </c>
      <c r="W21" s="32">
        <f>累计利润调整表!W83/10000</f>
        <v>0</v>
      </c>
      <c r="X21" s="32">
        <f>累计利润调整表!X83/10000</f>
        <v>0</v>
      </c>
      <c r="Y21" s="32">
        <f>累计利润调整表!Y83/10000</f>
        <v>0</v>
      </c>
      <c r="Z21" s="32">
        <f>累计利润调整表!Z83/10000</f>
        <v>0</v>
      </c>
      <c r="AA21" s="32">
        <f>累计利润调整表!AA83/10000</f>
        <v>0</v>
      </c>
      <c r="AB21" s="32">
        <f>累计利润调整表!AB83/10000</f>
        <v>0</v>
      </c>
      <c r="AC21" s="32"/>
      <c r="AD21" s="32"/>
      <c r="AE21" s="32"/>
    </row>
    <row r="22" spans="1:31">
      <c r="A22" s="34" t="s">
        <v>53</v>
      </c>
      <c r="B22" s="35">
        <f>累计利润调整表!B84/10000</f>
        <v>22965.70882133333</v>
      </c>
      <c r="C22" s="35">
        <f>累计利润调整表!C84/10000</f>
        <v>-1509.5118790000001</v>
      </c>
      <c r="D22" s="35">
        <f>累计利润调整表!D84/10000</f>
        <v>-37349.352056966673</v>
      </c>
      <c r="E22" s="35">
        <f>累计利润调整表!E84/10000</f>
        <v>53263.303934256604</v>
      </c>
      <c r="F22" s="35">
        <f>累计利润调整表!F84/10000</f>
        <v>-23895.252033049059</v>
      </c>
      <c r="G22" s="35">
        <f>累计利润调整表!G84/10000</f>
        <v>439.11417395094333</v>
      </c>
      <c r="H22" s="35">
        <f>累计利润调整表!H84/10000</f>
        <v>-23958.193989000003</v>
      </c>
      <c r="I22" s="35">
        <f>累计利润调整表!I84/10000</f>
        <v>615.41921333333323</v>
      </c>
      <c r="J22" s="35">
        <f>累计利润调整表!J84/10000</f>
        <v>-991.59143133333328</v>
      </c>
      <c r="K22" s="35">
        <f>累计利润调整表!K84/10000</f>
        <v>17611.452566425789</v>
      </c>
      <c r="L22" s="35">
        <f>累计利润调整表!L84/10000</f>
        <v>5373.4548240000004</v>
      </c>
      <c r="M22" s="35">
        <f>累计利润调整表!M84/10000</f>
        <v>2955.1479310924528</v>
      </c>
      <c r="N22" s="35">
        <f>累计利润调整表!N84/10000</f>
        <v>329.08476899999999</v>
      </c>
      <c r="O22" s="35">
        <f>累计利润调整表!O84/10000</f>
        <v>10109.972052333333</v>
      </c>
      <c r="P22" s="35">
        <f>累计利润调整表!P84/10000</f>
        <v>-482.24506100000002</v>
      </c>
      <c r="Q22" s="35">
        <f>累计利润调整表!Q84/10000</f>
        <v>-42.144373000000044</v>
      </c>
      <c r="R22" s="35">
        <f>累计利润调整表!R84/10000</f>
        <v>-637.76226500000007</v>
      </c>
      <c r="S22" s="35">
        <f>累计利润调整表!S84/10000</f>
        <v>16062.87769666667</v>
      </c>
      <c r="T22" s="35">
        <f>累计利润调整表!T84/10000</f>
        <v>192.41238400000003</v>
      </c>
      <c r="U22" s="35">
        <f>累计利润调整表!U84/10000</f>
        <v>15203.21974</v>
      </c>
      <c r="V22" s="35">
        <f>累计利润调整表!V84/10000</f>
        <v>768.68227566666667</v>
      </c>
      <c r="W22" s="35">
        <f>累计利润调整表!W84/10000</f>
        <v>63.730480000000007</v>
      </c>
      <c r="X22" s="35">
        <f>累计利润调整表!X84/10000</f>
        <v>-128.145261</v>
      </c>
      <c r="Y22" s="35">
        <f>累计利润调整表!Y84/10000</f>
        <v>-26.081357000000001</v>
      </c>
      <c r="Z22" s="35">
        <f>累计利润调整表!Z84/10000</f>
        <v>-10.940564999999999</v>
      </c>
      <c r="AA22" s="35">
        <f>累计利润调整表!AA84/10000</f>
        <v>-628.44807600000001</v>
      </c>
      <c r="AB22" s="35">
        <f>累计利润调整表!AB84/10000</f>
        <v>-589.36133099999995</v>
      </c>
      <c r="AC22" s="35"/>
      <c r="AD22" s="35"/>
      <c r="AE22" s="35"/>
    </row>
    <row r="23" spans="1:31">
      <c r="A23" s="32" t="s">
        <v>54</v>
      </c>
      <c r="B23" s="32">
        <f>累计利润调整表!B85/10000</f>
        <v>9749.9333159999987</v>
      </c>
      <c r="C23" s="32">
        <f>累计利润调整表!C85/10000</f>
        <v>0</v>
      </c>
      <c r="D23" s="32">
        <f>累计利润调整表!D85/10000</f>
        <v>9749.8539259999998</v>
      </c>
      <c r="E23" s="32">
        <f>累计利润调整表!E85/10000</f>
        <v>7.9390000000000002E-2</v>
      </c>
      <c r="F23" s="32">
        <f>累计利润调整表!F85/10000</f>
        <v>0</v>
      </c>
      <c r="G23" s="32">
        <f>累计利润调整表!G85/10000</f>
        <v>0</v>
      </c>
      <c r="H23" s="32">
        <f>累计利润调整表!H85/10000</f>
        <v>0</v>
      </c>
      <c r="I23" s="32">
        <f>累计利润调整表!I85/10000</f>
        <v>0</v>
      </c>
      <c r="J23" s="32">
        <f>累计利润调整表!J85/10000</f>
        <v>0</v>
      </c>
      <c r="K23" s="32">
        <f>累计利润调整表!K85/10000</f>
        <v>0</v>
      </c>
      <c r="L23" s="32">
        <f>累计利润调整表!L85/10000</f>
        <v>0</v>
      </c>
      <c r="M23" s="32">
        <f>累计利润调整表!M85/10000</f>
        <v>0</v>
      </c>
      <c r="N23" s="32">
        <f>累计利润调整表!N85/10000</f>
        <v>0</v>
      </c>
      <c r="O23" s="32">
        <f>累计利润调整表!O85/10000</f>
        <v>0</v>
      </c>
      <c r="P23" s="32">
        <f>累计利润调整表!P85/10000</f>
        <v>0</v>
      </c>
      <c r="Q23" s="32">
        <f>累计利润调整表!Q85/10000</f>
        <v>0</v>
      </c>
      <c r="R23" s="32">
        <f>累计利润调整表!R85/10000</f>
        <v>0</v>
      </c>
      <c r="S23" s="32">
        <f>累计利润调整表!S85/10000</f>
        <v>0</v>
      </c>
      <c r="T23" s="32">
        <f>累计利润调整表!T85/10000</f>
        <v>0</v>
      </c>
      <c r="U23" s="32">
        <f>累计利润调整表!U85/10000</f>
        <v>0</v>
      </c>
      <c r="V23" s="32">
        <f>累计利润调整表!V85/10000</f>
        <v>0</v>
      </c>
      <c r="W23" s="32">
        <f>累计利润调整表!W85/10000</f>
        <v>0</v>
      </c>
      <c r="X23" s="32">
        <f>累计利润调整表!X85/10000</f>
        <v>0</v>
      </c>
      <c r="Y23" s="32">
        <f>累计利润调整表!Y85/10000</f>
        <v>0</v>
      </c>
      <c r="Z23" s="32">
        <f>累计利润调整表!Z85/10000</f>
        <v>0</v>
      </c>
      <c r="AA23" s="32">
        <f>累计利润调整表!AA85/10000</f>
        <v>0</v>
      </c>
      <c r="AB23" s="32">
        <f>累计利润调整表!AB85/10000</f>
        <v>0</v>
      </c>
      <c r="AC23" s="32"/>
      <c r="AD23" s="32"/>
      <c r="AE23" s="32"/>
    </row>
    <row r="24" spans="1:31">
      <c r="A24" s="34" t="s">
        <v>55</v>
      </c>
      <c r="B24" s="35">
        <f>累计利润调整表!B86/10000</f>
        <v>13215.775505333328</v>
      </c>
      <c r="C24" s="35">
        <f>累计利润调整表!C86/10000</f>
        <v>-1509.5118790000001</v>
      </c>
      <c r="D24" s="35">
        <f>累计利润调整表!D86/10000</f>
        <v>-47099.205982966676</v>
      </c>
      <c r="E24" s="35">
        <f>累计利润调整表!E86/10000</f>
        <v>53263.224544256605</v>
      </c>
      <c r="F24" s="35">
        <f>累计利润调整表!F86/10000</f>
        <v>-23895.252033049059</v>
      </c>
      <c r="G24" s="35">
        <f>累计利润调整表!G86/10000</f>
        <v>439.11417395094333</v>
      </c>
      <c r="H24" s="35">
        <f>累计利润调整表!H86/10000</f>
        <v>-23958.193989000003</v>
      </c>
      <c r="I24" s="35">
        <f>累计利润调整表!I86/10000</f>
        <v>615.41921333333323</v>
      </c>
      <c r="J24" s="35">
        <f>累计利润调整表!J86/10000</f>
        <v>-991.59143133333328</v>
      </c>
      <c r="K24" s="35">
        <f>累计利润调整表!K86/10000</f>
        <v>17611.452566425789</v>
      </c>
      <c r="L24" s="35">
        <f>累计利润调整表!L86/10000</f>
        <v>5373.4548240000004</v>
      </c>
      <c r="M24" s="35">
        <f>累计利润调整表!M86/10000</f>
        <v>2955.1479310924528</v>
      </c>
      <c r="N24" s="35">
        <f>累计利润调整表!N86/10000</f>
        <v>329.08476899999999</v>
      </c>
      <c r="O24" s="35">
        <f>累计利润调整表!O86/10000</f>
        <v>10109.972052333333</v>
      </c>
      <c r="P24" s="35">
        <f>累计利润调整表!P86/10000</f>
        <v>-482.24506100000002</v>
      </c>
      <c r="Q24" s="35">
        <f>累计利润调整表!Q86/10000</f>
        <v>-42.144373000000044</v>
      </c>
      <c r="R24" s="35">
        <f>累计利润调整表!R86/10000</f>
        <v>-637.76226500000007</v>
      </c>
      <c r="S24" s="35">
        <f>累计利润调整表!S86/10000</f>
        <v>16062.87769666667</v>
      </c>
      <c r="T24" s="35">
        <f>累计利润调整表!T86/10000</f>
        <v>192.41238400000003</v>
      </c>
      <c r="U24" s="35">
        <f>累计利润调整表!U86/10000</f>
        <v>15203.21974</v>
      </c>
      <c r="V24" s="35">
        <f>累计利润调整表!V86/10000</f>
        <v>768.68227566666667</v>
      </c>
      <c r="W24" s="35">
        <f>累计利润调整表!W86/10000</f>
        <v>63.730480000000007</v>
      </c>
      <c r="X24" s="35">
        <f>累计利润调整表!X86/10000</f>
        <v>-128.145261</v>
      </c>
      <c r="Y24" s="35">
        <f>累计利润调整表!Y86/10000</f>
        <v>-26.081357000000001</v>
      </c>
      <c r="Z24" s="35">
        <f>累计利润调整表!Z86/10000</f>
        <v>-10.940564999999999</v>
      </c>
      <c r="AA24" s="35">
        <f>累计利润调整表!AA86/10000</f>
        <v>-628.44807600000001</v>
      </c>
      <c r="AB24" s="35">
        <f>累计利润调整表!AB86/10000</f>
        <v>-589.36133099999995</v>
      </c>
      <c r="AC24" s="35"/>
      <c r="AD24" s="35"/>
      <c r="AE24" s="35"/>
    </row>
    <row r="25" spans="1:31">
      <c r="A25" s="36" t="s">
        <v>56</v>
      </c>
      <c r="B25" s="37">
        <f>累计利润调整表!B87/10000</f>
        <v>0</v>
      </c>
      <c r="C25" s="37">
        <f>累计利润调整表!C87/10000</f>
        <v>0</v>
      </c>
      <c r="D25" s="37">
        <f>累计利润调整表!D87/10000</f>
        <v>0</v>
      </c>
      <c r="E25" s="37">
        <f>累计利润调整表!E87/10000</f>
        <v>0</v>
      </c>
      <c r="F25" s="37">
        <f>累计利润调整表!F87/10000</f>
        <v>0</v>
      </c>
      <c r="G25" s="37">
        <f>累计利润调整表!G87/10000</f>
        <v>0</v>
      </c>
      <c r="H25" s="37">
        <f>累计利润调整表!H87/10000</f>
        <v>0</v>
      </c>
      <c r="I25" s="37">
        <f>累计利润调整表!I87/10000</f>
        <v>0</v>
      </c>
      <c r="J25" s="37">
        <f>累计利润调整表!J87/10000</f>
        <v>0</v>
      </c>
      <c r="K25" s="37">
        <f>累计利润调整表!K87/10000</f>
        <v>0</v>
      </c>
      <c r="L25" s="37">
        <f>累计利润调整表!L87/10000</f>
        <v>0</v>
      </c>
      <c r="M25" s="37">
        <f>累计利润调整表!M87/10000</f>
        <v>0</v>
      </c>
      <c r="N25" s="37">
        <f>累计利润调整表!N87/10000</f>
        <v>0</v>
      </c>
      <c r="O25" s="37">
        <f>累计利润调整表!O87/10000</f>
        <v>0</v>
      </c>
      <c r="P25" s="37">
        <f>累计利润调整表!P87/10000</f>
        <v>0</v>
      </c>
      <c r="Q25" s="37">
        <f>累计利润调整表!Q87/10000</f>
        <v>0</v>
      </c>
      <c r="R25" s="37">
        <f>累计利润调整表!R87/10000</f>
        <v>0</v>
      </c>
      <c r="S25" s="37">
        <f>累计利润调整表!S87/10000</f>
        <v>0</v>
      </c>
      <c r="T25" s="37">
        <f>累计利润调整表!T87/10000</f>
        <v>0</v>
      </c>
      <c r="U25" s="37">
        <f>累计利润调整表!U87/10000</f>
        <v>0</v>
      </c>
      <c r="V25" s="37">
        <f>累计利润调整表!V87/10000</f>
        <v>0</v>
      </c>
      <c r="W25" s="37">
        <f>累计利润调整表!W87/10000</f>
        <v>0</v>
      </c>
      <c r="X25" s="37">
        <f>累计利润调整表!X87/10000</f>
        <v>0</v>
      </c>
      <c r="Y25" s="37">
        <f>累计利润调整表!Y87/10000</f>
        <v>0</v>
      </c>
      <c r="Z25" s="37">
        <f>累计利润调整表!Z87/10000</f>
        <v>0</v>
      </c>
      <c r="AA25" s="37">
        <f>累计利润调整表!AA87/10000</f>
        <v>0</v>
      </c>
      <c r="AB25" s="37">
        <f>累计利润调整表!AB87/10000</f>
        <v>0</v>
      </c>
      <c r="AC25" s="37"/>
      <c r="AD25" s="37"/>
      <c r="AE25" s="37"/>
    </row>
    <row r="26" spans="1:31">
      <c r="A26" s="38" t="s">
        <v>57</v>
      </c>
      <c r="B26" s="39">
        <f>累计利润调整表!B88/10000</f>
        <v>13215.775505333328</v>
      </c>
      <c r="C26" s="39">
        <f>累计利润调整表!C88/10000</f>
        <v>-1509.5118790000001</v>
      </c>
      <c r="D26" s="39">
        <f>累计利润调整表!D88/10000</f>
        <v>-47099.205982966676</v>
      </c>
      <c r="E26" s="39">
        <f>累计利润调整表!E88/10000</f>
        <v>53263.224544256605</v>
      </c>
      <c r="F26" s="39">
        <f>累计利润调整表!F88/10000</f>
        <v>-23895.252033049062</v>
      </c>
      <c r="G26" s="39">
        <f>累计利润调整表!G88/10000</f>
        <v>439.11417395094333</v>
      </c>
      <c r="H26" s="39">
        <f>累计利润调整表!H88/10000</f>
        <v>-23958.193989000003</v>
      </c>
      <c r="I26" s="39">
        <f>累计利润调整表!I88/10000</f>
        <v>615.41921333333323</v>
      </c>
      <c r="J26" s="39">
        <f>累计利润调整表!J88/10000</f>
        <v>-991.59143133333328</v>
      </c>
      <c r="K26" s="39">
        <f>累计利润调整表!K88/10000</f>
        <v>17611.452566425789</v>
      </c>
      <c r="L26" s="39">
        <f>累计利润调整表!L88/10000</f>
        <v>5373.4548240000004</v>
      </c>
      <c r="M26" s="39">
        <f>累计利润调整表!M88/10000</f>
        <v>2955.1479310924528</v>
      </c>
      <c r="N26" s="39">
        <f>累计利润调整表!N88/10000</f>
        <v>329.08476899999999</v>
      </c>
      <c r="O26" s="39">
        <f>累计利润调整表!O88/10000</f>
        <v>10109.972052333334</v>
      </c>
      <c r="P26" s="39">
        <f>累计利润调整表!P88/10000</f>
        <v>-482.24506100000002</v>
      </c>
      <c r="Q26" s="39">
        <f>累计利润调整表!Q88/10000</f>
        <v>-42.144373000000044</v>
      </c>
      <c r="R26" s="39">
        <f>累计利润调整表!R88/10000</f>
        <v>-637.76226500000007</v>
      </c>
      <c r="S26" s="39">
        <f>累计利润调整表!S88/10000</f>
        <v>16062.87769666667</v>
      </c>
      <c r="T26" s="39">
        <f>累计利润调整表!T88/10000</f>
        <v>192.41238400000003</v>
      </c>
      <c r="U26" s="39">
        <f>累计利润调整表!U88/10000</f>
        <v>15203.21974</v>
      </c>
      <c r="V26" s="39">
        <f>累计利润调整表!V88/10000</f>
        <v>768.68227566666667</v>
      </c>
      <c r="W26" s="39">
        <f>累计利润调整表!W88/10000</f>
        <v>63.730480000000007</v>
      </c>
      <c r="X26" s="39">
        <f>累计利润调整表!X88/10000</f>
        <v>-128.145261</v>
      </c>
      <c r="Y26" s="39">
        <f>累计利润调整表!Y88/10000</f>
        <v>-26.081357000000001</v>
      </c>
      <c r="Z26" s="39">
        <f>累计利润调整表!Z88/10000</f>
        <v>-10.940564999999999</v>
      </c>
      <c r="AA26" s="39">
        <f>累计利润调整表!AA88/10000</f>
        <v>-628.44807600000001</v>
      </c>
      <c r="AB26" s="39">
        <f>累计利润调整表!AB88/10000</f>
        <v>-589.36133099999995</v>
      </c>
      <c r="AC26" s="39"/>
      <c r="AD26" s="39"/>
      <c r="AE26" s="39"/>
    </row>
    <row r="27" spans="1:31">
      <c r="A27" s="40"/>
      <c r="B27" s="41">
        <f>累计利润调整表!B89/10000</f>
        <v>0</v>
      </c>
      <c r="C27" s="41">
        <f>累计利润调整表!C89/10000</f>
        <v>0</v>
      </c>
      <c r="D27" s="41">
        <f>累计利润调整表!D89/10000</f>
        <v>0</v>
      </c>
      <c r="E27" s="41">
        <f>累计利润调整表!E89/10000</f>
        <v>0</v>
      </c>
      <c r="F27" s="41">
        <f>累计利润调整表!F89/10000</f>
        <v>0</v>
      </c>
      <c r="G27" s="41">
        <f>累计利润调整表!G89/10000</f>
        <v>0</v>
      </c>
      <c r="H27" s="41">
        <f>累计利润调整表!H89/10000</f>
        <v>0</v>
      </c>
      <c r="I27" s="41">
        <f>累计利润调整表!I89/10000</f>
        <v>0</v>
      </c>
      <c r="J27" s="41">
        <f>累计利润调整表!J89/10000</f>
        <v>0</v>
      </c>
      <c r="K27" s="41">
        <f>累计利润调整表!K89/10000</f>
        <v>0</v>
      </c>
      <c r="L27" s="41">
        <f>累计利润调整表!L89/10000</f>
        <v>0</v>
      </c>
      <c r="M27" s="41">
        <f>累计利润调整表!M89/10000</f>
        <v>0</v>
      </c>
      <c r="N27" s="41">
        <f>累计利润调整表!N89/10000</f>
        <v>0</v>
      </c>
      <c r="O27" s="41">
        <f>累计利润调整表!O89/10000</f>
        <v>0</v>
      </c>
      <c r="P27" s="41">
        <f>累计利润调整表!P89/10000</f>
        <v>0</v>
      </c>
      <c r="Q27" s="41">
        <f>累计利润调整表!Q89/10000</f>
        <v>0</v>
      </c>
      <c r="R27" s="41">
        <f>累计利润调整表!R89/10000</f>
        <v>0</v>
      </c>
      <c r="S27" s="41">
        <f>累计利润调整表!S89/10000</f>
        <v>0</v>
      </c>
      <c r="T27" s="41">
        <f>累计利润调整表!T89/10000</f>
        <v>0</v>
      </c>
      <c r="U27" s="41">
        <f>累计利润调整表!U89/10000</f>
        <v>0</v>
      </c>
      <c r="V27" s="41">
        <f>累计利润调整表!V89/10000</f>
        <v>0</v>
      </c>
      <c r="W27" s="41">
        <f>累计利润调整表!W89/10000</f>
        <v>0</v>
      </c>
      <c r="X27" s="41">
        <f>累计利润调整表!X89/10000</f>
        <v>0</v>
      </c>
      <c r="Y27" s="41">
        <f>累计利润调整表!Y89/10000</f>
        <v>0</v>
      </c>
      <c r="Z27" s="41">
        <f>累计利润调整表!Z89/10000</f>
        <v>0</v>
      </c>
      <c r="AA27" s="41">
        <f>累计利润调整表!AA89/10000</f>
        <v>0</v>
      </c>
      <c r="AB27" s="41">
        <f>累计利润调整表!AB89/10000</f>
        <v>0</v>
      </c>
      <c r="AC27" s="41"/>
      <c r="AD27" s="41"/>
      <c r="AE27" s="41"/>
    </row>
    <row r="28" spans="1:31">
      <c r="A28" s="42" t="s">
        <v>60</v>
      </c>
      <c r="B28" s="43">
        <f>累计利润调整表!B90/10000</f>
        <v>43458.381950013332</v>
      </c>
      <c r="C28" s="43">
        <f>累计利润调整表!C90/10000</f>
        <v>0</v>
      </c>
      <c r="D28" s="43">
        <f>累计利润调整表!D90/10000</f>
        <v>0</v>
      </c>
      <c r="E28" s="43">
        <f>累计利润调整表!E90/10000</f>
        <v>23492.448199999999</v>
      </c>
      <c r="F28" s="43">
        <f>累计利润调整表!F90/10000</f>
        <v>4408.9001227699991</v>
      </c>
      <c r="G28" s="43">
        <f>累计利润调整表!G90/10000</f>
        <v>20.856149903333336</v>
      </c>
      <c r="H28" s="43">
        <f>累计利润调整表!H90/10000</f>
        <v>3128.2945728666664</v>
      </c>
      <c r="I28" s="43">
        <f>累计利润调整表!I90/10000</f>
        <v>317.56356666666665</v>
      </c>
      <c r="J28" s="43">
        <f>累计利润调整表!J90/10000</f>
        <v>942.18583333333345</v>
      </c>
      <c r="K28" s="43">
        <f>累计利润调整表!K90/10000</f>
        <v>15552.500761243335</v>
      </c>
      <c r="L28" s="43">
        <f>累计利润调整表!L90/10000</f>
        <v>3466.191520436666</v>
      </c>
      <c r="M28" s="43">
        <f>累计利润调整表!M90/10000</f>
        <v>3480.7512408066668</v>
      </c>
      <c r="N28" s="43">
        <f>累计利润调整表!N90/10000</f>
        <v>8.2385333333333328</v>
      </c>
      <c r="O28" s="43">
        <f>累计利润调整表!O90/10000</f>
        <v>7151.1483333333326</v>
      </c>
      <c r="P28" s="43">
        <f>累计利润调整表!P90/10000</f>
        <v>1312.6221333333333</v>
      </c>
      <c r="Q28" s="43">
        <f>累计利润调整表!Q90/10000</f>
        <v>133.54900000000001</v>
      </c>
      <c r="R28" s="43">
        <f>累计利润调整表!R90/10000</f>
        <v>0</v>
      </c>
      <c r="S28" s="43">
        <f>累计利润调整表!S90/10000</f>
        <v>4.5328660000000003</v>
      </c>
      <c r="T28" s="43">
        <f>累计利润调整表!T90/10000</f>
        <v>0</v>
      </c>
      <c r="U28" s="43">
        <f>累计利润调整表!U90/10000</f>
        <v>4.5328660000000003</v>
      </c>
      <c r="V28" s="43">
        <f>累计利润调整表!V90/10000</f>
        <v>0</v>
      </c>
      <c r="W28" s="43">
        <f>累计利润调整表!W90/10000</f>
        <v>0</v>
      </c>
      <c r="X28" s="43">
        <f>累计利润调整表!X90/10000</f>
        <v>0</v>
      </c>
      <c r="Y28" s="43">
        <f>累计利润调整表!Y90/10000</f>
        <v>0</v>
      </c>
      <c r="Z28" s="43">
        <f>累计利润调整表!Z90/10000</f>
        <v>0</v>
      </c>
      <c r="AA28" s="43">
        <f>累计利润调整表!AA90/10000</f>
        <v>0</v>
      </c>
      <c r="AB28" s="43">
        <f>累计利润调整表!AB90/10000</f>
        <v>0</v>
      </c>
      <c r="AC28" s="43"/>
      <c r="AD28" s="43"/>
      <c r="AE28" s="43"/>
    </row>
    <row r="29" spans="1:31">
      <c r="A29" s="44" t="s">
        <v>65</v>
      </c>
      <c r="B29" s="45">
        <f>B26-B28</f>
        <v>-30242.606444680005</v>
      </c>
      <c r="C29" s="45">
        <f t="shared" ref="C29:AB29" si="0">C26-C28</f>
        <v>-1509.5118790000001</v>
      </c>
      <c r="D29" s="45">
        <f t="shared" si="0"/>
        <v>-47099.205982966676</v>
      </c>
      <c r="E29" s="45">
        <f t="shared" si="0"/>
        <v>29770.776344256607</v>
      </c>
      <c r="F29" s="45">
        <f t="shared" si="0"/>
        <v>-28304.152155819062</v>
      </c>
      <c r="G29" s="45">
        <f t="shared" si="0"/>
        <v>418.25802404760998</v>
      </c>
      <c r="H29" s="45">
        <f t="shared" si="0"/>
        <v>-27086.48856186667</v>
      </c>
      <c r="I29" s="45">
        <f t="shared" si="0"/>
        <v>297.85564666666659</v>
      </c>
      <c r="J29" s="45">
        <f t="shared" si="0"/>
        <v>-1933.7772646666667</v>
      </c>
      <c r="K29" s="45">
        <f t="shared" si="0"/>
        <v>2058.9518051824543</v>
      </c>
      <c r="L29" s="45">
        <f t="shared" si="0"/>
        <v>1907.2633035633344</v>
      </c>
      <c r="M29" s="45">
        <f t="shared" si="0"/>
        <v>-525.60330971421399</v>
      </c>
      <c r="N29" s="45">
        <f t="shared" si="0"/>
        <v>320.84623566666664</v>
      </c>
      <c r="O29" s="45">
        <f t="shared" si="0"/>
        <v>2958.8237190000018</v>
      </c>
      <c r="P29" s="45">
        <f t="shared" si="0"/>
        <v>-1794.8671943333334</v>
      </c>
      <c r="Q29" s="45">
        <f t="shared" si="0"/>
        <v>-175.69337300000007</v>
      </c>
      <c r="R29" s="45">
        <f t="shared" si="0"/>
        <v>-637.76226500000007</v>
      </c>
      <c r="S29" s="45">
        <f t="shared" si="0"/>
        <v>16058.344830666671</v>
      </c>
      <c r="T29" s="45">
        <f t="shared" si="0"/>
        <v>192.41238400000003</v>
      </c>
      <c r="U29" s="45">
        <f t="shared" si="0"/>
        <v>15198.686874000001</v>
      </c>
      <c r="V29" s="45">
        <f t="shared" si="0"/>
        <v>768.68227566666667</v>
      </c>
      <c r="W29" s="45">
        <f t="shared" si="0"/>
        <v>63.730480000000007</v>
      </c>
      <c r="X29" s="45">
        <f t="shared" si="0"/>
        <v>-128.145261</v>
      </c>
      <c r="Y29" s="45">
        <f t="shared" si="0"/>
        <v>-26.081357000000001</v>
      </c>
      <c r="Z29" s="45">
        <f t="shared" si="0"/>
        <v>-10.940564999999999</v>
      </c>
      <c r="AA29" s="45">
        <f t="shared" si="0"/>
        <v>-628.44807600000001</v>
      </c>
      <c r="AB29" s="45">
        <f t="shared" si="0"/>
        <v>-589.36133099999995</v>
      </c>
      <c r="AC29" s="45"/>
      <c r="AD29" s="45"/>
      <c r="AE29" s="45"/>
    </row>
    <row r="31" spans="1:31">
      <c r="A31" s="2"/>
      <c r="B31" s="46" t="s">
        <v>64</v>
      </c>
    </row>
    <row r="32" spans="1:31" s="2" customFormat="1">
      <c r="A32" s="18" t="s">
        <v>87</v>
      </c>
      <c r="B32" s="19" t="str">
        <f>累计考核费用!C107</f>
        <v>合计</v>
      </c>
      <c r="C32" s="19" t="str">
        <f>累计考核费用!D107</f>
        <v>其他</v>
      </c>
      <c r="D32" s="19" t="str">
        <f>累计考核费用!E107</f>
        <v>总部中后台</v>
      </c>
      <c r="E32" s="19" t="str">
        <f>累计考核费用!F107</f>
        <v>经纪业务部</v>
      </c>
      <c r="F32" s="19" t="str">
        <f>累计考核费用!G107</f>
        <v>资管业务</v>
      </c>
      <c r="G32" s="19" t="str">
        <f>累计考核费用!H107</f>
        <v>资产管理部</v>
      </c>
      <c r="H32" s="19" t="str">
        <f>累计考核费用!I107</f>
        <v>权益产品投资部</v>
      </c>
      <c r="I32" s="19" t="str">
        <f>累计考核费用!J107</f>
        <v>固收产品投资部</v>
      </c>
      <c r="J32" s="19" t="str">
        <f>累计考核费用!K107</f>
        <v>量化产品投资部</v>
      </c>
      <c r="K32" s="19" t="str">
        <f>累计考核费用!L107</f>
        <v>深分公司合计</v>
      </c>
      <c r="L32" s="19" t="str">
        <f>累计考核费用!M107</f>
        <v>固定收益投资部</v>
      </c>
      <c r="M32" s="19" t="str">
        <f>累计考核费用!N107</f>
        <v>固定收益市场部</v>
      </c>
      <c r="N32" s="19" t="str">
        <f>累计考核费用!O107</f>
        <v>投顾业务部</v>
      </c>
      <c r="O32" s="19" t="str">
        <f>累计考核费用!P107</f>
        <v>证券投资部</v>
      </c>
      <c r="P32" s="19" t="str">
        <f>累计考核费用!Q107</f>
        <v>做市业务部</v>
      </c>
      <c r="Q32" s="19" t="str">
        <f>累计考核费用!R107</f>
        <v>金融衍生品部</v>
      </c>
      <c r="R32" s="19" t="str">
        <f>累计考核费用!S107</f>
        <v>深圳管理总部</v>
      </c>
      <c r="S32" s="19" t="str">
        <f>累计考核费用!T107</f>
        <v>投资银行合计</v>
      </c>
      <c r="T32" s="19" t="str">
        <f>累计考核费用!U107</f>
        <v>投资银行三部</v>
      </c>
      <c r="U32" s="19" t="str">
        <f>累计考核费用!V107</f>
        <v>投资银行一部</v>
      </c>
      <c r="V32" s="19" t="str">
        <f>累计考核费用!W107</f>
        <v>投资银行二部</v>
      </c>
      <c r="W32" s="19" t="str">
        <f>累计考核费用!X107</f>
        <v>投资银行四部</v>
      </c>
      <c r="X32" s="19" t="str">
        <f>累计考核费用!Y107</f>
        <v>投资银行北京一部</v>
      </c>
      <c r="Y32" s="19" t="str">
        <f>累计考核费用!Z107</f>
        <v>投资银行北京二部</v>
      </c>
      <c r="Z32" s="19" t="str">
        <f>累计考核费用!AA107</f>
        <v>投资银行深圳一部（筹）</v>
      </c>
      <c r="AA32" s="19" t="str">
        <f>累计考核费用!AB107</f>
        <v>投资银行管理部</v>
      </c>
      <c r="AB32" s="19" t="str">
        <f>累计考核费用!AC107</f>
        <v>运营管理部</v>
      </c>
      <c r="AC32" s="19">
        <f>累计考核费用!AD107</f>
        <v>0</v>
      </c>
      <c r="AD32" s="19">
        <f>累计考核费用!AE107</f>
        <v>0</v>
      </c>
      <c r="AE32" s="19"/>
    </row>
    <row r="33" spans="1:31" s="2" customFormat="1" ht="13.5" customHeight="1">
      <c r="A33" s="47" t="s">
        <v>89</v>
      </c>
      <c r="B33" s="48">
        <f>累计考核费用!C108/10000</f>
        <v>17863.957327999997</v>
      </c>
      <c r="C33" s="48">
        <f>累计考核费用!D108/10000</f>
        <v>0</v>
      </c>
      <c r="D33" s="48">
        <f>累计考核费用!E108/10000</f>
        <v>4660.7535949999992</v>
      </c>
      <c r="E33" s="48">
        <f>累计考核费用!F108/10000</f>
        <v>8514.757563000001</v>
      </c>
      <c r="F33" s="48">
        <f>累计考核费用!G108/10000</f>
        <v>822.80775499999993</v>
      </c>
      <c r="G33" s="48">
        <f>累计考核费用!H108/10000</f>
        <v>230.10809499999993</v>
      </c>
      <c r="H33" s="48">
        <f>累计考核费用!I108/10000</f>
        <v>189.92775399999999</v>
      </c>
      <c r="I33" s="48">
        <f>累计考核费用!J108/10000</f>
        <v>139.21191999999999</v>
      </c>
      <c r="J33" s="48">
        <f>累计考核费用!K108/10000</f>
        <v>263.55998599999998</v>
      </c>
      <c r="K33" s="48">
        <f>累计考核费用!L108/10000</f>
        <v>1136.939795</v>
      </c>
      <c r="L33" s="48">
        <f>累计考核费用!M108/10000</f>
        <v>80.264728000000005</v>
      </c>
      <c r="M33" s="48">
        <f>累计考核费用!N108/10000</f>
        <v>153.55750700000004</v>
      </c>
      <c r="N33" s="48">
        <f>累计考核费用!O108/10000</f>
        <v>57.853090000000016</v>
      </c>
      <c r="O33" s="48">
        <f>累计考核费用!P108/10000</f>
        <v>331.47262599999999</v>
      </c>
      <c r="P33" s="48">
        <f>累计考核费用!Q108/10000</f>
        <v>172.95921100000001</v>
      </c>
      <c r="Q33" s="48">
        <f>累计考核费用!R108/10000</f>
        <v>190.92145299999999</v>
      </c>
      <c r="R33" s="48">
        <f>累计考核费用!S108/10000</f>
        <v>149.91118000000003</v>
      </c>
      <c r="S33" s="48">
        <f>累计考核费用!T108/10000</f>
        <v>1987.0224089999999</v>
      </c>
      <c r="T33" s="48">
        <f>累计考核费用!U108/10000</f>
        <v>496.996825</v>
      </c>
      <c r="U33" s="48">
        <f>累计考核费用!V108/10000</f>
        <v>685.719694</v>
      </c>
      <c r="V33" s="48">
        <f>累计考核费用!W108/10000</f>
        <v>737.26765299999988</v>
      </c>
      <c r="W33" s="48">
        <f>累计考核费用!X108/10000</f>
        <v>22.173200000000001</v>
      </c>
      <c r="X33" s="48">
        <f>累计考核费用!Y108/10000</f>
        <v>32.228314000000005</v>
      </c>
      <c r="Y33" s="48">
        <f>累计考核费用!Z108/10000</f>
        <v>12.636723</v>
      </c>
      <c r="Z33" s="48">
        <f>累计考核费用!AA108/10000</f>
        <v>0</v>
      </c>
      <c r="AA33" s="48">
        <f>累计考核费用!AB108/10000</f>
        <v>412.73215099999999</v>
      </c>
      <c r="AB33" s="48">
        <f>累计考核费用!AC108/10000</f>
        <v>328.94405999999998</v>
      </c>
      <c r="AC33" s="48">
        <f>累计考核费用!AD108/10000</f>
        <v>0</v>
      </c>
      <c r="AD33" s="48">
        <f>累计考核费用!AE108/10000</f>
        <v>0</v>
      </c>
      <c r="AE33" s="48"/>
    </row>
    <row r="34" spans="1:31" s="2" customFormat="1">
      <c r="A34" s="47" t="s">
        <v>90</v>
      </c>
      <c r="B34" s="48">
        <f>累计考核费用!C109/10000</f>
        <v>286.27872999999994</v>
      </c>
      <c r="C34" s="48">
        <f>累计考核费用!D109/10000</f>
        <v>0</v>
      </c>
      <c r="D34" s="48">
        <f>累计考核费用!E109/10000</f>
        <v>91.70758499999998</v>
      </c>
      <c r="E34" s="48">
        <f>累计考核费用!F109/10000</f>
        <v>113.67591199999998</v>
      </c>
      <c r="F34" s="48">
        <f>累计考核费用!G109/10000</f>
        <v>14.013592000000001</v>
      </c>
      <c r="G34" s="48">
        <f>累计考核费用!H109/10000</f>
        <v>8.0690739999999987</v>
      </c>
      <c r="H34" s="48">
        <f>累计考核费用!I109/10000</f>
        <v>4.9877080000000005</v>
      </c>
      <c r="I34" s="48">
        <f>累计考核费用!J109/10000</f>
        <v>0.43056800000000001</v>
      </c>
      <c r="J34" s="48">
        <f>累计考核费用!K109/10000</f>
        <v>0.52624199999999999</v>
      </c>
      <c r="K34" s="48">
        <f>累计考核费用!L109/10000</f>
        <v>5.0284360000000001</v>
      </c>
      <c r="L34" s="48">
        <f>累计考核费用!M109/10000</f>
        <v>0.65300000000000002</v>
      </c>
      <c r="M34" s="48">
        <f>累计考核费用!N109/10000</f>
        <v>0.33950000000000002</v>
      </c>
      <c r="N34" s="48">
        <f>累计考核费用!O109/10000</f>
        <v>0.16300000000000001</v>
      </c>
      <c r="O34" s="48">
        <f>累计考核费用!P109/10000</f>
        <v>1.9727599999999998</v>
      </c>
      <c r="P34" s="48">
        <f>累计考核费用!Q109/10000</f>
        <v>1.204</v>
      </c>
      <c r="Q34" s="48">
        <f>累计考核费用!R109/10000</f>
        <v>0.31508600000000003</v>
      </c>
      <c r="R34" s="48">
        <f>累计考核费用!S109/10000</f>
        <v>0.38108999999999998</v>
      </c>
      <c r="S34" s="48">
        <f>累计考核费用!T109/10000</f>
        <v>38.202424999999998</v>
      </c>
      <c r="T34" s="48">
        <f>累计考核费用!U109/10000</f>
        <v>10.350061999999999</v>
      </c>
      <c r="U34" s="48">
        <f>累计考核费用!V109/10000</f>
        <v>18.906950999999999</v>
      </c>
      <c r="V34" s="48">
        <f>累计考核费用!W109/10000</f>
        <v>8.9209119999999995</v>
      </c>
      <c r="W34" s="48">
        <f>累计考核费用!X109/10000</f>
        <v>2.4500000000000001E-2</v>
      </c>
      <c r="X34" s="48">
        <f>累计考核费用!Y109/10000</f>
        <v>0</v>
      </c>
      <c r="Y34" s="48">
        <f>累计考核费用!Z109/10000</f>
        <v>0</v>
      </c>
      <c r="Z34" s="48">
        <f>累计考核费用!AA109/10000</f>
        <v>0</v>
      </c>
      <c r="AA34" s="48">
        <f>累计考核费用!AB109/10000</f>
        <v>13.230279999999999</v>
      </c>
      <c r="AB34" s="48">
        <f>累计考核费用!AC109/10000</f>
        <v>10.420500000000001</v>
      </c>
      <c r="AC34" s="48">
        <f>累计考核费用!AD109/10000</f>
        <v>0</v>
      </c>
      <c r="AD34" s="48">
        <f>累计考核费用!AE109/10000</f>
        <v>0</v>
      </c>
      <c r="AE34" s="48"/>
    </row>
    <row r="35" spans="1:31" s="2" customFormat="1">
      <c r="A35" s="47" t="s">
        <v>91</v>
      </c>
      <c r="B35" s="48">
        <f>累计考核费用!C110/10000</f>
        <v>584.71500500000002</v>
      </c>
      <c r="C35" s="48">
        <f>累计考核费用!D110/10000</f>
        <v>0</v>
      </c>
      <c r="D35" s="48">
        <f>累计考核费用!E110/10000</f>
        <v>53.596705999999983</v>
      </c>
      <c r="E35" s="48">
        <f>累计考核费用!F110/10000</f>
        <v>299.17761899999999</v>
      </c>
      <c r="F35" s="48">
        <f>累计考核费用!G110/10000</f>
        <v>18.738512</v>
      </c>
      <c r="G35" s="48">
        <f>累计考核费用!H110/10000</f>
        <v>5.6834979999999993</v>
      </c>
      <c r="H35" s="48">
        <f>累计考核费用!I110/10000</f>
        <v>3.8237960000000006</v>
      </c>
      <c r="I35" s="48">
        <f>累计考核费用!J110/10000</f>
        <v>2.8343179999999997</v>
      </c>
      <c r="J35" s="48">
        <f>累计考核费用!K110/10000</f>
        <v>6.3968999999999996</v>
      </c>
      <c r="K35" s="48">
        <f>累计考核费用!L110/10000</f>
        <v>23.043157000000001</v>
      </c>
      <c r="L35" s="48">
        <f>累计考核费用!M110/10000</f>
        <v>1.5839719999999999</v>
      </c>
      <c r="M35" s="48">
        <f>累计考核费用!N110/10000</f>
        <v>3.1435110000000002</v>
      </c>
      <c r="N35" s="48">
        <f>累计考核费用!O110/10000</f>
        <v>1.1763809999999999</v>
      </c>
      <c r="O35" s="48">
        <f>累计考核费用!P110/10000</f>
        <v>6.7209330000000005</v>
      </c>
      <c r="P35" s="48">
        <f>累计考核费用!Q110/10000</f>
        <v>3.5087429999999999</v>
      </c>
      <c r="Q35" s="48">
        <f>累计考核费用!R110/10000</f>
        <v>3.8769490000000006</v>
      </c>
      <c r="R35" s="48">
        <f>累计考核费用!S110/10000</f>
        <v>3.0326680000000001</v>
      </c>
      <c r="S35" s="48">
        <f>累计考核费用!T110/10000</f>
        <v>178.15862000000001</v>
      </c>
      <c r="T35" s="48">
        <f>累计考核费用!U110/10000</f>
        <v>12.866103000000001</v>
      </c>
      <c r="U35" s="48">
        <f>累计考核费用!V110/10000</f>
        <v>135.29619500000001</v>
      </c>
      <c r="V35" s="48">
        <f>累计考核费用!W110/10000</f>
        <v>28.655558000000003</v>
      </c>
      <c r="W35" s="48">
        <f>累计考核费用!X110/10000</f>
        <v>0.44346400000000002</v>
      </c>
      <c r="X35" s="48">
        <f>累计考核费用!Y110/10000</f>
        <v>0.64456599999999997</v>
      </c>
      <c r="Y35" s="48">
        <f>累计考核费用!Z110/10000</f>
        <v>0.25273400000000001</v>
      </c>
      <c r="Z35" s="48">
        <f>累计考核费用!AA110/10000</f>
        <v>0</v>
      </c>
      <c r="AA35" s="48">
        <f>累计考核费用!AB110/10000</f>
        <v>5.2670569999999994</v>
      </c>
      <c r="AB35" s="48">
        <f>累计考核费用!AC110/10000</f>
        <v>6.7333339999999993</v>
      </c>
      <c r="AC35" s="48">
        <f>累计考核费用!AD110/10000</f>
        <v>0</v>
      </c>
      <c r="AD35" s="48">
        <f>累计考核费用!AE110/10000</f>
        <v>0</v>
      </c>
      <c r="AE35" s="48"/>
    </row>
    <row r="36" spans="1:31" s="2" customFormat="1">
      <c r="A36" s="47" t="s">
        <v>92</v>
      </c>
      <c r="B36" s="48">
        <f>累计考核费用!C111/10000</f>
        <v>439.05232699999993</v>
      </c>
      <c r="C36" s="48">
        <f>累计考核费用!D111/10000</f>
        <v>0</v>
      </c>
      <c r="D36" s="48">
        <f>累计考核费用!E111/10000</f>
        <v>162.01178900000005</v>
      </c>
      <c r="E36" s="48">
        <f>累计考核费用!F111/10000</f>
        <v>173.40857299999999</v>
      </c>
      <c r="F36" s="48">
        <f>累计考核费用!G111/10000</f>
        <v>11.237073000000001</v>
      </c>
      <c r="G36" s="48">
        <f>累计考核费用!H111/10000</f>
        <v>4.7330610000000011</v>
      </c>
      <c r="H36" s="48">
        <f>累计考核费用!I111/10000</f>
        <v>1.555599</v>
      </c>
      <c r="I36" s="48">
        <f>累计考核费用!J111/10000</f>
        <v>1.8873520000000001</v>
      </c>
      <c r="J36" s="48">
        <f>累计考核费用!K111/10000</f>
        <v>3.061061</v>
      </c>
      <c r="K36" s="48">
        <f>累计考核费用!L111/10000</f>
        <v>16.447088000000004</v>
      </c>
      <c r="L36" s="48">
        <f>累计考核费用!M111/10000</f>
        <v>2.1940499999999998</v>
      </c>
      <c r="M36" s="48">
        <f>累计考核费用!N111/10000</f>
        <v>3.7498989999999996</v>
      </c>
      <c r="N36" s="48">
        <f>累计考核费用!O111/10000</f>
        <v>1.5033650000000001</v>
      </c>
      <c r="O36" s="48">
        <f>累计考核费用!P111/10000</f>
        <v>2.9990650000000003</v>
      </c>
      <c r="P36" s="48">
        <f>累计考核费用!Q111/10000</f>
        <v>1.8390819999999999</v>
      </c>
      <c r="Q36" s="48">
        <f>累计考核费用!R111/10000</f>
        <v>2.6324419999999997</v>
      </c>
      <c r="R36" s="48">
        <f>累计考核费用!S111/10000</f>
        <v>1.529185</v>
      </c>
      <c r="S36" s="48">
        <f>累计考核费用!T111/10000</f>
        <v>67.084935000000002</v>
      </c>
      <c r="T36" s="48">
        <f>累计考核费用!U111/10000</f>
        <v>7.7881800000000005</v>
      </c>
      <c r="U36" s="48">
        <f>累计考核费用!V111/10000</f>
        <v>40.241785999999998</v>
      </c>
      <c r="V36" s="48">
        <f>累计考核费用!W111/10000</f>
        <v>18.696479</v>
      </c>
      <c r="W36" s="48">
        <f>累计考核费用!X111/10000</f>
        <v>0</v>
      </c>
      <c r="X36" s="48">
        <f>累计考核费用!Y111/10000</f>
        <v>0</v>
      </c>
      <c r="Y36" s="48">
        <f>累计考核费用!Z111/10000</f>
        <v>0</v>
      </c>
      <c r="Z36" s="48">
        <f>累计考核费用!AA111/10000</f>
        <v>0.35849000000000003</v>
      </c>
      <c r="AA36" s="48">
        <f>累计考核费用!AB111/10000</f>
        <v>4.6603010000000014</v>
      </c>
      <c r="AB36" s="48">
        <f>累计考核费用!AC111/10000</f>
        <v>4.2025679999999994</v>
      </c>
      <c r="AC36" s="48">
        <f>累计考核费用!AD111/10000</f>
        <v>0</v>
      </c>
      <c r="AD36" s="48">
        <f>累计考核费用!AE111/10000</f>
        <v>0</v>
      </c>
      <c r="AE36" s="48"/>
    </row>
    <row r="37" spans="1:31" s="2" customFormat="1">
      <c r="A37" s="47" t="s">
        <v>93</v>
      </c>
      <c r="B37" s="48">
        <f>累计考核费用!C112/10000</f>
        <v>4642.4434559999991</v>
      </c>
      <c r="C37" s="48">
        <f>累计考核费用!D112/10000</f>
        <v>0</v>
      </c>
      <c r="D37" s="48">
        <f>累计考核费用!E112/10000</f>
        <v>1001.3326789999995</v>
      </c>
      <c r="E37" s="48">
        <f>累计考核费用!F112/10000</f>
        <v>2487.6863120000003</v>
      </c>
      <c r="F37" s="48">
        <f>累计考核费用!G112/10000</f>
        <v>211.29468799999998</v>
      </c>
      <c r="G37" s="48">
        <f>累计考核费用!H112/10000</f>
        <v>63.528483999999999</v>
      </c>
      <c r="H37" s="48">
        <f>累计考核费用!I112/10000</f>
        <v>58.689529999999991</v>
      </c>
      <c r="I37" s="48">
        <f>累计考核费用!J112/10000</f>
        <v>34.072150000000001</v>
      </c>
      <c r="J37" s="48">
        <f>累计考核费用!K112/10000</f>
        <v>55.004523999999996</v>
      </c>
      <c r="K37" s="48">
        <f>累计考核费用!L112/10000</f>
        <v>240.38563399999998</v>
      </c>
      <c r="L37" s="48">
        <f>累计考核费用!M112/10000</f>
        <v>11.849267999999999</v>
      </c>
      <c r="M37" s="48">
        <f>累计考核费用!N112/10000</f>
        <v>34.828821999999995</v>
      </c>
      <c r="N37" s="48">
        <f>累计考核费用!O112/10000</f>
        <v>10.049879999999998</v>
      </c>
      <c r="O37" s="48">
        <f>累计考核费用!P112/10000</f>
        <v>78.034291999999994</v>
      </c>
      <c r="P37" s="48">
        <f>累计考核费用!Q112/10000</f>
        <v>35.518151999999994</v>
      </c>
      <c r="Q37" s="48">
        <f>累计考核费用!R112/10000</f>
        <v>35.480829000000007</v>
      </c>
      <c r="R37" s="48">
        <f>累计考核费用!S112/10000</f>
        <v>34.624390999999996</v>
      </c>
      <c r="S37" s="48">
        <f>累计考核费用!T112/10000</f>
        <v>519.97657199999992</v>
      </c>
      <c r="T37" s="48">
        <f>累计考核费用!U112/10000</f>
        <v>148.29688100000001</v>
      </c>
      <c r="U37" s="48">
        <f>累计考核费用!V112/10000</f>
        <v>185.63787200000002</v>
      </c>
      <c r="V37" s="48">
        <f>累计考核费用!W112/10000</f>
        <v>159.90214799999998</v>
      </c>
      <c r="W37" s="48">
        <f>累计考核费用!X112/10000</f>
        <v>3.5015999999999998</v>
      </c>
      <c r="X37" s="48">
        <f>累计考核费用!Y112/10000</f>
        <v>15.994740999999998</v>
      </c>
      <c r="Y37" s="48">
        <f>累计考核费用!Z112/10000</f>
        <v>6.6433300000000006</v>
      </c>
      <c r="Z37" s="48">
        <f>累计考核费用!AA112/10000</f>
        <v>0</v>
      </c>
      <c r="AA37" s="48">
        <f>累计考核费用!AB112/10000</f>
        <v>71.250440999999995</v>
      </c>
      <c r="AB37" s="48">
        <f>累计考核费用!AC112/10000</f>
        <v>110.51712999999998</v>
      </c>
      <c r="AC37" s="48">
        <f>累计考核费用!AD112/10000</f>
        <v>0</v>
      </c>
      <c r="AD37" s="48">
        <f>累计考核费用!AE112/10000</f>
        <v>0</v>
      </c>
      <c r="AE37" s="48"/>
    </row>
    <row r="38" spans="1:31" s="2" customFormat="1">
      <c r="A38" s="47" t="s">
        <v>94</v>
      </c>
      <c r="B38" s="48">
        <f>累计考核费用!C113/10000</f>
        <v>35.974437000000002</v>
      </c>
      <c r="C38" s="48">
        <f>累计考核费用!D113/10000</f>
        <v>0</v>
      </c>
      <c r="D38" s="48">
        <f>累计考核费用!E113/10000</f>
        <v>20</v>
      </c>
      <c r="E38" s="48">
        <f>累计考核费用!F113/10000</f>
        <v>11.274900000000001</v>
      </c>
      <c r="F38" s="48">
        <f>累计考核费用!G113/10000</f>
        <v>4.6995370000000003</v>
      </c>
      <c r="G38" s="48">
        <f>累计考核费用!H113/10000</f>
        <v>0</v>
      </c>
      <c r="H38" s="48">
        <f>累计考核费用!I113/10000</f>
        <v>0</v>
      </c>
      <c r="I38" s="48">
        <f>累计考核费用!J113/10000</f>
        <v>0</v>
      </c>
      <c r="J38" s="48">
        <f>累计考核费用!K113/10000</f>
        <v>4.6995370000000003</v>
      </c>
      <c r="K38" s="48">
        <f>累计考核费用!L113/10000</f>
        <v>0</v>
      </c>
      <c r="L38" s="48">
        <f>累计考核费用!M113/10000</f>
        <v>0</v>
      </c>
      <c r="M38" s="48">
        <f>累计考核费用!N113/10000</f>
        <v>0</v>
      </c>
      <c r="N38" s="48">
        <f>累计考核费用!O113/10000</f>
        <v>0</v>
      </c>
      <c r="O38" s="48">
        <f>累计考核费用!P113/10000</f>
        <v>0</v>
      </c>
      <c r="P38" s="48">
        <f>累计考核费用!Q113/10000</f>
        <v>0</v>
      </c>
      <c r="Q38" s="48">
        <f>累计考核费用!R113/10000</f>
        <v>0</v>
      </c>
      <c r="R38" s="48">
        <f>累计考核费用!S113/10000</f>
        <v>0</v>
      </c>
      <c r="S38" s="48">
        <f>累计考核费用!T113/10000</f>
        <v>0</v>
      </c>
      <c r="T38" s="48">
        <f>累计考核费用!U113/10000</f>
        <v>0</v>
      </c>
      <c r="U38" s="48">
        <f>累计考核费用!V113/10000</f>
        <v>0</v>
      </c>
      <c r="V38" s="48">
        <f>累计考核费用!W113/10000</f>
        <v>0</v>
      </c>
      <c r="W38" s="48">
        <f>累计考核费用!X113/10000</f>
        <v>0</v>
      </c>
      <c r="X38" s="48">
        <f>累计考核费用!Y113/10000</f>
        <v>0</v>
      </c>
      <c r="Y38" s="48">
        <f>累计考核费用!Z113/10000</f>
        <v>0</v>
      </c>
      <c r="Z38" s="48">
        <f>累计考核费用!AA113/10000</f>
        <v>0</v>
      </c>
      <c r="AA38" s="48">
        <f>累计考核费用!AB113/10000</f>
        <v>0</v>
      </c>
      <c r="AB38" s="48">
        <f>累计考核费用!AC113/10000</f>
        <v>0</v>
      </c>
      <c r="AC38" s="48">
        <f>累计考核费用!AD113/10000</f>
        <v>0</v>
      </c>
      <c r="AD38" s="48">
        <f>累计考核费用!AE113/10000</f>
        <v>0</v>
      </c>
      <c r="AE38" s="48"/>
    </row>
    <row r="39" spans="1:31" s="2" customFormat="1">
      <c r="A39" s="47" t="s">
        <v>95</v>
      </c>
      <c r="B39" s="48">
        <f>累计考核费用!C114/10000</f>
        <v>271.77863699999995</v>
      </c>
      <c r="C39" s="48">
        <f>累计考核费用!D114/10000</f>
        <v>0</v>
      </c>
      <c r="D39" s="48">
        <f>累计考核费用!E114/10000</f>
        <v>257.14621899999997</v>
      </c>
      <c r="E39" s="48">
        <f>累计考核费用!F114/10000</f>
        <v>14.149177999999999</v>
      </c>
      <c r="F39" s="48">
        <f>累计考核费用!G114/10000</f>
        <v>1.2734400000000001</v>
      </c>
      <c r="G39" s="48">
        <f>累计考核费用!H114/10000</f>
        <v>1.4624999999999999</v>
      </c>
      <c r="H39" s="48">
        <f>累计考核费用!I114/10000</f>
        <v>-9.4529999999999989E-2</v>
      </c>
      <c r="I39" s="48">
        <f>累计考核费用!J114/10000</f>
        <v>0</v>
      </c>
      <c r="J39" s="48">
        <f>累计考核费用!K114/10000</f>
        <v>-9.4529999999999989E-2</v>
      </c>
      <c r="K39" s="48">
        <f>累计考核费用!L114/10000</f>
        <v>-9.4529999999999989E-2</v>
      </c>
      <c r="L39" s="48">
        <f>累计考核费用!M114/10000</f>
        <v>0</v>
      </c>
      <c r="M39" s="48">
        <f>累计考核费用!N114/10000</f>
        <v>0</v>
      </c>
      <c r="N39" s="48">
        <f>累计考核费用!O114/10000</f>
        <v>0</v>
      </c>
      <c r="O39" s="48">
        <f>累计考核费用!P114/10000</f>
        <v>0</v>
      </c>
      <c r="P39" s="48">
        <f>累计考核费用!Q114/10000</f>
        <v>0</v>
      </c>
      <c r="Q39" s="48">
        <f>累计考核费用!R114/10000</f>
        <v>0</v>
      </c>
      <c r="R39" s="48">
        <f>累计考核费用!S114/10000</f>
        <v>-9.4529999999999989E-2</v>
      </c>
      <c r="S39" s="48">
        <f>累计考核费用!T114/10000</f>
        <v>-0.39509999999999995</v>
      </c>
      <c r="T39" s="48">
        <f>累计考核费用!U114/10000</f>
        <v>-0.11150999999999998</v>
      </c>
      <c r="U39" s="48">
        <f>累计考核费用!V114/10000</f>
        <v>-9.4529999999999989E-2</v>
      </c>
      <c r="V39" s="48">
        <f>累计考核费用!W114/10000</f>
        <v>-0.18905999999999998</v>
      </c>
      <c r="W39" s="48">
        <f>累计考核费用!X114/10000</f>
        <v>0</v>
      </c>
      <c r="X39" s="48">
        <f>累计考核费用!Y114/10000</f>
        <v>0</v>
      </c>
      <c r="Y39" s="48">
        <f>累计考核费用!Z114/10000</f>
        <v>0</v>
      </c>
      <c r="Z39" s="48">
        <f>累计考核费用!AA114/10000</f>
        <v>0</v>
      </c>
      <c r="AA39" s="48">
        <f>累计考核费用!AB114/10000</f>
        <v>-9.4529999999999989E-2</v>
      </c>
      <c r="AB39" s="48">
        <f>累计考核费用!AC114/10000</f>
        <v>-0.20603999999999997</v>
      </c>
      <c r="AC39" s="48">
        <f>累计考核费用!AD114/10000</f>
        <v>0</v>
      </c>
      <c r="AD39" s="48">
        <f>累计考核费用!AE114/10000</f>
        <v>0</v>
      </c>
      <c r="AE39" s="48"/>
    </row>
    <row r="40" spans="1:31" s="2" customFormat="1">
      <c r="A40" s="47" t="s">
        <v>96</v>
      </c>
      <c r="B40" s="48">
        <f>累计考核费用!C115/10000</f>
        <v>232.57144899999997</v>
      </c>
      <c r="C40" s="48">
        <f>累计考核费用!D115/10000</f>
        <v>0</v>
      </c>
      <c r="D40" s="48">
        <f>累计考核费用!E115/10000</f>
        <v>43.759999999999955</v>
      </c>
      <c r="E40" s="48">
        <f>累计考核费用!F115/10000</f>
        <v>155.81662100000003</v>
      </c>
      <c r="F40" s="48">
        <f>累计考核费用!G115/10000</f>
        <v>10.394</v>
      </c>
      <c r="G40" s="48">
        <f>累计考核费用!H115/10000</f>
        <v>2.6120000000000001</v>
      </c>
      <c r="H40" s="48">
        <f>累计考核费用!I115/10000</f>
        <v>1.262</v>
      </c>
      <c r="I40" s="48">
        <f>累计考核费用!J115/10000</f>
        <v>2.504</v>
      </c>
      <c r="J40" s="48">
        <f>累计考核费用!K115/10000</f>
        <v>4.016</v>
      </c>
      <c r="K40" s="48">
        <f>累计考核费用!L115/10000</f>
        <v>14.878</v>
      </c>
      <c r="L40" s="48">
        <f>累计考核费用!M115/10000</f>
        <v>-1.0660000000000001</v>
      </c>
      <c r="M40" s="48">
        <f>累计考核费用!N115/10000</f>
        <v>3.6179999999999999</v>
      </c>
      <c r="N40" s="48">
        <f>累计考核费用!O115/10000</f>
        <v>0.96599999999999997</v>
      </c>
      <c r="O40" s="48">
        <f>累计考核费用!P115/10000</f>
        <v>4.5739999999999998</v>
      </c>
      <c r="P40" s="48">
        <f>累计考核费用!Q115/10000</f>
        <v>2.4780000000000002</v>
      </c>
      <c r="Q40" s="48">
        <f>累计考核费用!R115/10000</f>
        <v>2.5859999999999999</v>
      </c>
      <c r="R40" s="48">
        <f>累计考核费用!S115/10000</f>
        <v>1.722</v>
      </c>
      <c r="S40" s="48">
        <f>累计考核费用!T115/10000</f>
        <v>0</v>
      </c>
      <c r="T40" s="48">
        <f>累计考核费用!U115/10000</f>
        <v>0</v>
      </c>
      <c r="U40" s="48">
        <f>累计考核费用!V115/10000</f>
        <v>0</v>
      </c>
      <c r="V40" s="48">
        <f>累计考核费用!W115/10000</f>
        <v>0</v>
      </c>
      <c r="W40" s="48">
        <f>累计考核费用!X115/10000</f>
        <v>0</v>
      </c>
      <c r="X40" s="48">
        <f>累计考核费用!Y115/10000</f>
        <v>0</v>
      </c>
      <c r="Y40" s="48">
        <f>累计考核费用!Z115/10000</f>
        <v>0</v>
      </c>
      <c r="Z40" s="48">
        <f>累计考核费用!AA115/10000</f>
        <v>0</v>
      </c>
      <c r="AA40" s="48">
        <f>累计考核费用!AB115/10000</f>
        <v>0</v>
      </c>
      <c r="AB40" s="48">
        <f>累计考核费用!AC115/10000</f>
        <v>7.7228279999999998</v>
      </c>
      <c r="AC40" s="48">
        <f>累计考核费用!AD115/10000</f>
        <v>0</v>
      </c>
      <c r="AD40" s="48">
        <f>累计考核费用!AE115/10000</f>
        <v>0</v>
      </c>
      <c r="AE40" s="48"/>
    </row>
    <row r="41" spans="1:31" s="2" customFormat="1">
      <c r="A41" s="47" t="s">
        <v>97</v>
      </c>
      <c r="B41" s="48">
        <f>累计考核费用!C116/10000</f>
        <v>339.88132000000007</v>
      </c>
      <c r="C41" s="48">
        <f>累计考核费用!D116/10000</f>
        <v>0</v>
      </c>
      <c r="D41" s="48">
        <f>累计考核费用!E116/10000</f>
        <v>126.18601500000004</v>
      </c>
      <c r="E41" s="48">
        <f>累计考核费用!F116/10000</f>
        <v>90.609762000000003</v>
      </c>
      <c r="F41" s="48">
        <f>累计考核费用!G116/10000</f>
        <v>0</v>
      </c>
      <c r="G41" s="48">
        <f>累计考核费用!H116/10000</f>
        <v>0</v>
      </c>
      <c r="H41" s="48">
        <f>累计考核费用!I116/10000</f>
        <v>0</v>
      </c>
      <c r="I41" s="48">
        <f>累计考核费用!J116/10000</f>
        <v>0</v>
      </c>
      <c r="J41" s="48">
        <f>累计考核费用!K116/10000</f>
        <v>0</v>
      </c>
      <c r="K41" s="48">
        <f>累计考核费用!L116/10000</f>
        <v>34.792096999999998</v>
      </c>
      <c r="L41" s="48">
        <f>累计考核费用!M116/10000</f>
        <v>0</v>
      </c>
      <c r="M41" s="48">
        <f>累计考核费用!N116/10000</f>
        <v>0</v>
      </c>
      <c r="N41" s="48">
        <f>累计考核费用!O116/10000</f>
        <v>0</v>
      </c>
      <c r="O41" s="48">
        <f>累计考核费用!P116/10000</f>
        <v>0</v>
      </c>
      <c r="P41" s="48">
        <f>累计考核费用!Q116/10000</f>
        <v>0</v>
      </c>
      <c r="Q41" s="48">
        <f>累计考核费用!R116/10000</f>
        <v>0</v>
      </c>
      <c r="R41" s="48">
        <f>累计考核费用!S116/10000</f>
        <v>34.792096999999998</v>
      </c>
      <c r="S41" s="48">
        <f>累计考核费用!T116/10000</f>
        <v>0</v>
      </c>
      <c r="T41" s="48">
        <f>累计考核费用!U116/10000</f>
        <v>0</v>
      </c>
      <c r="U41" s="48">
        <f>累计考核费用!V116/10000</f>
        <v>0</v>
      </c>
      <c r="V41" s="48">
        <f>累计考核费用!W116/10000</f>
        <v>0</v>
      </c>
      <c r="W41" s="48">
        <f>累计考核费用!X116/10000</f>
        <v>0</v>
      </c>
      <c r="X41" s="48">
        <f>累计考核费用!Y116/10000</f>
        <v>0</v>
      </c>
      <c r="Y41" s="48">
        <f>累计考核费用!Z116/10000</f>
        <v>0</v>
      </c>
      <c r="Z41" s="48">
        <f>累计考核费用!AA116/10000</f>
        <v>0</v>
      </c>
      <c r="AA41" s="48">
        <f>累计考核费用!AB116/10000</f>
        <v>10.894067999999997</v>
      </c>
      <c r="AB41" s="48">
        <f>累计考核费用!AC116/10000</f>
        <v>77.399377999999999</v>
      </c>
      <c r="AC41" s="48">
        <f>累计考核费用!AD116/10000</f>
        <v>0</v>
      </c>
      <c r="AD41" s="48">
        <f>累计考核费用!AE116/10000</f>
        <v>0</v>
      </c>
      <c r="AE41" s="48"/>
    </row>
    <row r="42" spans="1:31" s="2" customFormat="1">
      <c r="A42" s="47" t="s">
        <v>98</v>
      </c>
      <c r="B42" s="48">
        <f>累计考核费用!C117/10000</f>
        <v>1750</v>
      </c>
      <c r="C42" s="48">
        <f>累计考核费用!D117/10000</f>
        <v>0</v>
      </c>
      <c r="D42" s="48">
        <f>累计考核费用!E117/10000</f>
        <v>1750</v>
      </c>
      <c r="E42" s="48">
        <f>累计考核费用!F117/10000</f>
        <v>0</v>
      </c>
      <c r="F42" s="48">
        <f>累计考核费用!G117/10000</f>
        <v>0</v>
      </c>
      <c r="G42" s="48">
        <f>累计考核费用!H117/10000</f>
        <v>0</v>
      </c>
      <c r="H42" s="48">
        <f>累计考核费用!I117/10000</f>
        <v>0</v>
      </c>
      <c r="I42" s="48">
        <f>累计考核费用!J117/10000</f>
        <v>0</v>
      </c>
      <c r="J42" s="48">
        <f>累计考核费用!K117/10000</f>
        <v>0</v>
      </c>
      <c r="K42" s="48">
        <f>累计考核费用!L117/10000</f>
        <v>0</v>
      </c>
      <c r="L42" s="48">
        <f>累计考核费用!M117/10000</f>
        <v>0</v>
      </c>
      <c r="M42" s="48">
        <f>累计考核费用!N117/10000</f>
        <v>0</v>
      </c>
      <c r="N42" s="48">
        <f>累计考核费用!O117/10000</f>
        <v>0</v>
      </c>
      <c r="O42" s="48">
        <f>累计考核费用!P117/10000</f>
        <v>0</v>
      </c>
      <c r="P42" s="48">
        <f>累计考核费用!Q117/10000</f>
        <v>0</v>
      </c>
      <c r="Q42" s="48">
        <f>累计考核费用!R117/10000</f>
        <v>0</v>
      </c>
      <c r="R42" s="48">
        <f>累计考核费用!S117/10000</f>
        <v>0</v>
      </c>
      <c r="S42" s="48">
        <f>累计考核费用!T117/10000</f>
        <v>0</v>
      </c>
      <c r="T42" s="48">
        <f>累计考核费用!U117/10000</f>
        <v>0</v>
      </c>
      <c r="U42" s="48">
        <f>累计考核费用!V117/10000</f>
        <v>0</v>
      </c>
      <c r="V42" s="48">
        <f>累计考核费用!W117/10000</f>
        <v>0</v>
      </c>
      <c r="W42" s="48">
        <f>累计考核费用!X117/10000</f>
        <v>0</v>
      </c>
      <c r="X42" s="48">
        <f>累计考核费用!Y117/10000</f>
        <v>0</v>
      </c>
      <c r="Y42" s="48">
        <f>累计考核费用!Z117/10000</f>
        <v>0</v>
      </c>
      <c r="Z42" s="48">
        <f>累计考核费用!AA117/10000</f>
        <v>0</v>
      </c>
      <c r="AA42" s="48">
        <f>累计考核费用!AB117/10000</f>
        <v>0</v>
      </c>
      <c r="AB42" s="48">
        <f>累计考核费用!AC117/10000</f>
        <v>0</v>
      </c>
      <c r="AC42" s="48">
        <f>累计考核费用!AD117/10000</f>
        <v>0</v>
      </c>
      <c r="AD42" s="48">
        <f>累计考核费用!AE117/10000</f>
        <v>0</v>
      </c>
      <c r="AE42" s="48"/>
    </row>
    <row r="43" spans="1:31" s="2" customFormat="1">
      <c r="A43" s="45" t="s">
        <v>99</v>
      </c>
      <c r="B43" s="48">
        <f>累计考核费用!C118/10000</f>
        <v>26446.652688999999</v>
      </c>
      <c r="C43" s="48">
        <f>累计考核费用!D118/10000</f>
        <v>0</v>
      </c>
      <c r="D43" s="48">
        <f>累计考核费用!E118/10000</f>
        <v>8166.4945879999996</v>
      </c>
      <c r="E43" s="48">
        <f>累计考核费用!F118/10000</f>
        <v>11860.556440000002</v>
      </c>
      <c r="F43" s="48">
        <f>累计考核费用!G118/10000</f>
        <v>1094.4585969999998</v>
      </c>
      <c r="G43" s="48">
        <f>累计考核费用!H118/10000</f>
        <v>316.19671199999993</v>
      </c>
      <c r="H43" s="48">
        <f>累计考核费用!I118/10000</f>
        <v>260.15185700000001</v>
      </c>
      <c r="I43" s="48">
        <f>累计考核费用!J118/10000</f>
        <v>180.94030799999999</v>
      </c>
      <c r="J43" s="48">
        <f>累计考核费用!K118/10000</f>
        <v>337.16972000000004</v>
      </c>
      <c r="K43" s="48">
        <f>累计考核费用!L118/10000</f>
        <v>1471.4196770000001</v>
      </c>
      <c r="L43" s="48">
        <f>累计考核费用!M118/10000</f>
        <v>95.479017999999996</v>
      </c>
      <c r="M43" s="48">
        <f>累计考核费用!N118/10000</f>
        <v>199.23723900000005</v>
      </c>
      <c r="N43" s="48">
        <f>累计考核费用!O118/10000</f>
        <v>71.71171600000001</v>
      </c>
      <c r="O43" s="48">
        <f>累计考核费用!P118/10000</f>
        <v>425.77367599999997</v>
      </c>
      <c r="P43" s="48">
        <f>累计考核费用!Q118/10000</f>
        <v>217.50718799999999</v>
      </c>
      <c r="Q43" s="48">
        <f>累计考核费用!R118/10000</f>
        <v>235.81275899999997</v>
      </c>
      <c r="R43" s="48">
        <f>累计考核费用!S118/10000</f>
        <v>225.89808100000002</v>
      </c>
      <c r="S43" s="48">
        <f>累计考核费用!T118/10000</f>
        <v>2790.049861</v>
      </c>
      <c r="T43" s="48">
        <f>累计考核费用!U118/10000</f>
        <v>676.18654100000003</v>
      </c>
      <c r="U43" s="48">
        <f>累计考核费用!V118/10000</f>
        <v>1065.7079679999999</v>
      </c>
      <c r="V43" s="48">
        <f>累计考核费用!W118/10000</f>
        <v>953.25369000000001</v>
      </c>
      <c r="W43" s="48">
        <f>累计考核费用!X118/10000</f>
        <v>26.142764</v>
      </c>
      <c r="X43" s="48">
        <f>累计考核费用!Y118/10000</f>
        <v>48.867621</v>
      </c>
      <c r="Y43" s="48">
        <f>累计考核费用!Z118/10000</f>
        <v>19.532786999999999</v>
      </c>
      <c r="Z43" s="48">
        <f>累计考核费用!AA118/10000</f>
        <v>0.35849000000000003</v>
      </c>
      <c r="AA43" s="48">
        <f>累计考核费用!AB118/10000</f>
        <v>517.93976799999996</v>
      </c>
      <c r="AB43" s="48">
        <f>累计考核费用!AC118/10000</f>
        <v>545.73375799999997</v>
      </c>
      <c r="AC43" s="48">
        <f>累计考核费用!AD118/10000</f>
        <v>0</v>
      </c>
      <c r="AD43" s="48">
        <f>累计考核费用!AE118/10000</f>
        <v>0</v>
      </c>
      <c r="AE43" s="48"/>
    </row>
    <row r="44" spans="1:31" s="2" customFormat="1">
      <c r="A44" s="47" t="s">
        <v>101</v>
      </c>
      <c r="B44" s="48">
        <f>累计考核费用!C119/10000</f>
        <v>9152.961299999999</v>
      </c>
      <c r="C44" s="48">
        <f>累计考核费用!D119/10000</f>
        <v>-174.078768</v>
      </c>
      <c r="D44" s="48">
        <f>累计考核费用!E119/10000</f>
        <v>-1.4901161193847657E-12</v>
      </c>
      <c r="E44" s="48">
        <f>累计考核费用!F119/10000</f>
        <v>2329.637428</v>
      </c>
      <c r="F44" s="48">
        <f>累计考核费用!G119/10000</f>
        <v>225.53356799999997</v>
      </c>
      <c r="G44" s="48">
        <f>累计考核费用!H119/10000</f>
        <v>0</v>
      </c>
      <c r="H44" s="48">
        <f>累计考核费用!I119/10000</f>
        <v>0</v>
      </c>
      <c r="I44" s="48">
        <f>累计考核费用!J119/10000</f>
        <v>124.66556799999999</v>
      </c>
      <c r="J44" s="48">
        <f>累计考核费用!K119/10000</f>
        <v>100.86799999999999</v>
      </c>
      <c r="K44" s="48">
        <f>累计考核费用!L119/10000</f>
        <v>0.34</v>
      </c>
      <c r="L44" s="48">
        <f>累计考核费用!M119/10000</f>
        <v>0</v>
      </c>
      <c r="M44" s="48">
        <f>累计考核费用!N119/10000</f>
        <v>0</v>
      </c>
      <c r="N44" s="48">
        <f>累计考核费用!O119/10000</f>
        <v>0</v>
      </c>
      <c r="O44" s="48">
        <f>累计考核费用!P119/10000</f>
        <v>0</v>
      </c>
      <c r="P44" s="48">
        <f>累计考核费用!Q119/10000</f>
        <v>0</v>
      </c>
      <c r="Q44" s="48">
        <f>累计考核费用!R119/10000</f>
        <v>0.34</v>
      </c>
      <c r="R44" s="48">
        <f>累计考核费用!S119/10000</f>
        <v>0</v>
      </c>
      <c r="S44" s="48">
        <f>累计考核费用!T119/10000</f>
        <v>6771.5290720000003</v>
      </c>
      <c r="T44" s="48">
        <f>累计考核费用!U119/10000</f>
        <v>146.3083</v>
      </c>
      <c r="U44" s="48">
        <f>累计考核费用!V119/10000</f>
        <v>6079.09</v>
      </c>
      <c r="V44" s="48">
        <f>累计考核费用!W119/10000</f>
        <v>546.13077199999998</v>
      </c>
      <c r="W44" s="48">
        <f>累计考核费用!X119/10000</f>
        <v>0</v>
      </c>
      <c r="X44" s="48">
        <f>累计考核费用!Y119/10000</f>
        <v>0</v>
      </c>
      <c r="Y44" s="48">
        <f>累计考核费用!Z119/10000</f>
        <v>0</v>
      </c>
      <c r="Z44" s="48">
        <f>累计考核费用!AA119/10000</f>
        <v>0</v>
      </c>
      <c r="AA44" s="48">
        <f>累计考核费用!AB119/10000</f>
        <v>0</v>
      </c>
      <c r="AB44" s="48">
        <f>累计考核费用!AC119/10000</f>
        <v>0</v>
      </c>
      <c r="AC44" s="48">
        <f>累计考核费用!AD119/10000</f>
        <v>0</v>
      </c>
      <c r="AD44" s="48">
        <f>累计考核费用!AE119/10000</f>
        <v>0</v>
      </c>
      <c r="AE44" s="48"/>
    </row>
    <row r="45" spans="1:31" s="2" customFormat="1">
      <c r="A45" s="47" t="s">
        <v>102</v>
      </c>
      <c r="B45" s="48">
        <f>累计考核费用!C120/10000</f>
        <v>6197.290986</v>
      </c>
      <c r="C45" s="48">
        <f>累计考核费用!D120/10000</f>
        <v>0</v>
      </c>
      <c r="D45" s="48">
        <f>累计考核费用!E120/10000</f>
        <v>1610.9864329999994</v>
      </c>
      <c r="E45" s="48">
        <f>累计考核费用!F120/10000</f>
        <v>5831.526726000001</v>
      </c>
      <c r="F45" s="48">
        <f>累计考核费用!G120/10000</f>
        <v>0</v>
      </c>
      <c r="G45" s="48">
        <f>累计考核费用!H120/10000</f>
        <v>0</v>
      </c>
      <c r="H45" s="48">
        <f>累计考核费用!I120/10000</f>
        <v>0</v>
      </c>
      <c r="I45" s="48">
        <f>累计考核费用!J120/10000</f>
        <v>0</v>
      </c>
      <c r="J45" s="48">
        <f>累计考核费用!K120/10000</f>
        <v>0</v>
      </c>
      <c r="K45" s="48">
        <f>累计考核费用!L120/10000</f>
        <v>0</v>
      </c>
      <c r="L45" s="48">
        <f>累计考核费用!M120/10000</f>
        <v>0</v>
      </c>
      <c r="M45" s="48">
        <f>累计考核费用!N120/10000</f>
        <v>0</v>
      </c>
      <c r="N45" s="48">
        <f>累计考核费用!O120/10000</f>
        <v>0</v>
      </c>
      <c r="O45" s="48">
        <f>累计考核费用!P120/10000</f>
        <v>0</v>
      </c>
      <c r="P45" s="48">
        <f>累计考核费用!Q120/10000</f>
        <v>0</v>
      </c>
      <c r="Q45" s="48">
        <f>累计考核费用!R120/10000</f>
        <v>0</v>
      </c>
      <c r="R45" s="48">
        <f>累计考核费用!S120/10000</f>
        <v>0</v>
      </c>
      <c r="S45" s="48">
        <f>累计考核费用!T120/10000</f>
        <v>-1246.5458599999999</v>
      </c>
      <c r="T45" s="48">
        <f>累计考核费用!U120/10000</f>
        <v>27.804145000000002</v>
      </c>
      <c r="U45" s="48">
        <f>累计考核费用!V120/10000</f>
        <v>-1372.1940569999999</v>
      </c>
      <c r="V45" s="48">
        <f>累计考核费用!W120/10000</f>
        <v>97.844052000000005</v>
      </c>
      <c r="W45" s="48">
        <f>累计考核费用!X120/10000</f>
        <v>0</v>
      </c>
      <c r="X45" s="48">
        <f>累计考核费用!Y120/10000</f>
        <v>0</v>
      </c>
      <c r="Y45" s="48">
        <f>累计考核费用!Z120/10000</f>
        <v>0</v>
      </c>
      <c r="Z45" s="48">
        <f>累计考核费用!AA120/10000</f>
        <v>0</v>
      </c>
      <c r="AA45" s="48">
        <f>累计考核费用!AB120/10000</f>
        <v>0</v>
      </c>
      <c r="AB45" s="48">
        <f>累计考核费用!AC120/10000</f>
        <v>1.3236870000000001</v>
      </c>
      <c r="AC45" s="48">
        <f>累计考核费用!AD120/10000</f>
        <v>0</v>
      </c>
      <c r="AD45" s="48">
        <f>累计考核费用!AE120/10000</f>
        <v>0</v>
      </c>
      <c r="AE45" s="48"/>
    </row>
    <row r="46" spans="1:31" s="2" customFormat="1">
      <c r="A46" s="47" t="s">
        <v>103</v>
      </c>
      <c r="B46" s="48">
        <f>累计考核费用!C121/10000</f>
        <v>1677.2946850000001</v>
      </c>
      <c r="C46" s="48">
        <f>累计考核费用!D121/10000</f>
        <v>-22.092905000000002</v>
      </c>
      <c r="D46" s="48">
        <f>累计考核费用!E121/10000</f>
        <v>-343.47076900000002</v>
      </c>
      <c r="E46" s="48">
        <f>累计考核费用!F121/10000</f>
        <v>1355.402382</v>
      </c>
      <c r="F46" s="48">
        <f>累计考核费用!G121/10000</f>
        <v>-68.650064</v>
      </c>
      <c r="G46" s="48">
        <f>累计考核费用!H121/10000</f>
        <v>13.950418000000003</v>
      </c>
      <c r="H46" s="48">
        <f>累计考核费用!I121/10000</f>
        <v>-87.098132000000007</v>
      </c>
      <c r="I46" s="48">
        <f>累计考核费用!J121/10000</f>
        <v>11.024644</v>
      </c>
      <c r="J46" s="48">
        <f>累计考核费用!K121/10000</f>
        <v>-6.5269939999999993</v>
      </c>
      <c r="K46" s="48">
        <f>累计考核费用!L121/10000</f>
        <v>313.63800299999997</v>
      </c>
      <c r="L46" s="48">
        <f>累计考核费用!M121/10000</f>
        <v>94.740000000000009</v>
      </c>
      <c r="M46" s="48">
        <f>累计考核费用!N121/10000</f>
        <v>55.543697999999999</v>
      </c>
      <c r="N46" s="48">
        <f>累计考核费用!O121/10000</f>
        <v>7.8267670000000003</v>
      </c>
      <c r="O46" s="48">
        <f>累计考核费用!P121/10000</f>
        <v>153.38349699999998</v>
      </c>
      <c r="P46" s="48">
        <f>累计考核费用!Q121/10000</f>
        <v>-3.2128059999999992</v>
      </c>
      <c r="Q46" s="48">
        <f>累计考核费用!R121/10000</f>
        <v>5.3454630000000005</v>
      </c>
      <c r="R46" s="48">
        <f>累计考核费用!S121/10000</f>
        <v>1.1384000000000002E-2</v>
      </c>
      <c r="S46" s="48">
        <f>累计考核费用!T121/10000</f>
        <v>442.52410800000001</v>
      </c>
      <c r="T46" s="48">
        <f>累计考核费用!U121/10000</f>
        <v>20.945461000000002</v>
      </c>
      <c r="U46" s="48">
        <f>累计考核费用!V121/10000</f>
        <v>374.13376499999993</v>
      </c>
      <c r="V46" s="48">
        <f>累计考核费用!W121/10000</f>
        <v>45.663109000000006</v>
      </c>
      <c r="W46" s="48">
        <f>累计考核费用!X121/10000</f>
        <v>1.7817730000000001</v>
      </c>
      <c r="X46" s="48">
        <f>累计考核费用!Y121/10000</f>
        <v>0</v>
      </c>
      <c r="Y46" s="48">
        <f>累计考核费用!Z121/10000</f>
        <v>0</v>
      </c>
      <c r="Z46" s="48">
        <f>累计考核费用!AA121/10000</f>
        <v>0</v>
      </c>
      <c r="AA46" s="48">
        <f>累计考核费用!AB121/10000</f>
        <v>-5.6070000000000071E-2</v>
      </c>
      <c r="AB46" s="48">
        <f>累计考核费用!AC121/10000</f>
        <v>0</v>
      </c>
      <c r="AC46" s="48">
        <f>累计考核费用!AD121/10000</f>
        <v>0</v>
      </c>
      <c r="AD46" s="48">
        <f>累计考核费用!AE121/10000</f>
        <v>0</v>
      </c>
      <c r="AE46" s="48"/>
    </row>
    <row r="47" spans="1:31" s="2" customFormat="1">
      <c r="A47" s="47" t="s">
        <v>104</v>
      </c>
      <c r="B47" s="48">
        <f>累计考核费用!C122/10000</f>
        <v>56.048171000000011</v>
      </c>
      <c r="C47" s="48">
        <f>累计考核费用!D122/10000</f>
        <v>0</v>
      </c>
      <c r="D47" s="48">
        <f>累计考核费用!E122/10000</f>
        <v>30.449999999999996</v>
      </c>
      <c r="E47" s="48">
        <f>累计考核费用!F122/10000</f>
        <v>24.229454000000004</v>
      </c>
      <c r="F47" s="48">
        <f>累计考核费用!G122/10000</f>
        <v>0</v>
      </c>
      <c r="G47" s="48">
        <f>累计考核费用!H122/10000</f>
        <v>0</v>
      </c>
      <c r="H47" s="48">
        <f>累计考核费用!I122/10000</f>
        <v>0</v>
      </c>
      <c r="I47" s="48">
        <f>累计考核费用!J122/10000</f>
        <v>0</v>
      </c>
      <c r="J47" s="48">
        <f>累计考核费用!K122/10000</f>
        <v>0</v>
      </c>
      <c r="K47" s="48">
        <f>累计考核费用!L122/10000</f>
        <v>1.368717</v>
      </c>
      <c r="L47" s="48">
        <f>累计考核费用!M122/10000</f>
        <v>0</v>
      </c>
      <c r="M47" s="48">
        <f>累计考核费用!N122/10000</f>
        <v>0</v>
      </c>
      <c r="N47" s="48">
        <f>累计考核费用!O122/10000</f>
        <v>0</v>
      </c>
      <c r="O47" s="48">
        <f>累计考核费用!P122/10000</f>
        <v>0</v>
      </c>
      <c r="P47" s="48">
        <f>累计考核费用!Q122/10000</f>
        <v>0</v>
      </c>
      <c r="Q47" s="48">
        <f>累计考核费用!R122/10000</f>
        <v>0</v>
      </c>
      <c r="R47" s="48">
        <f>累计考核费用!S122/10000</f>
        <v>1.368717</v>
      </c>
      <c r="S47" s="48">
        <f>累计考核费用!T122/10000</f>
        <v>0</v>
      </c>
      <c r="T47" s="48">
        <f>累计考核费用!U122/10000</f>
        <v>0</v>
      </c>
      <c r="U47" s="48">
        <f>累计考核费用!V122/10000</f>
        <v>0</v>
      </c>
      <c r="V47" s="48">
        <f>累计考核费用!W122/10000</f>
        <v>0</v>
      </c>
      <c r="W47" s="48">
        <f>累计考核费用!X122/10000</f>
        <v>0</v>
      </c>
      <c r="X47" s="48">
        <f>累计考核费用!Y122/10000</f>
        <v>0</v>
      </c>
      <c r="Y47" s="48">
        <f>累计考核费用!Z122/10000</f>
        <v>0</v>
      </c>
      <c r="Z47" s="48">
        <f>累计考核费用!AA122/10000</f>
        <v>0</v>
      </c>
      <c r="AA47" s="48">
        <f>累计考核费用!AB122/10000</f>
        <v>0</v>
      </c>
      <c r="AB47" s="48">
        <f>累计考核费用!AC122/10000</f>
        <v>0</v>
      </c>
      <c r="AC47" s="48">
        <f>累计考核费用!AD122/10000</f>
        <v>0</v>
      </c>
      <c r="AD47" s="48">
        <f>累计考核费用!AE122/10000</f>
        <v>0</v>
      </c>
      <c r="AE47" s="48"/>
    </row>
    <row r="48" spans="1:31" s="2" customFormat="1">
      <c r="A48" s="47" t="s">
        <v>105</v>
      </c>
      <c r="B48" s="48">
        <f>累计考核费用!C123/10000</f>
        <v>11.160377</v>
      </c>
      <c r="C48" s="48">
        <f>累计考核费用!D123/10000</f>
        <v>0</v>
      </c>
      <c r="D48" s="48">
        <f>累计考核费用!E123/10000</f>
        <v>0</v>
      </c>
      <c r="E48" s="48">
        <f>累计考核费用!F123/10000</f>
        <v>0</v>
      </c>
      <c r="F48" s="48">
        <f>累计考核费用!G123/10000</f>
        <v>0</v>
      </c>
      <c r="G48" s="48">
        <f>累计考核费用!H123/10000</f>
        <v>0</v>
      </c>
      <c r="H48" s="48">
        <f>累计考核费用!I123/10000</f>
        <v>0</v>
      </c>
      <c r="I48" s="48">
        <f>累计考核费用!J123/10000</f>
        <v>0</v>
      </c>
      <c r="J48" s="48">
        <f>累计考核费用!K123/10000</f>
        <v>0</v>
      </c>
      <c r="K48" s="48">
        <f>累计考核费用!L123/10000</f>
        <v>11.160377</v>
      </c>
      <c r="L48" s="48">
        <f>累计考核费用!M123/10000</f>
        <v>4.8333339999999998</v>
      </c>
      <c r="M48" s="48">
        <f>累计考核费用!N123/10000</f>
        <v>4.4937100000000001</v>
      </c>
      <c r="N48" s="48">
        <f>累计考核费用!O123/10000</f>
        <v>1.8333330000000001</v>
      </c>
      <c r="O48" s="48">
        <f>累计考核费用!P123/10000</f>
        <v>0</v>
      </c>
      <c r="P48" s="48">
        <f>累计考核费用!Q123/10000</f>
        <v>0</v>
      </c>
      <c r="Q48" s="48">
        <f>累计考核费用!R123/10000</f>
        <v>0</v>
      </c>
      <c r="R48" s="48">
        <f>累计考核费用!S123/10000</f>
        <v>0</v>
      </c>
      <c r="S48" s="48">
        <f>累计考核费用!T123/10000</f>
        <v>0</v>
      </c>
      <c r="T48" s="48">
        <f>累计考核费用!U123/10000</f>
        <v>0</v>
      </c>
      <c r="U48" s="48">
        <f>累计考核费用!V123/10000</f>
        <v>0</v>
      </c>
      <c r="V48" s="48">
        <f>累计考核费用!W123/10000</f>
        <v>0</v>
      </c>
      <c r="W48" s="48">
        <f>累计考核费用!X123/10000</f>
        <v>0</v>
      </c>
      <c r="X48" s="48">
        <f>累计考核费用!Y123/10000</f>
        <v>0</v>
      </c>
      <c r="Y48" s="48">
        <f>累计考核费用!Z123/10000</f>
        <v>0</v>
      </c>
      <c r="Z48" s="48">
        <f>累计考核费用!AA123/10000</f>
        <v>0</v>
      </c>
      <c r="AA48" s="48">
        <f>累计考核费用!AB123/10000</f>
        <v>0</v>
      </c>
      <c r="AB48" s="48">
        <f>累计考核费用!AC123/10000</f>
        <v>0</v>
      </c>
      <c r="AC48" s="48">
        <f>累计考核费用!AD123/10000</f>
        <v>0</v>
      </c>
      <c r="AD48" s="48">
        <f>累计考核费用!AE123/10000</f>
        <v>0</v>
      </c>
      <c r="AE48" s="48"/>
    </row>
    <row r="49" spans="1:31" s="2" customFormat="1">
      <c r="A49" s="45" t="s">
        <v>99</v>
      </c>
      <c r="B49" s="48">
        <f>累计考核费用!C124/10000</f>
        <v>17094.755518999998</v>
      </c>
      <c r="C49" s="48">
        <f>累计考核费用!D124/10000</f>
        <v>-196.171673</v>
      </c>
      <c r="D49" s="48">
        <f>累计考核费用!E124/10000</f>
        <v>1297.965663999998</v>
      </c>
      <c r="E49" s="48">
        <f>累计考核费用!F124/10000</f>
        <v>9540.7959900000023</v>
      </c>
      <c r="F49" s="48">
        <f>累计考核费用!G124/10000</f>
        <v>156.88350399999996</v>
      </c>
      <c r="G49" s="48">
        <f>累计考核费用!H124/10000</f>
        <v>13.950418000000003</v>
      </c>
      <c r="H49" s="48">
        <f>累计考核费用!I124/10000</f>
        <v>-87.098132000000007</v>
      </c>
      <c r="I49" s="48">
        <f>累计考核费用!J124/10000</f>
        <v>135.69021199999997</v>
      </c>
      <c r="J49" s="48">
        <f>累计考核费用!K124/10000</f>
        <v>94.341006000000007</v>
      </c>
      <c r="K49" s="48">
        <f>累计考核费用!L124/10000</f>
        <v>326.50709699999999</v>
      </c>
      <c r="L49" s="48">
        <f>累计考核费用!M124/10000</f>
        <v>99.573334000000003</v>
      </c>
      <c r="M49" s="48">
        <f>累计考核费用!N124/10000</f>
        <v>60.037407999999999</v>
      </c>
      <c r="N49" s="48">
        <f>累计考核费用!O124/10000</f>
        <v>9.6600999999999999</v>
      </c>
      <c r="O49" s="48">
        <f>累计考核费用!P124/10000</f>
        <v>153.38349699999998</v>
      </c>
      <c r="P49" s="48">
        <f>累计考核费用!Q124/10000</f>
        <v>-3.2128059999999992</v>
      </c>
      <c r="Q49" s="48">
        <f>累计考核费用!R124/10000</f>
        <v>5.6854630000000004</v>
      </c>
      <c r="R49" s="48">
        <f>累计考核费用!S124/10000</f>
        <v>1.380101</v>
      </c>
      <c r="S49" s="48">
        <f>累计考核费用!T124/10000</f>
        <v>5967.5073199999997</v>
      </c>
      <c r="T49" s="48">
        <f>累计考核费用!U124/10000</f>
        <v>195.057906</v>
      </c>
      <c r="U49" s="48">
        <f>累计考核费用!V124/10000</f>
        <v>5081.029708</v>
      </c>
      <c r="V49" s="48">
        <f>累计考核费用!W124/10000</f>
        <v>689.63793299999998</v>
      </c>
      <c r="W49" s="48">
        <f>累计考核费用!X124/10000</f>
        <v>1.7817730000000001</v>
      </c>
      <c r="X49" s="48">
        <f>累计考核费用!Y124/10000</f>
        <v>0</v>
      </c>
      <c r="Y49" s="48">
        <f>累计考核费用!Z124/10000</f>
        <v>0</v>
      </c>
      <c r="Z49" s="48">
        <f>累计考核费用!AA124/10000</f>
        <v>0</v>
      </c>
      <c r="AA49" s="48">
        <f>累计考核费用!AB124/10000</f>
        <v>-5.6070000000000071E-2</v>
      </c>
      <c r="AB49" s="48">
        <f>累计考核费用!AC124/10000</f>
        <v>1.3236870000000001</v>
      </c>
      <c r="AC49" s="48">
        <f>累计考核费用!AD124/10000</f>
        <v>0</v>
      </c>
      <c r="AD49" s="48">
        <f>累计考核费用!AE124/10000</f>
        <v>0</v>
      </c>
      <c r="AE49" s="48"/>
    </row>
    <row r="50" spans="1:31" s="2" customFormat="1">
      <c r="A50" s="47" t="s">
        <v>107</v>
      </c>
      <c r="B50" s="48">
        <f>累计考核费用!C125/10000</f>
        <v>2186.3788770000001</v>
      </c>
      <c r="C50" s="48">
        <f>累计考核费用!D125/10000</f>
        <v>0</v>
      </c>
      <c r="D50" s="48">
        <f>累计考核费用!E125/10000</f>
        <v>192.85351299999971</v>
      </c>
      <c r="E50" s="48">
        <f>累计考核费用!F125/10000</f>
        <v>1032.4789090000002</v>
      </c>
      <c r="F50" s="48">
        <f>累计考核费用!G125/10000</f>
        <v>90.579247999999993</v>
      </c>
      <c r="G50" s="48">
        <f>累计考核费用!H125/10000</f>
        <v>27.433681</v>
      </c>
      <c r="H50" s="48">
        <f>累计考核费用!I125/10000</f>
        <v>31.428640999999999</v>
      </c>
      <c r="I50" s="48">
        <f>累计考核费用!J125/10000</f>
        <v>7.4238059999999999</v>
      </c>
      <c r="J50" s="48">
        <f>累计考核费用!K125/10000</f>
        <v>24.293120000000002</v>
      </c>
      <c r="K50" s="48">
        <f>累计考核费用!L125/10000</f>
        <v>114.03178299999999</v>
      </c>
      <c r="L50" s="48">
        <f>累计考核费用!M125/10000</f>
        <v>12.68634</v>
      </c>
      <c r="M50" s="48">
        <f>累计考核费用!N125/10000</f>
        <v>15.820819999999998</v>
      </c>
      <c r="N50" s="48">
        <f>累计考核费用!O125/10000</f>
        <v>14.271089999999999</v>
      </c>
      <c r="O50" s="48">
        <f>累计考核费用!P125/10000</f>
        <v>17.747394</v>
      </c>
      <c r="P50" s="48">
        <f>累计考核费用!Q125/10000</f>
        <v>16.218824999999999</v>
      </c>
      <c r="Q50" s="48">
        <f>累计考核费用!R125/10000</f>
        <v>18.724384000000001</v>
      </c>
      <c r="R50" s="48">
        <f>累计考核费用!S125/10000</f>
        <v>18.562929999999998</v>
      </c>
      <c r="S50" s="48">
        <f>累计考核费用!T125/10000</f>
        <v>710.09557300000006</v>
      </c>
      <c r="T50" s="48">
        <f>累计考核费用!U125/10000</f>
        <v>70.667621999999994</v>
      </c>
      <c r="U50" s="48">
        <f>累计考核费用!V125/10000</f>
        <v>472.526118</v>
      </c>
      <c r="V50" s="48">
        <f>累计考核费用!W125/10000</f>
        <v>131.47493400000002</v>
      </c>
      <c r="W50" s="48">
        <f>累计考核费用!X125/10000</f>
        <v>7.4311289999999994</v>
      </c>
      <c r="X50" s="48">
        <f>累计考核费用!Y125/10000</f>
        <v>23.389002999999999</v>
      </c>
      <c r="Y50" s="48">
        <f>累计考核费用!Z125/10000</f>
        <v>1.4</v>
      </c>
      <c r="Z50" s="48">
        <f>累计考核费用!AA125/10000</f>
        <v>3.2067669999999997</v>
      </c>
      <c r="AA50" s="48">
        <f>累计考核费用!AB125/10000</f>
        <v>30.879940999999999</v>
      </c>
      <c r="AB50" s="48">
        <f>累计考核费用!AC125/10000</f>
        <v>15.459910000000001</v>
      </c>
      <c r="AC50" s="48">
        <f>累计考核费用!AD125/10000</f>
        <v>0</v>
      </c>
      <c r="AD50" s="48">
        <f>累计考核费用!AE125/10000</f>
        <v>0</v>
      </c>
      <c r="AE50" s="48"/>
    </row>
    <row r="51" spans="1:31" s="2" customFormat="1">
      <c r="A51" s="47" t="s">
        <v>108</v>
      </c>
      <c r="B51" s="48">
        <f>累计考核费用!C126/10000</f>
        <v>1337.0911699999999</v>
      </c>
      <c r="C51" s="48">
        <f>累计考核费用!D126/10000</f>
        <v>0</v>
      </c>
      <c r="D51" s="48">
        <f>累计考核费用!E126/10000</f>
        <v>174.57424799999993</v>
      </c>
      <c r="E51" s="48">
        <f>累计考核费用!F126/10000</f>
        <v>263.70385499999998</v>
      </c>
      <c r="F51" s="48">
        <f>累计考核费用!G126/10000</f>
        <v>59.383497999999996</v>
      </c>
      <c r="G51" s="48">
        <f>累计考核费用!H126/10000</f>
        <v>12.685404</v>
      </c>
      <c r="H51" s="48">
        <f>累计考核费用!I126/10000</f>
        <v>18.36975</v>
      </c>
      <c r="I51" s="48">
        <f>累计考核费用!J126/10000</f>
        <v>6.2875869999999994</v>
      </c>
      <c r="J51" s="48">
        <f>累计考核费用!K126/10000</f>
        <v>22.040756999999999</v>
      </c>
      <c r="K51" s="48">
        <f>累计考核费用!L126/10000</f>
        <v>94.835645000000014</v>
      </c>
      <c r="L51" s="48">
        <f>累计考核费用!M126/10000</f>
        <v>9.7717969999999994</v>
      </c>
      <c r="M51" s="48">
        <f>累计考核费用!N126/10000</f>
        <v>9.1273680000000006</v>
      </c>
      <c r="N51" s="48">
        <f>累计考核费用!O126/10000</f>
        <v>11.485618000000001</v>
      </c>
      <c r="O51" s="48">
        <f>累计考核费用!P126/10000</f>
        <v>12.218973999999999</v>
      </c>
      <c r="P51" s="48">
        <f>累计考核费用!Q126/10000</f>
        <v>18.519353000000002</v>
      </c>
      <c r="Q51" s="48">
        <f>累计考核费用!R126/10000</f>
        <v>16.147117000000001</v>
      </c>
      <c r="R51" s="48">
        <f>累计考核费用!S126/10000</f>
        <v>17.565418000000001</v>
      </c>
      <c r="S51" s="48">
        <f>累计考核费用!T126/10000</f>
        <v>698.34833999999989</v>
      </c>
      <c r="T51" s="48">
        <f>累计考核费用!U126/10000</f>
        <v>82.316199999999995</v>
      </c>
      <c r="U51" s="48">
        <f>累计考核费用!V126/10000</f>
        <v>422.68191399999995</v>
      </c>
      <c r="V51" s="48">
        <f>累计考核费用!W126/10000</f>
        <v>119.25931799999996</v>
      </c>
      <c r="W51" s="48">
        <f>累计考核费用!X126/10000</f>
        <v>7.5941880000000008</v>
      </c>
      <c r="X51" s="48">
        <f>累计考核费用!Y126/10000</f>
        <v>54.453693000000008</v>
      </c>
      <c r="Y51" s="48">
        <f>累计考核费用!Z126/10000</f>
        <v>4.667719</v>
      </c>
      <c r="Z51" s="48">
        <f>累计考核费用!AA126/10000</f>
        <v>7.3753080000000004</v>
      </c>
      <c r="AA51" s="48">
        <f>累计考核费用!AB126/10000</f>
        <v>41.400973999999998</v>
      </c>
      <c r="AB51" s="48">
        <f>累计考核费用!AC126/10000</f>
        <v>4.8446099999999994</v>
      </c>
      <c r="AC51" s="48">
        <f>累计考核费用!AD126/10000</f>
        <v>0</v>
      </c>
      <c r="AD51" s="48">
        <f>累计考核费用!AE126/10000</f>
        <v>0</v>
      </c>
      <c r="AE51" s="48"/>
    </row>
    <row r="52" spans="1:31" s="2" customFormat="1">
      <c r="A52" s="47" t="s">
        <v>109</v>
      </c>
      <c r="B52" s="48">
        <f>累计考核费用!C127/10000</f>
        <v>472.01760700000005</v>
      </c>
      <c r="C52" s="48">
        <f>累计考核费用!D127/10000</f>
        <v>0</v>
      </c>
      <c r="D52" s="48">
        <f>累计考核费用!E127/10000</f>
        <v>135.31886000000006</v>
      </c>
      <c r="E52" s="48">
        <f>累计考核费用!F127/10000</f>
        <v>188.031881</v>
      </c>
      <c r="F52" s="48">
        <f>累计考核费用!G127/10000</f>
        <v>20.742805000000001</v>
      </c>
      <c r="G52" s="48">
        <f>累计考核费用!H127/10000</f>
        <v>9.9448430000000005</v>
      </c>
      <c r="H52" s="48">
        <f>累计考核费用!I127/10000</f>
        <v>9.2590000000000003</v>
      </c>
      <c r="I52" s="48">
        <f>累计考核费用!J127/10000</f>
        <v>0.64694200000000002</v>
      </c>
      <c r="J52" s="48">
        <f>累计考核费用!K127/10000</f>
        <v>0.89202000000000004</v>
      </c>
      <c r="K52" s="48">
        <f>累计考核费用!L127/10000</f>
        <v>6.8596170000000001</v>
      </c>
      <c r="L52" s="48">
        <f>累计考核费用!M127/10000</f>
        <v>0.54449800000000004</v>
      </c>
      <c r="M52" s="48">
        <f>累计考核费用!N127/10000</f>
        <v>1.016257</v>
      </c>
      <c r="N52" s="48">
        <f>累计考核费用!O127/10000</f>
        <v>0.43049699999999991</v>
      </c>
      <c r="O52" s="48">
        <f>累计考核费用!P127/10000</f>
        <v>1.4859980000000002</v>
      </c>
      <c r="P52" s="48">
        <f>累计考核费用!Q127/10000</f>
        <v>0.88151000000000002</v>
      </c>
      <c r="Q52" s="48">
        <f>累计考核费用!R127/10000</f>
        <v>2.4455559999999998</v>
      </c>
      <c r="R52" s="48">
        <f>累计考核费用!S127/10000</f>
        <v>5.5300999999999934E-2</v>
      </c>
      <c r="S52" s="48">
        <f>累计考核费用!T127/10000</f>
        <v>110.053607</v>
      </c>
      <c r="T52" s="48">
        <f>累计考核费用!U127/10000</f>
        <v>16.175425000000004</v>
      </c>
      <c r="U52" s="48">
        <f>累计考核费用!V127/10000</f>
        <v>69.594971999999999</v>
      </c>
      <c r="V52" s="48">
        <f>累计考核费用!W127/10000</f>
        <v>23.680458999999999</v>
      </c>
      <c r="W52" s="48">
        <f>累计考核费用!X127/10000</f>
        <v>0</v>
      </c>
      <c r="X52" s="48">
        <f>累计考核费用!Y127/10000</f>
        <v>0.54171100000000005</v>
      </c>
      <c r="Y52" s="48">
        <f>累计考核费用!Z127/10000</f>
        <v>6.1039999999999997E-2</v>
      </c>
      <c r="Z52" s="48">
        <f>累计考核费用!AA127/10000</f>
        <v>0</v>
      </c>
      <c r="AA52" s="48">
        <f>累计考核费用!AB127/10000</f>
        <v>8.9410150000000002</v>
      </c>
      <c r="AB52" s="48">
        <f>累计考核费用!AC127/10000</f>
        <v>2.0698220000000003</v>
      </c>
      <c r="AC52" s="48">
        <f>累计考核费用!AD127/10000</f>
        <v>0</v>
      </c>
      <c r="AD52" s="48">
        <f>累计考核费用!AE127/10000</f>
        <v>0</v>
      </c>
      <c r="AE52" s="48"/>
    </row>
    <row r="53" spans="1:31" s="2" customFormat="1">
      <c r="A53" s="47" t="s">
        <v>110</v>
      </c>
      <c r="B53" s="48">
        <f>累计考核费用!C128/10000</f>
        <v>207.36495399999995</v>
      </c>
      <c r="C53" s="48">
        <f>累计考核费用!D128/10000</f>
        <v>0</v>
      </c>
      <c r="D53" s="48">
        <f>累计考核费用!E128/10000</f>
        <v>38.251106999999969</v>
      </c>
      <c r="E53" s="48">
        <f>累计考核费用!F128/10000</f>
        <v>102.15832599999999</v>
      </c>
      <c r="F53" s="48">
        <f>累计考核费用!G128/10000</f>
        <v>8.276275</v>
      </c>
      <c r="G53" s="48">
        <f>累计考核费用!H128/10000</f>
        <v>5.932157000000001</v>
      </c>
      <c r="H53" s="48">
        <f>累计考核费用!I128/10000</f>
        <v>1.3033370000000002</v>
      </c>
      <c r="I53" s="48">
        <f>累计考核费用!J128/10000</f>
        <v>0.61270100000000005</v>
      </c>
      <c r="J53" s="48">
        <f>累计考核费用!K128/10000</f>
        <v>0.42807999999999991</v>
      </c>
      <c r="K53" s="48">
        <f>累计考核费用!L128/10000</f>
        <v>2.3942170000000003</v>
      </c>
      <c r="L53" s="48">
        <f>累计考核费用!M128/10000</f>
        <v>0.24663100000000004</v>
      </c>
      <c r="M53" s="48">
        <f>累计考核费用!N128/10000</f>
        <v>0.42653199999999997</v>
      </c>
      <c r="N53" s="48">
        <f>累计考核费用!O128/10000</f>
        <v>0.24663199999999996</v>
      </c>
      <c r="O53" s="48">
        <f>累计考核费用!P128/10000</f>
        <v>3.2744999999999996E-2</v>
      </c>
      <c r="P53" s="48">
        <f>累计考核费用!Q128/10000</f>
        <v>7.1975999999999998E-2</v>
      </c>
      <c r="Q53" s="48">
        <f>累计考核费用!R128/10000</f>
        <v>0.60196500000000008</v>
      </c>
      <c r="R53" s="48">
        <f>累计考核费用!S128/10000</f>
        <v>0.76773599999999997</v>
      </c>
      <c r="S53" s="48">
        <f>累计考核费用!T128/10000</f>
        <v>50.863825000000013</v>
      </c>
      <c r="T53" s="48">
        <f>累计考核费用!U128/10000</f>
        <v>5.5195069999999991</v>
      </c>
      <c r="U53" s="48">
        <f>累计考核费用!V128/10000</f>
        <v>31.455201000000006</v>
      </c>
      <c r="V53" s="48">
        <f>累计考核费用!W128/10000</f>
        <v>13.889117000000001</v>
      </c>
      <c r="W53" s="48">
        <f>累计考核费用!X128/10000</f>
        <v>0</v>
      </c>
      <c r="X53" s="48">
        <f>累计考核费用!Y128/10000</f>
        <v>0</v>
      </c>
      <c r="Y53" s="48">
        <f>累计考核费用!Z128/10000</f>
        <v>0</v>
      </c>
      <c r="Z53" s="48">
        <f>累计考核费用!AA128/10000</f>
        <v>0</v>
      </c>
      <c r="AA53" s="48">
        <f>累计考核费用!AB128/10000</f>
        <v>3.9456479999999994</v>
      </c>
      <c r="AB53" s="48">
        <f>累计考核费用!AC128/10000</f>
        <v>1.4755559999999999</v>
      </c>
      <c r="AC53" s="48">
        <f>累计考核费用!AD128/10000</f>
        <v>0</v>
      </c>
      <c r="AD53" s="48">
        <f>累计考核费用!AE128/10000</f>
        <v>0</v>
      </c>
      <c r="AE53" s="48"/>
    </row>
    <row r="54" spans="1:31" s="2" customFormat="1">
      <c r="A54" s="47" t="s">
        <v>111</v>
      </c>
      <c r="B54" s="48">
        <f>累计考核费用!C129/10000</f>
        <v>401.68240199999997</v>
      </c>
      <c r="C54" s="48">
        <f>累计考核费用!D129/10000</f>
        <v>878.90566199999989</v>
      </c>
      <c r="D54" s="48">
        <f>累计考核费用!E129/10000</f>
        <v>214.91362600000002</v>
      </c>
      <c r="E54" s="48">
        <f>累计考核费用!F129/10000</f>
        <v>-692.41296299999988</v>
      </c>
      <c r="F54" s="48">
        <f>累计考核费用!G129/10000</f>
        <v>1.1320999999999999E-2</v>
      </c>
      <c r="G54" s="48">
        <f>累计考核费用!H129/10000</f>
        <v>1.1320999999999999E-2</v>
      </c>
      <c r="H54" s="48">
        <f>累计考核费用!I129/10000</f>
        <v>0</v>
      </c>
      <c r="I54" s="48">
        <f>累计考核费用!J129/10000</f>
        <v>0</v>
      </c>
      <c r="J54" s="48">
        <f>累计考核费用!K129/10000</f>
        <v>0</v>
      </c>
      <c r="K54" s="48">
        <f>累计考核费用!L129/10000</f>
        <v>0.11396299999999999</v>
      </c>
      <c r="L54" s="48">
        <f>累计考核费用!M129/10000</f>
        <v>0</v>
      </c>
      <c r="M54" s="48">
        <f>累计考核费用!N129/10000</f>
        <v>0</v>
      </c>
      <c r="N54" s="48">
        <f>累计考核费用!O129/10000</f>
        <v>0</v>
      </c>
      <c r="O54" s="48">
        <f>累计考核费用!P129/10000</f>
        <v>7.5500000000000003E-4</v>
      </c>
      <c r="P54" s="48">
        <f>累计考核费用!Q129/10000</f>
        <v>0</v>
      </c>
      <c r="Q54" s="48">
        <f>累计考核费用!R129/10000</f>
        <v>0</v>
      </c>
      <c r="R54" s="48">
        <f>累计考核费用!S129/10000</f>
        <v>0.11320799999999999</v>
      </c>
      <c r="S54" s="48">
        <f>累计考核费用!T129/10000</f>
        <v>0.101132</v>
      </c>
      <c r="T54" s="48">
        <f>累计考核费用!U129/10000</f>
        <v>3.3961999999999999E-2</v>
      </c>
      <c r="U54" s="48">
        <f>累计考核费用!V129/10000</f>
        <v>3.8491000000000004E-2</v>
      </c>
      <c r="V54" s="48">
        <f>累计考核费用!W129/10000</f>
        <v>2.8679000000000003E-2</v>
      </c>
      <c r="W54" s="48">
        <f>累计考核费用!X129/10000</f>
        <v>0</v>
      </c>
      <c r="X54" s="48">
        <f>累计考核费用!Y129/10000</f>
        <v>0</v>
      </c>
      <c r="Y54" s="48">
        <f>累计考核费用!Z129/10000</f>
        <v>0</v>
      </c>
      <c r="Z54" s="48">
        <f>累计考核费用!AA129/10000</f>
        <v>0</v>
      </c>
      <c r="AA54" s="48">
        <f>累计考核费用!AB129/10000</f>
        <v>1.1320999999999999E-2</v>
      </c>
      <c r="AB54" s="48">
        <f>累计考核费用!AC129/10000</f>
        <v>3.8339999999999999E-2</v>
      </c>
      <c r="AC54" s="48">
        <f>累计考核费用!AD129/10000</f>
        <v>0</v>
      </c>
      <c r="AD54" s="48">
        <f>累计考核费用!AE129/10000</f>
        <v>0</v>
      </c>
      <c r="AE54" s="48"/>
    </row>
    <row r="55" spans="1:31" s="2" customFormat="1">
      <c r="A55" s="47" t="s">
        <v>112</v>
      </c>
      <c r="B55" s="48">
        <f>累计考核费用!C130/10000</f>
        <v>336.65278400000005</v>
      </c>
      <c r="C55" s="48">
        <f>累计考核费用!D130/10000</f>
        <v>81.553398000000001</v>
      </c>
      <c r="D55" s="48">
        <f>累计考核费用!E130/10000</f>
        <v>97.677696999999995</v>
      </c>
      <c r="E55" s="48">
        <f>累计考核费用!F130/10000</f>
        <v>116.222154</v>
      </c>
      <c r="F55" s="48">
        <f>累计考核费用!G130/10000</f>
        <v>7.0534189999999946</v>
      </c>
      <c r="G55" s="48">
        <f>累计考核费用!H130/10000</f>
        <v>0.72960000000000003</v>
      </c>
      <c r="H55" s="48">
        <f>累计考核费用!I130/10000</f>
        <v>3.2579020000000001</v>
      </c>
      <c r="I55" s="48">
        <f>累计考核费用!J130/10000</f>
        <v>0</v>
      </c>
      <c r="J55" s="48">
        <f>累计考核费用!K130/10000</f>
        <v>3.0659170000000042</v>
      </c>
      <c r="K55" s="48">
        <f>累计考核费用!L130/10000</f>
        <v>12.284796</v>
      </c>
      <c r="L55" s="48">
        <f>累计考核费用!M130/10000</f>
        <v>2.917573</v>
      </c>
      <c r="M55" s="48">
        <f>累计考核费用!N130/10000</f>
        <v>2.9175739999999997</v>
      </c>
      <c r="N55" s="48">
        <f>累计考核费用!O130/10000</f>
        <v>1.4583740000000001</v>
      </c>
      <c r="O55" s="48">
        <f>累计考核费用!P130/10000</f>
        <v>3.0515919999999999</v>
      </c>
      <c r="P55" s="48">
        <f>累计考核费用!Q130/10000</f>
        <v>1.1044229999999999</v>
      </c>
      <c r="Q55" s="48">
        <f>累计考核费用!R130/10000</f>
        <v>0.47046000000000004</v>
      </c>
      <c r="R55" s="48">
        <f>累计考核费用!S130/10000</f>
        <v>0.36480000000000001</v>
      </c>
      <c r="S55" s="48">
        <f>累计考核费用!T130/10000</f>
        <v>21.131720000000001</v>
      </c>
      <c r="T55" s="48">
        <f>累计考核费用!U130/10000</f>
        <v>19.672520000000002</v>
      </c>
      <c r="U55" s="48">
        <f>累计考核费用!V130/10000</f>
        <v>0.72960000000000003</v>
      </c>
      <c r="V55" s="48">
        <f>累计考核费用!W130/10000</f>
        <v>0.72960000000000003</v>
      </c>
      <c r="W55" s="48">
        <f>累计考核费用!X130/10000</f>
        <v>0</v>
      </c>
      <c r="X55" s="48">
        <f>累计考核费用!Y130/10000</f>
        <v>0</v>
      </c>
      <c r="Y55" s="48">
        <f>累计考核费用!Z130/10000</f>
        <v>0</v>
      </c>
      <c r="Z55" s="48">
        <f>累计考核费用!AA130/10000</f>
        <v>0</v>
      </c>
      <c r="AA55" s="48">
        <f>累计考核费用!AB130/10000</f>
        <v>0.72960000000000003</v>
      </c>
      <c r="AB55" s="48">
        <f>累计考核费用!AC130/10000</f>
        <v>0</v>
      </c>
      <c r="AC55" s="48">
        <f>累计考核费用!AD130/10000</f>
        <v>0</v>
      </c>
      <c r="AD55" s="48">
        <f>累计考核费用!AE130/10000</f>
        <v>0</v>
      </c>
      <c r="AE55" s="48"/>
    </row>
    <row r="56" spans="1:31" s="2" customFormat="1">
      <c r="A56" s="47" t="s">
        <v>113</v>
      </c>
      <c r="B56" s="48">
        <f>累计考核费用!C131/10000</f>
        <v>233.15265499999998</v>
      </c>
      <c r="C56" s="48">
        <f>累计考核费用!D131/10000</f>
        <v>0</v>
      </c>
      <c r="D56" s="48">
        <f>累计考核费用!E131/10000</f>
        <v>124.37363299999998</v>
      </c>
      <c r="E56" s="48">
        <f>累计考核费用!F131/10000</f>
        <v>70.387223000000006</v>
      </c>
      <c r="F56" s="48">
        <f>累计考核费用!G131/10000</f>
        <v>0</v>
      </c>
      <c r="G56" s="48">
        <f>累计考核费用!H131/10000</f>
        <v>0</v>
      </c>
      <c r="H56" s="48">
        <f>累计考核费用!I131/10000</f>
        <v>0</v>
      </c>
      <c r="I56" s="48">
        <f>累计考核费用!J131/10000</f>
        <v>0</v>
      </c>
      <c r="J56" s="48">
        <f>累计考核费用!K131/10000</f>
        <v>0</v>
      </c>
      <c r="K56" s="48">
        <f>累计考核费用!L131/10000</f>
        <v>3.2038839999999995</v>
      </c>
      <c r="L56" s="48">
        <f>累计考核费用!M131/10000</f>
        <v>0.97087400000000001</v>
      </c>
      <c r="M56" s="48">
        <f>累计考核费用!N131/10000</f>
        <v>1.9730099999999999</v>
      </c>
      <c r="N56" s="48">
        <f>累计考核费用!O131/10000</f>
        <v>0.26</v>
      </c>
      <c r="O56" s="48">
        <f>累计考核费用!P131/10000</f>
        <v>0</v>
      </c>
      <c r="P56" s="48">
        <f>累计考核费用!Q131/10000</f>
        <v>0</v>
      </c>
      <c r="Q56" s="48">
        <f>累计考核费用!R131/10000</f>
        <v>0</v>
      </c>
      <c r="R56" s="48">
        <f>累计考核费用!S131/10000</f>
        <v>0</v>
      </c>
      <c r="S56" s="48">
        <f>累计考核费用!T131/10000</f>
        <v>31.457414</v>
      </c>
      <c r="T56" s="48">
        <f>累计考核费用!U131/10000</f>
        <v>7.117794</v>
      </c>
      <c r="U56" s="48">
        <f>累计考核费用!V131/10000</f>
        <v>17.807935999999998</v>
      </c>
      <c r="V56" s="48">
        <f>累计考核费用!W131/10000</f>
        <v>6.5316840000000003</v>
      </c>
      <c r="W56" s="48">
        <f>累计考核费用!X131/10000</f>
        <v>0</v>
      </c>
      <c r="X56" s="48">
        <f>累计考核费用!Y131/10000</f>
        <v>0</v>
      </c>
      <c r="Y56" s="48">
        <f>累计考核费用!Z131/10000</f>
        <v>0</v>
      </c>
      <c r="Z56" s="48">
        <f>累计考核费用!AA131/10000</f>
        <v>0</v>
      </c>
      <c r="AA56" s="48">
        <f>累计考核费用!AB131/10000</f>
        <v>3.4773510000000001</v>
      </c>
      <c r="AB56" s="48">
        <f>累计考核费用!AC131/10000</f>
        <v>0.25314999999999999</v>
      </c>
      <c r="AC56" s="48">
        <f>累计考核费用!AD131/10000</f>
        <v>0</v>
      </c>
      <c r="AD56" s="48">
        <f>累计考核费用!AE131/10000</f>
        <v>0</v>
      </c>
      <c r="AE56" s="48"/>
    </row>
    <row r="57" spans="1:31" s="2" customFormat="1">
      <c r="A57" s="47" t="s">
        <v>114</v>
      </c>
      <c r="B57" s="48">
        <f>累计考核费用!C132/10000</f>
        <v>88.170083000000005</v>
      </c>
      <c r="C57" s="48">
        <f>累计考核费用!D132/10000</f>
        <v>0</v>
      </c>
      <c r="D57" s="48">
        <f>累计考核费用!E132/10000</f>
        <v>11.782504999999997</v>
      </c>
      <c r="E57" s="48">
        <f>累计考核费用!F132/10000</f>
        <v>40.792749000000008</v>
      </c>
      <c r="F57" s="48">
        <f>累计考核费用!G132/10000</f>
        <v>2.0125599999999997</v>
      </c>
      <c r="G57" s="48">
        <f>累计考核费用!H132/10000</f>
        <v>1.57935</v>
      </c>
      <c r="H57" s="48">
        <f>累计考核费用!I132/10000</f>
        <v>0.11300999999999999</v>
      </c>
      <c r="I57" s="48">
        <f>累计考核费用!J132/10000</f>
        <v>4.53E-2</v>
      </c>
      <c r="J57" s="48">
        <f>累计考核费用!K132/10000</f>
        <v>0.27489999999999998</v>
      </c>
      <c r="K57" s="48">
        <f>累计考核费用!L132/10000</f>
        <v>1.8398489999999998</v>
      </c>
      <c r="L57" s="48">
        <f>累计考核费用!M132/10000</f>
        <v>0.169434</v>
      </c>
      <c r="M57" s="48">
        <f>累计考核费用!N132/10000</f>
        <v>0.246033</v>
      </c>
      <c r="N57" s="48">
        <f>累计考核费用!O132/10000</f>
        <v>0.156333</v>
      </c>
      <c r="O57" s="48">
        <f>累计考核费用!P132/10000</f>
        <v>0.23050799999999999</v>
      </c>
      <c r="P57" s="48">
        <f>累计考核费用!Q132/10000</f>
        <v>0.1643</v>
      </c>
      <c r="Q57" s="48">
        <f>累计考核费用!R132/10000</f>
        <v>0.1386</v>
      </c>
      <c r="R57" s="48">
        <f>累计考核费用!S132/10000</f>
        <v>0.73464099999999999</v>
      </c>
      <c r="S57" s="48">
        <f>累计考核费用!T132/10000</f>
        <v>28.170089999999995</v>
      </c>
      <c r="T57" s="48">
        <f>累计考核费用!U132/10000</f>
        <v>1.4953050000000001</v>
      </c>
      <c r="U57" s="48">
        <f>累计考核费用!V132/10000</f>
        <v>20.110333999999998</v>
      </c>
      <c r="V57" s="48">
        <f>累计考核费用!W132/10000</f>
        <v>5.5868099999999998</v>
      </c>
      <c r="W57" s="48">
        <f>累计考核费用!X132/10000</f>
        <v>8.1799999999999998E-2</v>
      </c>
      <c r="X57" s="48">
        <f>累计考核费用!Y132/10000</f>
        <v>0.66211600000000004</v>
      </c>
      <c r="Y57" s="48">
        <f>累计考核费用!Z132/10000</f>
        <v>0.23372499999999999</v>
      </c>
      <c r="Z57" s="48">
        <f>累计考核费用!AA132/10000</f>
        <v>0</v>
      </c>
      <c r="AA57" s="48">
        <f>累计考核费用!AB132/10000</f>
        <v>3.3987379999999998</v>
      </c>
      <c r="AB57" s="48">
        <f>累计考核费用!AC132/10000</f>
        <v>0.173592</v>
      </c>
      <c r="AC57" s="48">
        <f>累计考核费用!AD132/10000</f>
        <v>0</v>
      </c>
      <c r="AD57" s="48">
        <f>累计考核费用!AE132/10000</f>
        <v>0</v>
      </c>
      <c r="AE57" s="48"/>
    </row>
    <row r="58" spans="1:31" s="2" customFormat="1">
      <c r="A58" s="47" t="s">
        <v>115</v>
      </c>
      <c r="B58" s="48">
        <f>累计考核费用!C133/10000</f>
        <v>20.804432000000002</v>
      </c>
      <c r="C58" s="48">
        <f>累计考核费用!D133/10000</f>
        <v>0</v>
      </c>
      <c r="D58" s="48">
        <f>累计考核费用!E133/10000</f>
        <v>3.2240900000000017</v>
      </c>
      <c r="E58" s="48">
        <f>累计考核费用!F133/10000</f>
        <v>15.461093</v>
      </c>
      <c r="F58" s="48">
        <f>累计考核费用!G133/10000</f>
        <v>0.46774400000000005</v>
      </c>
      <c r="G58" s="48">
        <f>累计考核费用!H133/10000</f>
        <v>0.17052500000000001</v>
      </c>
      <c r="H58" s="48">
        <f>累计考核费用!I133/10000</f>
        <v>0.116675</v>
      </c>
      <c r="I58" s="48">
        <f>累计考核费用!J133/10000</f>
        <v>7.9799999999999996E-2</v>
      </c>
      <c r="J58" s="48">
        <f>累计考核费用!K133/10000</f>
        <v>0.100744</v>
      </c>
      <c r="K58" s="48">
        <f>累计考核费用!L133/10000</f>
        <v>0.720638</v>
      </c>
      <c r="L58" s="48">
        <f>累计考核费用!M133/10000</f>
        <v>2.9065999999999998E-2</v>
      </c>
      <c r="M58" s="48">
        <f>累计考核费用!N133/10000</f>
        <v>2.9067000000000003E-2</v>
      </c>
      <c r="N58" s="48">
        <f>累计考核费用!O133/10000</f>
        <v>2.9067000000000003E-2</v>
      </c>
      <c r="O58" s="48">
        <f>累计考核费用!P133/10000</f>
        <v>0.19308</v>
      </c>
      <c r="P58" s="48">
        <f>累计考核费用!Q133/10000</f>
        <v>3.9050000000000001E-2</v>
      </c>
      <c r="Q58" s="48">
        <f>累计考核费用!R133/10000</f>
        <v>1.324E-2</v>
      </c>
      <c r="R58" s="48">
        <f>累计考核费用!S133/10000</f>
        <v>0.38806799999999997</v>
      </c>
      <c r="S58" s="48">
        <f>累计考核费用!T133/10000</f>
        <v>0.70286699999999991</v>
      </c>
      <c r="T58" s="48">
        <f>累计考核费用!U133/10000</f>
        <v>6.6314999999999999E-2</v>
      </c>
      <c r="U58" s="48">
        <f>累计考核费用!V133/10000</f>
        <v>0.374</v>
      </c>
      <c r="V58" s="48">
        <f>累计考核费用!W133/10000</f>
        <v>0.169682</v>
      </c>
      <c r="W58" s="48">
        <f>累计考核费用!X133/10000</f>
        <v>3.9800000000000002E-2</v>
      </c>
      <c r="X58" s="48">
        <f>累计考核费用!Y133/10000</f>
        <v>5.3070000000000006E-2</v>
      </c>
      <c r="Y58" s="48">
        <f>累计考核费用!Z133/10000</f>
        <v>0</v>
      </c>
      <c r="Z58" s="48">
        <f>累计考核费用!AA133/10000</f>
        <v>0</v>
      </c>
      <c r="AA58" s="48">
        <f>累计考核费用!AB133/10000</f>
        <v>8.4000000000000005E-2</v>
      </c>
      <c r="AB58" s="48">
        <f>累计考核费用!AC133/10000</f>
        <v>0.14399999999999999</v>
      </c>
      <c r="AC58" s="48">
        <f>累计考核费用!AD133/10000</f>
        <v>0</v>
      </c>
      <c r="AD58" s="48">
        <f>累计考核费用!AE133/10000</f>
        <v>0</v>
      </c>
      <c r="AE58" s="48"/>
    </row>
    <row r="59" spans="1:31" s="2" customFormat="1">
      <c r="A59" s="47" t="s">
        <v>116</v>
      </c>
      <c r="B59" s="48">
        <f>累计考核费用!C134/10000</f>
        <v>71.574651999999986</v>
      </c>
      <c r="C59" s="48">
        <f>累计考核费用!D134/10000</f>
        <v>0</v>
      </c>
      <c r="D59" s="48">
        <f>累计考核费用!E134/10000</f>
        <v>17.065543999999992</v>
      </c>
      <c r="E59" s="48">
        <f>累计考核费用!F134/10000</f>
        <v>30.563649999999999</v>
      </c>
      <c r="F59" s="48">
        <f>累计考核费用!G134/10000</f>
        <v>4.1060419999999995</v>
      </c>
      <c r="G59" s="48">
        <f>累计考核费用!H134/10000</f>
        <v>0.91894399999999987</v>
      </c>
      <c r="H59" s="48">
        <f>累计考核费用!I134/10000</f>
        <v>0.243529</v>
      </c>
      <c r="I59" s="48">
        <f>累计考核费用!J134/10000</f>
        <v>0.18362599999999998</v>
      </c>
      <c r="J59" s="48">
        <f>累计考核费用!K134/10000</f>
        <v>2.7599429999999998</v>
      </c>
      <c r="K59" s="48">
        <f>累计考核费用!L134/10000</f>
        <v>6.0344149999999983</v>
      </c>
      <c r="L59" s="48">
        <f>累计考核费用!M134/10000</f>
        <v>0.26711200000000002</v>
      </c>
      <c r="M59" s="48">
        <f>累计考核费用!N134/10000</f>
        <v>0.39458899999999997</v>
      </c>
      <c r="N59" s="48">
        <f>累计考核费用!O134/10000</f>
        <v>0.35391600000000001</v>
      </c>
      <c r="O59" s="48">
        <f>累计考核费用!P134/10000</f>
        <v>0.37126099999999995</v>
      </c>
      <c r="P59" s="48">
        <f>累计考核费用!Q134/10000</f>
        <v>0.56984000000000001</v>
      </c>
      <c r="Q59" s="48">
        <f>累计考核费用!R134/10000</f>
        <v>3.1129949999999993</v>
      </c>
      <c r="R59" s="48">
        <f>累计考核费用!S134/10000</f>
        <v>0.96470199999999984</v>
      </c>
      <c r="S59" s="48">
        <f>累计考核费用!T134/10000</f>
        <v>12.479839</v>
      </c>
      <c r="T59" s="48">
        <f>累计考核费用!U134/10000</f>
        <v>5.5715660000000007</v>
      </c>
      <c r="U59" s="48">
        <f>累计考核费用!V134/10000</f>
        <v>3.6723270000000006</v>
      </c>
      <c r="V59" s="48">
        <f>累计考核费用!W134/10000</f>
        <v>2.7082879999999996</v>
      </c>
      <c r="W59" s="48">
        <f>累计考核费用!X134/10000</f>
        <v>0.34715799999999997</v>
      </c>
      <c r="X59" s="48">
        <f>累计考核费用!Y134/10000</f>
        <v>0</v>
      </c>
      <c r="Y59" s="48">
        <f>累计考核费用!Z134/10000</f>
        <v>0.18049999999999999</v>
      </c>
      <c r="Z59" s="48">
        <f>累计考核费用!AA134/10000</f>
        <v>0</v>
      </c>
      <c r="AA59" s="48">
        <f>累计考核费用!AB134/10000</f>
        <v>1.101164</v>
      </c>
      <c r="AB59" s="48">
        <f>累计考核费用!AC134/10000</f>
        <v>0.223998</v>
      </c>
      <c r="AC59" s="48">
        <f>累计考核费用!AD134/10000</f>
        <v>0</v>
      </c>
      <c r="AD59" s="48">
        <f>累计考核费用!AE134/10000</f>
        <v>0</v>
      </c>
      <c r="AE59" s="48"/>
    </row>
    <row r="60" spans="1:31" s="2" customFormat="1">
      <c r="A60" s="47" t="s">
        <v>117</v>
      </c>
      <c r="B60" s="48">
        <f>累计考核费用!C135/10000</f>
        <v>226.06580999999997</v>
      </c>
      <c r="C60" s="48">
        <f>累计考核费用!D135/10000</f>
        <v>0</v>
      </c>
      <c r="D60" s="48">
        <f>累计考核费用!E135/10000</f>
        <v>79.523568999999966</v>
      </c>
      <c r="E60" s="48">
        <f>累计考核费用!F135/10000</f>
        <v>122.785242</v>
      </c>
      <c r="F60" s="48">
        <f>累计考核费用!G135/10000</f>
        <v>5.2241629999999999</v>
      </c>
      <c r="G60" s="48">
        <f>累计考核费用!H135/10000</f>
        <v>1.5933999999999999</v>
      </c>
      <c r="H60" s="48">
        <f>累计考核费用!I135/10000</f>
        <v>3.1193</v>
      </c>
      <c r="I60" s="48">
        <f>累计考核费用!J135/10000</f>
        <v>0.511463</v>
      </c>
      <c r="J60" s="48">
        <f>累计考核费用!K135/10000</f>
        <v>0</v>
      </c>
      <c r="K60" s="48">
        <f>累计考核费用!L135/10000</f>
        <v>15.645168000000002</v>
      </c>
      <c r="L60" s="48">
        <f>累计考核费用!M135/10000</f>
        <v>0.511463</v>
      </c>
      <c r="M60" s="48">
        <f>累计考核费用!N135/10000</f>
        <v>1.5703630000000002</v>
      </c>
      <c r="N60" s="48">
        <f>累计考核费用!O135/10000</f>
        <v>0.511463</v>
      </c>
      <c r="O60" s="48">
        <f>累计考核费用!P135/10000</f>
        <v>0</v>
      </c>
      <c r="P60" s="48">
        <f>累计考核费用!Q135/10000</f>
        <v>0</v>
      </c>
      <c r="Q60" s="48">
        <f>累计考核费用!R135/10000</f>
        <v>0</v>
      </c>
      <c r="R60" s="48">
        <f>累计考核费用!S135/10000</f>
        <v>13.051879000000001</v>
      </c>
      <c r="S60" s="48">
        <f>累计考核费用!T135/10000</f>
        <v>0.57110000000000005</v>
      </c>
      <c r="T60" s="48">
        <f>累计考核费用!U135/10000</f>
        <v>0</v>
      </c>
      <c r="U60" s="48">
        <f>累计考核费用!V135/10000</f>
        <v>0.1857</v>
      </c>
      <c r="V60" s="48">
        <f>累计考核费用!W135/10000</f>
        <v>0.38540000000000002</v>
      </c>
      <c r="W60" s="48">
        <f>累计考核费用!X135/10000</f>
        <v>0</v>
      </c>
      <c r="X60" s="48">
        <f>累计考核费用!Y135/10000</f>
        <v>0</v>
      </c>
      <c r="Y60" s="48">
        <f>累计考核费用!Z135/10000</f>
        <v>0</v>
      </c>
      <c r="Z60" s="48">
        <f>累计考核费用!AA135/10000</f>
        <v>0</v>
      </c>
      <c r="AA60" s="48">
        <f>累计考核费用!AB135/10000</f>
        <v>2.3165680000000002</v>
      </c>
      <c r="AB60" s="48">
        <f>累计考核费用!AC135/10000</f>
        <v>0</v>
      </c>
      <c r="AC60" s="48">
        <f>累计考核费用!AD135/10000</f>
        <v>0</v>
      </c>
      <c r="AD60" s="48">
        <f>累计考核费用!AE135/10000</f>
        <v>0</v>
      </c>
      <c r="AE60" s="48"/>
    </row>
    <row r="61" spans="1:31" s="2" customFormat="1">
      <c r="A61" s="47" t="s">
        <v>118</v>
      </c>
      <c r="B61" s="48">
        <f>累计考核费用!C136/10000</f>
        <v>318.48802900000004</v>
      </c>
      <c r="C61" s="48">
        <f>累计考核费用!D136/10000</f>
        <v>0</v>
      </c>
      <c r="D61" s="48">
        <f>累计考核费用!E136/10000</f>
        <v>0</v>
      </c>
      <c r="E61" s="48">
        <f>累计考核费用!F136/10000</f>
        <v>318.48802900000004</v>
      </c>
      <c r="F61" s="48">
        <f>累计考核费用!G136/10000</f>
        <v>0</v>
      </c>
      <c r="G61" s="48">
        <f>累计考核费用!H136/10000</f>
        <v>0</v>
      </c>
      <c r="H61" s="48">
        <f>累计考核费用!I136/10000</f>
        <v>0</v>
      </c>
      <c r="I61" s="48">
        <f>累计考核费用!J136/10000</f>
        <v>0</v>
      </c>
      <c r="J61" s="48">
        <f>累计考核费用!K136/10000</f>
        <v>0</v>
      </c>
      <c r="K61" s="48">
        <f>累计考核费用!L136/10000</f>
        <v>0</v>
      </c>
      <c r="L61" s="48">
        <f>累计考核费用!M136/10000</f>
        <v>0</v>
      </c>
      <c r="M61" s="48">
        <f>累计考核费用!N136/10000</f>
        <v>0</v>
      </c>
      <c r="N61" s="48">
        <f>累计考核费用!O136/10000</f>
        <v>0</v>
      </c>
      <c r="O61" s="48">
        <f>累计考核费用!P136/10000</f>
        <v>0</v>
      </c>
      <c r="P61" s="48">
        <f>累计考核费用!Q136/10000</f>
        <v>0</v>
      </c>
      <c r="Q61" s="48">
        <f>累计考核费用!R136/10000</f>
        <v>0</v>
      </c>
      <c r="R61" s="48">
        <f>累计考核费用!S136/10000</f>
        <v>0</v>
      </c>
      <c r="S61" s="48">
        <f>累计考核费用!T136/10000</f>
        <v>0</v>
      </c>
      <c r="T61" s="48">
        <f>累计考核费用!U136/10000</f>
        <v>0</v>
      </c>
      <c r="U61" s="48">
        <f>累计考核费用!V136/10000</f>
        <v>0</v>
      </c>
      <c r="V61" s="48">
        <f>累计考核费用!W136/10000</f>
        <v>0</v>
      </c>
      <c r="W61" s="48">
        <f>累计考核费用!X136/10000</f>
        <v>0</v>
      </c>
      <c r="X61" s="48">
        <f>累计考核费用!Y136/10000</f>
        <v>0</v>
      </c>
      <c r="Y61" s="48">
        <f>累计考核费用!Z136/10000</f>
        <v>0</v>
      </c>
      <c r="Z61" s="48">
        <f>累计考核费用!AA136/10000</f>
        <v>0</v>
      </c>
      <c r="AA61" s="48">
        <f>累计考核费用!AB136/10000</f>
        <v>0</v>
      </c>
      <c r="AB61" s="48">
        <f>累计考核费用!AC136/10000</f>
        <v>0</v>
      </c>
      <c r="AC61" s="48">
        <f>累计考核费用!AD136/10000</f>
        <v>0</v>
      </c>
      <c r="AD61" s="48">
        <f>累计考核费用!AE136/10000</f>
        <v>0</v>
      </c>
      <c r="AE61" s="48"/>
    </row>
    <row r="62" spans="1:31" s="2" customFormat="1">
      <c r="A62" s="47" t="s">
        <v>119</v>
      </c>
      <c r="B62" s="48">
        <f>累计考核费用!C137/10000</f>
        <v>5.7542499999999999</v>
      </c>
      <c r="C62" s="48">
        <f>累计考核费用!D137/10000</f>
        <v>0</v>
      </c>
      <c r="D62" s="48">
        <f>累计考核费用!E137/10000</f>
        <v>0</v>
      </c>
      <c r="E62" s="48">
        <f>累计考核费用!F137/10000</f>
        <v>5.0419999999999998</v>
      </c>
      <c r="F62" s="48">
        <f>累计考核费用!G137/10000</f>
        <v>0</v>
      </c>
      <c r="G62" s="48">
        <f>累计考核费用!H137/10000</f>
        <v>0</v>
      </c>
      <c r="H62" s="48">
        <f>累计考核费用!I137/10000</f>
        <v>0</v>
      </c>
      <c r="I62" s="48">
        <f>累计考核费用!J137/10000</f>
        <v>0</v>
      </c>
      <c r="J62" s="48">
        <f>累计考核费用!K137/10000</f>
        <v>0</v>
      </c>
      <c r="K62" s="48">
        <f>累计考核费用!L137/10000</f>
        <v>0.04</v>
      </c>
      <c r="L62" s="48">
        <f>累计考核费用!M137/10000</f>
        <v>0</v>
      </c>
      <c r="M62" s="48">
        <f>累计考核费用!N137/10000</f>
        <v>0</v>
      </c>
      <c r="N62" s="48">
        <f>累计考核费用!O137/10000</f>
        <v>0</v>
      </c>
      <c r="O62" s="48">
        <f>累计考核费用!P137/10000</f>
        <v>0</v>
      </c>
      <c r="P62" s="48">
        <f>累计考核费用!Q137/10000</f>
        <v>0</v>
      </c>
      <c r="Q62" s="48">
        <f>累计考核费用!R137/10000</f>
        <v>0</v>
      </c>
      <c r="R62" s="48">
        <f>累计考核费用!S137/10000</f>
        <v>0.04</v>
      </c>
      <c r="S62" s="48">
        <f>累计考核费用!T137/10000</f>
        <v>0</v>
      </c>
      <c r="T62" s="48">
        <f>累计考核费用!U137/10000</f>
        <v>0</v>
      </c>
      <c r="U62" s="48">
        <f>累计考核费用!V137/10000</f>
        <v>0</v>
      </c>
      <c r="V62" s="48">
        <f>累计考核费用!W137/10000</f>
        <v>0</v>
      </c>
      <c r="W62" s="48">
        <f>累计考核费用!X137/10000</f>
        <v>0</v>
      </c>
      <c r="X62" s="48">
        <f>累计考核费用!Y137/10000</f>
        <v>0</v>
      </c>
      <c r="Y62" s="48">
        <f>累计考核费用!Z137/10000</f>
        <v>0</v>
      </c>
      <c r="Z62" s="48">
        <f>累计考核费用!AA137/10000</f>
        <v>0</v>
      </c>
      <c r="AA62" s="48">
        <f>累计考核费用!AB137/10000</f>
        <v>0</v>
      </c>
      <c r="AB62" s="48">
        <f>累计考核费用!AC137/10000</f>
        <v>0.67225000000000001</v>
      </c>
      <c r="AC62" s="48">
        <f>累计考核费用!AD137/10000</f>
        <v>0</v>
      </c>
      <c r="AD62" s="48">
        <f>累计考核费用!AE137/10000</f>
        <v>0</v>
      </c>
      <c r="AE62" s="48"/>
    </row>
    <row r="63" spans="1:31" s="2" customFormat="1">
      <c r="A63" s="45" t="s">
        <v>99</v>
      </c>
      <c r="B63" s="48">
        <f>累计考核费用!C138/10000</f>
        <v>5905.1977049999996</v>
      </c>
      <c r="C63" s="48">
        <f>累计考核费用!D138/10000</f>
        <v>960.45905999999991</v>
      </c>
      <c r="D63" s="48">
        <f>累计考核费用!E138/10000</f>
        <v>1089.5583919999999</v>
      </c>
      <c r="E63" s="48">
        <f>累计考核费用!F138/10000</f>
        <v>1613.7021480000003</v>
      </c>
      <c r="F63" s="48">
        <f>累计考核费用!G138/10000</f>
        <v>197.85707499999998</v>
      </c>
      <c r="G63" s="48">
        <f>累计考核费用!H138/10000</f>
        <v>60.999224999999988</v>
      </c>
      <c r="H63" s="48">
        <f>累计考核费用!I138/10000</f>
        <v>67.21114399999999</v>
      </c>
      <c r="I63" s="48">
        <f>累计考核费用!J138/10000</f>
        <v>15.791225000000003</v>
      </c>
      <c r="J63" s="48">
        <f>累计考核费用!K138/10000</f>
        <v>53.855481000000005</v>
      </c>
      <c r="K63" s="48">
        <f>累计考核费用!L138/10000</f>
        <v>258.00397500000003</v>
      </c>
      <c r="L63" s="48">
        <f>累计考核费用!M138/10000</f>
        <v>28.114788000000001</v>
      </c>
      <c r="M63" s="48">
        <f>累计考核费用!N138/10000</f>
        <v>33.521613000000002</v>
      </c>
      <c r="N63" s="48">
        <f>累计考核费用!O138/10000</f>
        <v>29.202989999999996</v>
      </c>
      <c r="O63" s="48">
        <f>累计考核费用!P138/10000</f>
        <v>35.332306999999993</v>
      </c>
      <c r="P63" s="48">
        <f>累计考核费用!Q138/10000</f>
        <v>37.569277</v>
      </c>
      <c r="Q63" s="48">
        <f>累计考核费用!R138/10000</f>
        <v>41.654317000000006</v>
      </c>
      <c r="R63" s="48">
        <f>累计考核费用!S138/10000</f>
        <v>52.608682999999999</v>
      </c>
      <c r="S63" s="48">
        <f>累计考核费用!T138/10000</f>
        <v>1663.9755070000001</v>
      </c>
      <c r="T63" s="48">
        <f>累计考核费用!U138/10000</f>
        <v>208.63621599999999</v>
      </c>
      <c r="U63" s="48">
        <f>累计考核费用!V138/10000</f>
        <v>1039.1765929999999</v>
      </c>
      <c r="V63" s="48">
        <f>累计考核费用!W138/10000</f>
        <v>304.44397099999998</v>
      </c>
      <c r="W63" s="48">
        <f>累计考核费用!X138/10000</f>
        <v>15.494074999999997</v>
      </c>
      <c r="X63" s="48">
        <f>累计考核费用!Y138/10000</f>
        <v>79.099592999999999</v>
      </c>
      <c r="Y63" s="48">
        <f>累计考核费用!Z138/10000</f>
        <v>6.5429840000000006</v>
      </c>
      <c r="Z63" s="48">
        <f>累计考核费用!AA138/10000</f>
        <v>10.582075</v>
      </c>
      <c r="AA63" s="48">
        <f>累计考核费用!AB138/10000</f>
        <v>96.286319999999989</v>
      </c>
      <c r="AB63" s="48">
        <f>累计考核费用!AC138/10000</f>
        <v>25.355228000000004</v>
      </c>
      <c r="AC63" s="48">
        <f>累计考核费用!AD138/10000</f>
        <v>0</v>
      </c>
      <c r="AD63" s="48">
        <f>累计考核费用!AE138/10000</f>
        <v>0</v>
      </c>
      <c r="AE63" s="48"/>
    </row>
    <row r="64" spans="1:31" s="2" customFormat="1">
      <c r="A64" s="47" t="s">
        <v>121</v>
      </c>
      <c r="B64" s="48">
        <f>累计考核费用!C139/10000</f>
        <v>360.0526989999999</v>
      </c>
      <c r="C64" s="48">
        <f>累计考核费用!D139/10000</f>
        <v>2.9235599999999997</v>
      </c>
      <c r="D64" s="48">
        <f>累计考核费用!E139/10000</f>
        <v>97.63893599999993</v>
      </c>
      <c r="E64" s="48">
        <f>累计考核费用!F139/10000</f>
        <v>236.09596500000004</v>
      </c>
      <c r="F64" s="48">
        <f>累计考核费用!G139/10000</f>
        <v>0.9689250000000007</v>
      </c>
      <c r="G64" s="48">
        <f>累计考核费用!H139/10000</f>
        <v>0</v>
      </c>
      <c r="H64" s="48">
        <f>累计考核费用!I139/10000</f>
        <v>0</v>
      </c>
      <c r="I64" s="48">
        <f>累计考核费用!J139/10000</f>
        <v>1.6315540000000002</v>
      </c>
      <c r="J64" s="48">
        <f>累计考核费用!K139/10000</f>
        <v>-0.66262899999999969</v>
      </c>
      <c r="K64" s="48">
        <f>累计考核费用!L139/10000</f>
        <v>13.961852999999998</v>
      </c>
      <c r="L64" s="48">
        <f>累计考核费用!M139/10000</f>
        <v>1.8205549999999999</v>
      </c>
      <c r="M64" s="48">
        <f>累计考核费用!N139/10000</f>
        <v>1.8205549999999999</v>
      </c>
      <c r="N64" s="48">
        <f>累计考核费用!O139/10000</f>
        <v>1.8205549999999999</v>
      </c>
      <c r="O64" s="48">
        <f>累计考核费用!P139/10000</f>
        <v>2.1693310000000001</v>
      </c>
      <c r="P64" s="48">
        <f>累计考核费用!Q139/10000</f>
        <v>1.8351560000000002</v>
      </c>
      <c r="Q64" s="48">
        <f>累计考核费用!R139/10000</f>
        <v>2.1657310000000001</v>
      </c>
      <c r="R64" s="48">
        <f>累计考核费用!S139/10000</f>
        <v>2.3299700000000003</v>
      </c>
      <c r="S64" s="48">
        <f>累计考核费用!T139/10000</f>
        <v>7.1883410000000003</v>
      </c>
      <c r="T64" s="48">
        <f>累计考核费用!U139/10000</f>
        <v>0</v>
      </c>
      <c r="U64" s="48">
        <f>累计考核费用!V139/10000</f>
        <v>4.4405169999999998</v>
      </c>
      <c r="V64" s="48">
        <f>累计考核费用!W139/10000</f>
        <v>2.7478239999999996</v>
      </c>
      <c r="W64" s="48">
        <f>累计考核费用!X139/10000</f>
        <v>0</v>
      </c>
      <c r="X64" s="48">
        <f>累计考核费用!Y139/10000</f>
        <v>0</v>
      </c>
      <c r="Y64" s="48">
        <f>累计考核费用!Z139/10000</f>
        <v>0</v>
      </c>
      <c r="Z64" s="48">
        <f>累计考核费用!AA139/10000</f>
        <v>0</v>
      </c>
      <c r="AA64" s="48">
        <f>累计考核费用!AB139/10000</f>
        <v>1.2751190000000001</v>
      </c>
      <c r="AB64" s="48">
        <f>累计考核费用!AC139/10000</f>
        <v>0</v>
      </c>
      <c r="AC64" s="48">
        <f>累计考核费用!AD139/10000</f>
        <v>0</v>
      </c>
      <c r="AD64" s="48">
        <f>累计考核费用!AE139/10000</f>
        <v>0</v>
      </c>
      <c r="AE64" s="48"/>
    </row>
    <row r="65" spans="1:31" s="2" customFormat="1">
      <c r="A65" s="47" t="s">
        <v>122</v>
      </c>
      <c r="B65" s="48">
        <f>累计考核费用!C140/10000</f>
        <v>230.80654899999993</v>
      </c>
      <c r="C65" s="48">
        <f>累计考核费用!D140/10000</f>
        <v>0.37790000000000001</v>
      </c>
      <c r="D65" s="48">
        <f>累计考核费用!E140/10000</f>
        <v>44.954442999999983</v>
      </c>
      <c r="E65" s="48">
        <f>累计考核费用!F140/10000</f>
        <v>146.77818399999998</v>
      </c>
      <c r="F65" s="48">
        <f>累计考核费用!G140/10000</f>
        <v>5.9641000000000002</v>
      </c>
      <c r="G65" s="48">
        <f>累计考核费用!H140/10000</f>
        <v>1.7894539999999997</v>
      </c>
      <c r="H65" s="48">
        <f>累计考核费用!I140/10000</f>
        <v>0.62742999999999993</v>
      </c>
      <c r="I65" s="48">
        <f>累计考核费用!J140/10000</f>
        <v>0.706094</v>
      </c>
      <c r="J65" s="48">
        <f>累计考核费用!K140/10000</f>
        <v>2.8411219999999999</v>
      </c>
      <c r="K65" s="48">
        <f>累计考核费用!L140/10000</f>
        <v>23.881683000000002</v>
      </c>
      <c r="L65" s="48">
        <f>累计考核费用!M140/10000</f>
        <v>1.6984230000000002</v>
      </c>
      <c r="M65" s="48">
        <f>累计考核费用!N140/10000</f>
        <v>1.8961129999999997</v>
      </c>
      <c r="N65" s="48">
        <f>累计考核费用!O140/10000</f>
        <v>1.5414650000000001</v>
      </c>
      <c r="O65" s="48">
        <f>累计考核费用!P140/10000</f>
        <v>1.6029189999999998</v>
      </c>
      <c r="P65" s="48">
        <f>累计考核费用!Q140/10000</f>
        <v>0.72271600000000003</v>
      </c>
      <c r="Q65" s="48">
        <f>累计考核费用!R140/10000</f>
        <v>1.5591380000000001</v>
      </c>
      <c r="R65" s="48">
        <f>累计考核费用!S140/10000</f>
        <v>14.860908999999999</v>
      </c>
      <c r="S65" s="48">
        <f>累计考核费用!T140/10000</f>
        <v>4.4338509999999998</v>
      </c>
      <c r="T65" s="48">
        <f>累计考核费用!U140/10000</f>
        <v>1.720502</v>
      </c>
      <c r="U65" s="48">
        <f>累计考核费用!V140/10000</f>
        <v>1.8351850000000003</v>
      </c>
      <c r="V65" s="48">
        <f>累计考核费用!W140/10000</f>
        <v>0.68197700000000006</v>
      </c>
      <c r="W65" s="48">
        <f>累计考核费用!X140/10000</f>
        <v>4.0000000000000001E-3</v>
      </c>
      <c r="X65" s="48">
        <f>累计考核费用!Y140/10000</f>
        <v>0.179287</v>
      </c>
      <c r="Y65" s="48">
        <f>累计考核费用!Z140/10000</f>
        <v>1.29E-2</v>
      </c>
      <c r="Z65" s="48">
        <f>累计考核费用!AA140/10000</f>
        <v>0</v>
      </c>
      <c r="AA65" s="48">
        <f>累计考核费用!AB140/10000</f>
        <v>1.277231</v>
      </c>
      <c r="AB65" s="48">
        <f>累计考核费用!AC140/10000</f>
        <v>3.139157</v>
      </c>
      <c r="AC65" s="48">
        <f>累计考核费用!AD140/10000</f>
        <v>0</v>
      </c>
      <c r="AD65" s="48">
        <f>累计考核费用!AE140/10000</f>
        <v>0</v>
      </c>
      <c r="AE65" s="48"/>
    </row>
    <row r="66" spans="1:31" s="2" customFormat="1">
      <c r="A66" s="47" t="s">
        <v>123</v>
      </c>
      <c r="B66" s="48">
        <f>累计考核费用!C141/10000</f>
        <v>216.76165300000002</v>
      </c>
      <c r="C66" s="48">
        <f>累计考核费用!D141/10000</f>
        <v>0</v>
      </c>
      <c r="D66" s="48">
        <f>累计考核费用!E141/10000</f>
        <v>192.20587300000003</v>
      </c>
      <c r="E66" s="48">
        <f>累计考核费用!F141/10000</f>
        <v>0</v>
      </c>
      <c r="F66" s="48">
        <f>累计考核费用!G141/10000</f>
        <v>0</v>
      </c>
      <c r="G66" s="48">
        <f>累计考核费用!H141/10000</f>
        <v>0</v>
      </c>
      <c r="H66" s="48">
        <f>累计考核费用!I141/10000</f>
        <v>0</v>
      </c>
      <c r="I66" s="48">
        <f>累计考核费用!J141/10000</f>
        <v>0</v>
      </c>
      <c r="J66" s="48">
        <f>累计考核费用!K141/10000</f>
        <v>0</v>
      </c>
      <c r="K66" s="48">
        <f>累计考核费用!L141/10000</f>
        <v>0</v>
      </c>
      <c r="L66" s="48">
        <f>累计考核费用!M141/10000</f>
        <v>0</v>
      </c>
      <c r="M66" s="48">
        <f>累计考核费用!N141/10000</f>
        <v>0</v>
      </c>
      <c r="N66" s="48">
        <f>累计考核费用!O141/10000</f>
        <v>0</v>
      </c>
      <c r="O66" s="48">
        <f>累计考核费用!P141/10000</f>
        <v>0</v>
      </c>
      <c r="P66" s="48">
        <f>累计考核费用!Q141/10000</f>
        <v>0</v>
      </c>
      <c r="Q66" s="48">
        <f>累计考核费用!R141/10000</f>
        <v>0</v>
      </c>
      <c r="R66" s="48">
        <f>累计考核费用!S141/10000</f>
        <v>0</v>
      </c>
      <c r="S66" s="48">
        <f>累计考核费用!T141/10000</f>
        <v>24.555779999999999</v>
      </c>
      <c r="T66" s="48">
        <f>累计考核费用!U141/10000</f>
        <v>0</v>
      </c>
      <c r="U66" s="48">
        <f>累计考核费用!V141/10000</f>
        <v>24.555779999999999</v>
      </c>
      <c r="V66" s="48">
        <f>累计考核费用!W141/10000</f>
        <v>0</v>
      </c>
      <c r="W66" s="48">
        <f>累计考核费用!X141/10000</f>
        <v>0</v>
      </c>
      <c r="X66" s="48">
        <f>累计考核费用!Y141/10000</f>
        <v>0</v>
      </c>
      <c r="Y66" s="48">
        <f>累计考核费用!Z141/10000</f>
        <v>0</v>
      </c>
      <c r="Z66" s="48">
        <f>累计考核费用!AA141/10000</f>
        <v>0</v>
      </c>
      <c r="AA66" s="48">
        <f>累计考核费用!AB141/10000</f>
        <v>0</v>
      </c>
      <c r="AB66" s="48">
        <f>累计考核费用!AC141/10000</f>
        <v>0</v>
      </c>
      <c r="AC66" s="48">
        <f>累计考核费用!AD141/10000</f>
        <v>0</v>
      </c>
      <c r="AD66" s="48">
        <f>累计考核费用!AE141/10000</f>
        <v>0</v>
      </c>
      <c r="AE66" s="48"/>
    </row>
    <row r="67" spans="1:31" s="2" customFormat="1">
      <c r="A67" s="47" t="s">
        <v>124</v>
      </c>
      <c r="B67" s="48">
        <f>累计考核费用!C142/10000</f>
        <v>209.703564</v>
      </c>
      <c r="C67" s="48">
        <f>累计考核费用!D142/10000</f>
        <v>0</v>
      </c>
      <c r="D67" s="48">
        <f>累计考核费用!E142/10000</f>
        <v>26.588728000000025</v>
      </c>
      <c r="E67" s="48">
        <f>累计考核费用!F142/10000</f>
        <v>171.79345699999999</v>
      </c>
      <c r="F67" s="48">
        <f>累计考核费用!G142/10000</f>
        <v>2.1089570000000002</v>
      </c>
      <c r="G67" s="48">
        <f>累计考核费用!H142/10000</f>
        <v>0</v>
      </c>
      <c r="H67" s="48">
        <f>累计考核费用!I142/10000</f>
        <v>0</v>
      </c>
      <c r="I67" s="48">
        <f>累计考核费用!J142/10000</f>
        <v>0.80566899999999986</v>
      </c>
      <c r="J67" s="48">
        <f>累计考核费用!K142/10000</f>
        <v>1.303288</v>
      </c>
      <c r="K67" s="48">
        <f>累计考核费用!L142/10000</f>
        <v>7.8434220000000003</v>
      </c>
      <c r="L67" s="48">
        <f>累计考核费用!M142/10000</f>
        <v>0.98339099999999979</v>
      </c>
      <c r="M67" s="48">
        <f>累计考核费用!N142/10000</f>
        <v>0.98338999999999999</v>
      </c>
      <c r="N67" s="48">
        <f>累计考核费用!O142/10000</f>
        <v>0.98338999999999999</v>
      </c>
      <c r="O67" s="48">
        <f>累计考核费用!P142/10000</f>
        <v>1.303288</v>
      </c>
      <c r="P67" s="48">
        <f>累计考核费用!Q142/10000</f>
        <v>0.98339100000000002</v>
      </c>
      <c r="Q67" s="48">
        <f>累计考核费用!R142/10000</f>
        <v>1.303288</v>
      </c>
      <c r="R67" s="48">
        <f>累计考核费用!S142/10000</f>
        <v>1.3032839999999999</v>
      </c>
      <c r="S67" s="48">
        <f>累计考核费用!T142/10000</f>
        <v>0</v>
      </c>
      <c r="T67" s="48">
        <f>累计考核费用!U142/10000</f>
        <v>0</v>
      </c>
      <c r="U67" s="48">
        <f>累计考核费用!V142/10000</f>
        <v>0</v>
      </c>
      <c r="V67" s="48">
        <f>累计考核费用!W142/10000</f>
        <v>0</v>
      </c>
      <c r="W67" s="48">
        <f>累计考核费用!X142/10000</f>
        <v>0</v>
      </c>
      <c r="X67" s="48">
        <f>累计考核费用!Y142/10000</f>
        <v>0</v>
      </c>
      <c r="Y67" s="48">
        <f>累计考核费用!Z142/10000</f>
        <v>0</v>
      </c>
      <c r="Z67" s="48">
        <f>累计考核费用!AA142/10000</f>
        <v>0</v>
      </c>
      <c r="AA67" s="48">
        <f>累计考核费用!AB142/10000</f>
        <v>0</v>
      </c>
      <c r="AB67" s="48">
        <f>累计考核费用!AC142/10000</f>
        <v>1.369</v>
      </c>
      <c r="AC67" s="48">
        <f>累计考核费用!AD142/10000</f>
        <v>0</v>
      </c>
      <c r="AD67" s="48">
        <f>累计考核费用!AE142/10000</f>
        <v>0</v>
      </c>
      <c r="AE67" s="48"/>
    </row>
    <row r="68" spans="1:31" s="2" customFormat="1">
      <c r="A68" s="47" t="s">
        <v>125</v>
      </c>
      <c r="B68" s="48">
        <f>累计考核费用!C143/10000</f>
        <v>23.765846999999997</v>
      </c>
      <c r="C68" s="48">
        <f>累计考核费用!D143/10000</f>
        <v>0</v>
      </c>
      <c r="D68" s="48">
        <f>累计考核费用!E143/10000</f>
        <v>23.765846999999997</v>
      </c>
      <c r="E68" s="48">
        <f>累计考核费用!F143/10000</f>
        <v>0</v>
      </c>
      <c r="F68" s="48">
        <f>累计考核费用!G143/10000</f>
        <v>0</v>
      </c>
      <c r="G68" s="48">
        <f>累计考核费用!H143/10000</f>
        <v>0</v>
      </c>
      <c r="H68" s="48">
        <f>累计考核费用!I143/10000</f>
        <v>0</v>
      </c>
      <c r="I68" s="48">
        <f>累计考核费用!J143/10000</f>
        <v>0</v>
      </c>
      <c r="J68" s="48">
        <f>累计考核费用!K143/10000</f>
        <v>0</v>
      </c>
      <c r="K68" s="48">
        <f>累计考核费用!L143/10000</f>
        <v>0</v>
      </c>
      <c r="L68" s="48">
        <f>累计考核费用!M143/10000</f>
        <v>0</v>
      </c>
      <c r="M68" s="48">
        <f>累计考核费用!N143/10000</f>
        <v>0</v>
      </c>
      <c r="N68" s="48">
        <f>累计考核费用!O143/10000</f>
        <v>0</v>
      </c>
      <c r="O68" s="48">
        <f>累计考核费用!P143/10000</f>
        <v>0</v>
      </c>
      <c r="P68" s="48">
        <f>累计考核费用!Q143/10000</f>
        <v>0</v>
      </c>
      <c r="Q68" s="48">
        <f>累计考核费用!R143/10000</f>
        <v>0</v>
      </c>
      <c r="R68" s="48">
        <f>累计考核费用!S143/10000</f>
        <v>0</v>
      </c>
      <c r="S68" s="48">
        <f>累计考核费用!T143/10000</f>
        <v>0</v>
      </c>
      <c r="T68" s="48">
        <f>累计考核费用!U143/10000</f>
        <v>0</v>
      </c>
      <c r="U68" s="48">
        <f>累计考核费用!V143/10000</f>
        <v>0</v>
      </c>
      <c r="V68" s="48">
        <f>累计考核费用!W143/10000</f>
        <v>0</v>
      </c>
      <c r="W68" s="48">
        <f>累计考核费用!X143/10000</f>
        <v>0</v>
      </c>
      <c r="X68" s="48">
        <f>累计考核费用!Y143/10000</f>
        <v>0</v>
      </c>
      <c r="Y68" s="48">
        <f>累计考核费用!Z143/10000</f>
        <v>0</v>
      </c>
      <c r="Z68" s="48">
        <f>累计考核费用!AA143/10000</f>
        <v>0</v>
      </c>
      <c r="AA68" s="48">
        <f>累计考核费用!AB143/10000</f>
        <v>0</v>
      </c>
      <c r="AB68" s="48">
        <f>累计考核费用!AC143/10000</f>
        <v>0</v>
      </c>
      <c r="AC68" s="48">
        <f>累计考核费用!AD143/10000</f>
        <v>0</v>
      </c>
      <c r="AD68" s="48">
        <f>累计考核费用!AE143/10000</f>
        <v>0</v>
      </c>
      <c r="AE68" s="48"/>
    </row>
    <row r="69" spans="1:31" s="2" customFormat="1">
      <c r="A69" s="47" t="s">
        <v>126</v>
      </c>
      <c r="B69" s="48">
        <f>累计考核费用!C144/10000</f>
        <v>55.873431000000004</v>
      </c>
      <c r="C69" s="48">
        <f>累计考核费用!D144/10000</f>
        <v>0</v>
      </c>
      <c r="D69" s="48">
        <f>累计考核费用!E144/10000</f>
        <v>27.901789000000001</v>
      </c>
      <c r="E69" s="48">
        <f>累计考核费用!F144/10000</f>
        <v>25.882722000000005</v>
      </c>
      <c r="F69" s="48">
        <f>累计考核费用!G144/10000</f>
        <v>0.04</v>
      </c>
      <c r="G69" s="48">
        <f>累计考核费用!H144/10000</f>
        <v>0</v>
      </c>
      <c r="H69" s="48">
        <f>累计考核费用!I144/10000</f>
        <v>0</v>
      </c>
      <c r="I69" s="48">
        <f>累计考核费用!J144/10000</f>
        <v>0</v>
      </c>
      <c r="J69" s="48">
        <f>累计考核费用!K144/10000</f>
        <v>0.04</v>
      </c>
      <c r="K69" s="48">
        <f>累计考核费用!L144/10000</f>
        <v>1.2412939999999999</v>
      </c>
      <c r="L69" s="48">
        <f>累计考核费用!M144/10000</f>
        <v>0</v>
      </c>
      <c r="M69" s="48">
        <f>累计考核费用!N144/10000</f>
        <v>0</v>
      </c>
      <c r="N69" s="48">
        <f>累计考核费用!O144/10000</f>
        <v>0</v>
      </c>
      <c r="O69" s="48">
        <f>累计考核费用!P144/10000</f>
        <v>0.60204899999999995</v>
      </c>
      <c r="P69" s="48">
        <f>累计考核费用!Q144/10000</f>
        <v>0</v>
      </c>
      <c r="Q69" s="48">
        <f>累计考核费用!R144/10000</f>
        <v>0</v>
      </c>
      <c r="R69" s="48">
        <f>累计考核费用!S144/10000</f>
        <v>0.63924499999999995</v>
      </c>
      <c r="S69" s="48">
        <f>累计考核费用!T144/10000</f>
        <v>0.16462599999999999</v>
      </c>
      <c r="T69" s="48">
        <f>累计考核费用!U144/10000</f>
        <v>0</v>
      </c>
      <c r="U69" s="48">
        <f>累计考核费用!V144/10000</f>
        <v>7.4160000000000004E-2</v>
      </c>
      <c r="V69" s="48">
        <f>累计考核费用!W144/10000</f>
        <v>9.0465999999999991E-2</v>
      </c>
      <c r="W69" s="48">
        <f>累计考核费用!X144/10000</f>
        <v>0</v>
      </c>
      <c r="X69" s="48">
        <f>累计考核费用!Y144/10000</f>
        <v>0</v>
      </c>
      <c r="Y69" s="48">
        <f>累计考核费用!Z144/10000</f>
        <v>0</v>
      </c>
      <c r="Z69" s="48">
        <f>累计考核费用!AA144/10000</f>
        <v>0</v>
      </c>
      <c r="AA69" s="48">
        <f>累计考核费用!AB144/10000</f>
        <v>0.61</v>
      </c>
      <c r="AB69" s="48">
        <f>累计考核费用!AC144/10000</f>
        <v>3.3000000000000002E-2</v>
      </c>
      <c r="AC69" s="48">
        <f>累计考核费用!AD144/10000</f>
        <v>0</v>
      </c>
      <c r="AD69" s="48">
        <f>累计考核费用!AE144/10000</f>
        <v>0</v>
      </c>
      <c r="AE69" s="48"/>
    </row>
    <row r="70" spans="1:31" s="2" customFormat="1">
      <c r="A70" s="47" t="s">
        <v>127</v>
      </c>
      <c r="B70" s="48">
        <f>累计考核费用!C145/10000</f>
        <v>98.962999999999994</v>
      </c>
      <c r="C70" s="48">
        <f>累计考核费用!D145/10000</f>
        <v>0</v>
      </c>
      <c r="D70" s="48">
        <f>累计考核费用!E145/10000</f>
        <v>46</v>
      </c>
      <c r="E70" s="48">
        <f>累计考核费用!F145/10000</f>
        <v>52.162999999999997</v>
      </c>
      <c r="F70" s="48">
        <f>累计考核费用!G145/10000</f>
        <v>0</v>
      </c>
      <c r="G70" s="48">
        <f>累计考核费用!H145/10000</f>
        <v>0</v>
      </c>
      <c r="H70" s="48">
        <f>累计考核费用!I145/10000</f>
        <v>0</v>
      </c>
      <c r="I70" s="48">
        <f>累计考核费用!J145/10000</f>
        <v>0</v>
      </c>
      <c r="J70" s="48">
        <f>累计考核费用!K145/10000</f>
        <v>0</v>
      </c>
      <c r="K70" s="48">
        <f>累计考核费用!L145/10000</f>
        <v>0.8</v>
      </c>
      <c r="L70" s="48">
        <f>累计考核费用!M145/10000</f>
        <v>0</v>
      </c>
      <c r="M70" s="48">
        <f>累计考核费用!N145/10000</f>
        <v>0</v>
      </c>
      <c r="N70" s="48">
        <f>累计考核费用!O145/10000</f>
        <v>0</v>
      </c>
      <c r="O70" s="48">
        <f>累计考核费用!P145/10000</f>
        <v>0</v>
      </c>
      <c r="P70" s="48">
        <f>累计考核费用!Q145/10000</f>
        <v>0</v>
      </c>
      <c r="Q70" s="48">
        <f>累计考核费用!R145/10000</f>
        <v>0</v>
      </c>
      <c r="R70" s="48">
        <f>累计考核费用!S145/10000</f>
        <v>0.8</v>
      </c>
      <c r="S70" s="48">
        <f>累计考核费用!T145/10000</f>
        <v>0</v>
      </c>
      <c r="T70" s="48">
        <f>累计考核费用!U145/10000</f>
        <v>0</v>
      </c>
      <c r="U70" s="48">
        <f>累计考核费用!V145/10000</f>
        <v>0</v>
      </c>
      <c r="V70" s="48">
        <f>累计考核费用!W145/10000</f>
        <v>0</v>
      </c>
      <c r="W70" s="48">
        <f>累计考核费用!X145/10000</f>
        <v>0</v>
      </c>
      <c r="X70" s="48">
        <f>累计考核费用!Y145/10000</f>
        <v>0</v>
      </c>
      <c r="Y70" s="48">
        <f>累计考核费用!Z145/10000</f>
        <v>0</v>
      </c>
      <c r="Z70" s="48">
        <f>累计考核费用!AA145/10000</f>
        <v>0</v>
      </c>
      <c r="AA70" s="48">
        <f>累计考核费用!AB145/10000</f>
        <v>0</v>
      </c>
      <c r="AB70" s="48">
        <f>累计考核费用!AC145/10000</f>
        <v>0</v>
      </c>
      <c r="AC70" s="48">
        <f>累计考核费用!AD145/10000</f>
        <v>0</v>
      </c>
      <c r="AD70" s="48">
        <f>累计考核费用!AE145/10000</f>
        <v>0</v>
      </c>
      <c r="AE70" s="48"/>
    </row>
    <row r="71" spans="1:31" s="2" customFormat="1">
      <c r="A71" s="47" t="s">
        <v>128</v>
      </c>
      <c r="B71" s="48">
        <f>累计考核费用!C146/10000</f>
        <v>76.940554999999989</v>
      </c>
      <c r="C71" s="48">
        <f>累计考核费用!D146/10000</f>
        <v>0</v>
      </c>
      <c r="D71" s="48">
        <f>累计考核费用!E146/10000</f>
        <v>43.199904999999994</v>
      </c>
      <c r="E71" s="48">
        <f>累计考核费用!F146/10000</f>
        <v>8.1590419999999995</v>
      </c>
      <c r="F71" s="48">
        <f>累计考核费用!G146/10000</f>
        <v>0</v>
      </c>
      <c r="G71" s="48">
        <f>累计考核费用!H146/10000</f>
        <v>0</v>
      </c>
      <c r="H71" s="48">
        <f>累计考核费用!I146/10000</f>
        <v>0</v>
      </c>
      <c r="I71" s="48">
        <f>累计考核费用!J146/10000</f>
        <v>0</v>
      </c>
      <c r="J71" s="48">
        <f>累计考核费用!K146/10000</f>
        <v>0</v>
      </c>
      <c r="K71" s="48">
        <f>累计考核费用!L146/10000</f>
        <v>0</v>
      </c>
      <c r="L71" s="48">
        <f>累计考核费用!M146/10000</f>
        <v>0</v>
      </c>
      <c r="M71" s="48">
        <f>累计考核费用!N146/10000</f>
        <v>0</v>
      </c>
      <c r="N71" s="48">
        <f>累计考核费用!O146/10000</f>
        <v>0</v>
      </c>
      <c r="O71" s="48">
        <f>累计考核费用!P146/10000</f>
        <v>0</v>
      </c>
      <c r="P71" s="48">
        <f>累计考核费用!Q146/10000</f>
        <v>0</v>
      </c>
      <c r="Q71" s="48">
        <f>累计考核费用!R146/10000</f>
        <v>0</v>
      </c>
      <c r="R71" s="48">
        <f>累计考核费用!S146/10000</f>
        <v>0</v>
      </c>
      <c r="S71" s="48">
        <f>累计考核费用!T146/10000</f>
        <v>25.581607999999999</v>
      </c>
      <c r="T71" s="48">
        <f>累计考核费用!U146/10000</f>
        <v>0</v>
      </c>
      <c r="U71" s="48">
        <f>累计考核费用!V146/10000</f>
        <v>22.696463999999999</v>
      </c>
      <c r="V71" s="48">
        <f>累计考核费用!W146/10000</f>
        <v>2.8851440000000004</v>
      </c>
      <c r="W71" s="48">
        <f>累计考核费用!X146/10000</f>
        <v>0</v>
      </c>
      <c r="X71" s="48">
        <f>累计考核费用!Y146/10000</f>
        <v>0</v>
      </c>
      <c r="Y71" s="48">
        <f>累计考核费用!Z146/10000</f>
        <v>0</v>
      </c>
      <c r="Z71" s="48">
        <f>累计考核费用!AA146/10000</f>
        <v>0</v>
      </c>
      <c r="AA71" s="48">
        <f>累计考核费用!AB146/10000</f>
        <v>0</v>
      </c>
      <c r="AB71" s="48">
        <f>累计考核费用!AC146/10000</f>
        <v>0</v>
      </c>
      <c r="AC71" s="48">
        <f>累计考核费用!AD146/10000</f>
        <v>0</v>
      </c>
      <c r="AD71" s="48">
        <f>累计考核费用!AE146/10000</f>
        <v>0</v>
      </c>
      <c r="AE71" s="48"/>
    </row>
    <row r="72" spans="1:31" s="2" customFormat="1">
      <c r="A72" s="47" t="s">
        <v>129</v>
      </c>
      <c r="B72" s="48">
        <f>累计考核费用!C147/10000</f>
        <v>0</v>
      </c>
      <c r="C72" s="48">
        <f>累计考核费用!D147/10000</f>
        <v>0</v>
      </c>
      <c r="D72" s="48">
        <f>累计考核费用!E147/10000</f>
        <v>0</v>
      </c>
      <c r="E72" s="48">
        <f>累计考核费用!F147/10000</f>
        <v>0</v>
      </c>
      <c r="F72" s="48">
        <f>累计考核费用!G147/10000</f>
        <v>0</v>
      </c>
      <c r="G72" s="48">
        <f>累计考核费用!H147/10000</f>
        <v>0</v>
      </c>
      <c r="H72" s="48">
        <f>累计考核费用!I147/10000</f>
        <v>0</v>
      </c>
      <c r="I72" s="48">
        <f>累计考核费用!J147/10000</f>
        <v>0</v>
      </c>
      <c r="J72" s="48">
        <f>累计考核费用!K147/10000</f>
        <v>0</v>
      </c>
      <c r="K72" s="48">
        <f>累计考核费用!L147/10000</f>
        <v>0</v>
      </c>
      <c r="L72" s="48">
        <f>累计考核费用!M147/10000</f>
        <v>0</v>
      </c>
      <c r="M72" s="48">
        <f>累计考核费用!N147/10000</f>
        <v>0</v>
      </c>
      <c r="N72" s="48">
        <f>累计考核费用!O147/10000</f>
        <v>0</v>
      </c>
      <c r="O72" s="48">
        <f>累计考核费用!P147/10000</f>
        <v>0</v>
      </c>
      <c r="P72" s="48">
        <f>累计考核费用!Q147/10000</f>
        <v>0</v>
      </c>
      <c r="Q72" s="48">
        <f>累计考核费用!R147/10000</f>
        <v>0</v>
      </c>
      <c r="R72" s="48">
        <f>累计考核费用!S147/10000</f>
        <v>0</v>
      </c>
      <c r="S72" s="48">
        <f>累计考核费用!T147/10000</f>
        <v>0</v>
      </c>
      <c r="T72" s="48">
        <f>累计考核费用!U147/10000</f>
        <v>0</v>
      </c>
      <c r="U72" s="48">
        <f>累计考核费用!V147/10000</f>
        <v>0</v>
      </c>
      <c r="V72" s="48">
        <f>累计考核费用!W147/10000</f>
        <v>0</v>
      </c>
      <c r="W72" s="48">
        <f>累计考核费用!X147/10000</f>
        <v>0</v>
      </c>
      <c r="X72" s="48">
        <f>累计考核费用!Y147/10000</f>
        <v>0</v>
      </c>
      <c r="Y72" s="48">
        <f>累计考核费用!Z147/10000</f>
        <v>0</v>
      </c>
      <c r="Z72" s="48">
        <f>累计考核费用!AA147/10000</f>
        <v>0</v>
      </c>
      <c r="AA72" s="48">
        <f>累计考核费用!AB147/10000</f>
        <v>0</v>
      </c>
      <c r="AB72" s="48">
        <f>累计考核费用!AC147/10000</f>
        <v>0</v>
      </c>
      <c r="AC72" s="48">
        <f>累计考核费用!AD147/10000</f>
        <v>0</v>
      </c>
      <c r="AD72" s="48">
        <f>累计考核费用!AE147/10000</f>
        <v>0</v>
      </c>
      <c r="AE72" s="48"/>
    </row>
    <row r="73" spans="1:31" s="2" customFormat="1">
      <c r="A73" s="47" t="s">
        <v>130</v>
      </c>
      <c r="B73" s="48">
        <f>累计考核费用!C148/10000</f>
        <v>1302.1373189999997</v>
      </c>
      <c r="C73" s="48">
        <f>累计考核费用!D148/10000</f>
        <v>0</v>
      </c>
      <c r="D73" s="48">
        <f>累计考核费用!E148/10000</f>
        <v>811.01990600000011</v>
      </c>
      <c r="E73" s="48">
        <f>累计考核费用!F148/10000</f>
        <v>463.81929799999983</v>
      </c>
      <c r="F73" s="48">
        <f>累计考核费用!G148/10000</f>
        <v>15.482778</v>
      </c>
      <c r="G73" s="48">
        <f>累计考核费用!H148/10000</f>
        <v>0</v>
      </c>
      <c r="H73" s="48">
        <f>累计考核费用!I148/10000</f>
        <v>1.3181719999999999</v>
      </c>
      <c r="I73" s="48">
        <f>累计考核费用!J148/10000</f>
        <v>1.3181719999999999</v>
      </c>
      <c r="J73" s="48">
        <f>累计考核费用!K148/10000</f>
        <v>12.846434</v>
      </c>
      <c r="K73" s="48">
        <f>累计考核费用!L148/10000</f>
        <v>11.815337</v>
      </c>
      <c r="L73" s="48">
        <f>累计考核费用!M148/10000</f>
        <v>3.3959019999999995</v>
      </c>
      <c r="M73" s="48">
        <f>累计考核费用!N148/10000</f>
        <v>1.5068299999999999</v>
      </c>
      <c r="N73" s="48">
        <f>累计考核费用!O148/10000</f>
        <v>0.61469099999999999</v>
      </c>
      <c r="O73" s="48">
        <f>累计考核费用!P148/10000</f>
        <v>2.6363439999999998</v>
      </c>
      <c r="P73" s="48">
        <f>累计考核费用!Q148/10000</f>
        <v>0</v>
      </c>
      <c r="Q73" s="48">
        <f>累计考核费用!R148/10000</f>
        <v>2.6363439999999998</v>
      </c>
      <c r="R73" s="48">
        <f>累计考核费用!S148/10000</f>
        <v>1.025226</v>
      </c>
      <c r="S73" s="48">
        <f>累计考核费用!T148/10000</f>
        <v>0</v>
      </c>
      <c r="T73" s="48">
        <f>累计考核费用!U148/10000</f>
        <v>0</v>
      </c>
      <c r="U73" s="48">
        <f>累计考核费用!V148/10000</f>
        <v>0</v>
      </c>
      <c r="V73" s="48">
        <f>累计考核费用!W148/10000</f>
        <v>0</v>
      </c>
      <c r="W73" s="48">
        <f>累计考核费用!X148/10000</f>
        <v>0</v>
      </c>
      <c r="X73" s="48">
        <f>累计考核费用!Y148/10000</f>
        <v>0</v>
      </c>
      <c r="Y73" s="48">
        <f>累计考核费用!Z148/10000</f>
        <v>0</v>
      </c>
      <c r="Z73" s="48">
        <f>累计考核费用!AA148/10000</f>
        <v>0</v>
      </c>
      <c r="AA73" s="48">
        <f>累计考核费用!AB148/10000</f>
        <v>0</v>
      </c>
      <c r="AB73" s="48">
        <f>累计考核费用!AC148/10000</f>
        <v>0</v>
      </c>
      <c r="AC73" s="48">
        <f>累计考核费用!AD148/10000</f>
        <v>0</v>
      </c>
      <c r="AD73" s="48">
        <f>累计考核费用!AE148/10000</f>
        <v>0</v>
      </c>
      <c r="AE73" s="48"/>
    </row>
    <row r="74" spans="1:31" s="2" customFormat="1">
      <c r="A74" s="47" t="s">
        <v>131</v>
      </c>
      <c r="B74" s="48">
        <f>累计考核费用!C149/10000</f>
        <v>326.01803599999994</v>
      </c>
      <c r="C74" s="48">
        <f>累计考核费用!D149/10000</f>
        <v>0</v>
      </c>
      <c r="D74" s="48">
        <f>累计考核费用!E149/10000</f>
        <v>95.070836999999955</v>
      </c>
      <c r="E74" s="48">
        <f>累计考核费用!F149/10000</f>
        <v>198.50753899999998</v>
      </c>
      <c r="F74" s="48">
        <f>累计考核费用!G149/10000</f>
        <v>25.177462999999999</v>
      </c>
      <c r="G74" s="48">
        <f>累计考核费用!H149/10000</f>
        <v>0</v>
      </c>
      <c r="H74" s="48">
        <f>累计考核费用!I149/10000</f>
        <v>2.9750700000000001</v>
      </c>
      <c r="I74" s="48">
        <f>累计考核费用!J149/10000</f>
        <v>3.0882770000000002</v>
      </c>
      <c r="J74" s="48">
        <f>累计考核费用!K149/10000</f>
        <v>19.114115999999999</v>
      </c>
      <c r="K74" s="48">
        <f>累计考核费用!L149/10000</f>
        <v>6.0779320000000006</v>
      </c>
      <c r="L74" s="48">
        <f>累计考核费用!M149/10000</f>
        <v>0.53976400000000002</v>
      </c>
      <c r="M74" s="48">
        <f>累计考核费用!N149/10000</f>
        <v>0.53976400000000002</v>
      </c>
      <c r="N74" s="48">
        <f>累计考核费用!O149/10000</f>
        <v>0.75339599999999995</v>
      </c>
      <c r="O74" s="48">
        <f>累计考核费用!P149/10000</f>
        <v>1.3315560000000002</v>
      </c>
      <c r="P74" s="48">
        <f>累计考核费用!Q149/10000</f>
        <v>1.4258960000000001</v>
      </c>
      <c r="Q74" s="48">
        <f>累计考核费用!R149/10000</f>
        <v>1.3315560000000002</v>
      </c>
      <c r="R74" s="48">
        <f>累计考核费用!S149/10000</f>
        <v>0.156</v>
      </c>
      <c r="S74" s="48">
        <f>累计考核费用!T149/10000</f>
        <v>0.41067900000000002</v>
      </c>
      <c r="T74" s="48">
        <f>累计考核费用!U149/10000</f>
        <v>0.28867900000000002</v>
      </c>
      <c r="U74" s="48">
        <f>累计考核费用!V149/10000</f>
        <v>0.122</v>
      </c>
      <c r="V74" s="48">
        <f>累计考核费用!W149/10000</f>
        <v>0</v>
      </c>
      <c r="W74" s="48">
        <f>累计考核费用!X149/10000</f>
        <v>0</v>
      </c>
      <c r="X74" s="48">
        <f>累计考核费用!Y149/10000</f>
        <v>0</v>
      </c>
      <c r="Y74" s="48">
        <f>累计考核费用!Z149/10000</f>
        <v>0</v>
      </c>
      <c r="Z74" s="48">
        <f>累计考核费用!AA149/10000</f>
        <v>0</v>
      </c>
      <c r="AA74" s="48">
        <f>累计考核费用!AB149/10000</f>
        <v>0.54716999999999993</v>
      </c>
      <c r="AB74" s="48">
        <f>累计考核费用!AC149/10000</f>
        <v>0.22641599999999998</v>
      </c>
      <c r="AC74" s="48">
        <f>累计考核费用!AD149/10000</f>
        <v>0</v>
      </c>
      <c r="AD74" s="48">
        <f>累计考核费用!AE149/10000</f>
        <v>0</v>
      </c>
      <c r="AE74" s="48"/>
    </row>
    <row r="75" spans="1:31" s="2" customFormat="1">
      <c r="A75" s="47" t="s">
        <v>132</v>
      </c>
      <c r="B75" s="48">
        <f>累计考核费用!C150/10000</f>
        <v>3019.1584470000003</v>
      </c>
      <c r="C75" s="48">
        <f>累计考核费用!D150/10000</f>
        <v>27.450320000000001</v>
      </c>
      <c r="D75" s="48">
        <f>累计考核费用!E150/10000</f>
        <v>174.65391600000066</v>
      </c>
      <c r="E75" s="48">
        <f>累计考核费用!F150/10000</f>
        <v>2263.8096979999996</v>
      </c>
      <c r="F75" s="48">
        <f>累计考核费用!G150/10000</f>
        <v>42.311383999999997</v>
      </c>
      <c r="G75" s="48">
        <f>累计考核费用!H150/10000</f>
        <v>0.1895</v>
      </c>
      <c r="H75" s="48">
        <f>累计考核费用!I150/10000</f>
        <v>0</v>
      </c>
      <c r="I75" s="48">
        <f>累计考核费用!J150/10000</f>
        <v>16.038640000000001</v>
      </c>
      <c r="J75" s="48">
        <f>累计考核费用!K150/10000</f>
        <v>26.083244000000001</v>
      </c>
      <c r="K75" s="48">
        <f>累计考核费用!L150/10000</f>
        <v>430.47841100000005</v>
      </c>
      <c r="L75" s="48">
        <f>累计考核费用!M150/10000</f>
        <v>21.147612999999996</v>
      </c>
      <c r="M75" s="48">
        <f>累计考核费用!N150/10000</f>
        <v>21.2194</v>
      </c>
      <c r="N75" s="48">
        <f>累计考核费用!O150/10000</f>
        <v>21.122313000000002</v>
      </c>
      <c r="O75" s="48">
        <f>累计考核费用!P150/10000</f>
        <v>27.151204999999997</v>
      </c>
      <c r="P75" s="48">
        <f>累计考核费用!Q150/10000</f>
        <v>21.672471999999996</v>
      </c>
      <c r="Q75" s="48">
        <f>累计考核费用!R150/10000</f>
        <v>26.083244000000001</v>
      </c>
      <c r="R75" s="48">
        <f>累计考核费用!S150/10000</f>
        <v>292.08216399999998</v>
      </c>
      <c r="S75" s="48">
        <f>累计考核费用!T150/10000</f>
        <v>57.148004999999991</v>
      </c>
      <c r="T75" s="48">
        <f>累计考核费用!U150/10000</f>
        <v>0</v>
      </c>
      <c r="U75" s="48">
        <f>累计考核费用!V150/10000</f>
        <v>35.374581999999997</v>
      </c>
      <c r="V75" s="48">
        <f>累计考核费用!W150/10000</f>
        <v>21.765022999999999</v>
      </c>
      <c r="W75" s="48">
        <f>累计考核费用!X150/10000</f>
        <v>0</v>
      </c>
      <c r="X75" s="48">
        <f>累计考核费用!Y150/10000</f>
        <v>8.3999999999999995E-3</v>
      </c>
      <c r="Y75" s="48">
        <f>累计考核费用!Z150/10000</f>
        <v>0</v>
      </c>
      <c r="Z75" s="48">
        <f>累计考核费用!AA150/10000</f>
        <v>0</v>
      </c>
      <c r="AA75" s="48">
        <f>累计考核费用!AB150/10000</f>
        <v>11.302713000000001</v>
      </c>
      <c r="AB75" s="48">
        <f>累计考核费用!AC150/10000</f>
        <v>12.004</v>
      </c>
      <c r="AC75" s="48">
        <f>累计考核费用!AD150/10000</f>
        <v>0</v>
      </c>
      <c r="AD75" s="48">
        <f>累计考核费用!AE150/10000</f>
        <v>0</v>
      </c>
      <c r="AE75" s="48"/>
    </row>
    <row r="76" spans="1:31" s="2" customFormat="1">
      <c r="A76" s="47" t="s">
        <v>133</v>
      </c>
      <c r="B76" s="48">
        <f>累计考核费用!C151/10000</f>
        <v>1463.6156489999998</v>
      </c>
      <c r="C76" s="48">
        <f>累计考核费用!D151/10000</f>
        <v>-777.63190599999996</v>
      </c>
      <c r="D76" s="48">
        <f>累计考核费用!E151/10000</f>
        <v>1106.4168579999998</v>
      </c>
      <c r="E76" s="48">
        <f>累计考核费用!F151/10000</f>
        <v>1081.743197</v>
      </c>
      <c r="F76" s="48">
        <f>累计考核费用!G151/10000</f>
        <v>0.67112899999999998</v>
      </c>
      <c r="G76" s="48">
        <f>累计考核费用!H151/10000</f>
        <v>0</v>
      </c>
      <c r="H76" s="48">
        <f>累计考核费用!I151/10000</f>
        <v>0</v>
      </c>
      <c r="I76" s="48">
        <f>累计考核费用!J151/10000</f>
        <v>0.18529300000000001</v>
      </c>
      <c r="J76" s="48">
        <f>累计考核费用!K151/10000</f>
        <v>0.48583599999999999</v>
      </c>
      <c r="K76" s="48">
        <f>累计考核费用!L151/10000</f>
        <v>52.416371000000005</v>
      </c>
      <c r="L76" s="48">
        <f>累计考核费用!M151/10000</f>
        <v>2.1600029999999997</v>
      </c>
      <c r="M76" s="48">
        <f>累计考核费用!N151/10000</f>
        <v>2.1600040000000003</v>
      </c>
      <c r="N76" s="48">
        <f>累计考核费用!O151/10000</f>
        <v>2.1984560000000002</v>
      </c>
      <c r="O76" s="48">
        <f>累计考核费用!P151/10000</f>
        <v>2.2031129999999997</v>
      </c>
      <c r="P76" s="48">
        <f>累计考核费用!Q151/10000</f>
        <v>0.29838400000000004</v>
      </c>
      <c r="Q76" s="48">
        <f>累计考核费用!R151/10000</f>
        <v>1.014572</v>
      </c>
      <c r="R76" s="48">
        <f>累计考核费用!S151/10000</f>
        <v>42.381838999999999</v>
      </c>
      <c r="S76" s="48">
        <f>累计考核费用!T151/10000</f>
        <v>0</v>
      </c>
      <c r="T76" s="48">
        <f>累计考核费用!U151/10000</f>
        <v>0</v>
      </c>
      <c r="U76" s="48">
        <f>累计考核费用!V151/10000</f>
        <v>0</v>
      </c>
      <c r="V76" s="48">
        <f>累计考核费用!W151/10000</f>
        <v>0</v>
      </c>
      <c r="W76" s="48">
        <f>累计考核费用!X151/10000</f>
        <v>0</v>
      </c>
      <c r="X76" s="48">
        <f>累计考核费用!Y151/10000</f>
        <v>0</v>
      </c>
      <c r="Y76" s="48">
        <f>累计考核费用!Z151/10000</f>
        <v>0</v>
      </c>
      <c r="Z76" s="48">
        <f>累计考核费用!AA151/10000</f>
        <v>0</v>
      </c>
      <c r="AA76" s="48">
        <f>累计考核费用!AB151/10000</f>
        <v>0</v>
      </c>
      <c r="AB76" s="48">
        <f>累计考核费用!AC151/10000</f>
        <v>0</v>
      </c>
      <c r="AC76" s="48">
        <f>累计考核费用!AD151/10000</f>
        <v>0</v>
      </c>
      <c r="AD76" s="48">
        <f>累计考核费用!AE151/10000</f>
        <v>0</v>
      </c>
      <c r="AE76" s="48"/>
    </row>
    <row r="77" spans="1:31" s="2" customFormat="1">
      <c r="A77" s="47" t="s">
        <v>134</v>
      </c>
      <c r="B77" s="48">
        <f>累计考核费用!C152/10000</f>
        <v>697.40947000000006</v>
      </c>
      <c r="C77" s="48">
        <f>累计考核费用!D152/10000</f>
        <v>0</v>
      </c>
      <c r="D77" s="48">
        <f>累计考核费用!E152/10000</f>
        <v>635.03928200000007</v>
      </c>
      <c r="E77" s="48">
        <f>累计考核费用!F152/10000</f>
        <v>52.831528000000013</v>
      </c>
      <c r="F77" s="48">
        <f>累计考核费用!G152/10000</f>
        <v>0</v>
      </c>
      <c r="G77" s="48">
        <f>累计考核费用!H152/10000</f>
        <v>0</v>
      </c>
      <c r="H77" s="48">
        <f>累计考核费用!I152/10000</f>
        <v>0</v>
      </c>
      <c r="I77" s="48">
        <f>累计考核费用!J152/10000</f>
        <v>0</v>
      </c>
      <c r="J77" s="48">
        <f>累计考核费用!K152/10000</f>
        <v>0</v>
      </c>
      <c r="K77" s="48">
        <f>累计考核费用!L152/10000</f>
        <v>9.2870840000000019</v>
      </c>
      <c r="L77" s="48">
        <f>累计考核费用!M152/10000</f>
        <v>7.1438300000000003</v>
      </c>
      <c r="M77" s="48">
        <f>累计考核费用!N152/10000</f>
        <v>1.0716270000000001</v>
      </c>
      <c r="N77" s="48">
        <f>累计考核费用!O152/10000</f>
        <v>1.0716270000000001</v>
      </c>
      <c r="O77" s="48">
        <f>累计考核费用!P152/10000</f>
        <v>0</v>
      </c>
      <c r="P77" s="48">
        <f>累计考核费用!Q152/10000</f>
        <v>0</v>
      </c>
      <c r="Q77" s="48">
        <f>累计考核费用!R152/10000</f>
        <v>0</v>
      </c>
      <c r="R77" s="48">
        <f>累计考核费用!S152/10000</f>
        <v>0</v>
      </c>
      <c r="S77" s="48">
        <f>累计考核费用!T152/10000</f>
        <v>0</v>
      </c>
      <c r="T77" s="48">
        <f>累计考核费用!U152/10000</f>
        <v>0</v>
      </c>
      <c r="U77" s="48">
        <f>累计考核费用!V152/10000</f>
        <v>0</v>
      </c>
      <c r="V77" s="48">
        <f>累计考核费用!W152/10000</f>
        <v>0</v>
      </c>
      <c r="W77" s="48">
        <f>累计考核费用!X152/10000</f>
        <v>0</v>
      </c>
      <c r="X77" s="48">
        <f>累计考核费用!Y152/10000</f>
        <v>0</v>
      </c>
      <c r="Y77" s="48">
        <f>累计考核费用!Z152/10000</f>
        <v>0</v>
      </c>
      <c r="Z77" s="48">
        <f>累计考核费用!AA152/10000</f>
        <v>0</v>
      </c>
      <c r="AA77" s="48">
        <f>累计考核费用!AB152/10000</f>
        <v>0</v>
      </c>
      <c r="AB77" s="48">
        <f>累计考核费用!AC152/10000</f>
        <v>0.25157600000000002</v>
      </c>
      <c r="AC77" s="48">
        <f>累计考核费用!AD152/10000</f>
        <v>0</v>
      </c>
      <c r="AD77" s="48">
        <f>累计考核费用!AE152/10000</f>
        <v>0</v>
      </c>
      <c r="AE77" s="48"/>
    </row>
    <row r="78" spans="1:31" s="2" customFormat="1">
      <c r="A78" s="47" t="s">
        <v>135</v>
      </c>
      <c r="B78" s="48">
        <f>累计考核费用!C153/10000</f>
        <v>667.54329299999995</v>
      </c>
      <c r="C78" s="48">
        <f>累计考核费用!D153/10000</f>
        <v>0</v>
      </c>
      <c r="D78" s="48">
        <f>累计考核费用!E153/10000</f>
        <v>165.73601499999998</v>
      </c>
      <c r="E78" s="48">
        <f>累计考核费用!F153/10000</f>
        <v>467.60782599999999</v>
      </c>
      <c r="F78" s="48">
        <f>累计考核费用!G153/10000</f>
        <v>10.806206</v>
      </c>
      <c r="G78" s="48">
        <f>累计考核费用!H153/10000</f>
        <v>0.86082400000000014</v>
      </c>
      <c r="H78" s="48">
        <f>累计考核费用!I153/10000</f>
        <v>0.16702600000000001</v>
      </c>
      <c r="I78" s="48">
        <f>累计考核费用!J153/10000</f>
        <v>2.8938450000000002</v>
      </c>
      <c r="J78" s="48">
        <f>累计考核费用!K153/10000</f>
        <v>6.8845109999999998</v>
      </c>
      <c r="K78" s="48">
        <f>累计考核费用!L153/10000</f>
        <v>21.825046</v>
      </c>
      <c r="L78" s="48">
        <f>累计考核费用!M153/10000</f>
        <v>2.5698719999999997</v>
      </c>
      <c r="M78" s="48">
        <f>累计考核费用!N153/10000</f>
        <v>2.5034710000000002</v>
      </c>
      <c r="N78" s="48">
        <f>累计考核费用!O153/10000</f>
        <v>2.522697</v>
      </c>
      <c r="O78" s="48">
        <f>累计考核费用!P153/10000</f>
        <v>5.9747590000000015</v>
      </c>
      <c r="P78" s="48">
        <f>累计考核费用!Q153/10000</f>
        <v>1.967452</v>
      </c>
      <c r="Q78" s="48">
        <f>累计考核费用!R153/10000</f>
        <v>3.4639160000000002</v>
      </c>
      <c r="R78" s="48">
        <f>累计考核费用!S153/10000</f>
        <v>2.8228790000000004</v>
      </c>
      <c r="S78" s="48">
        <f>累计考核费用!T153/10000</f>
        <v>1.5682000000000003</v>
      </c>
      <c r="T78" s="48">
        <f>累计考核费用!U153/10000</f>
        <v>0</v>
      </c>
      <c r="U78" s="48">
        <f>累计考核费用!V153/10000</f>
        <v>0.15667</v>
      </c>
      <c r="V78" s="48">
        <f>累计考核费用!W153/10000</f>
        <v>1.4115300000000004</v>
      </c>
      <c r="W78" s="48">
        <f>累计考核费用!X153/10000</f>
        <v>0</v>
      </c>
      <c r="X78" s="48">
        <f>累计考核费用!Y153/10000</f>
        <v>0</v>
      </c>
      <c r="Y78" s="48">
        <f>累计考核费用!Z153/10000</f>
        <v>0</v>
      </c>
      <c r="Z78" s="48">
        <f>累计考核费用!AA153/10000</f>
        <v>0</v>
      </c>
      <c r="AA78" s="48">
        <f>累计考核费用!AB153/10000</f>
        <v>0</v>
      </c>
      <c r="AB78" s="48">
        <f>累计考核费用!AC153/10000</f>
        <v>0</v>
      </c>
      <c r="AC78" s="48">
        <f>累计考核费用!AD153/10000</f>
        <v>0</v>
      </c>
      <c r="AD78" s="48">
        <f>累计考核费用!AE153/10000</f>
        <v>0</v>
      </c>
      <c r="AE78" s="48"/>
    </row>
    <row r="79" spans="1:31" s="2" customFormat="1">
      <c r="A79" s="47" t="s">
        <v>136</v>
      </c>
      <c r="B79" s="48">
        <f>累计考核费用!C154/10000</f>
        <v>71.014183000000003</v>
      </c>
      <c r="C79" s="48">
        <f>累计考核费用!D154/10000</f>
        <v>0</v>
      </c>
      <c r="D79" s="48">
        <f>累计考核费用!E154/10000</f>
        <v>13.26415200000001</v>
      </c>
      <c r="E79" s="48">
        <f>累计考核费用!F154/10000</f>
        <v>43.751590999999998</v>
      </c>
      <c r="F79" s="48">
        <f>累计考核费用!G154/10000</f>
        <v>1.571256</v>
      </c>
      <c r="G79" s="48">
        <f>累计考核费用!H154/10000</f>
        <v>1.311256</v>
      </c>
      <c r="H79" s="48">
        <f>累计考核费用!I154/10000</f>
        <v>0.11</v>
      </c>
      <c r="I79" s="48">
        <f>累计考核费用!J154/10000</f>
        <v>0.15</v>
      </c>
      <c r="J79" s="48">
        <f>累计考核费用!K154/10000</f>
        <v>0</v>
      </c>
      <c r="K79" s="48">
        <f>累计考核费用!L154/10000</f>
        <v>12.427184</v>
      </c>
      <c r="L79" s="48">
        <f>累计考核费用!M154/10000</f>
        <v>0</v>
      </c>
      <c r="M79" s="48">
        <f>累计考核费用!N154/10000</f>
        <v>0</v>
      </c>
      <c r="N79" s="48">
        <f>累计考核费用!O154/10000</f>
        <v>0</v>
      </c>
      <c r="O79" s="48">
        <f>累计考核费用!P154/10000</f>
        <v>0</v>
      </c>
      <c r="P79" s="48">
        <f>累计考核费用!Q154/10000</f>
        <v>0</v>
      </c>
      <c r="Q79" s="48">
        <f>累计考核费用!R154/10000</f>
        <v>12.427184</v>
      </c>
      <c r="R79" s="48">
        <f>累计考核费用!S154/10000</f>
        <v>0</v>
      </c>
      <c r="S79" s="48">
        <f>累计考核费用!T154/10000</f>
        <v>0</v>
      </c>
      <c r="T79" s="48">
        <f>累计考核费用!U154/10000</f>
        <v>0</v>
      </c>
      <c r="U79" s="48">
        <f>累计考核费用!V154/10000</f>
        <v>0</v>
      </c>
      <c r="V79" s="48">
        <f>累计考核费用!W154/10000</f>
        <v>0</v>
      </c>
      <c r="W79" s="48">
        <f>累计考核费用!X154/10000</f>
        <v>0</v>
      </c>
      <c r="X79" s="48">
        <f>累计考核费用!Y154/10000</f>
        <v>0</v>
      </c>
      <c r="Y79" s="48">
        <f>累计考核费用!Z154/10000</f>
        <v>0</v>
      </c>
      <c r="Z79" s="48">
        <f>累计考核费用!AA154/10000</f>
        <v>0</v>
      </c>
      <c r="AA79" s="48">
        <f>累计考核费用!AB154/10000</f>
        <v>0</v>
      </c>
      <c r="AB79" s="48">
        <f>累计考核费用!AC154/10000</f>
        <v>0</v>
      </c>
      <c r="AC79" s="48">
        <f>累计考核费用!AD154/10000</f>
        <v>0</v>
      </c>
      <c r="AD79" s="48">
        <f>累计考核费用!AE154/10000</f>
        <v>0</v>
      </c>
      <c r="AE79" s="48"/>
    </row>
    <row r="80" spans="1:31" s="2" customFormat="1">
      <c r="A80" s="45" t="s">
        <v>99</v>
      </c>
      <c r="B80" s="48">
        <f>累计考核费用!C155/10000</f>
        <v>8819.7636949999996</v>
      </c>
      <c r="C80" s="48">
        <f>累计考核费用!D155/10000</f>
        <v>-746.88012600000002</v>
      </c>
      <c r="D80" s="48">
        <f>累计考核费用!E155/10000</f>
        <v>3503.4564870000004</v>
      </c>
      <c r="E80" s="48">
        <f>累计考核费用!F155/10000</f>
        <v>5212.9430469999988</v>
      </c>
      <c r="F80" s="48">
        <f>累计考核费用!G155/10000</f>
        <v>105.102198</v>
      </c>
      <c r="G80" s="48">
        <f>累计考核费用!H155/10000</f>
        <v>4.1510339999999992</v>
      </c>
      <c r="H80" s="48">
        <f>累计考核费用!I155/10000</f>
        <v>5.1976979999999999</v>
      </c>
      <c r="I80" s="48">
        <f>累计考核费用!J155/10000</f>
        <v>26.817544000000002</v>
      </c>
      <c r="J80" s="48">
        <f>累计考核费用!K155/10000</f>
        <v>68.935921999999991</v>
      </c>
      <c r="K80" s="48">
        <f>累计考核费用!L155/10000</f>
        <v>592.05561699999998</v>
      </c>
      <c r="L80" s="48">
        <f>累计考核费用!M155/10000</f>
        <v>41.459353</v>
      </c>
      <c r="M80" s="48">
        <f>累计考核费用!N155/10000</f>
        <v>33.701154000000002</v>
      </c>
      <c r="N80" s="48">
        <f>累计考核费用!O155/10000</f>
        <v>32.628590000000003</v>
      </c>
      <c r="O80" s="48">
        <f>累计考核费用!P155/10000</f>
        <v>44.974564000000001</v>
      </c>
      <c r="P80" s="48">
        <f>累计考核费用!Q155/10000</f>
        <v>28.905467000000005</v>
      </c>
      <c r="Q80" s="48">
        <f>累计考核费用!R155/10000</f>
        <v>51.984972999999997</v>
      </c>
      <c r="R80" s="48">
        <f>累计考核费用!S155/10000</f>
        <v>358.40151599999996</v>
      </c>
      <c r="S80" s="48">
        <f>累计考核费用!T155/10000</f>
        <v>121.05108999999999</v>
      </c>
      <c r="T80" s="48">
        <f>累计考核费用!U155/10000</f>
        <v>2.0091810000000003</v>
      </c>
      <c r="U80" s="48">
        <f>累计考核费用!V155/10000</f>
        <v>89.255357999999987</v>
      </c>
      <c r="V80" s="48">
        <f>累计考核费用!W155/10000</f>
        <v>29.581963999999996</v>
      </c>
      <c r="W80" s="48">
        <f>累计考核费用!X155/10000</f>
        <v>4.0000000000000001E-3</v>
      </c>
      <c r="X80" s="48">
        <f>累计考核费用!Y155/10000</f>
        <v>0.18768699999999999</v>
      </c>
      <c r="Y80" s="48">
        <f>累计考核费用!Z155/10000</f>
        <v>1.29E-2</v>
      </c>
      <c r="Z80" s="48">
        <f>累计考核费用!AA155/10000</f>
        <v>0</v>
      </c>
      <c r="AA80" s="48">
        <f>累计考核费用!AB155/10000</f>
        <v>15.012233000000002</v>
      </c>
      <c r="AB80" s="48">
        <f>累计考核费用!AC155/10000</f>
        <v>17.023149</v>
      </c>
      <c r="AC80" s="48">
        <f>累计考核费用!AD155/10000</f>
        <v>0</v>
      </c>
      <c r="AD80" s="48">
        <f>累计考核费用!AE155/10000</f>
        <v>0</v>
      </c>
      <c r="AE80" s="48"/>
    </row>
    <row r="81" spans="1:31" s="2" customFormat="1">
      <c r="A81" s="45" t="s">
        <v>3</v>
      </c>
      <c r="B81" s="48">
        <f>累计考核费用!C156/10000</f>
        <v>58266.369607999994</v>
      </c>
      <c r="C81" s="48">
        <f>累计考核费用!D156/10000</f>
        <v>17.407260999999988</v>
      </c>
      <c r="D81" s="48">
        <f>累计考核费用!E156/10000</f>
        <v>14057.475130999997</v>
      </c>
      <c r="E81" s="48">
        <f>累计考核费用!F156/10000</f>
        <v>28227.997625000007</v>
      </c>
      <c r="F81" s="48">
        <f>累计考核费用!G156/10000</f>
        <v>1554.3013739999999</v>
      </c>
      <c r="G81" s="48">
        <f>累计考核费用!H156/10000</f>
        <v>395.2973889999999</v>
      </c>
      <c r="H81" s="48">
        <f>累计考核费用!I156/10000</f>
        <v>245.46256699999998</v>
      </c>
      <c r="I81" s="48">
        <f>累计考核费用!J156/10000</f>
        <v>359.23928899999999</v>
      </c>
      <c r="J81" s="48">
        <f>累计考核费用!K156/10000</f>
        <v>554.30212900000015</v>
      </c>
      <c r="K81" s="48">
        <f>累计考核费用!L156/10000</f>
        <v>2647.9863660000001</v>
      </c>
      <c r="L81" s="48">
        <f>累计考核费用!M156/10000</f>
        <v>264.62649299999998</v>
      </c>
      <c r="M81" s="48">
        <f>累计考核费用!N156/10000</f>
        <v>326.49741400000005</v>
      </c>
      <c r="N81" s="48">
        <f>累计考核费用!O156/10000</f>
        <v>143.20339600000003</v>
      </c>
      <c r="O81" s="48">
        <f>累计考核费用!P156/10000</f>
        <v>659.46404399999994</v>
      </c>
      <c r="P81" s="48">
        <f>累计考核费用!Q156/10000</f>
        <v>280.76912599999997</v>
      </c>
      <c r="Q81" s="48">
        <f>累计考核费用!R156/10000</f>
        <v>335.13751199999996</v>
      </c>
      <c r="R81" s="48">
        <f>累计考核费用!S156/10000</f>
        <v>638.28838099999996</v>
      </c>
      <c r="S81" s="48">
        <f>累计考核费用!T156/10000</f>
        <v>10542.583778</v>
      </c>
      <c r="T81" s="48">
        <f>累计考核费用!U156/10000</f>
        <v>1081.889844</v>
      </c>
      <c r="U81" s="48">
        <f>累计考核费用!V156/10000</f>
        <v>7275.1696269999993</v>
      </c>
      <c r="V81" s="48">
        <f>累计考核费用!W156/10000</f>
        <v>1976.9175579999999</v>
      </c>
      <c r="W81" s="48">
        <f>累计考核费用!X156/10000</f>
        <v>43.422612000000001</v>
      </c>
      <c r="X81" s="48">
        <f>累计考核费用!Y156/10000</f>
        <v>128.154901</v>
      </c>
      <c r="Y81" s="48">
        <f>累计考核费用!Z156/10000</f>
        <v>26.088670999999998</v>
      </c>
      <c r="Z81" s="48">
        <f>累计考核费用!AA156/10000</f>
        <v>10.940564999999999</v>
      </c>
      <c r="AA81" s="48">
        <f>累计考核费用!AB156/10000</f>
        <v>629.18225099999995</v>
      </c>
      <c r="AB81" s="48">
        <f>累计考核费用!AC156/10000</f>
        <v>589.43582200000003</v>
      </c>
      <c r="AC81" s="48">
        <f>累计考核费用!AD156/10000</f>
        <v>0</v>
      </c>
      <c r="AD81" s="48">
        <f>累计考核费用!AE156/10000</f>
        <v>0</v>
      </c>
      <c r="AE81" s="48"/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86</v>
      </c>
      <c r="B1" s="5" t="s">
        <v>87</v>
      </c>
      <c r="C1" s="4" t="s">
        <v>87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12</v>
      </c>
      <c r="J1" s="23" t="s">
        <v>67</v>
      </c>
      <c r="K1" s="23" t="s">
        <v>17</v>
      </c>
      <c r="L1" s="23" t="s">
        <v>16</v>
      </c>
      <c r="M1" s="23" t="s">
        <v>15</v>
      </c>
      <c r="N1" s="23" t="s">
        <v>18</v>
      </c>
      <c r="O1" s="23" t="s">
        <v>68</v>
      </c>
      <c r="P1" s="23" t="s">
        <v>19</v>
      </c>
      <c r="Q1" s="23" t="s">
        <v>413</v>
      </c>
      <c r="R1" s="6" t="s">
        <v>69</v>
      </c>
      <c r="S1" s="6" t="s">
        <v>20</v>
      </c>
      <c r="T1" s="23" t="s">
        <v>71</v>
      </c>
      <c r="U1" s="23" t="s">
        <v>70</v>
      </c>
      <c r="V1" s="23" t="s">
        <v>416</v>
      </c>
      <c r="W1" s="23" t="s">
        <v>485</v>
      </c>
      <c r="X1" s="6" t="s">
        <v>28</v>
      </c>
      <c r="Y1" s="23" t="s">
        <v>29</v>
      </c>
      <c r="Z1" s="23" t="s">
        <v>30</v>
      </c>
      <c r="AA1" s="6" t="s">
        <v>31</v>
      </c>
      <c r="AB1" s="6" t="s">
        <v>32</v>
      </c>
    </row>
    <row r="2" spans="1:28" s="2" customFormat="1" ht="12" customHeight="1">
      <c r="A2" s="257" t="s">
        <v>88</v>
      </c>
      <c r="B2" s="7" t="s">
        <v>89</v>
      </c>
      <c r="C2" s="7" t="s">
        <v>89</v>
      </c>
      <c r="D2" s="8">
        <f>SUMIF(累计考核费用!$B$107:$B$156,原格式费用考核表!$B2,累计考核费用!C$107:C$156)/10000+累计考核费用!C116/10000</f>
        <v>18203.838647999997</v>
      </c>
      <c r="E2" s="8">
        <f>SUMIF(累计考核费用!$B$107:$B$156,原格式费用考核表!$B2,累计考核费用!D$107:D$156)/10000+累计考核费用!D116/10000</f>
        <v>0</v>
      </c>
      <c r="F2" s="8">
        <f>SUMIF(累计考核费用!$B$107:$B$156,原格式费用考核表!$B2,累计考核费用!E$107:E$156)/10000+累计考核费用!E116/10000</f>
        <v>4786.9396099999994</v>
      </c>
      <c r="G2" s="8">
        <f>SUMIF(累计考核费用!$B$107:$B$156,原格式费用考核表!$B2,累计考核费用!F$107:F$156)/10000+累计考核费用!F116/10000</f>
        <v>8605.3673250000011</v>
      </c>
      <c r="H2" s="8">
        <f>SUMIF(累计考核费用!$B$107:$B$156,原格式费用考核表!$B2,累计考核费用!G$107:G$156)/10000+累计考核费用!G116/10000</f>
        <v>822.80775499999993</v>
      </c>
      <c r="I2" s="8">
        <f>SUMIF(累计考核费用!$B$107:$B$156,原格式费用考核表!$B2,累计考核费用!L$107:L$156)/10000+累计考核费用!L116/10000</f>
        <v>1171.731892</v>
      </c>
      <c r="J2" s="8">
        <f>SUMIF(累计考核费用!$B$107:$B$156,原格式费用考核表!$B2,累计考核费用!M$107:M$156)/10000+累计考核费用!M116/10000</f>
        <v>80.264728000000005</v>
      </c>
      <c r="K2" s="8">
        <f>SUMIF(累计考核费用!$B$107:$B$156,原格式费用考核表!$B2,累计考核费用!Q$107:Q$156)/10000+累计考核费用!Q116/10000</f>
        <v>172.95921100000001</v>
      </c>
      <c r="L2" s="8">
        <f>SUMIF(累计考核费用!$B$107:$B$156,原格式费用考核表!$B2,累计考核费用!P$107:P$156)/10000+累计考核费用!P116/10000</f>
        <v>331.47262599999999</v>
      </c>
      <c r="M2" s="8">
        <f>SUMIF(累计考核费用!$B$107:$B$156,原格式费用考核表!$B2,累计考核费用!O$107:O$156)/10000+累计考核费用!O116/10000</f>
        <v>57.853090000000016</v>
      </c>
      <c r="N2" s="8">
        <f>SUMIF(累计考核费用!$B$107:$B$156,原格式费用考核表!$B2,累计考核费用!R$107:R$156)/10000+累计考核费用!R116/10000</f>
        <v>190.92145299999999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SUMIF(累计考核费用!$B$107:$B$156,原格式费用考核表!$B2,累计考核费用!S$107:S$156)/10000+累计考核费用!S116/10000</f>
        <v>184.70327700000001</v>
      </c>
      <c r="Q2" s="8" t="e">
        <f>SUMIF(累计考核费用!$B$107:$B$156,原格式费用考核表!$B2,累计考核费用!#REF!)/10000+累计考核费用!#REF!/10000</f>
        <v>#REF!</v>
      </c>
      <c r="R2" s="8">
        <f>SUMIF(累计考核费用!$B$107:$B$156,原格式费用考核表!$B2,累计考核费用!T$107:T$156)/10000+累计考核费用!T116/10000</f>
        <v>1987.0224089999999</v>
      </c>
      <c r="S2" s="8">
        <f>SUMIF(累计考核费用!$B$107:$B$156,原格式费用考核表!$B2,累计考核费用!U$107:U$156)/10000+累计考核费用!U116/10000</f>
        <v>496.996825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SUMIF(累计考核费用!$B$107:$B$156,原格式费用考核表!$B2,累计考核费用!V$107:V$156)/10000+累计考核费用!V116/10000</f>
        <v>685.719694</v>
      </c>
      <c r="V2" s="8">
        <f>SUMIF(累计考核费用!$B$107:$B$156,原格式费用考核表!$B2,累计考核费用!W$107:W$156)/10000+累计考核费用!W116/10000</f>
        <v>737.26765299999988</v>
      </c>
      <c r="W2" s="8">
        <f>SUMIF(累计考核费用!$B$107:$B$156,原格式费用考核表!$B2,累计考核费用!AB$107:AB$156)/10000+累计考核费用!AB116/10000</f>
        <v>423.62621899999999</v>
      </c>
      <c r="X2" s="8" t="e">
        <f>SUMIF(累计考核费用!$B$107:$B$156,原格式费用考核表!$B2,累计考核费用!#REF!)/10000+累计考核费用!#REF!/10000</f>
        <v>#REF!</v>
      </c>
      <c r="Y2" s="8" t="e">
        <f>SUMIF(累计考核费用!$B$107:$B$156,原格式费用考核表!$B2,累计考核费用!#REF!)/10000+累计考核费用!#REF!/10000</f>
        <v>#REF!</v>
      </c>
      <c r="Z2" s="8" t="e">
        <f>SUMIF(累计考核费用!$B$107:$B$156,原格式费用考核表!$B2,累计考核费用!#REF!)/10000+累计考核费用!#REF!/10000</f>
        <v>#REF!</v>
      </c>
      <c r="AA2" s="8">
        <f>SUMIF(累计考核费用!$B$107:$B$156,原格式费用考核表!$B2,累计考核费用!AC$107:AC$156)/10000+累计考核费用!AC116/10000</f>
        <v>406.34343799999999</v>
      </c>
      <c r="AB2" s="8" t="e">
        <f>SUMIF(累计考核费用!$B$107:$B$156,原格式费用考核表!$B2,累计考核费用!#REF!)/10000+累计考核费用!#REF!/10000</f>
        <v>#REF!</v>
      </c>
    </row>
    <row r="3" spans="1:28" s="2" customFormat="1" ht="12" customHeight="1">
      <c r="A3" s="258"/>
      <c r="B3" s="7" t="s">
        <v>90</v>
      </c>
      <c r="C3" s="7" t="s">
        <v>90</v>
      </c>
      <c r="D3" s="8">
        <f>SUMIF(累计考核费用!$B$107:$B$156,原格式费用考核表!$B3,累计考核费用!C$107:C$156)/10000</f>
        <v>286.27872999999994</v>
      </c>
      <c r="E3" s="8">
        <f>SUMIF(累计考核费用!$B$107:$B$156,原格式费用考核表!$B3,累计考核费用!D$107:D$156)/10000</f>
        <v>0</v>
      </c>
      <c r="F3" s="8">
        <f>SUMIF(累计考核费用!$B$107:$B$156,原格式费用考核表!$B3,累计考核费用!E$107:E$156)/10000</f>
        <v>91.70758499999998</v>
      </c>
      <c r="G3" s="8">
        <f>SUMIF(累计考核费用!$B$107:$B$156,原格式费用考核表!$B3,累计考核费用!F$107:F$156)/10000</f>
        <v>113.67591199999998</v>
      </c>
      <c r="H3" s="8">
        <f>SUMIF(累计考核费用!$B$107:$B$156,原格式费用考核表!$B3,累计考核费用!G$107:G$156)/10000</f>
        <v>14.013592000000001</v>
      </c>
      <c r="I3" s="8">
        <f>SUMIF(累计考核费用!$B$107:$B$156,原格式费用考核表!$B3,累计考核费用!L$107:L$156)/10000</f>
        <v>5.0284360000000001</v>
      </c>
      <c r="J3" s="8">
        <f>SUMIF(累计考核费用!$B$107:$B$156,原格式费用考核表!$B3,累计考核费用!M$107:M$156)/10000</f>
        <v>0.65300000000000002</v>
      </c>
      <c r="K3" s="8">
        <f>SUMIF(累计考核费用!$B$107:$B$156,原格式费用考核表!$B3,累计考核费用!Q$107:Q$156)/10000</f>
        <v>1.204</v>
      </c>
      <c r="L3" s="8">
        <f>SUMIF(累计考核费用!$B$107:$B$156,原格式费用考核表!$B3,累计考核费用!P$107:P$156)/10000</f>
        <v>1.9727599999999998</v>
      </c>
      <c r="M3" s="8">
        <f>SUMIF(累计考核费用!$B$107:$B$156,原格式费用考核表!$B3,累计考核费用!O$107:O$156)/10000</f>
        <v>0.16300000000000001</v>
      </c>
      <c r="N3" s="8">
        <f>SUMIF(累计考核费用!$B$107:$B$156,原格式费用考核表!$B3,累计考核费用!R$107:R$156)/10000</f>
        <v>0.31508600000000003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SUMIF(累计考核费用!$B$107:$B$156,原格式费用考核表!$B3,累计考核费用!S$107:S$156)/10000</f>
        <v>0.38108999999999998</v>
      </c>
      <c r="Q3" s="8" t="e">
        <f>SUMIF(累计考核费用!$B$107:$B$156,原格式费用考核表!$B3,累计考核费用!#REF!)/10000</f>
        <v>#REF!</v>
      </c>
      <c r="R3" s="8">
        <f>SUMIF(累计考核费用!$B$107:$B$156,原格式费用考核表!$B3,累计考核费用!T$107:T$156)/10000</f>
        <v>38.202424999999998</v>
      </c>
      <c r="S3" s="8">
        <f>SUMIF(累计考核费用!$B$107:$B$156,原格式费用考核表!$B3,累计考核费用!U$107:U$156)/10000</f>
        <v>10.350061999999999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SUMIF(累计考核费用!$B$107:$B$156,原格式费用考核表!$B3,累计考核费用!V$107:V$156)/10000</f>
        <v>18.906950999999999</v>
      </c>
      <c r="V3" s="8">
        <f>SUMIF(累计考核费用!$B$107:$B$156,原格式费用考核表!$B3,累计考核费用!W$107:W$156)/10000</f>
        <v>8.9209119999999995</v>
      </c>
      <c r="W3" s="8">
        <f>SUMIF(累计考核费用!$B$107:$B$156,原格式费用考核表!$B3,累计考核费用!AB$107:AB$156)/10000</f>
        <v>13.230279999999999</v>
      </c>
      <c r="X3" s="8" t="e">
        <f>SUMIF(累计考核费用!$B$107:$B$156,原格式费用考核表!$B3,累计考核费用!#REF!)/10000</f>
        <v>#REF!</v>
      </c>
      <c r="Y3" s="8" t="e">
        <f>SUMIF(累计考核费用!$B$107:$B$156,原格式费用考核表!$B3,累计考核费用!#REF!)/10000</f>
        <v>#REF!</v>
      </c>
      <c r="Z3" s="8" t="e">
        <f>SUMIF(累计考核费用!$B$107:$B$156,原格式费用考核表!$B3,累计考核费用!#REF!)/10000</f>
        <v>#REF!</v>
      </c>
      <c r="AA3" s="8">
        <f>SUMIF(累计考核费用!$B$107:$B$156,原格式费用考核表!$B3,累计考核费用!AC$107:AC$156)/10000</f>
        <v>10.420500000000001</v>
      </c>
      <c r="AB3" s="8" t="e">
        <f>SUMIF(累计考核费用!$B$107:$B$156,原格式费用考核表!$B3,累计考核费用!#REF!)/10000</f>
        <v>#REF!</v>
      </c>
    </row>
    <row r="4" spans="1:28" s="2" customFormat="1" ht="12" customHeight="1">
      <c r="A4" s="258"/>
      <c r="B4" s="7" t="s">
        <v>91</v>
      </c>
      <c r="C4" s="7" t="s">
        <v>91</v>
      </c>
      <c r="D4" s="8">
        <f>SUMIF(累计考核费用!$B$107:$B$156,原格式费用考核表!$B4,累计考核费用!C$107:C$156)/10000</f>
        <v>584.71500500000002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53.596705999999983</v>
      </c>
      <c r="G4" s="8">
        <f>SUMIF(累计考核费用!$B$107:$B$156,原格式费用考核表!$B4,累计考核费用!F$107:F$156)/10000</f>
        <v>299.17761899999999</v>
      </c>
      <c r="H4" s="8">
        <f>SUMIF(累计考核费用!$B$107:$B$156,原格式费用考核表!$B4,累计考核费用!G$107:G$156)/10000</f>
        <v>18.738512</v>
      </c>
      <c r="I4" s="8">
        <f>SUMIF(累计考核费用!$B$107:$B$156,原格式费用考核表!$B4,累计考核费用!L$107:L$156)/10000</f>
        <v>23.043157000000001</v>
      </c>
      <c r="J4" s="8">
        <f>SUMIF(累计考核费用!$B$107:$B$156,原格式费用考核表!$B4,累计考核费用!M$107:M$156)/10000</f>
        <v>1.5839719999999999</v>
      </c>
      <c r="K4" s="8">
        <f>SUMIF(累计考核费用!$B$107:$B$156,原格式费用考核表!$B4,累计考核费用!Q$107:Q$156)/10000</f>
        <v>3.5087429999999999</v>
      </c>
      <c r="L4" s="8">
        <f>SUMIF(累计考核费用!$B$107:$B$156,原格式费用考核表!$B4,累计考核费用!P$107:P$156)/10000</f>
        <v>6.7209330000000005</v>
      </c>
      <c r="M4" s="8">
        <f>SUMIF(累计考核费用!$B$107:$B$156,原格式费用考核表!$B4,累计考核费用!O$107:O$156)/10000</f>
        <v>1.1763809999999999</v>
      </c>
      <c r="N4" s="8">
        <f>SUMIF(累计考核费用!$B$107:$B$156,原格式费用考核表!$B4,累计考核费用!R$107:R$156)/10000</f>
        <v>3.8769490000000006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SUMIF(累计考核费用!$B$107:$B$156,原格式费用考核表!$B4,累计考核费用!S$107:S$156)/10000</f>
        <v>3.0326680000000001</v>
      </c>
      <c r="Q4" s="8" t="e">
        <f>SUMIF(累计考核费用!$B$107:$B$156,原格式费用考核表!$B4,累计考核费用!#REF!)/10000</f>
        <v>#REF!</v>
      </c>
      <c r="R4" s="8">
        <f>SUMIF(累计考核费用!$B$107:$B$156,原格式费用考核表!$B4,累计考核费用!T$107:T$156)/10000</f>
        <v>178.15862000000001</v>
      </c>
      <c r="S4" s="8">
        <f>SUMIF(累计考核费用!$B$107:$B$156,原格式费用考核表!$B4,累计考核费用!U$107:U$156)/10000</f>
        <v>12.866103000000001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SUMIF(累计考核费用!$B$107:$B$156,原格式费用考核表!$B4,累计考核费用!V$107:V$156)/10000</f>
        <v>135.29619500000001</v>
      </c>
      <c r="V4" s="8">
        <f>SUMIF(累计考核费用!$B$107:$B$156,原格式费用考核表!$B4,累计考核费用!W$107:W$156)/10000</f>
        <v>28.655558000000003</v>
      </c>
      <c r="W4" s="8">
        <f>SUMIF(累计考核费用!$B$107:$B$156,原格式费用考核表!$B4,累计考核费用!AB$107:AB$156)/10000</f>
        <v>5.2670569999999994</v>
      </c>
      <c r="X4" s="8" t="e">
        <f>SUMIF(累计考核费用!$B$107:$B$156,原格式费用考核表!$B4,累计考核费用!#REF!)/10000</f>
        <v>#REF!</v>
      </c>
      <c r="Y4" s="8" t="e">
        <f>SUMIF(累计考核费用!$B$107:$B$156,原格式费用考核表!$B4,累计考核费用!#REF!)/10000</f>
        <v>#REF!</v>
      </c>
      <c r="Z4" s="8" t="e">
        <f>SUMIF(累计考核费用!$B$107:$B$156,原格式费用考核表!$B4,累计考核费用!#REF!)/10000</f>
        <v>#REF!</v>
      </c>
      <c r="AA4" s="8">
        <f>SUMIF(累计考核费用!$B$107:$B$156,原格式费用考核表!$B4,累计考核费用!AC$107:AC$156)/10000</f>
        <v>6.7333339999999993</v>
      </c>
      <c r="AB4" s="8" t="e">
        <f>SUMIF(累计考核费用!$B$107:$B$156,原格式费用考核表!$B4,累计考核费用!#REF!)/10000</f>
        <v>#REF!</v>
      </c>
    </row>
    <row r="5" spans="1:28" s="2" customFormat="1" ht="12" customHeight="1">
      <c r="A5" s="258"/>
      <c r="B5" s="7" t="s">
        <v>93</v>
      </c>
      <c r="C5" s="7" t="s">
        <v>92</v>
      </c>
      <c r="D5" s="8">
        <f>SUMIF(累计考核费用!$B$107:$B$156,原格式费用考核表!$B5,累计考核费用!C$107:C$156)/10000</f>
        <v>4642.4434559999991</v>
      </c>
      <c r="E5" s="8">
        <f>SUMIF(累计考核费用!$B$107:$B$156,原格式费用考核表!$B5,累计考核费用!D$107:D$156)/10000</f>
        <v>0</v>
      </c>
      <c r="F5" s="8">
        <f>SUMIF(累计考核费用!$B$107:$B$156,原格式费用考核表!$B5,累计考核费用!E$107:E$156)/10000</f>
        <v>1001.3326789999995</v>
      </c>
      <c r="G5" s="8">
        <f>SUMIF(累计考核费用!$B$107:$B$156,原格式费用考核表!$B5,累计考核费用!F$107:F$156)/10000</f>
        <v>2487.6863120000003</v>
      </c>
      <c r="H5" s="8">
        <f>SUMIF(累计考核费用!$B$107:$B$156,原格式费用考核表!$B5,累计考核费用!G$107:G$156)/10000</f>
        <v>211.29468799999998</v>
      </c>
      <c r="I5" s="8">
        <f>SUMIF(累计考核费用!$B$107:$B$156,原格式费用考核表!$B5,累计考核费用!L$107:L$156)/10000</f>
        <v>240.38563399999998</v>
      </c>
      <c r="J5" s="8">
        <f>SUMIF(累计考核费用!$B$107:$B$156,原格式费用考核表!$B5,累计考核费用!M$107:M$156)/10000</f>
        <v>11.849267999999999</v>
      </c>
      <c r="K5" s="8">
        <f>SUMIF(累计考核费用!$B$107:$B$156,原格式费用考核表!$B5,累计考核费用!Q$107:Q$156)/10000</f>
        <v>35.518151999999994</v>
      </c>
      <c r="L5" s="8">
        <f>SUMIF(累计考核费用!$B$107:$B$156,原格式费用考核表!$B5,累计考核费用!P$107:P$156)/10000</f>
        <v>78.034291999999994</v>
      </c>
      <c r="M5" s="8">
        <f>SUMIF(累计考核费用!$B$107:$B$156,原格式费用考核表!$B5,累计考核费用!O$107:O$156)/10000</f>
        <v>10.049879999999998</v>
      </c>
      <c r="N5" s="8">
        <f>SUMIF(累计考核费用!$B$107:$B$156,原格式费用考核表!$B5,累计考核费用!R$107:R$156)/10000</f>
        <v>35.480829000000007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SUMIF(累计考核费用!$B$107:$B$156,原格式费用考核表!$B5,累计考核费用!S$107:S$156)/10000</f>
        <v>34.624390999999996</v>
      </c>
      <c r="Q5" s="8" t="e">
        <f>SUMIF(累计考核费用!$B$107:$B$156,原格式费用考核表!$B5,累计考核费用!#REF!)/10000</f>
        <v>#REF!</v>
      </c>
      <c r="R5" s="8">
        <f>SUMIF(累计考核费用!$B$107:$B$156,原格式费用考核表!$B5,累计考核费用!T$107:T$156)/10000</f>
        <v>519.97657199999992</v>
      </c>
      <c r="S5" s="8">
        <f>SUMIF(累计考核费用!$B$107:$B$156,原格式费用考核表!$B5,累计考核费用!U$107:U$156)/10000</f>
        <v>148.29688100000001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SUMIF(累计考核费用!$B$107:$B$156,原格式费用考核表!$B5,累计考核费用!V$107:V$156)/10000</f>
        <v>185.63787200000002</v>
      </c>
      <c r="V5" s="8">
        <f>SUMIF(累计考核费用!$B$107:$B$156,原格式费用考核表!$B5,累计考核费用!W$107:W$156)/10000</f>
        <v>159.90214799999998</v>
      </c>
      <c r="W5" s="8">
        <f>SUMIF(累计考核费用!$B$107:$B$156,原格式费用考核表!$B5,累计考核费用!AB$107:AB$156)/10000</f>
        <v>71.250440999999995</v>
      </c>
      <c r="X5" s="8" t="e">
        <f>SUMIF(累计考核费用!$B$107:$B$156,原格式费用考核表!$B5,累计考核费用!#REF!)/10000</f>
        <v>#REF!</v>
      </c>
      <c r="Y5" s="8" t="e">
        <f>SUMIF(累计考核费用!$B$107:$B$156,原格式费用考核表!$B5,累计考核费用!#REF!)/10000</f>
        <v>#REF!</v>
      </c>
      <c r="Z5" s="8" t="e">
        <f>SUMIF(累计考核费用!$B$107:$B$156,原格式费用考核表!$B5,累计考核费用!#REF!)/10000</f>
        <v>#REF!</v>
      </c>
      <c r="AA5" s="8">
        <f>SUMIF(累计考核费用!$B$107:$B$156,原格式费用考核表!$B5,累计考核费用!AC$107:AC$156)/10000</f>
        <v>110.51712999999998</v>
      </c>
      <c r="AB5" s="8" t="e">
        <f>SUMIF(累计考核费用!$B$107:$B$156,原格式费用考核表!$B5,累计考核费用!#REF!)/10000</f>
        <v>#REF!</v>
      </c>
    </row>
    <row r="6" spans="1:28" s="2" customFormat="1" ht="12" customHeight="1">
      <c r="A6" s="258"/>
      <c r="B6" s="7" t="s">
        <v>94</v>
      </c>
      <c r="C6" s="7" t="s">
        <v>93</v>
      </c>
      <c r="D6" s="8">
        <f>SUMIF(累计考核费用!$B$107:$B$156,原格式费用考核表!$B6,累计考核费用!C$107:C$156)/10000</f>
        <v>35.974437000000002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20</v>
      </c>
      <c r="G6" s="8">
        <f>SUMIF(累计考核费用!$B$107:$B$156,原格式费用考核表!$B6,累计考核费用!F$107:F$156)/10000</f>
        <v>11.274900000000001</v>
      </c>
      <c r="H6" s="8">
        <f>SUMIF(累计考核费用!$B$107:$B$156,原格式费用考核表!$B6,累计考核费用!G$107:G$156)/10000</f>
        <v>4.6995370000000003</v>
      </c>
      <c r="I6" s="8">
        <f>SUMIF(累计考核费用!$B$107:$B$156,原格式费用考核表!$B6,累计考核费用!L$107:L$156)/10000</f>
        <v>0</v>
      </c>
      <c r="J6" s="8">
        <f>SUMIF(累计考核费用!$B$107:$B$156,原格式费用考核表!$B6,累计考核费用!M$107:M$156)/10000</f>
        <v>0</v>
      </c>
      <c r="K6" s="8">
        <f>SUMIF(累计考核费用!$B$107:$B$156,原格式费用考核表!$B6,累计考核费用!Q$107:Q$156)/10000</f>
        <v>0</v>
      </c>
      <c r="L6" s="8">
        <f>SUMIF(累计考核费用!$B$107:$B$156,原格式费用考核表!$B6,累计考核费用!P$107:P$156)/10000</f>
        <v>0</v>
      </c>
      <c r="M6" s="8">
        <f>SUMIF(累计考核费用!$B$107:$B$156,原格式费用考核表!$B6,累计考核费用!O$107:O$156)/10000</f>
        <v>0</v>
      </c>
      <c r="N6" s="8">
        <f>SUMIF(累计考核费用!$B$107:$B$156,原格式费用考核表!$B6,累计考核费用!R$107:R$156)/10000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SUMIF(累计考核费用!$B$107:$B$156,原格式费用考核表!$B6,累计考核费用!S$107:S$156)/10000</f>
        <v>0</v>
      </c>
      <c r="Q6" s="8" t="e">
        <f>SUMIF(累计考核费用!$B$107:$B$156,原格式费用考核表!$B6,累计考核费用!#REF!)/10000</f>
        <v>#REF!</v>
      </c>
      <c r="R6" s="8">
        <f>SUMIF(累计考核费用!$B$107:$B$156,原格式费用考核表!$B6,累计考核费用!T$107:T$156)/10000</f>
        <v>0</v>
      </c>
      <c r="S6" s="8">
        <f>SUMIF(累计考核费用!$B$107:$B$156,原格式费用考核表!$B6,累计考核费用!U$107:U$156)/10000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SUMIF(累计考核费用!$B$107:$B$156,原格式费用考核表!$B6,累计考核费用!V$107:V$156)/10000</f>
        <v>0</v>
      </c>
      <c r="V6" s="8">
        <f>SUMIF(累计考核费用!$B$107:$B$156,原格式费用考核表!$B6,累计考核费用!W$107:W$156)/10000</f>
        <v>0</v>
      </c>
      <c r="W6" s="8">
        <f>SUMIF(累计考核费用!$B$107:$B$156,原格式费用考核表!$B6,累计考核费用!AB$107:AB$156)/10000</f>
        <v>0</v>
      </c>
      <c r="X6" s="8" t="e">
        <f>SUMIF(累计考核费用!$B$107:$B$156,原格式费用考核表!$B6,累计考核费用!#REF!)/10000</f>
        <v>#REF!</v>
      </c>
      <c r="Y6" s="8" t="e">
        <f>SUMIF(累计考核费用!$B$107:$B$156,原格式费用考核表!$B6,累计考核费用!#REF!)/10000</f>
        <v>#REF!</v>
      </c>
      <c r="Z6" s="8" t="e">
        <f>SUMIF(累计考核费用!$B$107:$B$156,原格式费用考核表!$B6,累计考核费用!#REF!)/10000</f>
        <v>#REF!</v>
      </c>
      <c r="AA6" s="8">
        <f>SUMIF(累计考核费用!$B$107:$B$156,原格式费用考核表!$B6,累计考核费用!AC$107:AC$156)/10000</f>
        <v>0</v>
      </c>
      <c r="AB6" s="8" t="e">
        <f>SUMIF(累计考核费用!$B$107:$B$156,原格式费用考核表!$B6,累计考核费用!#REF!)/10000</f>
        <v>#REF!</v>
      </c>
    </row>
    <row r="7" spans="1:28" s="2" customFormat="1" ht="12" customHeight="1">
      <c r="A7" s="258"/>
      <c r="B7" s="7" t="s">
        <v>95</v>
      </c>
      <c r="C7" s="7" t="s">
        <v>94</v>
      </c>
      <c r="D7" s="8">
        <f>SUMIF(累计考核费用!$B$107:$B$156,原格式费用考核表!$B7,累计考核费用!C$107:C$156)/10000</f>
        <v>271.77863699999995</v>
      </c>
      <c r="E7" s="8">
        <f>SUMIF(累计考核费用!$B$107:$B$156,原格式费用考核表!$B7,累计考核费用!D$107:D$156)/10000</f>
        <v>0</v>
      </c>
      <c r="F7" s="8">
        <f>SUMIF(累计考核费用!$B$107:$B$156,原格式费用考核表!$B7,累计考核费用!E$107:E$156)/10000</f>
        <v>257.14621899999997</v>
      </c>
      <c r="G7" s="8">
        <f>SUMIF(累计考核费用!$B$107:$B$156,原格式费用考核表!$B7,累计考核费用!F$107:F$156)/10000</f>
        <v>14.149177999999999</v>
      </c>
      <c r="H7" s="8">
        <f>SUMIF(累计考核费用!$B$107:$B$156,原格式费用考核表!$B7,累计考核费用!G$107:G$156)/10000</f>
        <v>1.2734400000000001</v>
      </c>
      <c r="I7" s="8">
        <f>SUMIF(累计考核费用!$B$107:$B$156,原格式费用考核表!$B7,累计考核费用!L$107:L$156)/10000</f>
        <v>-9.4529999999999989E-2</v>
      </c>
      <c r="J7" s="8">
        <f>SUMIF(累计考核费用!$B$107:$B$156,原格式费用考核表!$B7,累计考核费用!M$107:M$156)/10000</f>
        <v>0</v>
      </c>
      <c r="K7" s="8">
        <f>SUMIF(累计考核费用!$B$107:$B$156,原格式费用考核表!$B7,累计考核费用!Q$107:Q$156)/10000</f>
        <v>0</v>
      </c>
      <c r="L7" s="8">
        <f>SUMIF(累计考核费用!$B$107:$B$156,原格式费用考核表!$B7,累计考核费用!P$107:P$156)/10000</f>
        <v>0</v>
      </c>
      <c r="M7" s="8">
        <f>SUMIF(累计考核费用!$B$107:$B$156,原格式费用考核表!$B7,累计考核费用!O$107:O$156)/10000</f>
        <v>0</v>
      </c>
      <c r="N7" s="8">
        <f>SUMIF(累计考核费用!$B$107:$B$156,原格式费用考核表!$B7,累计考核费用!R$107:R$156)/10000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SUMIF(累计考核费用!$B$107:$B$156,原格式费用考核表!$B7,累计考核费用!S$107:S$156)/10000</f>
        <v>-9.4529999999999989E-2</v>
      </c>
      <c r="Q7" s="8" t="e">
        <f>SUMIF(累计考核费用!$B$107:$B$156,原格式费用考核表!$B7,累计考核费用!#REF!)/10000</f>
        <v>#REF!</v>
      </c>
      <c r="R7" s="8">
        <f>SUMIF(累计考核费用!$B$107:$B$156,原格式费用考核表!$B7,累计考核费用!T$107:T$156)/10000</f>
        <v>-0.39509999999999995</v>
      </c>
      <c r="S7" s="8">
        <f>SUMIF(累计考核费用!$B$107:$B$156,原格式费用考核表!$B7,累计考核费用!U$107:U$156)/10000</f>
        <v>-0.11150999999999998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SUMIF(累计考核费用!$B$107:$B$156,原格式费用考核表!$B7,累计考核费用!V$107:V$156)/10000</f>
        <v>-9.4529999999999989E-2</v>
      </c>
      <c r="V7" s="8">
        <f>SUMIF(累计考核费用!$B$107:$B$156,原格式费用考核表!$B7,累计考核费用!W$107:W$156)/10000</f>
        <v>-0.18905999999999998</v>
      </c>
      <c r="W7" s="8">
        <f>SUMIF(累计考核费用!$B$107:$B$156,原格式费用考核表!$B7,累计考核费用!AB$107:AB$156)/10000</f>
        <v>-9.4529999999999989E-2</v>
      </c>
      <c r="X7" s="8" t="e">
        <f>SUMIF(累计考核费用!$B$107:$B$156,原格式费用考核表!$B7,累计考核费用!#REF!)/10000</f>
        <v>#REF!</v>
      </c>
      <c r="Y7" s="8" t="e">
        <f>SUMIF(累计考核费用!$B$107:$B$156,原格式费用考核表!$B7,累计考核费用!#REF!)/10000</f>
        <v>#REF!</v>
      </c>
      <c r="Z7" s="8" t="e">
        <f>SUMIF(累计考核费用!$B$107:$B$156,原格式费用考核表!$B7,累计考核费用!#REF!)/10000</f>
        <v>#REF!</v>
      </c>
      <c r="AA7" s="8">
        <f>SUMIF(累计考核费用!$B$107:$B$156,原格式费用考核表!$B7,累计考核费用!AC$107:AC$156)/10000</f>
        <v>-0.20603999999999997</v>
      </c>
      <c r="AB7" s="8" t="e">
        <f>SUMIF(累计考核费用!$B$107:$B$156,原格式费用考核表!$B7,累计考核费用!#REF!)/10000</f>
        <v>#REF!</v>
      </c>
    </row>
    <row r="8" spans="1:28" s="2" customFormat="1" ht="12" customHeight="1">
      <c r="A8" s="258"/>
      <c r="B8" s="7" t="s">
        <v>96</v>
      </c>
      <c r="C8" s="7" t="s">
        <v>95</v>
      </c>
      <c r="D8" s="8">
        <f>SUMIF(累计考核费用!$B$107:$B$156,原格式费用考核表!$B8,累计考核费用!C$107:C$156)/10000</f>
        <v>232.57144899999997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43.759999999999955</v>
      </c>
      <c r="G8" s="8">
        <f>SUMIF(累计考核费用!$B$107:$B$156,原格式费用考核表!$B8,累计考核费用!F$107:F$156)/10000</f>
        <v>155.81662100000003</v>
      </c>
      <c r="H8" s="8">
        <f>SUMIF(累计考核费用!$B$107:$B$156,原格式费用考核表!$B8,累计考核费用!G$107:G$156)/10000</f>
        <v>10.394</v>
      </c>
      <c r="I8" s="8">
        <f>SUMIF(累计考核费用!$B$107:$B$156,原格式费用考核表!$B8,累计考核费用!L$107:L$156)/10000</f>
        <v>14.878</v>
      </c>
      <c r="J8" s="8">
        <f>SUMIF(累计考核费用!$B$107:$B$156,原格式费用考核表!$B8,累计考核费用!M$107:M$156)/10000</f>
        <v>-1.0660000000000001</v>
      </c>
      <c r="K8" s="8">
        <f>SUMIF(累计考核费用!$B$107:$B$156,原格式费用考核表!$B8,累计考核费用!Q$107:Q$156)/10000</f>
        <v>2.4780000000000002</v>
      </c>
      <c r="L8" s="8">
        <f>SUMIF(累计考核费用!$B$107:$B$156,原格式费用考核表!$B8,累计考核费用!P$107:P$156)/10000</f>
        <v>4.5739999999999998</v>
      </c>
      <c r="M8" s="8">
        <f>SUMIF(累计考核费用!$B$107:$B$156,原格式费用考核表!$B8,累计考核费用!O$107:O$156)/10000</f>
        <v>0.96599999999999997</v>
      </c>
      <c r="N8" s="8">
        <f>SUMIF(累计考核费用!$B$107:$B$156,原格式费用考核表!$B8,累计考核费用!R$107:R$156)/10000</f>
        <v>2.5859999999999999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SUMIF(累计考核费用!$B$107:$B$156,原格式费用考核表!$B8,累计考核费用!S$107:S$156)/10000</f>
        <v>1.722</v>
      </c>
      <c r="Q8" s="8" t="e">
        <f>SUMIF(累计考核费用!$B$107:$B$156,原格式费用考核表!$B8,累计考核费用!#REF!)/10000</f>
        <v>#REF!</v>
      </c>
      <c r="R8" s="8">
        <f>SUMIF(累计考核费用!$B$107:$B$156,原格式费用考核表!$B8,累计考核费用!T$107:T$156)/10000</f>
        <v>0</v>
      </c>
      <c r="S8" s="8">
        <f>SUMIF(累计考核费用!$B$107:$B$156,原格式费用考核表!$B8,累计考核费用!U$107:U$156)/10000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SUMIF(累计考核费用!$B$107:$B$156,原格式费用考核表!$B8,累计考核费用!V$107:V$156)/10000</f>
        <v>0</v>
      </c>
      <c r="V8" s="8">
        <f>SUMIF(累计考核费用!$B$107:$B$156,原格式费用考核表!$B8,累计考核费用!W$107:W$156)/10000</f>
        <v>0</v>
      </c>
      <c r="W8" s="8">
        <f>SUMIF(累计考核费用!$B$107:$B$156,原格式费用考核表!$B8,累计考核费用!AB$107:AB$156)/10000</f>
        <v>0</v>
      </c>
      <c r="X8" s="8" t="e">
        <f>SUMIF(累计考核费用!$B$107:$B$156,原格式费用考核表!$B8,累计考核费用!#REF!)/10000</f>
        <v>#REF!</v>
      </c>
      <c r="Y8" s="8" t="e">
        <f>SUMIF(累计考核费用!$B$107:$B$156,原格式费用考核表!$B8,累计考核费用!#REF!)/10000</f>
        <v>#REF!</v>
      </c>
      <c r="Z8" s="8" t="e">
        <f>SUMIF(累计考核费用!$B$107:$B$156,原格式费用考核表!$B8,累计考核费用!#REF!)/10000</f>
        <v>#REF!</v>
      </c>
      <c r="AA8" s="8">
        <f>SUMIF(累计考核费用!$B$107:$B$156,原格式费用考核表!$B8,累计考核费用!AC$107:AC$156)/10000</f>
        <v>7.7228279999999998</v>
      </c>
      <c r="AB8" s="8" t="e">
        <f>SUMIF(累计考核费用!$B$107:$B$156,原格式费用考核表!$B8,累计考核费用!#REF!)/10000</f>
        <v>#REF!</v>
      </c>
    </row>
    <row r="9" spans="1:28" s="2" customFormat="1" ht="12" customHeight="1">
      <c r="A9" s="258"/>
      <c r="B9" s="7" t="s">
        <v>139</v>
      </c>
      <c r="C9" s="7" t="s">
        <v>96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58"/>
      <c r="B10" s="7" t="s">
        <v>98</v>
      </c>
      <c r="C10" s="7" t="s">
        <v>97</v>
      </c>
      <c r="D10" s="8">
        <f>SUMIF(累计考核费用!$B$107:$B$156,原格式费用考核表!$B10,累计考核费用!C$107:C$156)/10000</f>
        <v>1750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1750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SUMIF(累计考核费用!$B$107:$B$156,原格式费用考核表!$B10,累计考核费用!L$107:L$156)/10000</f>
        <v>0</v>
      </c>
      <c r="J10" s="8">
        <f>SUMIF(累计考核费用!$B$107:$B$156,原格式费用考核表!$B10,累计考核费用!M$107:M$156)/10000</f>
        <v>0</v>
      </c>
      <c r="K10" s="8">
        <f>SUMIF(累计考核费用!$B$107:$B$156,原格式费用考核表!$B10,累计考核费用!Q$107:Q$156)/10000</f>
        <v>0</v>
      </c>
      <c r="L10" s="8">
        <f>SUMIF(累计考核费用!$B$107:$B$156,原格式费用考核表!$B10,累计考核费用!P$107:P$156)/10000</f>
        <v>0</v>
      </c>
      <c r="M10" s="8">
        <f>SUMIF(累计考核费用!$B$107:$B$156,原格式费用考核表!$B10,累计考核费用!O$107:O$156)/10000</f>
        <v>0</v>
      </c>
      <c r="N10" s="8">
        <f>SUMIF(累计考核费用!$B$107:$B$156,原格式费用考核表!$B10,累计考核费用!R$107:R$156)/10000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SUMIF(累计考核费用!$B$107:$B$156,原格式费用考核表!$B10,累计考核费用!S$107:S$156)/10000</f>
        <v>0</v>
      </c>
      <c r="Q10" s="8" t="e">
        <f>SUMIF(累计考核费用!$B$107:$B$156,原格式费用考核表!$B10,累计考核费用!#REF!)/10000</f>
        <v>#REF!</v>
      </c>
      <c r="R10" s="8">
        <f>SUMIF(累计考核费用!$B$107:$B$156,原格式费用考核表!$B10,累计考核费用!T$107:T$156)/10000</f>
        <v>0</v>
      </c>
      <c r="S10" s="8">
        <f>SUMIF(累计考核费用!$B$107:$B$156,原格式费用考核表!$B10,累计考核费用!U$107:U$156)/10000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SUMIF(累计考核费用!$B$107:$B$156,原格式费用考核表!$B10,累计考核费用!V$107:V$156)/10000</f>
        <v>0</v>
      </c>
      <c r="V10" s="8">
        <f>SUMIF(累计考核费用!$B$107:$B$156,原格式费用考核表!$B10,累计考核费用!W$107:W$156)/10000</f>
        <v>0</v>
      </c>
      <c r="W10" s="8">
        <f>SUMIF(累计考核费用!$B$107:$B$156,原格式费用考核表!$B10,累计考核费用!AB$107:AB$156)/10000</f>
        <v>0</v>
      </c>
      <c r="X10" s="8" t="e">
        <f>SUMIF(累计考核费用!$B$107:$B$156,原格式费用考核表!$B10,累计考核费用!#REF!)/10000</f>
        <v>#REF!</v>
      </c>
      <c r="Y10" s="8" t="e">
        <f>SUMIF(累计考核费用!$B$107:$B$156,原格式费用考核表!$B10,累计考核费用!#REF!)/10000</f>
        <v>#REF!</v>
      </c>
      <c r="Z10" s="8" t="e">
        <f>SUMIF(累计考核费用!$B$107:$B$156,原格式费用考核表!$B10,累计考核费用!#REF!)/10000</f>
        <v>#REF!</v>
      </c>
      <c r="AA10" s="8">
        <f>SUMIF(累计考核费用!$B$107:$B$156,原格式费用考核表!$B10,累计考核费用!AC$107:AC$156)/10000</f>
        <v>0</v>
      </c>
      <c r="AB10" s="8" t="e">
        <f>SUMIF(累计考核费用!$B$107:$B$156,原格式费用考核表!$B10,累计考核费用!#REF!)/10000</f>
        <v>#REF!</v>
      </c>
    </row>
    <row r="11" spans="1:28" s="2" customFormat="1" ht="12" customHeight="1">
      <c r="A11" s="259"/>
      <c r="B11" s="7" t="s">
        <v>99</v>
      </c>
      <c r="C11" s="7" t="s">
        <v>98</v>
      </c>
      <c r="D11" s="10">
        <f t="shared" ref="D11:AB11" si="2">SUM(D2:D10)</f>
        <v>26057.767158999995</v>
      </c>
      <c r="E11" s="10">
        <f t="shared" si="2"/>
        <v>0</v>
      </c>
      <c r="F11" s="10">
        <f t="shared" si="2"/>
        <v>8024.2262029999993</v>
      </c>
      <c r="G11" s="10">
        <f t="shared" si="2"/>
        <v>11708.530250000002</v>
      </c>
      <c r="H11" s="10">
        <f t="shared" si="2"/>
        <v>1084.4215239999999</v>
      </c>
      <c r="I11" s="10">
        <f t="shared" si="2"/>
        <v>1459.304999</v>
      </c>
      <c r="J11" s="10">
        <f t="shared" si="2"/>
        <v>93.411968000000002</v>
      </c>
      <c r="K11" s="10">
        <f t="shared" si="2"/>
        <v>215.66810600000002</v>
      </c>
      <c r="L11" s="10">
        <f t="shared" si="2"/>
        <v>424.14851499999997</v>
      </c>
      <c r="M11" s="10">
        <f t="shared" si="2"/>
        <v>70.208351000000008</v>
      </c>
      <c r="N11" s="10">
        <f t="shared" si="2"/>
        <v>234.09691699999999</v>
      </c>
      <c r="O11" s="10" t="e">
        <f t="shared" si="2"/>
        <v>#REF!</v>
      </c>
      <c r="P11" s="10">
        <f t="shared" si="2"/>
        <v>225.72280200000003</v>
      </c>
      <c r="Q11" s="10" t="e">
        <f t="shared" si="2"/>
        <v>#REF!</v>
      </c>
      <c r="R11" s="10">
        <f t="shared" si="2"/>
        <v>2723.7649259999998</v>
      </c>
      <c r="S11" s="10">
        <f t="shared" si="2"/>
        <v>669.39736100000005</v>
      </c>
      <c r="T11" s="10" t="e">
        <f t="shared" si="2"/>
        <v>#REF!</v>
      </c>
      <c r="U11" s="10">
        <f t="shared" si="2"/>
        <v>1025.626182</v>
      </c>
      <c r="V11" s="10">
        <f t="shared" si="2"/>
        <v>934.55721099999994</v>
      </c>
      <c r="W11" s="10">
        <f t="shared" si="2"/>
        <v>514.11846700000012</v>
      </c>
      <c r="X11" s="10" t="e">
        <f t="shared" si="2"/>
        <v>#REF!</v>
      </c>
      <c r="Y11" s="10" t="e">
        <f t="shared" si="2"/>
        <v>#REF!</v>
      </c>
      <c r="Z11" s="10" t="e">
        <f t="shared" si="2"/>
        <v>#REF!</v>
      </c>
      <c r="AA11" s="10">
        <f t="shared" si="2"/>
        <v>541.53119000000004</v>
      </c>
      <c r="AB11" s="10" t="e">
        <f t="shared" si="2"/>
        <v>#REF!</v>
      </c>
    </row>
    <row r="12" spans="1:28" s="2" customFormat="1" ht="12" customHeight="1">
      <c r="A12" s="254" t="s">
        <v>100</v>
      </c>
      <c r="B12" s="11" t="s">
        <v>101</v>
      </c>
      <c r="C12" s="11" t="s">
        <v>99</v>
      </c>
      <c r="D12" s="8">
        <f>SUMIF(累计考核费用!$B$107:$B$156,原格式费用考核表!$B12,累计考核费用!C$107:C$156)/10000</f>
        <v>9152.961299999999</v>
      </c>
      <c r="E12" s="8">
        <f>SUMIF(累计考核费用!$B$107:$B$156,原格式费用考核表!$B12,累计考核费用!D$107:D$156)/10000</f>
        <v>-174.078768</v>
      </c>
      <c r="F12" s="8">
        <f>SUMIF(累计考核费用!$B$107:$B$156,原格式费用考核表!$B12,累计考核费用!E$107:E$156)/10000</f>
        <v>-1.4901161193847657E-12</v>
      </c>
      <c r="G12" s="8">
        <f>SUMIF(累计考核费用!$B$107:$B$156,原格式费用考核表!$B12,累计考核费用!F$107:F$156)/10000</f>
        <v>2329.637428</v>
      </c>
      <c r="H12" s="8">
        <f>SUMIF(累计考核费用!$B$107:$B$156,原格式费用考核表!$B12,累计考核费用!G$107:G$156)/10000</f>
        <v>225.53356799999997</v>
      </c>
      <c r="I12" s="8">
        <f>SUMIF(累计考核费用!$B$107:$B$156,原格式费用考核表!$B12,累计考核费用!L$107:L$156)/10000</f>
        <v>0.34</v>
      </c>
      <c r="J12" s="8">
        <f>SUMIF(累计考核费用!$B$107:$B$156,原格式费用考核表!$B12,累计考核费用!M$107:M$156)/10000</f>
        <v>0</v>
      </c>
      <c r="K12" s="8">
        <f>SUMIF(累计考核费用!$B$107:$B$156,原格式费用考核表!$B12,累计考核费用!Q$107:Q$156)/10000</f>
        <v>0</v>
      </c>
      <c r="L12" s="8">
        <f>SUMIF(累计考核费用!$B$107:$B$156,原格式费用考核表!$B12,累计考核费用!P$107:P$156)/10000</f>
        <v>0</v>
      </c>
      <c r="M12" s="8">
        <f>SUMIF(累计考核费用!$B$107:$B$156,原格式费用考核表!$B12,累计考核费用!O$107:O$156)/10000</f>
        <v>0</v>
      </c>
      <c r="N12" s="8">
        <f>SUMIF(累计考核费用!$B$107:$B$156,原格式费用考核表!$B12,累计考核费用!R$107:R$156)/10000</f>
        <v>0.34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SUMIF(累计考核费用!$B$107:$B$156,原格式费用考核表!$B12,累计考核费用!S$107:S$156)/10000</f>
        <v>0</v>
      </c>
      <c r="Q12" s="8" t="e">
        <f>SUMIF(累计考核费用!$B$107:$B$156,原格式费用考核表!$B12,累计考核费用!#REF!)/10000</f>
        <v>#REF!</v>
      </c>
      <c r="R12" s="8">
        <f>SUMIF(累计考核费用!$B$107:$B$156,原格式费用考核表!$B12,累计考核费用!T$107:T$156)/10000</f>
        <v>6771.5290720000003</v>
      </c>
      <c r="S12" s="8">
        <f>SUMIF(累计考核费用!$B$107:$B$156,原格式费用考核表!$B12,累计考核费用!U$107:U$156)/10000</f>
        <v>146.3083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SUMIF(累计考核费用!$B$107:$B$156,原格式费用考核表!$B12,累计考核费用!V$107:V$156)/10000</f>
        <v>6079.09</v>
      </c>
      <c r="V12" s="8">
        <f>SUMIF(累计考核费用!$B$107:$B$156,原格式费用考核表!$B12,累计考核费用!W$107:W$156)/10000</f>
        <v>546.13077199999998</v>
      </c>
      <c r="W12" s="8">
        <f>SUMIF(累计考核费用!$B$107:$B$156,原格式费用考核表!$B12,累计考核费用!AB$107:AB$156)/10000</f>
        <v>0</v>
      </c>
      <c r="X12" s="8" t="e">
        <f>SUMIF(累计考核费用!$B$107:$B$156,原格式费用考核表!$B12,累计考核费用!#REF!)/10000</f>
        <v>#REF!</v>
      </c>
      <c r="Y12" s="8" t="e">
        <f>SUMIF(累计考核费用!$B$107:$B$156,原格式费用考核表!$B12,累计考核费用!#REF!)/10000</f>
        <v>#REF!</v>
      </c>
      <c r="Z12" s="8" t="e">
        <f>SUMIF(累计考核费用!$B$107:$B$156,原格式费用考核表!$B12,累计考核费用!#REF!)/10000</f>
        <v>#REF!</v>
      </c>
      <c r="AA12" s="8">
        <f>SUMIF(累计考核费用!$B$107:$B$156,原格式费用考核表!$B12,累计考核费用!AC$107:AC$156)/10000</f>
        <v>0</v>
      </c>
      <c r="AB12" s="8" t="e">
        <f>SUMIF(累计考核费用!$B$107:$B$156,原格式费用考核表!$B12,累计考核费用!#REF!)/10000</f>
        <v>#REF!</v>
      </c>
    </row>
    <row r="13" spans="1:28" s="2" customFormat="1" ht="12" customHeight="1">
      <c r="A13" s="255"/>
      <c r="B13" s="11" t="s">
        <v>140</v>
      </c>
      <c r="C13" s="11" t="s">
        <v>101</v>
      </c>
      <c r="D13" s="8">
        <f>累计考核费用!C120/10000</f>
        <v>6197.290986</v>
      </c>
      <c r="E13" s="8">
        <v>1242</v>
      </c>
      <c r="F13" s="8">
        <f>累计考核费用!E120/10000</f>
        <v>1610.9864329999994</v>
      </c>
      <c r="G13" s="8">
        <f>累计考核费用!F120/10000</f>
        <v>5831.526726000001</v>
      </c>
      <c r="H13" s="8">
        <f>累计考核费用!G120/10000</f>
        <v>0</v>
      </c>
      <c r="I13" s="8">
        <f>累计考核费用!L120/10000</f>
        <v>0</v>
      </c>
      <c r="J13" s="8">
        <f>累计考核费用!M120/10000</f>
        <v>0</v>
      </c>
      <c r="K13" s="8">
        <f>累计考核费用!Q120/10000</f>
        <v>0</v>
      </c>
      <c r="L13" s="8">
        <f>累计考核费用!P120/10000</f>
        <v>0</v>
      </c>
      <c r="M13" s="8">
        <f>累计考核费用!O120/10000</f>
        <v>0</v>
      </c>
      <c r="N13" s="8">
        <f>累计考核费用!R120/10000</f>
        <v>0</v>
      </c>
      <c r="O13" s="8" t="e">
        <f>累计考核费用!#REF!/10000</f>
        <v>#REF!</v>
      </c>
      <c r="P13" s="8">
        <f>累计考核费用!S120/10000</f>
        <v>0</v>
      </c>
      <c r="Q13" s="8" t="e">
        <f>累计考核费用!#REF!/10000</f>
        <v>#REF!</v>
      </c>
      <c r="R13" s="8">
        <f>累计考核费用!T120/10000</f>
        <v>-1246.5458599999999</v>
      </c>
      <c r="S13" s="8">
        <f>累计考核费用!U120/10000</f>
        <v>27.804145000000002</v>
      </c>
      <c r="T13" s="8" t="e">
        <f>累计考核费用!#REF!/10000</f>
        <v>#REF!</v>
      </c>
      <c r="U13" s="8">
        <f>累计考核费用!V120/10000</f>
        <v>-1372.1940569999999</v>
      </c>
      <c r="V13" s="8">
        <f>累计考核费用!W120/10000</f>
        <v>97.844052000000005</v>
      </c>
      <c r="W13" s="8">
        <f>累计考核费用!AB120/10000</f>
        <v>0</v>
      </c>
      <c r="X13" s="8" t="e">
        <f>累计考核费用!#REF!/10000</f>
        <v>#REF!</v>
      </c>
      <c r="Y13" s="8" t="e">
        <f>累计考核费用!#REF!/10000</f>
        <v>#REF!</v>
      </c>
      <c r="Z13" s="8" t="e">
        <f>累计考核费用!#REF!/10000</f>
        <v>#REF!</v>
      </c>
      <c r="AA13" s="8">
        <f>累计考核费用!AC120/10000</f>
        <v>1.3236870000000001</v>
      </c>
      <c r="AB13" s="8" t="e">
        <f>累计考核费用!#REF!/10000</f>
        <v>#REF!</v>
      </c>
    </row>
    <row r="14" spans="1:28" s="2" customFormat="1" ht="12" customHeight="1">
      <c r="A14" s="255"/>
      <c r="B14" s="11" t="s">
        <v>103</v>
      </c>
      <c r="C14" s="11" t="s">
        <v>102</v>
      </c>
      <c r="D14" s="8">
        <f>SUMIF(累计考核费用!$B$107:$B$156,原格式费用考核表!$B14,累计考核费用!C$107:C$156)/10000</f>
        <v>1677.2946850000001</v>
      </c>
      <c r="E14" s="8">
        <f>SUMIF(累计考核费用!$B$107:$B$156,原格式费用考核表!$B14,累计考核费用!D$107:D$156)/10000</f>
        <v>-22.092905000000002</v>
      </c>
      <c r="F14" s="8">
        <f>SUMIF(累计考核费用!$B$107:$B$156,原格式费用考核表!$B14,累计考核费用!E$107:E$156)/10000</f>
        <v>-343.47076900000002</v>
      </c>
      <c r="G14" s="8">
        <f>SUMIF(累计考核费用!$B$107:$B$156,原格式费用考核表!$B14,累计考核费用!F$107:F$156)/10000</f>
        <v>1355.402382</v>
      </c>
      <c r="H14" s="8">
        <f>SUMIF(累计考核费用!$B$107:$B$156,原格式费用考核表!$B14,累计考核费用!G$107:G$156)/10000</f>
        <v>-68.650064</v>
      </c>
      <c r="I14" s="8">
        <f>SUMIF(累计考核费用!$B$107:$B$156,原格式费用考核表!$B14,累计考核费用!L$107:L$156)/10000</f>
        <v>313.63800299999997</v>
      </c>
      <c r="J14" s="8">
        <f>SUMIF(累计考核费用!$B$107:$B$156,原格式费用考核表!$B14,累计考核费用!M$107:M$156)/10000</f>
        <v>94.740000000000009</v>
      </c>
      <c r="K14" s="8">
        <f>SUMIF(累计考核费用!$B$107:$B$156,原格式费用考核表!$B14,累计考核费用!Q$107:Q$156)/10000</f>
        <v>-3.2128059999999992</v>
      </c>
      <c r="L14" s="8">
        <f>SUMIF(累计考核费用!$B$107:$B$156,原格式费用考核表!$B14,累计考核费用!P$107:P$156)/10000</f>
        <v>153.38349699999998</v>
      </c>
      <c r="M14" s="8">
        <f>SUMIF(累计考核费用!$B$107:$B$156,原格式费用考核表!$B14,累计考核费用!O$107:O$156)/10000</f>
        <v>7.8267670000000003</v>
      </c>
      <c r="N14" s="8">
        <f>SUMIF(累计考核费用!$B$107:$B$156,原格式费用考核表!$B14,累计考核费用!R$107:R$156)/10000</f>
        <v>5.3454630000000005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SUMIF(累计考核费用!$B$107:$B$156,原格式费用考核表!$B14,累计考核费用!S$107:S$156)/10000</f>
        <v>1.1384000000000002E-2</v>
      </c>
      <c r="Q14" s="8" t="e">
        <f>SUMIF(累计考核费用!$B$107:$B$156,原格式费用考核表!$B14,累计考核费用!#REF!)/10000</f>
        <v>#REF!</v>
      </c>
      <c r="R14" s="8">
        <f>SUMIF(累计考核费用!$B$107:$B$156,原格式费用考核表!$B14,累计考核费用!T$107:T$156)/10000</f>
        <v>442.52410800000001</v>
      </c>
      <c r="S14" s="8">
        <f>SUMIF(累计考核费用!$B$107:$B$156,原格式费用考核表!$B14,累计考核费用!U$107:U$156)/10000</f>
        <v>20.945461000000002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SUMIF(累计考核费用!$B$107:$B$156,原格式费用考核表!$B14,累计考核费用!V$107:V$156)/10000</f>
        <v>374.13376499999993</v>
      </c>
      <c r="V14" s="8">
        <f>SUMIF(累计考核费用!$B$107:$B$156,原格式费用考核表!$B14,累计考核费用!W$107:W$156)/10000</f>
        <v>45.663109000000006</v>
      </c>
      <c r="W14" s="8">
        <f>SUMIF(累计考核费用!$B$107:$B$156,原格式费用考核表!$B14,累计考核费用!AB$107:AB$156)/10000</f>
        <v>-5.6070000000000071E-2</v>
      </c>
      <c r="X14" s="8" t="e">
        <f>SUMIF(累计考核费用!$B$107:$B$156,原格式费用考核表!$B14,累计考核费用!#REF!)/10000</f>
        <v>#REF!</v>
      </c>
      <c r="Y14" s="8" t="e">
        <f>SUMIF(累计考核费用!$B$107:$B$156,原格式费用考核表!$B14,累计考核费用!#REF!)/10000</f>
        <v>#REF!</v>
      </c>
      <c r="Z14" s="8" t="e">
        <f>SUMIF(累计考核费用!$B$107:$B$156,原格式费用考核表!$B14,累计考核费用!#REF!)/10000</f>
        <v>#REF!</v>
      </c>
      <c r="AA14" s="8">
        <f>SUMIF(累计考核费用!$B$107:$B$156,原格式费用考核表!$B14,累计考核费用!AC$107:AC$156)/10000</f>
        <v>0</v>
      </c>
      <c r="AB14" s="8" t="e">
        <f>SUMIF(累计考核费用!$B$107:$B$156,原格式费用考核表!$B14,累计考核费用!#REF!)/10000</f>
        <v>#REF!</v>
      </c>
    </row>
    <row r="15" spans="1:28" s="2" customFormat="1" ht="12" customHeight="1">
      <c r="A15" s="255"/>
      <c r="B15" s="11" t="s">
        <v>105</v>
      </c>
      <c r="C15" s="11" t="s">
        <v>103</v>
      </c>
      <c r="D15" s="8">
        <f>SUMIF(累计考核费用!$B$107:$B$156,原格式费用考核表!$B15,累计考核费用!C$107:C$156)/10000</f>
        <v>11.160377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SUMIF(累计考核费用!$B$107:$B$156,原格式费用考核表!$B15,累计考核费用!L$107:L$156)/10000</f>
        <v>11.160377</v>
      </c>
      <c r="J15" s="8">
        <f>SUMIF(累计考核费用!$B$107:$B$156,原格式费用考核表!$B15,累计考核费用!M$107:M$156)/10000</f>
        <v>4.8333339999999998</v>
      </c>
      <c r="K15" s="8">
        <f>SUMIF(累计考核费用!$B$107:$B$156,原格式费用考核表!$B15,累计考核费用!Q$107:Q$156)/10000</f>
        <v>0</v>
      </c>
      <c r="L15" s="8">
        <f>SUMIF(累计考核费用!$B$107:$B$156,原格式费用考核表!$B15,累计考核费用!P$107:P$156)/10000</f>
        <v>0</v>
      </c>
      <c r="M15" s="8">
        <f>SUMIF(累计考核费用!$B$107:$B$156,原格式费用考核表!$B15,累计考核费用!O$107:O$156)/10000</f>
        <v>1.8333330000000001</v>
      </c>
      <c r="N15" s="8">
        <f>SUMIF(累计考核费用!$B$107:$B$156,原格式费用考核表!$B15,累计考核费用!R$107:R$156)/10000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SUMIF(累计考核费用!$B$107:$B$156,原格式费用考核表!$B15,累计考核费用!S$107:S$156)/10000</f>
        <v>0</v>
      </c>
      <c r="Q15" s="8" t="e">
        <f>SUMIF(累计考核费用!$B$107:$B$156,原格式费用考核表!$B15,累计考核费用!#REF!)/10000</f>
        <v>#REF!</v>
      </c>
      <c r="R15" s="8">
        <f>SUMIF(累计考核费用!$B$107:$B$156,原格式费用考核表!$B15,累计考核费用!T$107:T$156)/10000</f>
        <v>0</v>
      </c>
      <c r="S15" s="8">
        <f>SUMIF(累计考核费用!$B$107:$B$156,原格式费用考核表!$B15,累计考核费用!U$107:U$156)/10000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SUMIF(累计考核费用!$B$107:$B$156,原格式费用考核表!$B15,累计考核费用!V$107:V$156)/10000</f>
        <v>0</v>
      </c>
      <c r="V15" s="8">
        <f>SUMIF(累计考核费用!$B$107:$B$156,原格式费用考核表!$B15,累计考核费用!W$107:W$156)/10000</f>
        <v>0</v>
      </c>
      <c r="W15" s="8">
        <f>SUMIF(累计考核费用!$B$107:$B$156,原格式费用考核表!$B15,累计考核费用!AB$107:AB$156)/10000</f>
        <v>0</v>
      </c>
      <c r="X15" s="8" t="e">
        <f>SUMIF(累计考核费用!$B$107:$B$156,原格式费用考核表!$B15,累计考核费用!#REF!)/10000</f>
        <v>#REF!</v>
      </c>
      <c r="Y15" s="8" t="e">
        <f>SUMIF(累计考核费用!$B$107:$B$156,原格式费用考核表!$B15,累计考核费用!#REF!)/10000</f>
        <v>#REF!</v>
      </c>
      <c r="Z15" s="8" t="e">
        <f>SUMIF(累计考核费用!$B$107:$B$156,原格式费用考核表!$B15,累计考核费用!#REF!)/10000</f>
        <v>#REF!</v>
      </c>
      <c r="AA15" s="8">
        <f>SUMIF(累计考核费用!$B$107:$B$156,原格式费用考核表!$B15,累计考核费用!AC$107:AC$156)/10000</f>
        <v>0</v>
      </c>
      <c r="AB15" s="8" t="e">
        <f>SUMIF(累计考核费用!$B$107:$B$156,原格式费用考核表!$B15,累计考核费用!#REF!)/10000</f>
        <v>#REF!</v>
      </c>
    </row>
    <row r="16" spans="1:28" s="2" customFormat="1" ht="12" customHeight="1">
      <c r="A16" s="256"/>
      <c r="B16" s="11" t="s">
        <v>99</v>
      </c>
      <c r="C16" s="11" t="s">
        <v>104</v>
      </c>
      <c r="D16" s="10">
        <f t="shared" ref="D16:AB16" si="3">SUM(D12:D15)</f>
        <v>17038.707348</v>
      </c>
      <c r="E16" s="10">
        <f t="shared" si="3"/>
        <v>1045.8283269999999</v>
      </c>
      <c r="F16" s="10">
        <f t="shared" si="3"/>
        <v>1267.5156639999977</v>
      </c>
      <c r="G16" s="10">
        <f t="shared" si="3"/>
        <v>9516.5665360000003</v>
      </c>
      <c r="H16" s="10">
        <f t="shared" si="3"/>
        <v>156.88350399999996</v>
      </c>
      <c r="I16" s="10">
        <f t="shared" si="3"/>
        <v>325.13837999999993</v>
      </c>
      <c r="J16" s="10">
        <f t="shared" si="3"/>
        <v>99.573334000000003</v>
      </c>
      <c r="K16" s="10">
        <f t="shared" si="3"/>
        <v>-3.2128059999999992</v>
      </c>
      <c r="L16" s="10">
        <f t="shared" si="3"/>
        <v>153.38349699999998</v>
      </c>
      <c r="M16" s="10">
        <f t="shared" si="3"/>
        <v>9.6600999999999999</v>
      </c>
      <c r="N16" s="10">
        <f t="shared" si="3"/>
        <v>5.6854630000000004</v>
      </c>
      <c r="O16" s="10" t="e">
        <f t="shared" si="3"/>
        <v>#REF!</v>
      </c>
      <c r="P16" s="10">
        <f t="shared" si="3"/>
        <v>1.1384000000000002E-2</v>
      </c>
      <c r="Q16" s="10" t="e">
        <f t="shared" si="3"/>
        <v>#REF!</v>
      </c>
      <c r="R16" s="10">
        <f t="shared" si="3"/>
        <v>5967.5073199999997</v>
      </c>
      <c r="S16" s="10">
        <f t="shared" si="3"/>
        <v>195.057906</v>
      </c>
      <c r="T16" s="10" t="e">
        <f t="shared" si="3"/>
        <v>#REF!</v>
      </c>
      <c r="U16" s="10">
        <f t="shared" si="3"/>
        <v>5081.029708</v>
      </c>
      <c r="V16" s="10">
        <f t="shared" si="3"/>
        <v>689.63793299999998</v>
      </c>
      <c r="W16" s="10">
        <f t="shared" si="3"/>
        <v>-5.6070000000000071E-2</v>
      </c>
      <c r="X16" s="10" t="e">
        <f t="shared" si="3"/>
        <v>#REF!</v>
      </c>
      <c r="Y16" s="10" t="e">
        <f t="shared" si="3"/>
        <v>#REF!</v>
      </c>
      <c r="Z16" s="10" t="e">
        <f t="shared" si="3"/>
        <v>#REF!</v>
      </c>
      <c r="AA16" s="10">
        <f t="shared" si="3"/>
        <v>1.3236870000000001</v>
      </c>
      <c r="AB16" s="10" t="e">
        <f t="shared" si="3"/>
        <v>#REF!</v>
      </c>
    </row>
    <row r="17" spans="1:28" s="2" customFormat="1" ht="12" customHeight="1">
      <c r="A17" s="251" t="s">
        <v>106</v>
      </c>
      <c r="B17" s="11" t="s">
        <v>107</v>
      </c>
      <c r="C17" s="11" t="s">
        <v>105</v>
      </c>
      <c r="D17" s="8">
        <f>SUMIF(累计考核费用!$B$107:$B$156,原格式费用考核表!$B17,累计考核费用!C$107:C$156)/10000</f>
        <v>2186.3788770000001</v>
      </c>
      <c r="E17" s="8">
        <f>SUMIF(累计考核费用!$B$107:$B$156,原格式费用考核表!$B17,累计考核费用!D$107:D$156)/10000</f>
        <v>0</v>
      </c>
      <c r="F17" s="8">
        <f>SUMIF(累计考核费用!$B$107:$B$156,原格式费用考核表!$B17,累计考核费用!E$107:E$156)/10000</f>
        <v>192.85351299999971</v>
      </c>
      <c r="G17" s="8">
        <f>SUMIF(累计考核费用!$B$107:$B$156,原格式费用考核表!$B17,累计考核费用!F$107:F$156)/10000</f>
        <v>1032.4789090000002</v>
      </c>
      <c r="H17" s="8">
        <f>SUMIF(累计考核费用!$B$107:$B$156,原格式费用考核表!$B17,累计考核费用!G$107:G$156)/10000</f>
        <v>90.579247999999993</v>
      </c>
      <c r="I17" s="8">
        <f>SUMIF(累计考核费用!$B$107:$B$156,原格式费用考核表!$B17,累计考核费用!L$107:L$156)/10000</f>
        <v>114.03178299999999</v>
      </c>
      <c r="J17" s="8">
        <f>SUMIF(累计考核费用!$B$107:$B$156,原格式费用考核表!$B17,累计考核费用!M$107:M$156)/10000</f>
        <v>12.68634</v>
      </c>
      <c r="K17" s="8">
        <f>SUMIF(累计考核费用!$B$107:$B$156,原格式费用考核表!$B17,累计考核费用!Q$107:Q$156)/10000</f>
        <v>16.218824999999999</v>
      </c>
      <c r="L17" s="8">
        <f>SUMIF(累计考核费用!$B$107:$B$156,原格式费用考核表!$B17,累计考核费用!P$107:P$156)/10000</f>
        <v>17.747394</v>
      </c>
      <c r="M17" s="8">
        <f>SUMIF(累计考核费用!$B$107:$B$156,原格式费用考核表!$B17,累计考核费用!O$107:O$156)/10000</f>
        <v>14.271089999999999</v>
      </c>
      <c r="N17" s="8">
        <f>SUMIF(累计考核费用!$B$107:$B$156,原格式费用考核表!$B17,累计考核费用!R$107:R$156)/10000</f>
        <v>18.724384000000001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SUMIF(累计考核费用!$B$107:$B$156,原格式费用考核表!$B17,累计考核费用!S$107:S$156)/10000</f>
        <v>18.562929999999998</v>
      </c>
      <c r="Q17" s="8" t="e">
        <f>SUMIF(累计考核费用!$B$107:$B$156,原格式费用考核表!$B17,累计考核费用!#REF!)/10000</f>
        <v>#REF!</v>
      </c>
      <c r="R17" s="8">
        <f>SUMIF(累计考核费用!$B$107:$B$156,原格式费用考核表!$B17,累计考核费用!T$107:T$156)/10000</f>
        <v>710.09557300000006</v>
      </c>
      <c r="S17" s="8">
        <f>SUMIF(累计考核费用!$B$107:$B$156,原格式费用考核表!$B17,累计考核费用!U$107:U$156)/10000</f>
        <v>70.667621999999994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SUMIF(累计考核费用!$B$107:$B$156,原格式费用考核表!$B17,累计考核费用!V$107:V$156)/10000</f>
        <v>472.526118</v>
      </c>
      <c r="V17" s="8">
        <f>SUMIF(累计考核费用!$B$107:$B$156,原格式费用考核表!$B17,累计考核费用!W$107:W$156)/10000</f>
        <v>131.47493400000002</v>
      </c>
      <c r="W17" s="8">
        <f>SUMIF(累计考核费用!$B$107:$B$156,原格式费用考核表!$B17,累计考核费用!AB$107:AB$156)/10000</f>
        <v>30.879940999999999</v>
      </c>
      <c r="X17" s="8" t="e">
        <f>SUMIF(累计考核费用!$B$107:$B$156,原格式费用考核表!$B17,累计考核费用!#REF!)/10000</f>
        <v>#REF!</v>
      </c>
      <c r="Y17" s="8" t="e">
        <f>SUMIF(累计考核费用!$B$107:$B$156,原格式费用考核表!$B17,累计考核费用!#REF!)/10000</f>
        <v>#REF!</v>
      </c>
      <c r="Z17" s="8" t="e">
        <f>SUMIF(累计考核费用!$B$107:$B$156,原格式费用考核表!$B17,累计考核费用!#REF!)/10000</f>
        <v>#REF!</v>
      </c>
      <c r="AA17" s="8">
        <f>SUMIF(累计考核费用!$B$107:$B$156,原格式费用考核表!$B17,累计考核费用!AC$107:AC$156)/10000</f>
        <v>15.459910000000001</v>
      </c>
      <c r="AB17" s="8" t="e">
        <f>SUMIF(累计考核费用!$B$107:$B$156,原格式费用考核表!$B17,累计考核费用!#REF!)/10000</f>
        <v>#REF!</v>
      </c>
    </row>
    <row r="18" spans="1:28" s="2" customFormat="1" ht="12" customHeight="1">
      <c r="A18" s="252"/>
      <c r="B18" s="11" t="s">
        <v>108</v>
      </c>
      <c r="C18" s="11" t="s">
        <v>99</v>
      </c>
      <c r="D18" s="8">
        <f>SUMIF(累计考核费用!$B$107:$B$156,原格式费用考核表!$B18,累计考核费用!C$107:C$156)/10000</f>
        <v>1337.0911699999999</v>
      </c>
      <c r="E18" s="8">
        <f>SUMIF(累计考核费用!$B$107:$B$156,原格式费用考核表!$B18,累计考核费用!D$107:D$156)/10000</f>
        <v>0</v>
      </c>
      <c r="F18" s="8">
        <f>SUMIF(累计考核费用!$B$107:$B$156,原格式费用考核表!$B18,累计考核费用!E$107:E$156)/10000</f>
        <v>174.57424799999993</v>
      </c>
      <c r="G18" s="8">
        <f>SUMIF(累计考核费用!$B$107:$B$156,原格式费用考核表!$B18,累计考核费用!F$107:F$156)/10000</f>
        <v>263.70385499999998</v>
      </c>
      <c r="H18" s="8">
        <f>SUMIF(累计考核费用!$B$107:$B$156,原格式费用考核表!$B18,累计考核费用!G$107:G$156)/10000</f>
        <v>59.383497999999996</v>
      </c>
      <c r="I18" s="8">
        <f>SUMIF(累计考核费用!$B$107:$B$156,原格式费用考核表!$B18,累计考核费用!L$107:L$156)/10000</f>
        <v>94.835645000000014</v>
      </c>
      <c r="J18" s="8">
        <f>SUMIF(累计考核费用!$B$107:$B$156,原格式费用考核表!$B18,累计考核费用!M$107:M$156)/10000</f>
        <v>9.7717969999999994</v>
      </c>
      <c r="K18" s="8">
        <f>SUMIF(累计考核费用!$B$107:$B$156,原格式费用考核表!$B18,累计考核费用!Q$107:Q$156)/10000</f>
        <v>18.519353000000002</v>
      </c>
      <c r="L18" s="8">
        <f>SUMIF(累计考核费用!$B$107:$B$156,原格式费用考核表!$B18,累计考核费用!P$107:P$156)/10000</f>
        <v>12.218973999999999</v>
      </c>
      <c r="M18" s="8">
        <f>SUMIF(累计考核费用!$B$107:$B$156,原格式费用考核表!$B18,累计考核费用!O$107:O$156)/10000</f>
        <v>11.485618000000001</v>
      </c>
      <c r="N18" s="8">
        <f>SUMIF(累计考核费用!$B$107:$B$156,原格式费用考核表!$B18,累计考核费用!R$107:R$156)/10000</f>
        <v>16.147117000000001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SUMIF(累计考核费用!$B$107:$B$156,原格式费用考核表!$B18,累计考核费用!S$107:S$156)/10000</f>
        <v>17.565418000000001</v>
      </c>
      <c r="Q18" s="8" t="e">
        <f>SUMIF(累计考核费用!$B$107:$B$156,原格式费用考核表!$B18,累计考核费用!#REF!)/10000</f>
        <v>#REF!</v>
      </c>
      <c r="R18" s="8">
        <f>SUMIF(累计考核费用!$B$107:$B$156,原格式费用考核表!$B18,累计考核费用!T$107:T$156)/10000</f>
        <v>698.34833999999989</v>
      </c>
      <c r="S18" s="8">
        <f>SUMIF(累计考核费用!$B$107:$B$156,原格式费用考核表!$B18,累计考核费用!U$107:U$156)/10000</f>
        <v>82.316199999999995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SUMIF(累计考核费用!$B$107:$B$156,原格式费用考核表!$B18,累计考核费用!V$107:V$156)/10000</f>
        <v>422.68191399999995</v>
      </c>
      <c r="V18" s="8">
        <f>SUMIF(累计考核费用!$B$107:$B$156,原格式费用考核表!$B18,累计考核费用!W$107:W$156)/10000</f>
        <v>119.25931799999996</v>
      </c>
      <c r="W18" s="8">
        <f>SUMIF(累计考核费用!$B$107:$B$156,原格式费用考核表!$B18,累计考核费用!AB$107:AB$156)/10000</f>
        <v>41.400973999999998</v>
      </c>
      <c r="X18" s="8" t="e">
        <f>SUMIF(累计考核费用!$B$107:$B$156,原格式费用考核表!$B18,累计考核费用!#REF!)/10000</f>
        <v>#REF!</v>
      </c>
      <c r="Y18" s="8" t="e">
        <f>SUMIF(累计考核费用!$B$107:$B$156,原格式费用考核表!$B18,累计考核费用!#REF!)/10000</f>
        <v>#REF!</v>
      </c>
      <c r="Z18" s="8" t="e">
        <f>SUMIF(累计考核费用!$B$107:$B$156,原格式费用考核表!$B18,累计考核费用!#REF!)/10000</f>
        <v>#REF!</v>
      </c>
      <c r="AA18" s="8">
        <f>SUMIF(累计考核费用!$B$107:$B$156,原格式费用考核表!$B18,累计考核费用!AC$107:AC$156)/10000</f>
        <v>4.8446099999999994</v>
      </c>
      <c r="AB18" s="8" t="e">
        <f>SUMIF(累计考核费用!$B$107:$B$156,原格式费用考核表!$B18,累计考核费用!#REF!)/10000</f>
        <v>#REF!</v>
      </c>
    </row>
    <row r="19" spans="1:28" s="2" customFormat="1" ht="12" customHeight="1">
      <c r="A19" s="252"/>
      <c r="B19" s="11" t="s">
        <v>121</v>
      </c>
      <c r="C19" s="11" t="s">
        <v>107</v>
      </c>
      <c r="D19" s="8">
        <f>SUMIF(累计考核费用!$B$107:$B$156,原格式费用考核表!$B19,累计考核费用!C$107:C$156)/10000</f>
        <v>360.0526989999999</v>
      </c>
      <c r="E19" s="8">
        <f>SUMIF(累计考核费用!$B$107:$B$156,原格式费用考核表!$B19,累计考核费用!D$107:D$156)/10000</f>
        <v>2.9235599999999997</v>
      </c>
      <c r="F19" s="8">
        <f>SUMIF(累计考核费用!$B$107:$B$156,原格式费用考核表!$B19,累计考核费用!E$107:E$156)/10000</f>
        <v>97.63893599999993</v>
      </c>
      <c r="G19" s="8">
        <f>SUMIF(累计考核费用!$B$107:$B$156,原格式费用考核表!$B19,累计考核费用!F$107:F$156)/10000</f>
        <v>236.09596500000004</v>
      </c>
      <c r="H19" s="8">
        <f>SUMIF(累计考核费用!$B$107:$B$156,原格式费用考核表!$B19,累计考核费用!G$107:G$156)/10000</f>
        <v>0.9689250000000007</v>
      </c>
      <c r="I19" s="8">
        <f>SUMIF(累计考核费用!$B$107:$B$156,原格式费用考核表!$B19,累计考核费用!L$107:L$156)/10000</f>
        <v>13.961852999999998</v>
      </c>
      <c r="J19" s="8">
        <f>SUMIF(累计考核费用!$B$107:$B$156,原格式费用考核表!$B19,累计考核费用!M$107:M$156)/10000</f>
        <v>1.8205549999999999</v>
      </c>
      <c r="K19" s="8">
        <f>SUMIF(累计考核费用!$B$107:$B$156,原格式费用考核表!$B19,累计考核费用!Q$107:Q$156)/10000</f>
        <v>1.8351560000000002</v>
      </c>
      <c r="L19" s="8">
        <f>SUMIF(累计考核费用!$B$107:$B$156,原格式费用考核表!$B19,累计考核费用!P$107:P$156)/10000</f>
        <v>2.1693310000000001</v>
      </c>
      <c r="M19" s="8">
        <f>SUMIF(累计考核费用!$B$107:$B$156,原格式费用考核表!$B19,累计考核费用!O$107:O$156)/10000</f>
        <v>1.8205549999999999</v>
      </c>
      <c r="N19" s="8">
        <f>SUMIF(累计考核费用!$B$107:$B$156,原格式费用考核表!$B19,累计考核费用!R$107:R$156)/10000</f>
        <v>2.1657310000000001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SUMIF(累计考核费用!$B$107:$B$156,原格式费用考核表!$B19,累计考核费用!S$107:S$156)/10000</f>
        <v>2.3299700000000003</v>
      </c>
      <c r="Q19" s="8" t="e">
        <f>SUMIF(累计考核费用!$B$107:$B$156,原格式费用考核表!$B19,累计考核费用!#REF!)/10000</f>
        <v>#REF!</v>
      </c>
      <c r="R19" s="8">
        <f>SUMIF(累计考核费用!$B$107:$B$156,原格式费用考核表!$B19,累计考核费用!T$107:T$156)/10000</f>
        <v>7.1883410000000003</v>
      </c>
      <c r="S19" s="8">
        <f>SUMIF(累计考核费用!$B$107:$B$156,原格式费用考核表!$B19,累计考核费用!U$107:U$156)/10000</f>
        <v>0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SUMIF(累计考核费用!$B$107:$B$156,原格式费用考核表!$B19,累计考核费用!V$107:V$156)/10000</f>
        <v>4.4405169999999998</v>
      </c>
      <c r="V19" s="8">
        <f>SUMIF(累计考核费用!$B$107:$B$156,原格式费用考核表!$B19,累计考核费用!W$107:W$156)/10000</f>
        <v>2.7478239999999996</v>
      </c>
      <c r="W19" s="8">
        <f>SUMIF(累计考核费用!$B$107:$B$156,原格式费用考核表!$B19,累计考核费用!AB$107:AB$156)/10000</f>
        <v>1.2751190000000001</v>
      </c>
      <c r="X19" s="8" t="e">
        <f>SUMIF(累计考核费用!$B$107:$B$156,原格式费用考核表!$B19,累计考核费用!#REF!)/10000</f>
        <v>#REF!</v>
      </c>
      <c r="Y19" s="8" t="e">
        <f>SUMIF(累计考核费用!$B$107:$B$156,原格式费用考核表!$B19,累计考核费用!#REF!)/10000</f>
        <v>#REF!</v>
      </c>
      <c r="Z19" s="8" t="e">
        <f>SUMIF(累计考核费用!$B$107:$B$156,原格式费用考核表!$B19,累计考核费用!#REF!)/10000</f>
        <v>#REF!</v>
      </c>
      <c r="AA19" s="8">
        <f>SUMIF(累计考核费用!$B$107:$B$156,原格式费用考核表!$B19,累计考核费用!AC$107:AC$156)/10000</f>
        <v>0</v>
      </c>
      <c r="AB19" s="8" t="e">
        <f>SUMIF(累计考核费用!$B$107:$B$156,原格式费用考核表!$B19,累计考核费用!#REF!)/10000</f>
        <v>#REF!</v>
      </c>
    </row>
    <row r="20" spans="1:28" s="2" customFormat="1" ht="12" customHeight="1">
      <c r="A20" s="252"/>
      <c r="B20" s="11" t="s">
        <v>122</v>
      </c>
      <c r="C20" s="11" t="s">
        <v>108</v>
      </c>
      <c r="D20" s="8">
        <f>SUMIF(累计考核费用!$B$107:$B$156,原格式费用考核表!$B20,累计考核费用!C$107:C$156)/10000</f>
        <v>230.80654899999993</v>
      </c>
      <c r="E20" s="8">
        <f>SUMIF(累计考核费用!$B$107:$B$156,原格式费用考核表!$B20,累计考核费用!D$107:D$156)/10000</f>
        <v>0.37790000000000001</v>
      </c>
      <c r="F20" s="8">
        <f>SUMIF(累计考核费用!$B$107:$B$156,原格式费用考核表!$B20,累计考核费用!E$107:E$156)/10000</f>
        <v>44.954442999999983</v>
      </c>
      <c r="G20" s="8">
        <f>SUMIF(累计考核费用!$B$107:$B$156,原格式费用考核表!$B20,累计考核费用!F$107:F$156)/10000</f>
        <v>146.77818399999998</v>
      </c>
      <c r="H20" s="8">
        <f>SUMIF(累计考核费用!$B$107:$B$156,原格式费用考核表!$B20,累计考核费用!G$107:G$156)/10000</f>
        <v>5.9641000000000002</v>
      </c>
      <c r="I20" s="8">
        <f>SUMIF(累计考核费用!$B$107:$B$156,原格式费用考核表!$B20,累计考核费用!L$107:L$156)/10000</f>
        <v>23.881683000000002</v>
      </c>
      <c r="J20" s="8">
        <f>SUMIF(累计考核费用!$B$107:$B$156,原格式费用考核表!$B20,累计考核费用!M$107:M$156)/10000</f>
        <v>1.6984230000000002</v>
      </c>
      <c r="K20" s="8">
        <f>SUMIF(累计考核费用!$B$107:$B$156,原格式费用考核表!$B20,累计考核费用!Q$107:Q$156)/10000</f>
        <v>0.72271600000000003</v>
      </c>
      <c r="L20" s="8">
        <f>SUMIF(累计考核费用!$B$107:$B$156,原格式费用考核表!$B20,累计考核费用!P$107:P$156)/10000</f>
        <v>1.6029189999999998</v>
      </c>
      <c r="M20" s="8">
        <f>SUMIF(累计考核费用!$B$107:$B$156,原格式费用考核表!$B20,累计考核费用!O$107:O$156)/10000</f>
        <v>1.5414650000000001</v>
      </c>
      <c r="N20" s="8">
        <f>SUMIF(累计考核费用!$B$107:$B$156,原格式费用考核表!$B20,累计考核费用!R$107:R$156)/10000</f>
        <v>1.5591380000000001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SUMIF(累计考核费用!$B$107:$B$156,原格式费用考核表!$B20,累计考核费用!S$107:S$156)/10000</f>
        <v>14.860908999999999</v>
      </c>
      <c r="Q20" s="8" t="e">
        <f>SUMIF(累计考核费用!$B$107:$B$156,原格式费用考核表!$B20,累计考核费用!#REF!)/10000</f>
        <v>#REF!</v>
      </c>
      <c r="R20" s="8">
        <f>SUMIF(累计考核费用!$B$107:$B$156,原格式费用考核表!$B20,累计考核费用!T$107:T$156)/10000</f>
        <v>4.4338509999999998</v>
      </c>
      <c r="S20" s="8">
        <f>SUMIF(累计考核费用!$B$107:$B$156,原格式费用考核表!$B20,累计考核费用!U$107:U$156)/10000</f>
        <v>1.720502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SUMIF(累计考核费用!$B$107:$B$156,原格式费用考核表!$B20,累计考核费用!V$107:V$156)/10000</f>
        <v>1.8351850000000003</v>
      </c>
      <c r="V20" s="8">
        <f>SUMIF(累计考核费用!$B$107:$B$156,原格式费用考核表!$B20,累计考核费用!W$107:W$156)/10000</f>
        <v>0.68197700000000006</v>
      </c>
      <c r="W20" s="8">
        <f>SUMIF(累计考核费用!$B$107:$B$156,原格式费用考核表!$B20,累计考核费用!AB$107:AB$156)/10000</f>
        <v>1.277231</v>
      </c>
      <c r="X20" s="8" t="e">
        <f>SUMIF(累计考核费用!$B$107:$B$156,原格式费用考核表!$B20,累计考核费用!#REF!)/10000</f>
        <v>#REF!</v>
      </c>
      <c r="Y20" s="8" t="e">
        <f>SUMIF(累计考核费用!$B$107:$B$156,原格式费用考核表!$B20,累计考核费用!#REF!)/10000</f>
        <v>#REF!</v>
      </c>
      <c r="Z20" s="8" t="e">
        <f>SUMIF(累计考核费用!$B$107:$B$156,原格式费用考核表!$B20,累计考核费用!#REF!)/10000</f>
        <v>#REF!</v>
      </c>
      <c r="AA20" s="8">
        <f>SUMIF(累计考核费用!$B$107:$B$156,原格式费用考核表!$B20,累计考核费用!AC$107:AC$156)/10000</f>
        <v>3.139157</v>
      </c>
      <c r="AB20" s="8" t="e">
        <f>SUMIF(累计考核费用!$B$107:$B$156,原格式费用考核表!$B20,累计考核费用!#REF!)/10000</f>
        <v>#REF!</v>
      </c>
    </row>
    <row r="21" spans="1:28" s="2" customFormat="1" ht="12" customHeight="1">
      <c r="A21" s="252"/>
      <c r="B21" s="11" t="s">
        <v>109</v>
      </c>
      <c r="C21" s="11" t="s">
        <v>109</v>
      </c>
      <c r="D21" s="8">
        <f>SUMIF(累计考核费用!$B$107:$B$156,原格式费用考核表!$B21,累计考核费用!C$107:C$156)/10000</f>
        <v>472.01760700000005</v>
      </c>
      <c r="E21" s="8">
        <f>SUMIF(累计考核费用!$B$107:$B$156,原格式费用考核表!$B21,累计考核费用!D$107:D$156)/10000</f>
        <v>0</v>
      </c>
      <c r="F21" s="8">
        <f>SUMIF(累计考核费用!$B$107:$B$156,原格式费用考核表!$B21,累计考核费用!E$107:E$156)/10000</f>
        <v>135.31886000000006</v>
      </c>
      <c r="G21" s="8">
        <f>SUMIF(累计考核费用!$B$107:$B$156,原格式费用考核表!$B21,累计考核费用!F$107:F$156)/10000</f>
        <v>188.031881</v>
      </c>
      <c r="H21" s="8">
        <f>SUMIF(累计考核费用!$B$107:$B$156,原格式费用考核表!$B21,累计考核费用!G$107:G$156)/10000</f>
        <v>20.742805000000001</v>
      </c>
      <c r="I21" s="8">
        <f>SUMIF(累计考核费用!$B$107:$B$156,原格式费用考核表!$B21,累计考核费用!L$107:L$156)/10000</f>
        <v>6.8596170000000001</v>
      </c>
      <c r="J21" s="8">
        <f>SUMIF(累计考核费用!$B$107:$B$156,原格式费用考核表!$B21,累计考核费用!M$107:M$156)/10000</f>
        <v>0.54449800000000004</v>
      </c>
      <c r="K21" s="8">
        <f>SUMIF(累计考核费用!$B$107:$B$156,原格式费用考核表!$B21,累计考核费用!Q$107:Q$156)/10000</f>
        <v>0.88151000000000002</v>
      </c>
      <c r="L21" s="8">
        <f>SUMIF(累计考核费用!$B$107:$B$156,原格式费用考核表!$B21,累计考核费用!P$107:P$156)/10000</f>
        <v>1.4859980000000002</v>
      </c>
      <c r="M21" s="8">
        <f>SUMIF(累计考核费用!$B$107:$B$156,原格式费用考核表!$B21,累计考核费用!O$107:O$156)/10000</f>
        <v>0.43049699999999991</v>
      </c>
      <c r="N21" s="8">
        <f>SUMIF(累计考核费用!$B$107:$B$156,原格式费用考核表!$B21,累计考核费用!R$107:R$156)/10000</f>
        <v>2.4455559999999998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SUMIF(累计考核费用!$B$107:$B$156,原格式费用考核表!$B21,累计考核费用!S$107:S$156)/10000</f>
        <v>5.5300999999999934E-2</v>
      </c>
      <c r="Q21" s="8" t="e">
        <f>SUMIF(累计考核费用!$B$107:$B$156,原格式费用考核表!$B21,累计考核费用!#REF!)/10000</f>
        <v>#REF!</v>
      </c>
      <c r="R21" s="8">
        <f>SUMIF(累计考核费用!$B$107:$B$156,原格式费用考核表!$B21,累计考核费用!T$107:T$156)/10000</f>
        <v>110.053607</v>
      </c>
      <c r="S21" s="8">
        <f>SUMIF(累计考核费用!$B$107:$B$156,原格式费用考核表!$B21,累计考核费用!U$107:U$156)/10000</f>
        <v>16.175425000000004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SUMIF(累计考核费用!$B$107:$B$156,原格式费用考核表!$B21,累计考核费用!V$107:V$156)/10000</f>
        <v>69.594971999999999</v>
      </c>
      <c r="V21" s="8">
        <f>SUMIF(累计考核费用!$B$107:$B$156,原格式费用考核表!$B21,累计考核费用!W$107:W$156)/10000</f>
        <v>23.680458999999999</v>
      </c>
      <c r="W21" s="8">
        <f>SUMIF(累计考核费用!$B$107:$B$156,原格式费用考核表!$B21,累计考核费用!AB$107:AB$156)/10000</f>
        <v>8.9410150000000002</v>
      </c>
      <c r="X21" s="8" t="e">
        <f>SUMIF(累计考核费用!$B$107:$B$156,原格式费用考核表!$B21,累计考核费用!#REF!)/10000</f>
        <v>#REF!</v>
      </c>
      <c r="Y21" s="8" t="e">
        <f>SUMIF(累计考核费用!$B$107:$B$156,原格式费用考核表!$B21,累计考核费用!#REF!)/10000</f>
        <v>#REF!</v>
      </c>
      <c r="Z21" s="8" t="e">
        <f>SUMIF(累计考核费用!$B$107:$B$156,原格式费用考核表!$B21,累计考核费用!#REF!)/10000</f>
        <v>#REF!</v>
      </c>
      <c r="AA21" s="8">
        <f>SUMIF(累计考核费用!$B$107:$B$156,原格式费用考核表!$B21,累计考核费用!AC$107:AC$156)/10000</f>
        <v>2.0698220000000003</v>
      </c>
      <c r="AB21" s="8" t="e">
        <f>SUMIF(累计考核费用!$B$107:$B$156,原格式费用考核表!$B21,累计考核费用!#REF!)/10000</f>
        <v>#REF!</v>
      </c>
    </row>
    <row r="22" spans="1:28" s="2" customFormat="1" ht="12" customHeight="1">
      <c r="A22" s="252"/>
      <c r="B22" s="11" t="s">
        <v>110</v>
      </c>
      <c r="C22" s="11" t="s">
        <v>110</v>
      </c>
      <c r="D22" s="8">
        <f>SUMIF(累计考核费用!$B$107:$B$156,原格式费用考核表!$B22,累计考核费用!C$107:C$156)/10000</f>
        <v>207.36495399999995</v>
      </c>
      <c r="E22" s="8">
        <f>SUMIF(累计考核费用!$B$107:$B$156,原格式费用考核表!$B22,累计考核费用!D$107:D$156)/10000</f>
        <v>0</v>
      </c>
      <c r="F22" s="8">
        <f>SUMIF(累计考核费用!$B$107:$B$156,原格式费用考核表!$B22,累计考核费用!E$107:E$156)/10000</f>
        <v>38.251106999999969</v>
      </c>
      <c r="G22" s="8">
        <f>SUMIF(累计考核费用!$B$107:$B$156,原格式费用考核表!$B22,累计考核费用!F$107:F$156)/10000</f>
        <v>102.15832599999999</v>
      </c>
      <c r="H22" s="8">
        <f>SUMIF(累计考核费用!$B$107:$B$156,原格式费用考核表!$B22,累计考核费用!G$107:G$156)/10000</f>
        <v>8.276275</v>
      </c>
      <c r="I22" s="8">
        <f>SUMIF(累计考核费用!$B$107:$B$156,原格式费用考核表!$B22,累计考核费用!L$107:L$156)/10000</f>
        <v>2.3942170000000003</v>
      </c>
      <c r="J22" s="8">
        <f>SUMIF(累计考核费用!$B$107:$B$156,原格式费用考核表!$B22,累计考核费用!M$107:M$156)/10000</f>
        <v>0.24663100000000004</v>
      </c>
      <c r="K22" s="8">
        <f>SUMIF(累计考核费用!$B$107:$B$156,原格式费用考核表!$B22,累计考核费用!Q$107:Q$156)/10000</f>
        <v>7.1975999999999998E-2</v>
      </c>
      <c r="L22" s="8">
        <f>SUMIF(累计考核费用!$B$107:$B$156,原格式费用考核表!$B22,累计考核费用!P$107:P$156)/10000</f>
        <v>3.2744999999999996E-2</v>
      </c>
      <c r="M22" s="8">
        <f>SUMIF(累计考核费用!$B$107:$B$156,原格式费用考核表!$B22,累计考核费用!O$107:O$156)/10000</f>
        <v>0.24663199999999996</v>
      </c>
      <c r="N22" s="8">
        <f>SUMIF(累计考核费用!$B$107:$B$156,原格式费用考核表!$B22,累计考核费用!R$107:R$156)/10000</f>
        <v>0.60196500000000008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SUMIF(累计考核费用!$B$107:$B$156,原格式费用考核表!$B22,累计考核费用!S$107:S$156)/10000</f>
        <v>0.76773599999999997</v>
      </c>
      <c r="Q22" s="8" t="e">
        <f>SUMIF(累计考核费用!$B$107:$B$156,原格式费用考核表!$B22,累计考核费用!#REF!)/10000</f>
        <v>#REF!</v>
      </c>
      <c r="R22" s="8">
        <f>SUMIF(累计考核费用!$B$107:$B$156,原格式费用考核表!$B22,累计考核费用!T$107:T$156)/10000</f>
        <v>50.863825000000013</v>
      </c>
      <c r="S22" s="8">
        <f>SUMIF(累计考核费用!$B$107:$B$156,原格式费用考核表!$B22,累计考核费用!U$107:U$156)/10000</f>
        <v>5.5195069999999991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SUMIF(累计考核费用!$B$107:$B$156,原格式费用考核表!$B22,累计考核费用!V$107:V$156)/10000</f>
        <v>31.455201000000006</v>
      </c>
      <c r="V22" s="8">
        <f>SUMIF(累计考核费用!$B$107:$B$156,原格式费用考核表!$B22,累计考核费用!W$107:W$156)/10000</f>
        <v>13.889117000000001</v>
      </c>
      <c r="W22" s="8">
        <f>SUMIF(累计考核费用!$B$107:$B$156,原格式费用考核表!$B22,累计考核费用!AB$107:AB$156)/10000</f>
        <v>3.9456479999999994</v>
      </c>
      <c r="X22" s="8" t="e">
        <f>SUMIF(累计考核费用!$B$107:$B$156,原格式费用考核表!$B22,累计考核费用!#REF!)/10000</f>
        <v>#REF!</v>
      </c>
      <c r="Y22" s="8" t="e">
        <f>SUMIF(累计考核费用!$B$107:$B$156,原格式费用考核表!$B22,累计考核费用!#REF!)/10000</f>
        <v>#REF!</v>
      </c>
      <c r="Z22" s="8" t="e">
        <f>SUMIF(累计考核费用!$B$107:$B$156,原格式费用考核表!$B22,累计考核费用!#REF!)/10000</f>
        <v>#REF!</v>
      </c>
      <c r="AA22" s="8">
        <f>SUMIF(累计考核费用!$B$107:$B$156,原格式费用考核表!$B22,累计考核费用!AC$107:AC$156)/10000</f>
        <v>1.4755559999999999</v>
      </c>
      <c r="AB22" s="8" t="e">
        <f>SUMIF(累计考核费用!$B$107:$B$156,原格式费用考核表!$B22,累计考核费用!#REF!)/10000</f>
        <v>#REF!</v>
      </c>
    </row>
    <row r="23" spans="1:28" s="2" customFormat="1" ht="12" customHeight="1">
      <c r="A23" s="252"/>
      <c r="B23" s="7" t="s">
        <v>92</v>
      </c>
      <c r="C23" s="7" t="s">
        <v>111</v>
      </c>
      <c r="D23" s="8">
        <f>SUMIF(累计考核费用!$B$107:$B$156,原格式费用考核表!$B23,累计考核费用!C$107:C$156)/10000</f>
        <v>439.05232699999993</v>
      </c>
      <c r="E23" s="8">
        <f>SUMIF(累计考核费用!$B$107:$B$156,原格式费用考核表!$B23,累计考核费用!D$107:D$156)/10000</f>
        <v>0</v>
      </c>
      <c r="F23" s="8">
        <f>SUMIF(累计考核费用!$B$107:$B$156,原格式费用考核表!$B23,累计考核费用!E$107:E$156)/10000</f>
        <v>162.01178900000005</v>
      </c>
      <c r="G23" s="8">
        <f>SUMIF(累计考核费用!$B$107:$B$156,原格式费用考核表!$B23,累计考核费用!F$107:F$156)/10000</f>
        <v>173.40857299999999</v>
      </c>
      <c r="H23" s="8">
        <f>SUMIF(累计考核费用!$B$107:$B$156,原格式费用考核表!$B23,累计考核费用!G$107:G$156)/10000</f>
        <v>11.237073000000001</v>
      </c>
      <c r="I23" s="8">
        <f>SUMIF(累计考核费用!$B$107:$B$156,原格式费用考核表!$B23,累计考核费用!L$107:L$156)/10000</f>
        <v>16.447088000000004</v>
      </c>
      <c r="J23" s="8">
        <f>SUMIF(累计考核费用!$B$107:$B$156,原格式费用考核表!$B23,累计考核费用!M$107:M$156)/10000</f>
        <v>2.1940499999999998</v>
      </c>
      <c r="K23" s="8">
        <f>SUMIF(累计考核费用!$B$107:$B$156,原格式费用考核表!$B23,累计考核费用!Q$107:Q$156)/10000</f>
        <v>1.8390819999999999</v>
      </c>
      <c r="L23" s="8">
        <f>SUMIF(累计考核费用!$B$107:$B$156,原格式费用考核表!$B23,累计考核费用!P$107:P$156)/10000</f>
        <v>2.9990650000000003</v>
      </c>
      <c r="M23" s="8">
        <f>SUMIF(累计考核费用!$B$107:$B$156,原格式费用考核表!$B23,累计考核费用!O$107:O$156)/10000</f>
        <v>1.5033650000000001</v>
      </c>
      <c r="N23" s="8">
        <f>SUMIF(累计考核费用!$B$107:$B$156,原格式费用考核表!$B23,累计考核费用!R$107:R$156)/10000</f>
        <v>2.6324419999999997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SUMIF(累计考核费用!$B$107:$B$156,原格式费用考核表!$B23,累计考核费用!S$107:S$156)/10000</f>
        <v>1.529185</v>
      </c>
      <c r="Q23" s="8" t="e">
        <f>SUMIF(累计考核费用!$B$107:$B$156,原格式费用考核表!$B23,累计考核费用!#REF!)/10000</f>
        <v>#REF!</v>
      </c>
      <c r="R23" s="8">
        <f>SUMIF(累计考核费用!$B$107:$B$156,原格式费用考核表!$B23,累计考核费用!T$107:T$156)/10000</f>
        <v>67.084935000000002</v>
      </c>
      <c r="S23" s="8">
        <f>SUMIF(累计考核费用!$B$107:$B$156,原格式费用考核表!$B23,累计考核费用!U$107:U$156)/10000</f>
        <v>7.7881800000000005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SUMIF(累计考核费用!$B$107:$B$156,原格式费用考核表!$B23,累计考核费用!V$107:V$156)/10000</f>
        <v>40.241785999999998</v>
      </c>
      <c r="V23" s="8">
        <f>SUMIF(累计考核费用!$B$107:$B$156,原格式费用考核表!$B23,累计考核费用!W$107:W$156)/10000</f>
        <v>18.696479</v>
      </c>
      <c r="W23" s="8">
        <f>SUMIF(累计考核费用!$B$107:$B$156,原格式费用考核表!$B23,累计考核费用!AB$107:AB$156)/10000</f>
        <v>4.6603010000000014</v>
      </c>
      <c r="X23" s="8" t="e">
        <f>SUMIF(累计考核费用!$B$107:$B$156,原格式费用考核表!$B23,累计考核费用!#REF!)/10000</f>
        <v>#REF!</v>
      </c>
      <c r="Y23" s="8" t="e">
        <f>SUMIF(累计考核费用!$B$107:$B$156,原格式费用考核表!$B23,累计考核费用!#REF!)/10000</f>
        <v>#REF!</v>
      </c>
      <c r="Z23" s="8" t="e">
        <f>SUMIF(累计考核费用!$B$107:$B$156,原格式费用考核表!$B23,累计考核费用!#REF!)/10000</f>
        <v>#REF!</v>
      </c>
      <c r="AA23" s="8">
        <f>SUMIF(累计考核费用!$B$107:$B$156,原格式费用考核表!$B23,累计考核费用!AC$107:AC$156)/10000</f>
        <v>4.2025679999999994</v>
      </c>
      <c r="AB23" s="8" t="e">
        <f>SUMIF(累计考核费用!$B$107:$B$156,原格式费用考核表!$B23,累计考核费用!#REF!)/10000</f>
        <v>#REF!</v>
      </c>
    </row>
    <row r="24" spans="1:28" s="2" customFormat="1" ht="12" customHeight="1">
      <c r="A24" s="252"/>
      <c r="B24" s="11" t="s">
        <v>123</v>
      </c>
      <c r="C24" s="11" t="s">
        <v>112</v>
      </c>
      <c r="D24" s="8">
        <f>SUMIF(累计考核费用!$B$107:$B$156,原格式费用考核表!$B24,累计考核费用!C$107:C$156)/10000</f>
        <v>216.76165300000002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192.20587300000003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SUMIF(累计考核费用!$B$107:$B$156,原格式费用考核表!$B24,累计考核费用!L$107:L$156)/10000</f>
        <v>0</v>
      </c>
      <c r="J24" s="8">
        <f>SUMIF(累计考核费用!$B$107:$B$156,原格式费用考核表!$B24,累计考核费用!M$107:M$156)/10000</f>
        <v>0</v>
      </c>
      <c r="K24" s="8">
        <f>SUMIF(累计考核费用!$B$107:$B$156,原格式费用考核表!$B24,累计考核费用!Q$107:Q$156)/10000</f>
        <v>0</v>
      </c>
      <c r="L24" s="8">
        <f>SUMIF(累计考核费用!$B$107:$B$156,原格式费用考核表!$B24,累计考核费用!P$107:P$156)/10000</f>
        <v>0</v>
      </c>
      <c r="M24" s="8">
        <f>SUMIF(累计考核费用!$B$107:$B$156,原格式费用考核表!$B24,累计考核费用!O$107:O$156)/10000</f>
        <v>0</v>
      </c>
      <c r="N24" s="8">
        <f>SUMIF(累计考核费用!$B$107:$B$156,原格式费用考核表!$B24,累计考核费用!R$107:R$156)/10000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SUMIF(累计考核费用!$B$107:$B$156,原格式费用考核表!$B24,累计考核费用!S$107:S$156)/10000</f>
        <v>0</v>
      </c>
      <c r="Q24" s="8" t="e">
        <f>SUMIF(累计考核费用!$B$107:$B$156,原格式费用考核表!$B24,累计考核费用!#REF!)/10000</f>
        <v>#REF!</v>
      </c>
      <c r="R24" s="8">
        <f>SUMIF(累计考核费用!$B$107:$B$156,原格式费用考核表!$B24,累计考核费用!T$107:T$156)/10000</f>
        <v>24.555779999999999</v>
      </c>
      <c r="S24" s="8">
        <f>SUMIF(累计考核费用!$B$107:$B$156,原格式费用考核表!$B24,累计考核费用!U$107:U$156)/10000</f>
        <v>0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SUMIF(累计考核费用!$B$107:$B$156,原格式费用考核表!$B24,累计考核费用!V$107:V$156)/10000</f>
        <v>24.555779999999999</v>
      </c>
      <c r="V24" s="8">
        <f>SUMIF(累计考核费用!$B$107:$B$156,原格式费用考核表!$B24,累计考核费用!W$107:W$156)/10000</f>
        <v>0</v>
      </c>
      <c r="W24" s="8">
        <f>SUMIF(累计考核费用!$B$107:$B$156,原格式费用考核表!$B24,累计考核费用!AB$107:AB$156)/10000</f>
        <v>0</v>
      </c>
      <c r="X24" s="8" t="e">
        <f>SUMIF(累计考核费用!$B$107:$B$156,原格式费用考核表!$B24,累计考核费用!#REF!)/10000</f>
        <v>#REF!</v>
      </c>
      <c r="Y24" s="8" t="e">
        <f>SUMIF(累计考核费用!$B$107:$B$156,原格式费用考核表!$B24,累计考核费用!#REF!)/10000</f>
        <v>#REF!</v>
      </c>
      <c r="Z24" s="8" t="e">
        <f>SUMIF(累计考核费用!$B$107:$B$156,原格式费用考核表!$B24,累计考核费用!#REF!)/10000</f>
        <v>#REF!</v>
      </c>
      <c r="AA24" s="8">
        <f>SUMIF(累计考核费用!$B$107:$B$156,原格式费用考核表!$B24,累计考核费用!AC$107:AC$156)/10000</f>
        <v>0</v>
      </c>
      <c r="AB24" s="8" t="e">
        <f>SUMIF(累计考核费用!$B$107:$B$156,原格式费用考核表!$B24,累计考核费用!#REF!)/10000</f>
        <v>#REF!</v>
      </c>
    </row>
    <row r="25" spans="1:28" s="2" customFormat="1" ht="12" customHeight="1">
      <c r="A25" s="252"/>
      <c r="B25" s="11" t="s">
        <v>111</v>
      </c>
      <c r="C25" s="11" t="s">
        <v>113</v>
      </c>
      <c r="D25" s="8">
        <f>SUMIF(累计考核费用!$B$107:$B$156,原格式费用考核表!$B25,累计考核费用!C$107:C$156)/10000</f>
        <v>401.68240199999997</v>
      </c>
      <c r="E25" s="8">
        <f>SUMIF(累计考核费用!$B$107:$B$156,原格式费用考核表!$B25,累计考核费用!D$107:D$156)/10000</f>
        <v>878.90566199999989</v>
      </c>
      <c r="F25" s="8">
        <f>SUMIF(累计考核费用!$B$107:$B$156,原格式费用考核表!$B25,累计考核费用!E$107:E$156)/10000</f>
        <v>214.91362600000002</v>
      </c>
      <c r="G25" s="8">
        <f>SUMIF(累计考核费用!$B$107:$B$156,原格式费用考核表!$B25,累计考核费用!F$107:F$156)/10000</f>
        <v>-692.41296299999988</v>
      </c>
      <c r="H25" s="8">
        <f>SUMIF(累计考核费用!$B$107:$B$156,原格式费用考核表!$B25,累计考核费用!G$107:G$156)/10000</f>
        <v>1.1320999999999999E-2</v>
      </c>
      <c r="I25" s="8">
        <f>SUMIF(累计考核费用!$B$107:$B$156,原格式费用考核表!$B25,累计考核费用!L$107:L$156)/10000</f>
        <v>0.11396299999999999</v>
      </c>
      <c r="J25" s="8">
        <f>SUMIF(累计考核费用!$B$107:$B$156,原格式费用考核表!$B25,累计考核费用!M$107:M$156)/10000</f>
        <v>0</v>
      </c>
      <c r="K25" s="8">
        <f>SUMIF(累计考核费用!$B$107:$B$156,原格式费用考核表!$B25,累计考核费用!Q$107:Q$156)/10000</f>
        <v>0</v>
      </c>
      <c r="L25" s="8">
        <f>SUMIF(累计考核费用!$B$107:$B$156,原格式费用考核表!$B25,累计考核费用!P$107:P$156)/10000</f>
        <v>7.5500000000000003E-4</v>
      </c>
      <c r="M25" s="8">
        <f>SUMIF(累计考核费用!$B$107:$B$156,原格式费用考核表!$B25,累计考核费用!O$107:O$156)/10000</f>
        <v>0</v>
      </c>
      <c r="N25" s="8">
        <f>SUMIF(累计考核费用!$B$107:$B$156,原格式费用考核表!$B25,累计考核费用!R$107:R$156)/10000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SUMIF(累计考核费用!$B$107:$B$156,原格式费用考核表!$B25,累计考核费用!S$107:S$156)/10000</f>
        <v>0.11320799999999999</v>
      </c>
      <c r="Q25" s="8" t="e">
        <f>SUMIF(累计考核费用!$B$107:$B$156,原格式费用考核表!$B25,累计考核费用!#REF!)/10000</f>
        <v>#REF!</v>
      </c>
      <c r="R25" s="8">
        <f>SUMIF(累计考核费用!$B$107:$B$156,原格式费用考核表!$B25,累计考核费用!T$107:T$156)/10000</f>
        <v>0.101132</v>
      </c>
      <c r="S25" s="8">
        <f>SUMIF(累计考核费用!$B$107:$B$156,原格式费用考核表!$B25,累计考核费用!U$107:U$156)/10000</f>
        <v>3.3961999999999999E-2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SUMIF(累计考核费用!$B$107:$B$156,原格式费用考核表!$B25,累计考核费用!V$107:V$156)/10000</f>
        <v>3.8491000000000004E-2</v>
      </c>
      <c r="V25" s="8">
        <f>SUMIF(累计考核费用!$B$107:$B$156,原格式费用考核表!$B25,累计考核费用!W$107:W$156)/10000</f>
        <v>2.8679000000000003E-2</v>
      </c>
      <c r="W25" s="8">
        <f>SUMIF(累计考核费用!$B$107:$B$156,原格式费用考核表!$B25,累计考核费用!AB$107:AB$156)/10000</f>
        <v>1.1320999999999999E-2</v>
      </c>
      <c r="X25" s="8" t="e">
        <f>SUMIF(累计考核费用!$B$107:$B$156,原格式费用考核表!$B25,累计考核费用!#REF!)/10000</f>
        <v>#REF!</v>
      </c>
      <c r="Y25" s="8" t="e">
        <f>SUMIF(累计考核费用!$B$107:$B$156,原格式费用考核表!$B25,累计考核费用!#REF!)/10000</f>
        <v>#REF!</v>
      </c>
      <c r="Z25" s="8" t="e">
        <f>SUMIF(累计考核费用!$B$107:$B$156,原格式费用考核表!$B25,累计考核费用!#REF!)/10000</f>
        <v>#REF!</v>
      </c>
      <c r="AA25" s="8">
        <f>SUMIF(累计考核费用!$B$107:$B$156,原格式费用考核表!$B25,累计考核费用!AC$107:AC$156)/10000</f>
        <v>3.8339999999999999E-2</v>
      </c>
      <c r="AB25" s="8" t="e">
        <f>SUMIF(累计考核费用!$B$107:$B$156,原格式费用考核表!$B25,累计考核费用!#REF!)/10000</f>
        <v>#REF!</v>
      </c>
    </row>
    <row r="26" spans="1:28" s="2" customFormat="1" ht="12" customHeight="1">
      <c r="A26" s="252"/>
      <c r="B26" s="11" t="s">
        <v>118</v>
      </c>
      <c r="C26" s="11" t="s">
        <v>114</v>
      </c>
      <c r="D26" s="8">
        <f>SUMIF(累计考核费用!$B$107:$B$156,原格式费用考核表!$B26,累计考核费用!C$107:C$156)/10000</f>
        <v>318.48802900000004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318.48802900000004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SUMIF(累计考核费用!$B$107:$B$156,原格式费用考核表!$B26,累计考核费用!L$107:L$156)/10000</f>
        <v>0</v>
      </c>
      <c r="J26" s="8">
        <f>SUMIF(累计考核费用!$B$107:$B$156,原格式费用考核表!$B26,累计考核费用!M$107:M$156)/10000</f>
        <v>0</v>
      </c>
      <c r="K26" s="8">
        <f>SUMIF(累计考核费用!$B$107:$B$156,原格式费用考核表!$B26,累计考核费用!Q$107:Q$156)/10000</f>
        <v>0</v>
      </c>
      <c r="L26" s="8">
        <f>SUMIF(累计考核费用!$B$107:$B$156,原格式费用考核表!$B26,累计考核费用!P$107:P$156)/10000</f>
        <v>0</v>
      </c>
      <c r="M26" s="8">
        <f>SUMIF(累计考核费用!$B$107:$B$156,原格式费用考核表!$B26,累计考核费用!O$107:O$156)/10000</f>
        <v>0</v>
      </c>
      <c r="N26" s="8">
        <f>SUMIF(累计考核费用!$B$107:$B$156,原格式费用考核表!$B26,累计考核费用!R$107:R$156)/10000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SUMIF(累计考核费用!$B$107:$B$156,原格式费用考核表!$B26,累计考核费用!S$107:S$156)/10000</f>
        <v>0</v>
      </c>
      <c r="Q26" s="8" t="e">
        <f>SUMIF(累计考核费用!$B$107:$B$156,原格式费用考核表!$B26,累计考核费用!#REF!)/10000</f>
        <v>#REF!</v>
      </c>
      <c r="R26" s="8">
        <f>SUMIF(累计考核费用!$B$107:$B$156,原格式费用考核表!$B26,累计考核费用!T$107:T$156)/10000</f>
        <v>0</v>
      </c>
      <c r="S26" s="8">
        <f>SUMIF(累计考核费用!$B$107:$B$156,原格式费用考核表!$B26,累计考核费用!U$107:U$156)/10000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SUMIF(累计考核费用!$B$107:$B$156,原格式费用考核表!$B26,累计考核费用!V$107:V$156)/10000</f>
        <v>0</v>
      </c>
      <c r="V26" s="8">
        <f>SUMIF(累计考核费用!$B$107:$B$156,原格式费用考核表!$B26,累计考核费用!W$107:W$156)/10000</f>
        <v>0</v>
      </c>
      <c r="W26" s="8">
        <f>SUMIF(累计考核费用!$B$107:$B$156,原格式费用考核表!$B26,累计考核费用!AB$107:AB$156)/10000</f>
        <v>0</v>
      </c>
      <c r="X26" s="8" t="e">
        <f>SUMIF(累计考核费用!$B$107:$B$156,原格式费用考核表!$B26,累计考核费用!#REF!)/10000</f>
        <v>#REF!</v>
      </c>
      <c r="Y26" s="8" t="e">
        <f>SUMIF(累计考核费用!$B$107:$B$156,原格式费用考核表!$B26,累计考核费用!#REF!)/10000</f>
        <v>#REF!</v>
      </c>
      <c r="Z26" s="8" t="e">
        <f>SUMIF(累计考核费用!$B$107:$B$156,原格式费用考核表!$B26,累计考核费用!#REF!)/10000</f>
        <v>#REF!</v>
      </c>
      <c r="AA26" s="8">
        <f>SUMIF(累计考核费用!$B$107:$B$156,原格式费用考核表!$B26,累计考核费用!AC$107:AC$156)/10000</f>
        <v>0</v>
      </c>
      <c r="AB26" s="8" t="e">
        <f>SUMIF(累计考核费用!$B$107:$B$156,原格式费用考核表!$B26,累计考核费用!#REF!)/10000</f>
        <v>#REF!</v>
      </c>
    </row>
    <row r="27" spans="1:28" s="2" customFormat="1" ht="12" customHeight="1">
      <c r="A27" s="252"/>
      <c r="B27" s="11" t="s">
        <v>112</v>
      </c>
      <c r="C27" s="11" t="s">
        <v>115</v>
      </c>
      <c r="D27" s="8">
        <f>SUMIF(累计考核费用!$B$107:$B$156,原格式费用考核表!$B27,累计考核费用!C$107:C$156)/10000</f>
        <v>336.65278400000005</v>
      </c>
      <c r="E27" s="8">
        <f>SUMIF(累计考核费用!$B$107:$B$156,原格式费用考核表!$B27,累计考核费用!D$107:D$156)/10000</f>
        <v>81.553398000000001</v>
      </c>
      <c r="F27" s="8">
        <f>SUMIF(累计考核费用!$B$107:$B$156,原格式费用考核表!$B27,累计考核费用!E$107:E$156)/10000</f>
        <v>97.677696999999995</v>
      </c>
      <c r="G27" s="8">
        <f>SUMIF(累计考核费用!$B$107:$B$156,原格式费用考核表!$B27,累计考核费用!F$107:F$156)/10000</f>
        <v>116.222154</v>
      </c>
      <c r="H27" s="8">
        <f>SUMIF(累计考核费用!$B$107:$B$156,原格式费用考核表!$B27,累计考核费用!G$107:G$156)/10000</f>
        <v>7.0534189999999946</v>
      </c>
      <c r="I27" s="8">
        <f>SUMIF(累计考核费用!$B$107:$B$156,原格式费用考核表!$B27,累计考核费用!L$107:L$156)/10000</f>
        <v>12.284796</v>
      </c>
      <c r="J27" s="8">
        <f>SUMIF(累计考核费用!$B$107:$B$156,原格式费用考核表!$B27,累计考核费用!M$107:M$156)/10000</f>
        <v>2.917573</v>
      </c>
      <c r="K27" s="8">
        <f>SUMIF(累计考核费用!$B$107:$B$156,原格式费用考核表!$B27,累计考核费用!Q$107:Q$156)/10000</f>
        <v>1.1044229999999999</v>
      </c>
      <c r="L27" s="8">
        <f>SUMIF(累计考核费用!$B$107:$B$156,原格式费用考核表!$B27,累计考核费用!P$107:P$156)/10000</f>
        <v>3.0515919999999999</v>
      </c>
      <c r="M27" s="8">
        <f>SUMIF(累计考核费用!$B$107:$B$156,原格式费用考核表!$B27,累计考核费用!O$107:O$156)/10000</f>
        <v>1.4583740000000001</v>
      </c>
      <c r="N27" s="8">
        <f>SUMIF(累计考核费用!$B$107:$B$156,原格式费用考核表!$B27,累计考核费用!R$107:R$156)/10000</f>
        <v>0.47046000000000004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SUMIF(累计考核费用!$B$107:$B$156,原格式费用考核表!$B27,累计考核费用!S$107:S$156)/10000</f>
        <v>0.36480000000000001</v>
      </c>
      <c r="Q27" s="8" t="e">
        <f>SUMIF(累计考核费用!$B$107:$B$156,原格式费用考核表!$B27,累计考核费用!#REF!)/10000</f>
        <v>#REF!</v>
      </c>
      <c r="R27" s="8">
        <f>SUMIF(累计考核费用!$B$107:$B$156,原格式费用考核表!$B27,累计考核费用!T$107:T$156)/10000</f>
        <v>21.131720000000001</v>
      </c>
      <c r="S27" s="8">
        <f>SUMIF(累计考核费用!$B$107:$B$156,原格式费用考核表!$B27,累计考核费用!U$107:U$156)/10000</f>
        <v>19.672520000000002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SUMIF(累计考核费用!$B$107:$B$156,原格式费用考核表!$B27,累计考核费用!V$107:V$156)/10000</f>
        <v>0.72960000000000003</v>
      </c>
      <c r="V27" s="8">
        <f>SUMIF(累计考核费用!$B$107:$B$156,原格式费用考核表!$B27,累计考核费用!W$107:W$156)/10000</f>
        <v>0.72960000000000003</v>
      </c>
      <c r="W27" s="8">
        <f>SUMIF(累计考核费用!$B$107:$B$156,原格式费用考核表!$B27,累计考核费用!AB$107:AB$156)/10000</f>
        <v>0.72960000000000003</v>
      </c>
      <c r="X27" s="8" t="e">
        <f>SUMIF(累计考核费用!$B$107:$B$156,原格式费用考核表!$B27,累计考核费用!#REF!)/10000</f>
        <v>#REF!</v>
      </c>
      <c r="Y27" s="8" t="e">
        <f>SUMIF(累计考核费用!$B$107:$B$156,原格式费用考核表!$B27,累计考核费用!#REF!)/10000</f>
        <v>#REF!</v>
      </c>
      <c r="Z27" s="8" t="e">
        <f>SUMIF(累计考核费用!$B$107:$B$156,原格式费用考核表!$B27,累计考核费用!#REF!)/10000</f>
        <v>#REF!</v>
      </c>
      <c r="AA27" s="8">
        <f>SUMIF(累计考核费用!$B$107:$B$156,原格式费用考核表!$B27,累计考核费用!AC$107:AC$156)/10000</f>
        <v>0</v>
      </c>
      <c r="AB27" s="8" t="e">
        <f>SUMIF(累计考核费用!$B$107:$B$156,原格式费用考核表!$B27,累计考核费用!#REF!)/10000</f>
        <v>#REF!</v>
      </c>
    </row>
    <row r="28" spans="1:28" s="2" customFormat="1" ht="12" customHeight="1">
      <c r="A28" s="252"/>
      <c r="B28" s="11" t="s">
        <v>124</v>
      </c>
      <c r="C28" s="11" t="s">
        <v>116</v>
      </c>
      <c r="D28" s="8">
        <f>SUMIF(累计考核费用!$B$107:$B$156,原格式费用考核表!$B28,累计考核费用!C$107:C$156)/10000</f>
        <v>209.703564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26.588728000000025</v>
      </c>
      <c r="G28" s="8">
        <f>SUMIF(累计考核费用!$B$107:$B$156,原格式费用考核表!$B28,累计考核费用!F$107:F$156)/10000</f>
        <v>171.79345699999999</v>
      </c>
      <c r="H28" s="8">
        <f>SUMIF(累计考核费用!$B$107:$B$156,原格式费用考核表!$B28,累计考核费用!G$107:G$156)/10000</f>
        <v>2.1089570000000002</v>
      </c>
      <c r="I28" s="8">
        <f>SUMIF(累计考核费用!$B$107:$B$156,原格式费用考核表!$B28,累计考核费用!L$107:L$156)/10000</f>
        <v>7.8434220000000003</v>
      </c>
      <c r="J28" s="8">
        <f>SUMIF(累计考核费用!$B$107:$B$156,原格式费用考核表!$B28,累计考核费用!M$107:M$156)/10000</f>
        <v>0.98339099999999979</v>
      </c>
      <c r="K28" s="8">
        <f>SUMIF(累计考核费用!$B$107:$B$156,原格式费用考核表!$B28,累计考核费用!Q$107:Q$156)/10000</f>
        <v>0.98339100000000002</v>
      </c>
      <c r="L28" s="8">
        <f>SUMIF(累计考核费用!$B$107:$B$156,原格式费用考核表!$B28,累计考核费用!P$107:P$156)/10000</f>
        <v>1.303288</v>
      </c>
      <c r="M28" s="8">
        <f>SUMIF(累计考核费用!$B$107:$B$156,原格式费用考核表!$B28,累计考核费用!O$107:O$156)/10000</f>
        <v>0.98338999999999999</v>
      </c>
      <c r="N28" s="8">
        <f>SUMIF(累计考核费用!$B$107:$B$156,原格式费用考核表!$B28,累计考核费用!R$107:R$156)/10000</f>
        <v>1.303288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SUMIF(累计考核费用!$B$107:$B$156,原格式费用考核表!$B28,累计考核费用!S$107:S$156)/10000</f>
        <v>1.3032839999999999</v>
      </c>
      <c r="Q28" s="8" t="e">
        <f>SUMIF(累计考核费用!$B$107:$B$156,原格式费用考核表!$B28,累计考核费用!#REF!)/10000</f>
        <v>#REF!</v>
      </c>
      <c r="R28" s="8">
        <f>SUMIF(累计考核费用!$B$107:$B$156,原格式费用考核表!$B28,累计考核费用!T$107:T$156)/10000</f>
        <v>0</v>
      </c>
      <c r="S28" s="8">
        <f>SUMIF(累计考核费用!$B$107:$B$156,原格式费用考核表!$B28,累计考核费用!U$107:U$156)/10000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SUMIF(累计考核费用!$B$107:$B$156,原格式费用考核表!$B28,累计考核费用!V$107:V$156)/10000</f>
        <v>0</v>
      </c>
      <c r="V28" s="8">
        <f>SUMIF(累计考核费用!$B$107:$B$156,原格式费用考核表!$B28,累计考核费用!W$107:W$156)/10000</f>
        <v>0</v>
      </c>
      <c r="W28" s="8">
        <f>SUMIF(累计考核费用!$B$107:$B$156,原格式费用考核表!$B28,累计考核费用!AB$107:AB$156)/10000</f>
        <v>0</v>
      </c>
      <c r="X28" s="8" t="e">
        <f>SUMIF(累计考核费用!$B$107:$B$156,原格式费用考核表!$B28,累计考核费用!#REF!)/10000</f>
        <v>#REF!</v>
      </c>
      <c r="Y28" s="8" t="e">
        <f>SUMIF(累计考核费用!$B$107:$B$156,原格式费用考核表!$B28,累计考核费用!#REF!)/10000</f>
        <v>#REF!</v>
      </c>
      <c r="Z28" s="8" t="e">
        <f>SUMIF(累计考核费用!$B$107:$B$156,原格式费用考核表!$B28,累计考核费用!#REF!)/10000</f>
        <v>#REF!</v>
      </c>
      <c r="AA28" s="8">
        <f>SUMIF(累计考核费用!$B$107:$B$156,原格式费用考核表!$B28,累计考核费用!AC$107:AC$156)/10000</f>
        <v>1.369</v>
      </c>
      <c r="AB28" s="8" t="e">
        <f>SUMIF(累计考核费用!$B$107:$B$156,原格式费用考核表!$B28,累计考核费用!#REF!)/10000</f>
        <v>#REF!</v>
      </c>
    </row>
    <row r="29" spans="1:28" s="2" customFormat="1" ht="12" customHeight="1">
      <c r="A29" s="252"/>
      <c r="B29" s="11" t="s">
        <v>113</v>
      </c>
      <c r="C29" s="11" t="s">
        <v>117</v>
      </c>
      <c r="D29" s="8">
        <f>SUMIF(累计考核费用!$B$107:$B$156,原格式费用考核表!$B29,累计考核费用!C$107:C$156)/10000</f>
        <v>233.15265499999998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124.37363299999998</v>
      </c>
      <c r="G29" s="8">
        <f>SUMIF(累计考核费用!$B$107:$B$156,原格式费用考核表!$B29,累计考核费用!F$107:F$156)/10000</f>
        <v>70.387223000000006</v>
      </c>
      <c r="H29" s="8">
        <f>SUMIF(累计考核费用!$B$107:$B$156,原格式费用考核表!$B29,累计考核费用!G$107:G$156)/10000</f>
        <v>0</v>
      </c>
      <c r="I29" s="8">
        <f>SUMIF(累计考核费用!$B$107:$B$156,原格式费用考核表!$B29,累计考核费用!L$107:L$156)/10000</f>
        <v>3.2038839999999995</v>
      </c>
      <c r="J29" s="8">
        <f>SUMIF(累计考核费用!$B$107:$B$156,原格式费用考核表!$B29,累计考核费用!M$107:M$156)/10000</f>
        <v>0.97087400000000001</v>
      </c>
      <c r="K29" s="8">
        <f>SUMIF(累计考核费用!$B$107:$B$156,原格式费用考核表!$B29,累计考核费用!Q$107:Q$156)/10000</f>
        <v>0</v>
      </c>
      <c r="L29" s="8">
        <f>SUMIF(累计考核费用!$B$107:$B$156,原格式费用考核表!$B29,累计考核费用!P$107:P$156)/10000</f>
        <v>0</v>
      </c>
      <c r="M29" s="8">
        <f>SUMIF(累计考核费用!$B$107:$B$156,原格式费用考核表!$B29,累计考核费用!O$107:O$156)/10000</f>
        <v>0.26</v>
      </c>
      <c r="N29" s="8">
        <f>SUMIF(累计考核费用!$B$107:$B$156,原格式费用考核表!$B29,累计考核费用!R$107:R$156)/10000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SUMIF(累计考核费用!$B$107:$B$156,原格式费用考核表!$B29,累计考核费用!S$107:S$156)/10000</f>
        <v>0</v>
      </c>
      <c r="Q29" s="8" t="e">
        <f>SUMIF(累计考核费用!$B$107:$B$156,原格式费用考核表!$B29,累计考核费用!#REF!)/10000</f>
        <v>#REF!</v>
      </c>
      <c r="R29" s="8">
        <f>SUMIF(累计考核费用!$B$107:$B$156,原格式费用考核表!$B29,累计考核费用!T$107:T$156)/10000</f>
        <v>31.457414</v>
      </c>
      <c r="S29" s="8">
        <f>SUMIF(累计考核费用!$B$107:$B$156,原格式费用考核表!$B29,累计考核费用!U$107:U$156)/10000</f>
        <v>7.117794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SUMIF(累计考核费用!$B$107:$B$156,原格式费用考核表!$B29,累计考核费用!V$107:V$156)/10000</f>
        <v>17.807935999999998</v>
      </c>
      <c r="V29" s="8">
        <f>SUMIF(累计考核费用!$B$107:$B$156,原格式费用考核表!$B29,累计考核费用!W$107:W$156)/10000</f>
        <v>6.5316840000000003</v>
      </c>
      <c r="W29" s="8">
        <f>SUMIF(累计考核费用!$B$107:$B$156,原格式费用考核表!$B29,累计考核费用!AB$107:AB$156)/10000</f>
        <v>3.4773510000000001</v>
      </c>
      <c r="X29" s="8" t="e">
        <f>SUMIF(累计考核费用!$B$107:$B$156,原格式费用考核表!$B29,累计考核费用!#REF!)/10000</f>
        <v>#REF!</v>
      </c>
      <c r="Y29" s="8" t="e">
        <f>SUMIF(累计考核费用!$B$107:$B$156,原格式费用考核表!$B29,累计考核费用!#REF!)/10000</f>
        <v>#REF!</v>
      </c>
      <c r="Z29" s="8" t="e">
        <f>SUMIF(累计考核费用!$B$107:$B$156,原格式费用考核表!$B29,累计考核费用!#REF!)/10000</f>
        <v>#REF!</v>
      </c>
      <c r="AA29" s="8">
        <f>SUMIF(累计考核费用!$B$107:$B$156,原格式费用考核表!$B29,累计考核费用!AC$107:AC$156)/10000</f>
        <v>0.25314999999999999</v>
      </c>
      <c r="AB29" s="8" t="e">
        <f>SUMIF(累计考核费用!$B$107:$B$156,原格式费用考核表!$B29,累计考核费用!#REF!)/10000</f>
        <v>#REF!</v>
      </c>
    </row>
    <row r="30" spans="1:28" s="2" customFormat="1" ht="12" customHeight="1">
      <c r="A30" s="252"/>
      <c r="B30" s="11" t="s">
        <v>114</v>
      </c>
      <c r="C30" s="11" t="s">
        <v>118</v>
      </c>
      <c r="D30" s="8">
        <f>SUMIF(累计考核费用!$B$107:$B$156,原格式费用考核表!$B30,累计考核费用!C$107:C$156)/10000</f>
        <v>88.170083000000005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11.782504999999997</v>
      </c>
      <c r="G30" s="8">
        <f>SUMIF(累计考核费用!$B$107:$B$156,原格式费用考核表!$B30,累计考核费用!F$107:F$156)/10000</f>
        <v>40.792749000000008</v>
      </c>
      <c r="H30" s="8">
        <f>SUMIF(累计考核费用!$B$107:$B$156,原格式费用考核表!$B30,累计考核费用!G$107:G$156)/10000</f>
        <v>2.0125599999999997</v>
      </c>
      <c r="I30" s="8">
        <f>SUMIF(累计考核费用!$B$107:$B$156,原格式费用考核表!$B30,累计考核费用!L$107:L$156)/10000</f>
        <v>1.8398489999999998</v>
      </c>
      <c r="J30" s="8">
        <f>SUMIF(累计考核费用!$B$107:$B$156,原格式费用考核表!$B30,累计考核费用!M$107:M$156)/10000</f>
        <v>0.169434</v>
      </c>
      <c r="K30" s="8">
        <f>SUMIF(累计考核费用!$B$107:$B$156,原格式费用考核表!$B30,累计考核费用!Q$107:Q$156)/10000</f>
        <v>0.1643</v>
      </c>
      <c r="L30" s="8">
        <f>SUMIF(累计考核费用!$B$107:$B$156,原格式费用考核表!$B30,累计考核费用!P$107:P$156)/10000</f>
        <v>0.23050799999999999</v>
      </c>
      <c r="M30" s="8">
        <f>SUMIF(累计考核费用!$B$107:$B$156,原格式费用考核表!$B30,累计考核费用!O$107:O$156)/10000</f>
        <v>0.156333</v>
      </c>
      <c r="N30" s="8">
        <f>SUMIF(累计考核费用!$B$107:$B$156,原格式费用考核表!$B30,累计考核费用!R$107:R$156)/10000</f>
        <v>0.1386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SUMIF(累计考核费用!$B$107:$B$156,原格式费用考核表!$B30,累计考核费用!S$107:S$156)/10000</f>
        <v>0.73464099999999999</v>
      </c>
      <c r="Q30" s="8" t="e">
        <f>SUMIF(累计考核费用!$B$107:$B$156,原格式费用考核表!$B30,累计考核费用!#REF!)/10000</f>
        <v>#REF!</v>
      </c>
      <c r="R30" s="8">
        <f>SUMIF(累计考核费用!$B$107:$B$156,原格式费用考核表!$B30,累计考核费用!T$107:T$156)/10000</f>
        <v>28.170089999999995</v>
      </c>
      <c r="S30" s="8">
        <f>SUMIF(累计考核费用!$B$107:$B$156,原格式费用考核表!$B30,累计考核费用!U$107:U$156)/10000</f>
        <v>1.4953050000000001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SUMIF(累计考核费用!$B$107:$B$156,原格式费用考核表!$B30,累计考核费用!V$107:V$156)/10000</f>
        <v>20.110333999999998</v>
      </c>
      <c r="V30" s="8">
        <f>SUMIF(累计考核费用!$B$107:$B$156,原格式费用考核表!$B30,累计考核费用!W$107:W$156)/10000</f>
        <v>5.5868099999999998</v>
      </c>
      <c r="W30" s="8">
        <f>SUMIF(累计考核费用!$B$107:$B$156,原格式费用考核表!$B30,累计考核费用!AB$107:AB$156)/10000</f>
        <v>3.3987379999999998</v>
      </c>
      <c r="X30" s="8" t="e">
        <f>SUMIF(累计考核费用!$B$107:$B$156,原格式费用考核表!$B30,累计考核费用!#REF!)/10000</f>
        <v>#REF!</v>
      </c>
      <c r="Y30" s="8" t="e">
        <f>SUMIF(累计考核费用!$B$107:$B$156,原格式费用考核表!$B30,累计考核费用!#REF!)/10000</f>
        <v>#REF!</v>
      </c>
      <c r="Z30" s="8" t="e">
        <f>SUMIF(累计考核费用!$B$107:$B$156,原格式费用考核表!$B30,累计考核费用!#REF!)/10000</f>
        <v>#REF!</v>
      </c>
      <c r="AA30" s="8">
        <f>SUMIF(累计考核费用!$B$107:$B$156,原格式费用考核表!$B30,累计考核费用!AC$107:AC$156)/10000</f>
        <v>0.173592</v>
      </c>
      <c r="AB30" s="8" t="e">
        <f>SUMIF(累计考核费用!$B$107:$B$156,原格式费用考核表!$B30,累计考核费用!#REF!)/10000</f>
        <v>#REF!</v>
      </c>
    </row>
    <row r="31" spans="1:28" s="2" customFormat="1" ht="12" customHeight="1">
      <c r="A31" s="252"/>
      <c r="B31" s="11" t="s">
        <v>117</v>
      </c>
      <c r="C31" s="11" t="s">
        <v>119</v>
      </c>
      <c r="D31" s="8">
        <f>SUMIF(累计考核费用!$B$107:$B$156,原格式费用考核表!$B31,累计考核费用!C$107:C$156)/10000-D9</f>
        <v>175.89901299999997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59.780164999999968</v>
      </c>
      <c r="G31" s="8">
        <f>SUMIF(累计考核费用!$B$107:$B$156,原格式费用考核表!$B31,累计考核费用!F$107:F$156)/10000-G9</f>
        <v>101.40285899999999</v>
      </c>
      <c r="H31" s="8">
        <f>SUMIF(累计考核费用!$B$107:$B$156,原格式费用考核表!$B31,累计考核费用!G$107:G$156)/10000-H9</f>
        <v>4.0241629999999997</v>
      </c>
      <c r="I31" s="8">
        <f>SUMIF(累计考核费用!$B$107:$B$156,原格式费用考核表!$B31,累计考核费用!L$107:L$156)/10000-I9</f>
        <v>11.312758000000002</v>
      </c>
      <c r="J31" s="8">
        <f>SUMIF(累计考核费用!$B$107:$B$156,原格式费用考核表!$B31,累计考核费用!M$107:M$156)/10000-J9</f>
        <v>0.384463</v>
      </c>
      <c r="K31" s="8">
        <f>SUMIF(累计考核费用!$B$107:$B$156,原格式费用考核表!$B31,累计考核费用!Q$107:Q$156)/10000-K9</f>
        <v>0</v>
      </c>
      <c r="L31" s="8">
        <f>SUMIF(累计考核费用!$B$107:$B$156,原格式费用考核表!$B31,累计考核费用!P$107:P$156)/10000-L9</f>
        <v>-1.373904</v>
      </c>
      <c r="M31" s="8">
        <f>SUMIF(累计考核费用!$B$107:$B$156,原格式费用考核表!$B31,累计考核费用!O$107:O$156)/10000-M9</f>
        <v>0.511463</v>
      </c>
      <c r="N31" s="8">
        <f>SUMIF(累计考核费用!$B$107:$B$156,原格式费用考核表!$B31,累计考核费用!R$107:R$156)/10000-N9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SUMIF(累计考核费用!$B$107:$B$156,原格式费用考核表!$B31,累计考核费用!S$107:S$156)/10000-P9</f>
        <v>11.697973000000001</v>
      </c>
      <c r="Q31" s="8" t="e">
        <f>SUMIF(累计考核费用!$B$107:$B$156,原格式费用考核表!$B31,累计考核费用!#REF!)/10000-Q9</f>
        <v>#REF!</v>
      </c>
      <c r="R31" s="8">
        <f>SUMIF(累计考核费用!$B$107:$B$156,原格式费用考核表!$B31,累计考核费用!T$107:T$156)/10000-R9</f>
        <v>-0.22889999999999999</v>
      </c>
      <c r="S31" s="8">
        <f>SUMIF(累计考核费用!$B$107:$B$156,原格式费用考核表!$B31,累计考核费用!U$107:U$156)/10000-S9</f>
        <v>-0.999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SUMIF(累计考核费用!$B$107:$B$156,原格式费用考核表!$B31,累计考核费用!V$107:V$156)/10000-U9</f>
        <v>2.5700000000000001E-2</v>
      </c>
      <c r="V31" s="8">
        <f>SUMIF(累计考核费用!$B$107:$B$156,原格式费用考核表!$B31,累计考核费用!W$107:W$156)/10000-V9</f>
        <v>0.38540000000000002</v>
      </c>
      <c r="W31" s="8">
        <f>SUMIF(累计考核费用!$B$107:$B$156,原格式费用考核表!$B31,累计考核费用!AB$107:AB$156)/10000-W9</f>
        <v>1.4775680000000002</v>
      </c>
      <c r="X31" s="8" t="e">
        <f>SUMIF(累计考核费用!$B$107:$B$156,原格式费用考核表!$B31,累计考核费用!#REF!)/10000-X9</f>
        <v>#REF!</v>
      </c>
      <c r="Y31" s="8" t="e">
        <f>SUMIF(累计考核费用!$B$107:$B$156,原格式费用考核表!$B31,累计考核费用!#REF!)/10000-Y9</f>
        <v>#REF!</v>
      </c>
      <c r="Z31" s="8" t="e">
        <f>SUMIF(累计考核费用!$B$107:$B$156,原格式费用考核表!$B31,累计考核费用!#REF!)/10000-Z9</f>
        <v>#REF!</v>
      </c>
      <c r="AA31" s="8">
        <f>SUMIF(累计考核费用!$B$107:$B$156,原格式费用考核表!$B31,累计考核费用!AC$107:AC$156)/10000-AA9</f>
        <v>0</v>
      </c>
      <c r="AB31" s="8" t="e">
        <f>SUMIF(累计考核费用!$B$107:$B$156,原格式费用考核表!$B31,累计考核费用!#REF!)/10000-AB9</f>
        <v>#REF!</v>
      </c>
    </row>
    <row r="32" spans="1:28" s="2" customFormat="1" ht="12" customHeight="1">
      <c r="A32" s="252"/>
      <c r="B32" s="11" t="s">
        <v>125</v>
      </c>
      <c r="C32" s="11" t="s">
        <v>99</v>
      </c>
      <c r="D32" s="8">
        <f>SUMIF(累计考核费用!$B$107:$B$156,原格式费用考核表!$B32,累计考核费用!C$107:C$156)/10000</f>
        <v>23.765846999999997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23.765846999999997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SUMIF(累计考核费用!$B$107:$B$156,原格式费用考核表!$B32,累计考核费用!L$107:L$156)/10000</f>
        <v>0</v>
      </c>
      <c r="J32" s="8">
        <f>SUMIF(累计考核费用!$B$107:$B$156,原格式费用考核表!$B32,累计考核费用!M$107:M$156)/10000</f>
        <v>0</v>
      </c>
      <c r="K32" s="8">
        <f>SUMIF(累计考核费用!$B$107:$B$156,原格式费用考核表!$B32,累计考核费用!Q$107:Q$156)/10000</f>
        <v>0</v>
      </c>
      <c r="L32" s="8">
        <f>SUMIF(累计考核费用!$B$107:$B$156,原格式费用考核表!$B32,累计考核费用!P$107:P$156)/10000</f>
        <v>0</v>
      </c>
      <c r="M32" s="8">
        <f>SUMIF(累计考核费用!$B$107:$B$156,原格式费用考核表!$B32,累计考核费用!O$107:O$156)/10000</f>
        <v>0</v>
      </c>
      <c r="N32" s="8">
        <f>SUMIF(累计考核费用!$B$107:$B$156,原格式费用考核表!$B32,累计考核费用!R$107:R$156)/10000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SUMIF(累计考核费用!$B$107:$B$156,原格式费用考核表!$B32,累计考核费用!S$107:S$156)/10000</f>
        <v>0</v>
      </c>
      <c r="Q32" s="8" t="e">
        <f>SUMIF(累计考核费用!$B$107:$B$156,原格式费用考核表!$B32,累计考核费用!#REF!)/10000</f>
        <v>#REF!</v>
      </c>
      <c r="R32" s="8">
        <f>SUMIF(累计考核费用!$B$107:$B$156,原格式费用考核表!$B32,累计考核费用!T$107:T$156)/10000</f>
        <v>0</v>
      </c>
      <c r="S32" s="8">
        <f>SUMIF(累计考核费用!$B$107:$B$156,原格式费用考核表!$B32,累计考核费用!U$107:U$156)/10000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SUMIF(累计考核费用!$B$107:$B$156,原格式费用考核表!$B32,累计考核费用!V$107:V$156)/10000</f>
        <v>0</v>
      </c>
      <c r="V32" s="8">
        <f>SUMIF(累计考核费用!$B$107:$B$156,原格式费用考核表!$B32,累计考核费用!W$107:W$156)/10000</f>
        <v>0</v>
      </c>
      <c r="W32" s="8">
        <f>SUMIF(累计考核费用!$B$107:$B$156,原格式费用考核表!$B32,累计考核费用!AB$107:AB$156)/10000</f>
        <v>0</v>
      </c>
      <c r="X32" s="8" t="e">
        <f>SUMIF(累计考核费用!$B$107:$B$156,原格式费用考核表!$B32,累计考核费用!#REF!)/10000</f>
        <v>#REF!</v>
      </c>
      <c r="Y32" s="8" t="e">
        <f>SUMIF(累计考核费用!$B$107:$B$156,原格式费用考核表!$B32,累计考核费用!#REF!)/10000</f>
        <v>#REF!</v>
      </c>
      <c r="Z32" s="8" t="e">
        <f>SUMIF(累计考核费用!$B$107:$B$156,原格式费用考核表!$B32,累计考核费用!#REF!)/10000</f>
        <v>#REF!</v>
      </c>
      <c r="AA32" s="8">
        <f>SUMIF(累计考核费用!$B$107:$B$156,原格式费用考核表!$B32,累计考核费用!AC$107:AC$156)/10000</f>
        <v>0</v>
      </c>
      <c r="AB32" s="8" t="e">
        <f>SUMIF(累计考核费用!$B$107:$B$156,原格式费用考核表!$B32,累计考核费用!#REF!)/10000</f>
        <v>#REF!</v>
      </c>
    </row>
    <row r="33" spans="1:28" s="2" customFormat="1" ht="12" customHeight="1">
      <c r="A33" s="252"/>
      <c r="B33" s="11" t="s">
        <v>126</v>
      </c>
      <c r="C33" s="11" t="s">
        <v>121</v>
      </c>
      <c r="D33" s="8">
        <f>SUMIF(累计考核费用!$B$107:$B$156,原格式费用考核表!$B33,累计考核费用!C$107:C$156)/10000</f>
        <v>55.873431000000004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27.901789000000001</v>
      </c>
      <c r="G33" s="8">
        <f>SUMIF(累计考核费用!$B$107:$B$156,原格式费用考核表!$B33,累计考核费用!F$107:F$156)/10000</f>
        <v>25.882722000000005</v>
      </c>
      <c r="H33" s="8">
        <f>SUMIF(累计考核费用!$B$107:$B$156,原格式费用考核表!$B33,累计考核费用!G$107:G$156)/10000</f>
        <v>0.04</v>
      </c>
      <c r="I33" s="8">
        <f>SUMIF(累计考核费用!$B$107:$B$156,原格式费用考核表!$B33,累计考核费用!L$107:L$156)/10000</f>
        <v>1.2412939999999999</v>
      </c>
      <c r="J33" s="8">
        <f>SUMIF(累计考核费用!$B$107:$B$156,原格式费用考核表!$B33,累计考核费用!M$107:M$156)/10000</f>
        <v>0</v>
      </c>
      <c r="K33" s="8">
        <f>SUMIF(累计考核费用!$B$107:$B$156,原格式费用考核表!$B33,累计考核费用!Q$107:Q$156)/10000</f>
        <v>0</v>
      </c>
      <c r="L33" s="8">
        <f>SUMIF(累计考核费用!$B$107:$B$156,原格式费用考核表!$B33,累计考核费用!P$107:P$156)/10000</f>
        <v>0.60204899999999995</v>
      </c>
      <c r="M33" s="8">
        <f>SUMIF(累计考核费用!$B$107:$B$156,原格式费用考核表!$B33,累计考核费用!O$107:O$156)/10000</f>
        <v>0</v>
      </c>
      <c r="N33" s="8">
        <f>SUMIF(累计考核费用!$B$107:$B$156,原格式费用考核表!$B33,累计考核费用!R$107:R$156)/10000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SUMIF(累计考核费用!$B$107:$B$156,原格式费用考核表!$B33,累计考核费用!S$107:S$156)/10000</f>
        <v>0.63924499999999995</v>
      </c>
      <c r="Q33" s="8" t="e">
        <f>SUMIF(累计考核费用!$B$107:$B$156,原格式费用考核表!$B33,累计考核费用!#REF!)/10000</f>
        <v>#REF!</v>
      </c>
      <c r="R33" s="8">
        <f>SUMIF(累计考核费用!$B$107:$B$156,原格式费用考核表!$B33,累计考核费用!T$107:T$156)/10000</f>
        <v>0.16462599999999999</v>
      </c>
      <c r="S33" s="8">
        <f>SUMIF(累计考核费用!$B$107:$B$156,原格式费用考核表!$B33,累计考核费用!U$107:U$156)/10000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SUMIF(累计考核费用!$B$107:$B$156,原格式费用考核表!$B33,累计考核费用!V$107:V$156)/10000</f>
        <v>7.4160000000000004E-2</v>
      </c>
      <c r="V33" s="8">
        <f>SUMIF(累计考核费用!$B$107:$B$156,原格式费用考核表!$B33,累计考核费用!W$107:W$156)/10000</f>
        <v>9.0465999999999991E-2</v>
      </c>
      <c r="W33" s="8">
        <f>SUMIF(累计考核费用!$B$107:$B$156,原格式费用考核表!$B33,累计考核费用!AB$107:AB$156)/10000</f>
        <v>0.61</v>
      </c>
      <c r="X33" s="8" t="e">
        <f>SUMIF(累计考核费用!$B$107:$B$156,原格式费用考核表!$B33,累计考核费用!#REF!)/10000</f>
        <v>#REF!</v>
      </c>
      <c r="Y33" s="8" t="e">
        <f>SUMIF(累计考核费用!$B$107:$B$156,原格式费用考核表!$B33,累计考核费用!#REF!)/10000</f>
        <v>#REF!</v>
      </c>
      <c r="Z33" s="8" t="e">
        <f>SUMIF(累计考核费用!$B$107:$B$156,原格式费用考核表!$B33,累计考核费用!#REF!)/10000</f>
        <v>#REF!</v>
      </c>
      <c r="AA33" s="8">
        <f>SUMIF(累计考核费用!$B$107:$B$156,原格式费用考核表!$B33,累计考核费用!AC$107:AC$156)/10000</f>
        <v>3.3000000000000002E-2</v>
      </c>
      <c r="AB33" s="8" t="e">
        <f>SUMIF(累计考核费用!$B$107:$B$156,原格式费用考核表!$B33,累计考核费用!#REF!)/10000</f>
        <v>#REF!</v>
      </c>
    </row>
    <row r="34" spans="1:28" s="2" customFormat="1" ht="12" customHeight="1">
      <c r="A34" s="252"/>
      <c r="B34" s="11" t="s">
        <v>115</v>
      </c>
      <c r="C34" s="11" t="s">
        <v>122</v>
      </c>
      <c r="D34" s="8">
        <f>SUMIF(累计考核费用!$B$107:$B$156,原格式费用考核表!$B34,累计考核费用!C$107:C$156)/10000</f>
        <v>20.804432000000002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3.2240900000000017</v>
      </c>
      <c r="G34" s="8">
        <f>SUMIF(累计考核费用!$B$107:$B$156,原格式费用考核表!$B34,累计考核费用!F$107:F$156)/10000</f>
        <v>15.461093</v>
      </c>
      <c r="H34" s="8">
        <f>SUMIF(累计考核费用!$B$107:$B$156,原格式费用考核表!$B34,累计考核费用!G$107:G$156)/10000</f>
        <v>0.46774400000000005</v>
      </c>
      <c r="I34" s="8">
        <f>SUMIF(累计考核费用!$B$107:$B$156,原格式费用考核表!$B34,累计考核费用!L$107:L$156)/10000</f>
        <v>0.720638</v>
      </c>
      <c r="J34" s="8">
        <f>SUMIF(累计考核费用!$B$107:$B$156,原格式费用考核表!$B34,累计考核费用!M$107:M$156)/10000</f>
        <v>2.9065999999999998E-2</v>
      </c>
      <c r="K34" s="8">
        <f>SUMIF(累计考核费用!$B$107:$B$156,原格式费用考核表!$B34,累计考核费用!Q$107:Q$156)/10000</f>
        <v>3.9050000000000001E-2</v>
      </c>
      <c r="L34" s="8">
        <f>SUMIF(累计考核费用!$B$107:$B$156,原格式费用考核表!$B34,累计考核费用!P$107:P$156)/10000</f>
        <v>0.19308</v>
      </c>
      <c r="M34" s="8">
        <f>SUMIF(累计考核费用!$B$107:$B$156,原格式费用考核表!$B34,累计考核费用!O$107:O$156)/10000</f>
        <v>2.9067000000000003E-2</v>
      </c>
      <c r="N34" s="8">
        <f>SUMIF(累计考核费用!$B$107:$B$156,原格式费用考核表!$B34,累计考核费用!R$107:R$156)/10000</f>
        <v>1.324E-2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SUMIF(累计考核费用!$B$107:$B$156,原格式费用考核表!$B34,累计考核费用!S$107:S$156)/10000</f>
        <v>0.38806799999999997</v>
      </c>
      <c r="Q34" s="8" t="e">
        <f>SUMIF(累计考核费用!$B$107:$B$156,原格式费用考核表!$B34,累计考核费用!#REF!)/10000</f>
        <v>#REF!</v>
      </c>
      <c r="R34" s="8">
        <f>SUMIF(累计考核费用!$B$107:$B$156,原格式费用考核表!$B34,累计考核费用!T$107:T$156)/10000</f>
        <v>0.70286699999999991</v>
      </c>
      <c r="S34" s="8">
        <f>SUMIF(累计考核费用!$B$107:$B$156,原格式费用考核表!$B34,累计考核费用!U$107:U$156)/10000</f>
        <v>6.6314999999999999E-2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SUMIF(累计考核费用!$B$107:$B$156,原格式费用考核表!$B34,累计考核费用!V$107:V$156)/10000</f>
        <v>0.374</v>
      </c>
      <c r="V34" s="8">
        <f>SUMIF(累计考核费用!$B$107:$B$156,原格式费用考核表!$B34,累计考核费用!W$107:W$156)/10000</f>
        <v>0.169682</v>
      </c>
      <c r="W34" s="8">
        <f>SUMIF(累计考核费用!$B$107:$B$156,原格式费用考核表!$B34,累计考核费用!AB$107:AB$156)/10000</f>
        <v>8.4000000000000005E-2</v>
      </c>
      <c r="X34" s="8" t="e">
        <f>SUMIF(累计考核费用!$B$107:$B$156,原格式费用考核表!$B34,累计考核费用!#REF!)/10000</f>
        <v>#REF!</v>
      </c>
      <c r="Y34" s="8" t="e">
        <f>SUMIF(累计考核费用!$B$107:$B$156,原格式费用考核表!$B34,累计考核费用!#REF!)/10000</f>
        <v>#REF!</v>
      </c>
      <c r="Z34" s="8" t="e">
        <f>SUMIF(累计考核费用!$B$107:$B$156,原格式费用考核表!$B34,累计考核费用!#REF!)/10000</f>
        <v>#REF!</v>
      </c>
      <c r="AA34" s="8">
        <f>SUMIF(累计考核费用!$B$107:$B$156,原格式费用考核表!$B34,累计考核费用!AC$107:AC$156)/10000</f>
        <v>0.14399999999999999</v>
      </c>
      <c r="AB34" s="8" t="e">
        <f>SUMIF(累计考核费用!$B$107:$B$156,原格式费用考核表!$B34,累计考核费用!#REF!)/10000</f>
        <v>#REF!</v>
      </c>
    </row>
    <row r="35" spans="1:28" s="2" customFormat="1" ht="12" customHeight="1">
      <c r="A35" s="252"/>
      <c r="B35" s="11" t="s">
        <v>116</v>
      </c>
      <c r="C35" s="11" t="s">
        <v>123</v>
      </c>
      <c r="D35" s="8">
        <f>SUMIF(累计考核费用!$B$107:$B$156,原格式费用考核表!$B35,累计考核费用!C$107:C$156)/10000</f>
        <v>71.574651999999986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17.065543999999992</v>
      </c>
      <c r="G35" s="8">
        <f>SUMIF(累计考核费用!$B$107:$B$156,原格式费用考核表!$B35,累计考核费用!F$107:F$156)/10000</f>
        <v>30.563649999999999</v>
      </c>
      <c r="H35" s="8">
        <f>SUMIF(累计考核费用!$B$107:$B$156,原格式费用考核表!$B35,累计考核费用!G$107:G$156)/10000</f>
        <v>4.1060419999999995</v>
      </c>
      <c r="I35" s="8">
        <f>SUMIF(累计考核费用!$B$107:$B$156,原格式费用考核表!$B35,累计考核费用!L$107:L$156)/10000</f>
        <v>6.0344149999999983</v>
      </c>
      <c r="J35" s="8">
        <f>SUMIF(累计考核费用!$B$107:$B$156,原格式费用考核表!$B35,累计考核费用!M$107:M$156)/10000</f>
        <v>0.26711200000000002</v>
      </c>
      <c r="K35" s="8">
        <f>SUMIF(累计考核费用!$B$107:$B$156,原格式费用考核表!$B35,累计考核费用!Q$107:Q$156)/10000</f>
        <v>0.56984000000000001</v>
      </c>
      <c r="L35" s="8">
        <f>SUMIF(累计考核费用!$B$107:$B$156,原格式费用考核表!$B35,累计考核费用!P$107:P$156)/10000</f>
        <v>0.37126099999999995</v>
      </c>
      <c r="M35" s="8">
        <f>SUMIF(累计考核费用!$B$107:$B$156,原格式费用考核表!$B35,累计考核费用!O$107:O$156)/10000</f>
        <v>0.35391600000000001</v>
      </c>
      <c r="N35" s="8">
        <f>SUMIF(累计考核费用!$B$107:$B$156,原格式费用考核表!$B35,累计考核费用!R$107:R$156)/10000</f>
        <v>3.1129949999999993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SUMIF(累计考核费用!$B$107:$B$156,原格式费用考核表!$B35,累计考核费用!S$107:S$156)/10000</f>
        <v>0.96470199999999984</v>
      </c>
      <c r="Q35" s="8" t="e">
        <f>SUMIF(累计考核费用!$B$107:$B$156,原格式费用考核表!$B35,累计考核费用!#REF!)/10000</f>
        <v>#REF!</v>
      </c>
      <c r="R35" s="8">
        <f>SUMIF(累计考核费用!$B$107:$B$156,原格式费用考核表!$B35,累计考核费用!T$107:T$156)/10000</f>
        <v>12.479839</v>
      </c>
      <c r="S35" s="8">
        <f>SUMIF(累计考核费用!$B$107:$B$156,原格式费用考核表!$B35,累计考核费用!U$107:U$156)/10000</f>
        <v>5.5715660000000007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SUMIF(累计考核费用!$B$107:$B$156,原格式费用考核表!$B35,累计考核费用!V$107:V$156)/10000</f>
        <v>3.6723270000000006</v>
      </c>
      <c r="V35" s="8">
        <f>SUMIF(累计考核费用!$B$107:$B$156,原格式费用考核表!$B35,累计考核费用!W$107:W$156)/10000</f>
        <v>2.7082879999999996</v>
      </c>
      <c r="W35" s="8">
        <f>SUMIF(累计考核费用!$B$107:$B$156,原格式费用考核表!$B35,累计考核费用!AB$107:AB$156)/10000</f>
        <v>1.101164</v>
      </c>
      <c r="X35" s="8" t="e">
        <f>SUMIF(累计考核费用!$B$107:$B$156,原格式费用考核表!$B35,累计考核费用!#REF!)/10000</f>
        <v>#REF!</v>
      </c>
      <c r="Y35" s="8" t="e">
        <f>SUMIF(累计考核费用!$B$107:$B$156,原格式费用考核表!$B35,累计考核费用!#REF!)/10000</f>
        <v>#REF!</v>
      </c>
      <c r="Z35" s="8" t="e">
        <f>SUMIF(累计考核费用!$B$107:$B$156,原格式费用考核表!$B35,累计考核费用!#REF!)/10000</f>
        <v>#REF!</v>
      </c>
      <c r="AA35" s="8">
        <f>SUMIF(累计考核费用!$B$107:$B$156,原格式费用考核表!$B35,累计考核费用!AC$107:AC$156)/10000</f>
        <v>0.223998</v>
      </c>
      <c r="AB35" s="8" t="e">
        <f>SUMIF(累计考核费用!$B$107:$B$156,原格式费用考核表!$B35,累计考核费用!#REF!)/10000</f>
        <v>#REF!</v>
      </c>
    </row>
    <row r="36" spans="1:28" s="2" customFormat="1" ht="12" customHeight="1">
      <c r="A36" s="252"/>
      <c r="B36" s="11" t="s">
        <v>127</v>
      </c>
      <c r="C36" s="11" t="s">
        <v>124</v>
      </c>
      <c r="D36" s="8">
        <f>SUMIF(累计考核费用!$B$107:$B$156,原格式费用考核表!$B36,累计考核费用!C$107:C$156)/10000</f>
        <v>98.962999999999994</v>
      </c>
      <c r="E36" s="8">
        <f>SUMIF(累计考核费用!$B$107:$B$156,原格式费用考核表!$B36,累计考核费用!D$107:D$156)/10000</f>
        <v>0</v>
      </c>
      <c r="F36" s="8">
        <f>SUMIF(累计考核费用!$B$107:$B$156,原格式费用考核表!$B36,累计考核费用!E$107:E$156)/10000</f>
        <v>46</v>
      </c>
      <c r="G36" s="8">
        <f>SUMIF(累计考核费用!$B$107:$B$156,原格式费用考核表!$B36,累计考核费用!F$107:F$156)/10000</f>
        <v>52.162999999999997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SUMIF(累计考核费用!$B$107:$B$156,原格式费用考核表!$B36,累计考核费用!L$107:L$156)/10000</f>
        <v>0.8</v>
      </c>
      <c r="J36" s="8">
        <f>SUMIF(累计考核费用!$B$107:$B$156,原格式费用考核表!$B36,累计考核费用!M$107:M$156)/10000</f>
        <v>0</v>
      </c>
      <c r="K36" s="8">
        <f>SUMIF(累计考核费用!$B$107:$B$156,原格式费用考核表!$B36,累计考核费用!Q$107:Q$156)/10000</f>
        <v>0</v>
      </c>
      <c r="L36" s="8">
        <f>SUMIF(累计考核费用!$B$107:$B$156,原格式费用考核表!$B36,累计考核费用!P$107:P$156)/10000</f>
        <v>0</v>
      </c>
      <c r="M36" s="8">
        <f>SUMIF(累计考核费用!$B$107:$B$156,原格式费用考核表!$B36,累计考核费用!O$107:O$156)/10000</f>
        <v>0</v>
      </c>
      <c r="N36" s="8">
        <f>SUMIF(累计考核费用!$B$107:$B$156,原格式费用考核表!$B36,累计考核费用!R$107:R$156)/10000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SUMIF(累计考核费用!$B$107:$B$156,原格式费用考核表!$B36,累计考核费用!S$107:S$156)/10000</f>
        <v>0.8</v>
      </c>
      <c r="Q36" s="8" t="e">
        <f>SUMIF(累计考核费用!$B$107:$B$156,原格式费用考核表!$B36,累计考核费用!#REF!)/10000</f>
        <v>#REF!</v>
      </c>
      <c r="R36" s="8">
        <f>SUMIF(累计考核费用!$B$107:$B$156,原格式费用考核表!$B36,累计考核费用!T$107:T$156)/10000</f>
        <v>0</v>
      </c>
      <c r="S36" s="8">
        <f>SUMIF(累计考核费用!$B$107:$B$156,原格式费用考核表!$B36,累计考核费用!U$107:U$156)/10000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SUMIF(累计考核费用!$B$107:$B$156,原格式费用考核表!$B36,累计考核费用!V$107:V$156)/10000</f>
        <v>0</v>
      </c>
      <c r="V36" s="8">
        <f>SUMIF(累计考核费用!$B$107:$B$156,原格式费用考核表!$B36,累计考核费用!W$107:W$156)/10000</f>
        <v>0</v>
      </c>
      <c r="W36" s="8">
        <f>SUMIF(累计考核费用!$B$107:$B$156,原格式费用考核表!$B36,累计考核费用!AB$107:AB$156)/10000</f>
        <v>0</v>
      </c>
      <c r="X36" s="8" t="e">
        <f>SUMIF(累计考核费用!$B$107:$B$156,原格式费用考核表!$B36,累计考核费用!#REF!)/10000</f>
        <v>#REF!</v>
      </c>
      <c r="Y36" s="8" t="e">
        <f>SUMIF(累计考核费用!$B$107:$B$156,原格式费用考核表!$B36,累计考核费用!#REF!)/10000</f>
        <v>#REF!</v>
      </c>
      <c r="Z36" s="8" t="e">
        <f>SUMIF(累计考核费用!$B$107:$B$156,原格式费用考核表!$B36,累计考核费用!#REF!)/10000</f>
        <v>#REF!</v>
      </c>
      <c r="AA36" s="8">
        <f>SUMIF(累计考核费用!$B$107:$B$156,原格式费用考核表!$B36,累计考核费用!AC$107:AC$156)/10000</f>
        <v>0</v>
      </c>
      <c r="AB36" s="8" t="e">
        <f>SUMIF(累计考核费用!$B$107:$B$156,原格式费用考核表!$B36,累计考核费用!#REF!)/10000</f>
        <v>#REF!</v>
      </c>
    </row>
    <row r="37" spans="1:28" s="2" customFormat="1" ht="12" customHeight="1">
      <c r="A37" s="252"/>
      <c r="B37" s="11" t="s">
        <v>104</v>
      </c>
      <c r="C37" s="11" t="s">
        <v>125</v>
      </c>
      <c r="D37" s="8">
        <f>SUMIF(累计考核费用!$B$107:$B$156,原格式费用考核表!$B37,累计考核费用!C$107:C$156)/10000</f>
        <v>56.048171000000011</v>
      </c>
      <c r="E37" s="8">
        <f>SUMIF(累计考核费用!$B$107:$B$156,原格式费用考核表!$B37,累计考核费用!D$107:D$156)/10000</f>
        <v>0</v>
      </c>
      <c r="F37" s="8">
        <f>SUMIF(累计考核费用!$B$107:$B$156,原格式费用考核表!$B37,累计考核费用!E$107:E$156)/10000</f>
        <v>30.449999999999996</v>
      </c>
      <c r="G37" s="8">
        <f>SUMIF(累计考核费用!$B$107:$B$156,原格式费用考核表!$B37,累计考核费用!F$107:F$156)/10000</f>
        <v>24.229454000000004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SUMIF(累计考核费用!$B$107:$B$156,原格式费用考核表!$B37,累计考核费用!L$107:L$156)/10000</f>
        <v>1.368717</v>
      </c>
      <c r="J37" s="8">
        <f>SUMIF(累计考核费用!$B$107:$B$156,原格式费用考核表!$B37,累计考核费用!M$107:M$156)/10000</f>
        <v>0</v>
      </c>
      <c r="K37" s="8">
        <f>SUMIF(累计考核费用!$B$107:$B$156,原格式费用考核表!$B37,累计考核费用!Q$107:Q$156)/10000</f>
        <v>0</v>
      </c>
      <c r="L37" s="8">
        <f>SUMIF(累计考核费用!$B$107:$B$156,原格式费用考核表!$B37,累计考核费用!P$107:P$156)/10000</f>
        <v>0</v>
      </c>
      <c r="M37" s="8">
        <f>SUMIF(累计考核费用!$B$107:$B$156,原格式费用考核表!$B37,累计考核费用!O$107:O$156)/10000</f>
        <v>0</v>
      </c>
      <c r="N37" s="8">
        <f>SUMIF(累计考核费用!$B$107:$B$156,原格式费用考核表!$B37,累计考核费用!R$107:R$156)/10000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SUMIF(累计考核费用!$B$107:$B$156,原格式费用考核表!$B37,累计考核费用!S$107:S$156)/10000</f>
        <v>1.368717</v>
      </c>
      <c r="Q37" s="8" t="e">
        <f>SUMIF(累计考核费用!$B$107:$B$156,原格式费用考核表!$B37,累计考核费用!#REF!)/10000</f>
        <v>#REF!</v>
      </c>
      <c r="R37" s="8">
        <f>SUMIF(累计考核费用!$B$107:$B$156,原格式费用考核表!$B37,累计考核费用!T$107:T$156)/10000</f>
        <v>0</v>
      </c>
      <c r="S37" s="8">
        <f>SUMIF(累计考核费用!$B$107:$B$156,原格式费用考核表!$B37,累计考核费用!U$107:U$156)/10000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SUMIF(累计考核费用!$B$107:$B$156,原格式费用考核表!$B37,累计考核费用!V$107:V$156)/10000</f>
        <v>0</v>
      </c>
      <c r="V37" s="8">
        <f>SUMIF(累计考核费用!$B$107:$B$156,原格式费用考核表!$B37,累计考核费用!W$107:W$156)/10000</f>
        <v>0</v>
      </c>
      <c r="W37" s="8">
        <f>SUMIF(累计考核费用!$B$107:$B$156,原格式费用考核表!$B37,累计考核费用!AB$107:AB$156)/10000</f>
        <v>0</v>
      </c>
      <c r="X37" s="8" t="e">
        <f>SUMIF(累计考核费用!$B$107:$B$156,原格式费用考核表!$B37,累计考核费用!#REF!)/10000</f>
        <v>#REF!</v>
      </c>
      <c r="Y37" s="8" t="e">
        <f>SUMIF(累计考核费用!$B$107:$B$156,原格式费用考核表!$B37,累计考核费用!#REF!)/10000</f>
        <v>#REF!</v>
      </c>
      <c r="Z37" s="8" t="e">
        <f>SUMIF(累计考核费用!$B$107:$B$156,原格式费用考核表!$B37,累计考核费用!#REF!)/10000</f>
        <v>#REF!</v>
      </c>
      <c r="AA37" s="8">
        <f>SUMIF(累计考核费用!$B$107:$B$156,原格式费用考核表!$B37,累计考核费用!AC$107:AC$156)/10000</f>
        <v>0</v>
      </c>
      <c r="AB37" s="8" t="e">
        <f>SUMIF(累计考核费用!$B$107:$B$156,原格式费用考核表!$B37,累计考核费用!#REF!)/10000</f>
        <v>#REF!</v>
      </c>
    </row>
    <row r="38" spans="1:28" s="2" customFormat="1" ht="12" customHeight="1">
      <c r="A38" s="252"/>
      <c r="B38" s="11" t="s">
        <v>128</v>
      </c>
      <c r="C38" s="11" t="s">
        <v>126</v>
      </c>
      <c r="D38" s="8">
        <f>SUMIF(累计考核费用!$B$107:$B$156,原格式费用考核表!$B38,累计考核费用!C$107:C$156)/10000</f>
        <v>76.940554999999989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43.199904999999994</v>
      </c>
      <c r="G38" s="8">
        <f>SUMIF(累计考核费用!$B$107:$B$156,原格式费用考核表!$B38,累计考核费用!F$107:F$156)/10000</f>
        <v>8.1590419999999995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SUMIF(累计考核费用!$B$107:$B$156,原格式费用考核表!$B38,累计考核费用!L$107:L$156)/10000</f>
        <v>0</v>
      </c>
      <c r="J38" s="8">
        <f>SUMIF(累计考核费用!$B$107:$B$156,原格式费用考核表!$B38,累计考核费用!M$107:M$156)/10000</f>
        <v>0</v>
      </c>
      <c r="K38" s="8">
        <f>SUMIF(累计考核费用!$B$107:$B$156,原格式费用考核表!$B38,累计考核费用!Q$107:Q$156)/10000</f>
        <v>0</v>
      </c>
      <c r="L38" s="8">
        <f>SUMIF(累计考核费用!$B$107:$B$156,原格式费用考核表!$B38,累计考核费用!P$107:P$156)/10000</f>
        <v>0</v>
      </c>
      <c r="M38" s="8">
        <f>SUMIF(累计考核费用!$B$107:$B$156,原格式费用考核表!$B38,累计考核费用!O$107:O$156)/10000</f>
        <v>0</v>
      </c>
      <c r="N38" s="8">
        <f>SUMIF(累计考核费用!$B$107:$B$156,原格式费用考核表!$B38,累计考核费用!R$107:R$156)/10000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SUMIF(累计考核费用!$B$107:$B$156,原格式费用考核表!$B38,累计考核费用!S$107:S$156)/10000</f>
        <v>0</v>
      </c>
      <c r="Q38" s="8" t="e">
        <f>SUMIF(累计考核费用!$B$107:$B$156,原格式费用考核表!$B38,累计考核费用!#REF!)/10000</f>
        <v>#REF!</v>
      </c>
      <c r="R38" s="8">
        <f>SUMIF(累计考核费用!$B$107:$B$156,原格式费用考核表!$B38,累计考核费用!T$107:T$156)/10000</f>
        <v>25.581607999999999</v>
      </c>
      <c r="S38" s="8">
        <f>SUMIF(累计考核费用!$B$107:$B$156,原格式费用考核表!$B38,累计考核费用!U$107:U$156)/10000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SUMIF(累计考核费用!$B$107:$B$156,原格式费用考核表!$B38,累计考核费用!V$107:V$156)/10000</f>
        <v>22.696463999999999</v>
      </c>
      <c r="V38" s="8">
        <f>SUMIF(累计考核费用!$B$107:$B$156,原格式费用考核表!$B38,累计考核费用!W$107:W$156)/10000</f>
        <v>2.8851440000000004</v>
      </c>
      <c r="W38" s="8">
        <f>SUMIF(累计考核费用!$B$107:$B$156,原格式费用考核表!$B38,累计考核费用!AB$107:AB$156)/10000</f>
        <v>0</v>
      </c>
      <c r="X38" s="8" t="e">
        <f>SUMIF(累计考核费用!$B$107:$B$156,原格式费用考核表!$B38,累计考核费用!#REF!)/10000</f>
        <v>#REF!</v>
      </c>
      <c r="Y38" s="8" t="e">
        <f>SUMIF(累计考核费用!$B$107:$B$156,原格式费用考核表!$B38,累计考核费用!#REF!)/10000</f>
        <v>#REF!</v>
      </c>
      <c r="Z38" s="8" t="e">
        <f>SUMIF(累计考核费用!$B$107:$B$156,原格式费用考核表!$B38,累计考核费用!#REF!)/10000</f>
        <v>#REF!</v>
      </c>
      <c r="AA38" s="8">
        <f>SUMIF(累计考核费用!$B$107:$B$156,原格式费用考核表!$B38,累计考核费用!AC$107:AC$156)/10000</f>
        <v>0</v>
      </c>
      <c r="AB38" s="8" t="e">
        <f>SUMIF(累计考核费用!$B$107:$B$156,原格式费用考核表!$B38,累计考核费用!#REF!)/10000</f>
        <v>#REF!</v>
      </c>
    </row>
    <row r="39" spans="1:28" s="2" customFormat="1" ht="12" customHeight="1">
      <c r="A39" s="252"/>
      <c r="B39" s="11" t="s">
        <v>129</v>
      </c>
      <c r="C39" s="11" t="s">
        <v>127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SUMIF(累计考核费用!$B$107:$B$156,原格式费用考核表!$B39,累计考核费用!L$107:L$156)/10000</f>
        <v>0</v>
      </c>
      <c r="J39" s="8">
        <f>SUMIF(累计考核费用!$B$107:$B$156,原格式费用考核表!$B39,累计考核费用!M$107:M$156)/10000</f>
        <v>0</v>
      </c>
      <c r="K39" s="8">
        <f>SUMIF(累计考核费用!$B$107:$B$156,原格式费用考核表!$B39,累计考核费用!Q$107:Q$156)/10000</f>
        <v>0</v>
      </c>
      <c r="L39" s="8">
        <f>SUMIF(累计考核费用!$B$107:$B$156,原格式费用考核表!$B39,累计考核费用!P$107:P$156)/10000</f>
        <v>0</v>
      </c>
      <c r="M39" s="8">
        <f>SUMIF(累计考核费用!$B$107:$B$156,原格式费用考核表!$B39,累计考核费用!O$107:O$156)/10000</f>
        <v>0</v>
      </c>
      <c r="N39" s="8">
        <f>SUMIF(累计考核费用!$B$107:$B$156,原格式费用考核表!$B39,累计考核费用!R$107:R$156)/10000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SUMIF(累计考核费用!$B$107:$B$156,原格式费用考核表!$B39,累计考核费用!S$107:S$156)/10000</f>
        <v>0</v>
      </c>
      <c r="Q39" s="8" t="e">
        <f>SUMIF(累计考核费用!$B$107:$B$156,原格式费用考核表!$B39,累计考核费用!#REF!)/10000</f>
        <v>#REF!</v>
      </c>
      <c r="R39" s="8">
        <f>SUMIF(累计考核费用!$B$107:$B$156,原格式费用考核表!$B39,累计考核费用!T$107:T$156)/10000</f>
        <v>0</v>
      </c>
      <c r="S39" s="8">
        <f>SUMIF(累计考核费用!$B$107:$B$156,原格式费用考核表!$B39,累计考核费用!U$107:U$156)/10000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SUMIF(累计考核费用!$B$107:$B$156,原格式费用考核表!$B39,累计考核费用!V$107:V$156)/10000</f>
        <v>0</v>
      </c>
      <c r="V39" s="8">
        <f>SUMIF(累计考核费用!$B$107:$B$156,原格式费用考核表!$B39,累计考核费用!W$107:W$156)/10000</f>
        <v>0</v>
      </c>
      <c r="W39" s="8">
        <f>SUMIF(累计考核费用!$B$107:$B$156,原格式费用考核表!$B39,累计考核费用!AB$107:AB$156)/10000</f>
        <v>0</v>
      </c>
      <c r="X39" s="8" t="e">
        <f>SUMIF(累计考核费用!$B$107:$B$156,原格式费用考核表!$B39,累计考核费用!#REF!)/10000</f>
        <v>#REF!</v>
      </c>
      <c r="Y39" s="8" t="e">
        <f>SUMIF(累计考核费用!$B$107:$B$156,原格式费用考核表!$B39,累计考核费用!#REF!)/10000</f>
        <v>#REF!</v>
      </c>
      <c r="Z39" s="8" t="e">
        <f>SUMIF(累计考核费用!$B$107:$B$156,原格式费用考核表!$B39,累计考核费用!#REF!)/10000</f>
        <v>#REF!</v>
      </c>
      <c r="AA39" s="8">
        <f>SUMIF(累计考核费用!$B$107:$B$156,原格式费用考核表!$B39,累计考核费用!AC$107:AC$156)/10000</f>
        <v>0</v>
      </c>
      <c r="AB39" s="8" t="e">
        <f>SUMIF(累计考核费用!$B$107:$B$156,原格式费用考核表!$B39,累计考核费用!#REF!)/10000</f>
        <v>#REF!</v>
      </c>
    </row>
    <row r="40" spans="1:28" s="2" customFormat="1" ht="12" customHeight="1">
      <c r="A40" s="252"/>
      <c r="B40" s="11" t="s">
        <v>141</v>
      </c>
      <c r="C40" s="11" t="s">
        <v>128</v>
      </c>
      <c r="D40" s="8">
        <f>累计考核费用!C137/10000</f>
        <v>5.7542499999999999</v>
      </c>
      <c r="E40" s="8">
        <f>累计考核费用!D137/10000</f>
        <v>0</v>
      </c>
      <c r="F40" s="8">
        <f>累计考核费用!E137/10000</f>
        <v>0</v>
      </c>
      <c r="G40" s="8">
        <f>累计考核费用!F137/10000</f>
        <v>5.0419999999999998</v>
      </c>
      <c r="H40" s="8">
        <f>累计考核费用!G137/10000</f>
        <v>0</v>
      </c>
      <c r="I40" s="8">
        <f>累计考核费用!L137/10000</f>
        <v>0.04</v>
      </c>
      <c r="J40" s="8">
        <f>累计考核费用!M137/10000</f>
        <v>0</v>
      </c>
      <c r="K40" s="8">
        <f>累计考核费用!Q137/10000</f>
        <v>0</v>
      </c>
      <c r="L40" s="8">
        <f>累计考核费用!P137/10000</f>
        <v>0</v>
      </c>
      <c r="M40" s="8">
        <f>累计考核费用!O137/10000</f>
        <v>0</v>
      </c>
      <c r="N40" s="8">
        <f>累计考核费用!R137/10000</f>
        <v>0</v>
      </c>
      <c r="O40" s="8" t="e">
        <f>累计考核费用!#REF!/10000</f>
        <v>#REF!</v>
      </c>
      <c r="P40" s="8">
        <f>累计考核费用!S137/10000</f>
        <v>0.04</v>
      </c>
      <c r="Q40" s="8" t="e">
        <f>累计考核费用!#REF!/10000</f>
        <v>#REF!</v>
      </c>
      <c r="R40" s="8">
        <f>累计考核费用!T137/10000</f>
        <v>0</v>
      </c>
      <c r="S40" s="8">
        <f>累计考核费用!U137/10000</f>
        <v>0</v>
      </c>
      <c r="T40" s="8" t="e">
        <f>累计考核费用!#REF!/10000</f>
        <v>#REF!</v>
      </c>
      <c r="U40" s="8">
        <f>累计考核费用!V137/10000</f>
        <v>0</v>
      </c>
      <c r="V40" s="8">
        <f>累计考核费用!W137/10000</f>
        <v>0</v>
      </c>
      <c r="W40" s="8">
        <f>累计考核费用!AB137/10000</f>
        <v>0</v>
      </c>
      <c r="X40" s="8" t="e">
        <f>累计考核费用!#REF!/10000</f>
        <v>#REF!</v>
      </c>
      <c r="Y40" s="8" t="e">
        <f>累计考核费用!#REF!/10000</f>
        <v>#REF!</v>
      </c>
      <c r="Z40" s="8" t="e">
        <f>累计考核费用!#REF!/10000</f>
        <v>#REF!</v>
      </c>
      <c r="AA40" s="8">
        <f>累计考核费用!AC137/10000</f>
        <v>0.67225000000000001</v>
      </c>
      <c r="AB40" s="8" t="e">
        <f>累计考核费用!#REF!/10000</f>
        <v>#REF!</v>
      </c>
    </row>
    <row r="41" spans="1:28" s="2" customFormat="1" ht="12" customHeight="1">
      <c r="A41" s="253"/>
      <c r="B41" s="11" t="s">
        <v>99</v>
      </c>
      <c r="C41" s="11" t="s">
        <v>129</v>
      </c>
      <c r="D41" s="12">
        <f>SUM(D17:D40)</f>
        <v>7622.9987039999996</v>
      </c>
      <c r="E41" s="12">
        <f>SUM(E17:E40)</f>
        <v>963.76051999999993</v>
      </c>
      <c r="F41" s="12">
        <f t="shared" ref="F41:AB41" si="4">SUM(F17:F40)</f>
        <v>1764.5322979999992</v>
      </c>
      <c r="G41" s="12">
        <f t="shared" si="4"/>
        <v>2430.8301620000007</v>
      </c>
      <c r="H41" s="12">
        <f t="shared" si="4"/>
        <v>216.97613000000001</v>
      </c>
      <c r="I41" s="12">
        <f t="shared" si="4"/>
        <v>319.21562200000011</v>
      </c>
      <c r="J41" s="12">
        <f t="shared" si="4"/>
        <v>34.684207000000001</v>
      </c>
      <c r="K41" s="12">
        <f t="shared" si="4"/>
        <v>42.949621999999991</v>
      </c>
      <c r="L41" s="12">
        <f t="shared" si="4"/>
        <v>42.635055000000001</v>
      </c>
      <c r="M41" s="12">
        <f t="shared" si="4"/>
        <v>35.051764999999989</v>
      </c>
      <c r="N41" s="12">
        <f t="shared" si="4"/>
        <v>48.398316000000001</v>
      </c>
      <c r="O41" s="12" t="e">
        <f t="shared" si="4"/>
        <v>#REF!</v>
      </c>
      <c r="P41" s="12">
        <f t="shared" si="4"/>
        <v>74.08608700000002</v>
      </c>
      <c r="Q41" s="12" t="e">
        <f t="shared" si="4"/>
        <v>#REF!</v>
      </c>
      <c r="R41" s="12">
        <f t="shared" si="4"/>
        <v>1792.1846480000002</v>
      </c>
      <c r="S41" s="12">
        <f t="shared" si="4"/>
        <v>217.14589800000002</v>
      </c>
      <c r="T41" s="12" t="e">
        <f t="shared" si="4"/>
        <v>#REF!</v>
      </c>
      <c r="U41" s="12">
        <f t="shared" si="4"/>
        <v>1132.8604849999997</v>
      </c>
      <c r="V41" s="12">
        <f t="shared" si="4"/>
        <v>329.545861</v>
      </c>
      <c r="W41" s="12">
        <f t="shared" si="4"/>
        <v>103.26997100000001</v>
      </c>
      <c r="X41" s="12" t="e">
        <f t="shared" si="4"/>
        <v>#REF!</v>
      </c>
      <c r="Y41" s="12" t="e">
        <f t="shared" si="4"/>
        <v>#REF!</v>
      </c>
      <c r="Z41" s="12" t="e">
        <f t="shared" si="4"/>
        <v>#REF!</v>
      </c>
      <c r="AA41" s="12">
        <f t="shared" si="4"/>
        <v>34.098953000000002</v>
      </c>
      <c r="AB41" s="12" t="e">
        <f t="shared" si="4"/>
        <v>#REF!</v>
      </c>
    </row>
    <row r="42" spans="1:28" s="2" customFormat="1" ht="12" customHeight="1">
      <c r="A42" s="251" t="s">
        <v>120</v>
      </c>
      <c r="B42" s="11" t="s">
        <v>130</v>
      </c>
      <c r="C42" s="11" t="s">
        <v>130</v>
      </c>
      <c r="D42" s="8">
        <f>SUMIF(累计考核费用!$B$107:$B$156,原格式费用考核表!$B42,累计考核费用!C$107:C$156)/10000</f>
        <v>1302.1373189999997</v>
      </c>
      <c r="E42" s="8">
        <f>SUMIF(累计考核费用!$B$107:$B$156,原格式费用考核表!$B42,累计考核费用!D$107:D$156)/10000</f>
        <v>0</v>
      </c>
      <c r="F42" s="8">
        <f>SUMIF(累计考核费用!$B$107:$B$156,原格式费用考核表!$B42,累计考核费用!E$107:E$156)/10000</f>
        <v>811.01990600000011</v>
      </c>
      <c r="G42" s="8">
        <f>SUMIF(累计考核费用!$B$107:$B$156,原格式费用考核表!$B42,累计考核费用!F$107:F$156)/10000</f>
        <v>463.81929799999983</v>
      </c>
      <c r="H42" s="8">
        <f>SUMIF(累计考核费用!$B$107:$B$156,原格式费用考核表!$B42,累计考核费用!G$107:G$156)/10000</f>
        <v>15.482778</v>
      </c>
      <c r="I42" s="8">
        <f>SUMIF(累计考核费用!$B$107:$B$156,原格式费用考核表!$B42,累计考核费用!L$107:L$156)/10000</f>
        <v>11.815337</v>
      </c>
      <c r="J42" s="8">
        <f>SUMIF(累计考核费用!$B$107:$B$156,原格式费用考核表!$B42,累计考核费用!M$107:M$156)/10000</f>
        <v>3.3959019999999995</v>
      </c>
      <c r="K42" s="8">
        <f>SUMIF(累计考核费用!$B$107:$B$156,原格式费用考核表!$B42,累计考核费用!Q$107:Q$156)/10000</f>
        <v>0</v>
      </c>
      <c r="L42" s="8">
        <f>SUMIF(累计考核费用!$B$107:$B$156,原格式费用考核表!$B42,累计考核费用!P$107:P$156)/10000</f>
        <v>2.6363439999999998</v>
      </c>
      <c r="M42" s="8">
        <f>SUMIF(累计考核费用!$B$107:$B$156,原格式费用考核表!$B42,累计考核费用!O$107:O$156)/10000</f>
        <v>0.61469099999999999</v>
      </c>
      <c r="N42" s="8">
        <f>SUMIF(累计考核费用!$B$107:$B$156,原格式费用考核表!$B42,累计考核费用!R$107:R$156)/10000</f>
        <v>2.6363439999999998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SUMIF(累计考核费用!$B$107:$B$156,原格式费用考核表!$B42,累计考核费用!S$107:S$156)/10000</f>
        <v>1.025226</v>
      </c>
      <c r="Q42" s="8" t="e">
        <f>SUMIF(累计考核费用!$B$107:$B$156,原格式费用考核表!$B42,累计考核费用!#REF!)/10000</f>
        <v>#REF!</v>
      </c>
      <c r="R42" s="8">
        <f>SUMIF(累计考核费用!$B$107:$B$156,原格式费用考核表!$B42,累计考核费用!T$107:T$156)/10000</f>
        <v>0</v>
      </c>
      <c r="S42" s="8">
        <f>SUMIF(累计考核费用!$B$107:$B$156,原格式费用考核表!$B42,累计考核费用!U$107:U$156)/10000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SUMIF(累计考核费用!$B$107:$B$156,原格式费用考核表!$B42,累计考核费用!V$107:V$156)/10000</f>
        <v>0</v>
      </c>
      <c r="V42" s="8">
        <f>SUMIF(累计考核费用!$B$107:$B$156,原格式费用考核表!$B42,累计考核费用!W$107:W$156)/10000</f>
        <v>0</v>
      </c>
      <c r="W42" s="8">
        <f>SUMIF(累计考核费用!$B$107:$B$156,原格式费用考核表!$B42,累计考核费用!AB$107:AB$156)/10000</f>
        <v>0</v>
      </c>
      <c r="X42" s="8" t="e">
        <f>SUMIF(累计考核费用!$B$107:$B$156,原格式费用考核表!$B42,累计考核费用!#REF!)/10000</f>
        <v>#REF!</v>
      </c>
      <c r="Y42" s="8" t="e">
        <f>SUMIF(累计考核费用!$B$107:$B$156,原格式费用考核表!$B42,累计考核费用!#REF!)/10000</f>
        <v>#REF!</v>
      </c>
      <c r="Z42" s="8" t="e">
        <f>SUMIF(累计考核费用!$B$107:$B$156,原格式费用考核表!$B42,累计考核费用!#REF!)/10000</f>
        <v>#REF!</v>
      </c>
      <c r="AA42" s="8">
        <f>SUMIF(累计考核费用!$B$107:$B$156,原格式费用考核表!$B42,累计考核费用!AC$107:AC$156)/10000</f>
        <v>0</v>
      </c>
      <c r="AB42" s="8" t="e">
        <f>SUMIF(累计考核费用!$B$107:$B$156,原格式费用考核表!$B42,累计考核费用!#REF!)/10000</f>
        <v>#REF!</v>
      </c>
    </row>
    <row r="43" spans="1:28" s="2" customFormat="1" ht="12" customHeight="1">
      <c r="A43" s="252"/>
      <c r="B43" s="11" t="s">
        <v>131</v>
      </c>
      <c r="C43" s="11" t="s">
        <v>131</v>
      </c>
      <c r="D43" s="8">
        <f>SUMIF(累计考核费用!$B$107:$B$156,原格式费用考核表!$B43,累计考核费用!C$107:C$156)/10000</f>
        <v>326.01803599999994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95.070836999999955</v>
      </c>
      <c r="G43" s="8">
        <f>SUMIF(累计考核费用!$B$107:$B$156,原格式费用考核表!$B43,累计考核费用!F$107:F$156)/10000</f>
        <v>198.50753899999998</v>
      </c>
      <c r="H43" s="8">
        <f>SUMIF(累计考核费用!$B$107:$B$156,原格式费用考核表!$B43,累计考核费用!G$107:G$156)/10000</f>
        <v>25.177462999999999</v>
      </c>
      <c r="I43" s="8">
        <f>SUMIF(累计考核费用!$B$107:$B$156,原格式费用考核表!$B43,累计考核费用!L$107:L$156)/10000</f>
        <v>6.0779320000000006</v>
      </c>
      <c r="J43" s="8">
        <f>SUMIF(累计考核费用!$B$107:$B$156,原格式费用考核表!$B43,累计考核费用!M$107:M$156)/10000</f>
        <v>0.53976400000000002</v>
      </c>
      <c r="K43" s="8">
        <f>SUMIF(累计考核费用!$B$107:$B$156,原格式费用考核表!$B43,累计考核费用!Q$107:Q$156)/10000</f>
        <v>1.4258960000000001</v>
      </c>
      <c r="L43" s="8">
        <f>SUMIF(累计考核费用!$B$107:$B$156,原格式费用考核表!$B43,累计考核费用!P$107:P$156)/10000</f>
        <v>1.3315560000000002</v>
      </c>
      <c r="M43" s="8">
        <f>SUMIF(累计考核费用!$B$107:$B$156,原格式费用考核表!$B43,累计考核费用!O$107:O$156)/10000</f>
        <v>0.75339599999999995</v>
      </c>
      <c r="N43" s="8">
        <f>SUMIF(累计考核费用!$B$107:$B$156,原格式费用考核表!$B43,累计考核费用!R$107:R$156)/10000</f>
        <v>1.3315560000000002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SUMIF(累计考核费用!$B$107:$B$156,原格式费用考核表!$B43,累计考核费用!S$107:S$156)/10000</f>
        <v>0.156</v>
      </c>
      <c r="Q43" s="8" t="e">
        <f>SUMIF(累计考核费用!$B$107:$B$156,原格式费用考核表!$B43,累计考核费用!#REF!)/10000</f>
        <v>#REF!</v>
      </c>
      <c r="R43" s="8">
        <f>SUMIF(累计考核费用!$B$107:$B$156,原格式费用考核表!$B43,累计考核费用!T$107:T$156)/10000</f>
        <v>0.41067900000000002</v>
      </c>
      <c r="S43" s="8">
        <f>SUMIF(累计考核费用!$B$107:$B$156,原格式费用考核表!$B43,累计考核费用!U$107:U$156)/10000</f>
        <v>0.28867900000000002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SUMIF(累计考核费用!$B$107:$B$156,原格式费用考核表!$B43,累计考核费用!V$107:V$156)/10000</f>
        <v>0.122</v>
      </c>
      <c r="V43" s="8">
        <f>SUMIF(累计考核费用!$B$107:$B$156,原格式费用考核表!$B43,累计考核费用!W$107:W$156)/10000</f>
        <v>0</v>
      </c>
      <c r="W43" s="8">
        <f>SUMIF(累计考核费用!$B$107:$B$156,原格式费用考核表!$B43,累计考核费用!AB$107:AB$156)/10000</f>
        <v>0.54716999999999993</v>
      </c>
      <c r="X43" s="8" t="e">
        <f>SUMIF(累计考核费用!$B$107:$B$156,原格式费用考核表!$B43,累计考核费用!#REF!)/10000</f>
        <v>#REF!</v>
      </c>
      <c r="Y43" s="8" t="e">
        <f>SUMIF(累计考核费用!$B$107:$B$156,原格式费用考核表!$B43,累计考核费用!#REF!)/10000</f>
        <v>#REF!</v>
      </c>
      <c r="Z43" s="8" t="e">
        <f>SUMIF(累计考核费用!$B$107:$B$156,原格式费用考核表!$B43,累计考核费用!#REF!)/10000</f>
        <v>#REF!</v>
      </c>
      <c r="AA43" s="8">
        <f>SUMIF(累计考核费用!$B$107:$B$156,原格式费用考核表!$B43,累计考核费用!AC$107:AC$156)/10000</f>
        <v>0.22641599999999998</v>
      </c>
      <c r="AB43" s="8" t="e">
        <f>SUMIF(累计考核费用!$B$107:$B$156,原格式费用考核表!$B43,累计考核费用!#REF!)/10000</f>
        <v>#REF!</v>
      </c>
    </row>
    <row r="44" spans="1:28" s="2" customFormat="1" ht="12" customHeight="1">
      <c r="A44" s="252"/>
      <c r="B44" s="11" t="s">
        <v>132</v>
      </c>
      <c r="C44" s="11" t="s">
        <v>132</v>
      </c>
      <c r="D44" s="8">
        <f>SUMIF(累计考核费用!$B$107:$B$156,原格式费用考核表!$B44,累计考核费用!C$107:C$156)/10000+累计考核费用!C154/10000</f>
        <v>3090.17263</v>
      </c>
      <c r="E44" s="8">
        <f>SUMIF(累计考核费用!$B$107:$B$156,原格式费用考核表!$B44,累计考核费用!D$107:D$156)/10000+累计考核费用!D154/10000</f>
        <v>27.450320000000001</v>
      </c>
      <c r="F44" s="8">
        <f>SUMIF(累计考核费用!$B$107:$B$156,原格式费用考核表!$B44,累计考核费用!E$107:E$156)/10000+累计考核费用!E154/10000</f>
        <v>187.91806800000069</v>
      </c>
      <c r="G44" s="8">
        <f>SUMIF(累计考核费用!$B$107:$B$156,原格式费用考核表!$B44,累计考核费用!F$107:F$156)/10000+累计考核费用!F154/10000</f>
        <v>2307.5612889999998</v>
      </c>
      <c r="H44" s="8">
        <f>SUMIF(累计考核费用!$B$107:$B$156,原格式费用考核表!$B44,累计考核费用!G$107:G$156)/10000+累计考核费用!G154/10000</f>
        <v>43.882639999999995</v>
      </c>
      <c r="I44" s="8">
        <f>SUMIF(累计考核费用!$B$107:$B$156,原格式费用考核表!$B44,累计考核费用!L$107:L$156)/10000+累计考核费用!L154/10000</f>
        <v>442.90559500000006</v>
      </c>
      <c r="J44" s="8">
        <f>SUMIF(累计考核费用!$B$107:$B$156,原格式费用考核表!$B44,累计考核费用!M$107:M$156)/10000+累计考核费用!M154/10000</f>
        <v>21.147612999999996</v>
      </c>
      <c r="K44" s="8">
        <f>SUMIF(累计考核费用!$B$107:$B$156,原格式费用考核表!$B44,累计考核费用!Q$107:Q$156)/10000+累计考核费用!Q154/10000</f>
        <v>21.672471999999996</v>
      </c>
      <c r="L44" s="8">
        <f>SUMIF(累计考核费用!$B$107:$B$156,原格式费用考核表!$B44,累计考核费用!P$107:P$156)/10000+累计考核费用!P154/10000</f>
        <v>27.151204999999997</v>
      </c>
      <c r="M44" s="8">
        <f>SUMIF(累计考核费用!$B$107:$B$156,原格式费用考核表!$B44,累计考核费用!O$107:O$156)/10000+累计考核费用!O154/10000</f>
        <v>21.122313000000002</v>
      </c>
      <c r="N44" s="8">
        <f>SUMIF(累计考核费用!$B$107:$B$156,原格式费用考核表!$B44,累计考核费用!R$107:R$156)/10000+累计考核费用!R154/10000</f>
        <v>38.510428000000005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SUMIF(累计考核费用!$B$107:$B$156,原格式费用考核表!$B44,累计考核费用!S$107:S$156)/10000+累计考核费用!S154/10000</f>
        <v>292.08216399999998</v>
      </c>
      <c r="Q44" s="8" t="e">
        <f>SUMIF(累计考核费用!$B$107:$B$156,原格式费用考核表!$B44,累计考核费用!#REF!)/10000+累计考核费用!#REF!/10000</f>
        <v>#REF!</v>
      </c>
      <c r="R44" s="8">
        <f>SUMIF(累计考核费用!$B$107:$B$156,原格式费用考核表!$B44,累计考核费用!T$107:T$156)/10000+累计考核费用!T154/10000</f>
        <v>57.148004999999991</v>
      </c>
      <c r="S44" s="8">
        <f>SUMIF(累计考核费用!$B$107:$B$156,原格式费用考核表!$B44,累计考核费用!U$107:U$156)/10000+累计考核费用!U154/10000</f>
        <v>0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SUMIF(累计考核费用!$B$107:$B$156,原格式费用考核表!$B44,累计考核费用!V$107:V$156)/10000+累计考核费用!V154/10000</f>
        <v>35.374581999999997</v>
      </c>
      <c r="V44" s="8">
        <f>SUMIF(累计考核费用!$B$107:$B$156,原格式费用考核表!$B44,累计考核费用!W$107:W$156)/10000+累计考核费用!W154/10000</f>
        <v>21.765022999999999</v>
      </c>
      <c r="W44" s="8">
        <f>SUMIF(累计考核费用!$B$107:$B$156,原格式费用考核表!$B44,累计考核费用!AB$107:AB$156)/10000+累计考核费用!AB154/10000</f>
        <v>11.302713000000001</v>
      </c>
      <c r="X44" s="8" t="e">
        <f>SUMIF(累计考核费用!$B$107:$B$156,原格式费用考核表!$B44,累计考核费用!#REF!)/10000+累计考核费用!#REF!/10000</f>
        <v>#REF!</v>
      </c>
      <c r="Y44" s="8" t="e">
        <f>SUMIF(累计考核费用!$B$107:$B$156,原格式费用考核表!$B44,累计考核费用!#REF!)/10000+累计考核费用!#REF!/10000</f>
        <v>#REF!</v>
      </c>
      <c r="Z44" s="8" t="e">
        <f>SUMIF(累计考核费用!$B$107:$B$156,原格式费用考核表!$B44,累计考核费用!#REF!)/10000+累计考核费用!#REF!/10000</f>
        <v>#REF!</v>
      </c>
      <c r="AA44" s="8">
        <f>SUMIF(累计考核费用!$B$107:$B$156,原格式费用考核表!$B44,累计考核费用!AC$107:AC$156)/10000+累计考核费用!AC154/10000</f>
        <v>12.004</v>
      </c>
      <c r="AB44" s="8" t="e">
        <f>SUMIF(累计考核费用!$B$107:$B$156,原格式费用考核表!$B44,累计考核费用!#REF!)/10000+累计考核费用!#REF!/10000</f>
        <v>#REF!</v>
      </c>
    </row>
    <row r="45" spans="1:28" s="2" customFormat="1" ht="12" customHeight="1">
      <c r="A45" s="252"/>
      <c r="B45" s="11" t="s">
        <v>133</v>
      </c>
      <c r="C45" s="11" t="s">
        <v>133</v>
      </c>
      <c r="D45" s="8">
        <f>SUMIF(累计考核费用!$B$107:$B$156,原格式费用考核表!$B45,累计考核费用!C$107:C$156)/10000</f>
        <v>1463.6156489999998</v>
      </c>
      <c r="E45" s="8">
        <f>SUMIF(累计考核费用!$B$107:$B$156,原格式费用考核表!$B45,累计考核费用!D$107:D$156)/10000</f>
        <v>-777.63190599999996</v>
      </c>
      <c r="F45" s="8">
        <f>SUMIF(累计考核费用!$B$107:$B$156,原格式费用考核表!$B45,累计考核费用!E$107:E$156)/10000</f>
        <v>1106.4168579999998</v>
      </c>
      <c r="G45" s="8">
        <f>SUMIF(累计考核费用!$B$107:$B$156,原格式费用考核表!$B45,累计考核费用!F$107:F$156)/10000</f>
        <v>1081.743197</v>
      </c>
      <c r="H45" s="8">
        <f>SUMIF(累计考核费用!$B$107:$B$156,原格式费用考核表!$B45,累计考核费用!G$107:G$156)/10000</f>
        <v>0.67112899999999998</v>
      </c>
      <c r="I45" s="8">
        <f>SUMIF(累计考核费用!$B$107:$B$156,原格式费用考核表!$B45,累计考核费用!L$107:L$156)/10000</f>
        <v>52.416371000000005</v>
      </c>
      <c r="J45" s="8">
        <f>SUMIF(累计考核费用!$B$107:$B$156,原格式费用考核表!$B45,累计考核费用!M$107:M$156)/10000</f>
        <v>2.1600029999999997</v>
      </c>
      <c r="K45" s="8">
        <f>SUMIF(累计考核费用!$B$107:$B$156,原格式费用考核表!$B45,累计考核费用!Q$107:Q$156)/10000</f>
        <v>0.29838400000000004</v>
      </c>
      <c r="L45" s="8">
        <f>SUMIF(累计考核费用!$B$107:$B$156,原格式费用考核表!$B45,累计考核费用!P$107:P$156)/10000</f>
        <v>2.2031129999999997</v>
      </c>
      <c r="M45" s="8">
        <f>SUMIF(累计考核费用!$B$107:$B$156,原格式费用考核表!$B45,累计考核费用!O$107:O$156)/10000</f>
        <v>2.1984560000000002</v>
      </c>
      <c r="N45" s="8">
        <f>SUMIF(累计考核费用!$B$107:$B$156,原格式费用考核表!$B45,累计考核费用!R$107:R$156)/10000</f>
        <v>1.014572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SUMIF(累计考核费用!$B$107:$B$156,原格式费用考核表!$B45,累计考核费用!S$107:S$156)/10000</f>
        <v>42.381838999999999</v>
      </c>
      <c r="Q45" s="8" t="e">
        <f>SUMIF(累计考核费用!$B$107:$B$156,原格式费用考核表!$B45,累计考核费用!#REF!)/10000</f>
        <v>#REF!</v>
      </c>
      <c r="R45" s="8">
        <f>SUMIF(累计考核费用!$B$107:$B$156,原格式费用考核表!$B45,累计考核费用!T$107:T$156)/10000</f>
        <v>0</v>
      </c>
      <c r="S45" s="8">
        <f>SUMIF(累计考核费用!$B$107:$B$156,原格式费用考核表!$B45,累计考核费用!U$107:U$156)/10000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SUMIF(累计考核费用!$B$107:$B$156,原格式费用考核表!$B45,累计考核费用!V$107:V$156)/10000</f>
        <v>0</v>
      </c>
      <c r="V45" s="8">
        <f>SUMIF(累计考核费用!$B$107:$B$156,原格式费用考核表!$B45,累计考核费用!W$107:W$156)/10000</f>
        <v>0</v>
      </c>
      <c r="W45" s="8">
        <f>SUMIF(累计考核费用!$B$107:$B$156,原格式费用考核表!$B45,累计考核费用!AB$107:AB$156)/10000</f>
        <v>0</v>
      </c>
      <c r="X45" s="8" t="e">
        <f>SUMIF(累计考核费用!$B$107:$B$156,原格式费用考核表!$B45,累计考核费用!#REF!)/10000</f>
        <v>#REF!</v>
      </c>
      <c r="Y45" s="8" t="e">
        <f>SUMIF(累计考核费用!$B$107:$B$156,原格式费用考核表!$B45,累计考核费用!#REF!)/10000</f>
        <v>#REF!</v>
      </c>
      <c r="Z45" s="8" t="e">
        <f>SUMIF(累计考核费用!$B$107:$B$156,原格式费用考核表!$B45,累计考核费用!#REF!)/10000</f>
        <v>#REF!</v>
      </c>
      <c r="AA45" s="8">
        <f>SUMIF(累计考核费用!$B$107:$B$156,原格式费用考核表!$B45,累计考核费用!AC$107:AC$156)/10000</f>
        <v>0</v>
      </c>
      <c r="AB45" s="8" t="e">
        <f>SUMIF(累计考核费用!$B$107:$B$156,原格式费用考核表!$B45,累计考核费用!#REF!)/10000</f>
        <v>#REF!</v>
      </c>
    </row>
    <row r="46" spans="1:28" s="2" customFormat="1" ht="12" customHeight="1">
      <c r="A46" s="252"/>
      <c r="B46" s="11" t="s">
        <v>134</v>
      </c>
      <c r="C46" s="11" t="s">
        <v>134</v>
      </c>
      <c r="D46" s="8">
        <f>SUMIF(累计考核费用!$B$107:$B$156,原格式费用考核表!$B46,累计考核费用!C$107:C$156)/10000</f>
        <v>697.40947000000006</v>
      </c>
      <c r="E46" s="8">
        <f>SUMIF(累计考核费用!$B$107:$B$156,原格式费用考核表!$B46,累计考核费用!D$107:D$156)/10000</f>
        <v>0</v>
      </c>
      <c r="F46" s="8">
        <f>SUMIF(累计考核费用!$B$107:$B$156,原格式费用考核表!$B46,累计考核费用!E$107:E$156)/10000</f>
        <v>635.03928200000007</v>
      </c>
      <c r="G46" s="8">
        <f>SUMIF(累计考核费用!$B$107:$B$156,原格式费用考核表!$B46,累计考核费用!F$107:F$156)/10000</f>
        <v>52.831528000000013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SUMIF(累计考核费用!$B$107:$B$156,原格式费用考核表!$B46,累计考核费用!L$107:L$156)/10000</f>
        <v>9.2870840000000019</v>
      </c>
      <c r="J46" s="8">
        <f>SUMIF(累计考核费用!$B$107:$B$156,原格式费用考核表!$B46,累计考核费用!M$107:M$156)/10000</f>
        <v>7.1438300000000003</v>
      </c>
      <c r="K46" s="8">
        <f>SUMIF(累计考核费用!$B$107:$B$156,原格式费用考核表!$B46,累计考核费用!Q$107:Q$156)/10000</f>
        <v>0</v>
      </c>
      <c r="L46" s="8">
        <f>SUMIF(累计考核费用!$B$107:$B$156,原格式费用考核表!$B46,累计考核费用!P$107:P$156)/10000</f>
        <v>0</v>
      </c>
      <c r="M46" s="8">
        <f>SUMIF(累计考核费用!$B$107:$B$156,原格式费用考核表!$B46,累计考核费用!O$107:O$156)/10000</f>
        <v>1.0716270000000001</v>
      </c>
      <c r="N46" s="8">
        <f>SUMIF(累计考核费用!$B$107:$B$156,原格式费用考核表!$B46,累计考核费用!R$107:R$156)/10000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SUMIF(累计考核费用!$B$107:$B$156,原格式费用考核表!$B46,累计考核费用!S$107:S$156)/10000</f>
        <v>0</v>
      </c>
      <c r="Q46" s="8" t="e">
        <f>SUMIF(累计考核费用!$B$107:$B$156,原格式费用考核表!$B46,累计考核费用!#REF!)/10000</f>
        <v>#REF!</v>
      </c>
      <c r="R46" s="8">
        <f>SUMIF(累计考核费用!$B$107:$B$156,原格式费用考核表!$B46,累计考核费用!T$107:T$156)/10000</f>
        <v>0</v>
      </c>
      <c r="S46" s="8">
        <f>SUMIF(累计考核费用!$B$107:$B$156,原格式费用考核表!$B46,累计考核费用!U$107:U$156)/10000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SUMIF(累计考核费用!$B$107:$B$156,原格式费用考核表!$B46,累计考核费用!V$107:V$156)/10000</f>
        <v>0</v>
      </c>
      <c r="V46" s="8">
        <f>SUMIF(累计考核费用!$B$107:$B$156,原格式费用考核表!$B46,累计考核费用!W$107:W$156)/10000</f>
        <v>0</v>
      </c>
      <c r="W46" s="8">
        <f>SUMIF(累计考核费用!$B$107:$B$156,原格式费用考核表!$B46,累计考核费用!AB$107:AB$156)/10000</f>
        <v>0</v>
      </c>
      <c r="X46" s="8" t="e">
        <f>SUMIF(累计考核费用!$B$107:$B$156,原格式费用考核表!$B46,累计考核费用!#REF!)/10000</f>
        <v>#REF!</v>
      </c>
      <c r="Y46" s="8" t="e">
        <f>SUMIF(累计考核费用!$B$107:$B$156,原格式费用考核表!$B46,累计考核费用!#REF!)/10000</f>
        <v>#REF!</v>
      </c>
      <c r="Z46" s="8" t="e">
        <f>SUMIF(累计考核费用!$B$107:$B$156,原格式费用考核表!$B46,累计考核费用!#REF!)/10000</f>
        <v>#REF!</v>
      </c>
      <c r="AA46" s="8">
        <f>SUMIF(累计考核费用!$B$107:$B$156,原格式费用考核表!$B46,累计考核费用!AC$107:AC$156)/10000</f>
        <v>0.25157600000000002</v>
      </c>
      <c r="AB46" s="8" t="e">
        <f>SUMIF(累计考核费用!$B$107:$B$156,原格式费用考核表!$B46,累计考核费用!#REF!)/10000</f>
        <v>#REF!</v>
      </c>
    </row>
    <row r="47" spans="1:28" s="2" customFormat="1" ht="12" customHeight="1">
      <c r="A47" s="252"/>
      <c r="B47" s="11" t="s">
        <v>135</v>
      </c>
      <c r="C47" s="11" t="s">
        <v>135</v>
      </c>
      <c r="D47" s="8">
        <f>SUMIF(累计考核费用!$B$107:$B$156,原格式费用考核表!$B47,累计考核费用!C$107:C$156)/10000</f>
        <v>667.54329299999995</v>
      </c>
      <c r="E47" s="8">
        <f>SUMIF(累计考核费用!$B$107:$B$156,原格式费用考核表!$B47,累计考核费用!D$107:D$156)/10000</f>
        <v>0</v>
      </c>
      <c r="F47" s="8">
        <f>SUMIF(累计考核费用!$B$107:$B$156,原格式费用考核表!$B47,累计考核费用!E$107:E$156)/10000</f>
        <v>165.73601499999998</v>
      </c>
      <c r="G47" s="8">
        <f>SUMIF(累计考核费用!$B$107:$B$156,原格式费用考核表!$B47,累计考核费用!F$107:F$156)/10000</f>
        <v>467.60782599999999</v>
      </c>
      <c r="H47" s="8">
        <f>SUMIF(累计考核费用!$B$107:$B$156,原格式费用考核表!$B47,累计考核费用!G$107:G$156)/10000</f>
        <v>10.806206</v>
      </c>
      <c r="I47" s="8">
        <f>SUMIF(累计考核费用!$B$107:$B$156,原格式费用考核表!$B47,累计考核费用!L$107:L$156)/10000</f>
        <v>21.825046</v>
      </c>
      <c r="J47" s="8">
        <f>SUMIF(累计考核费用!$B$107:$B$156,原格式费用考核表!$B47,累计考核费用!M$107:M$156)/10000</f>
        <v>2.5698719999999997</v>
      </c>
      <c r="K47" s="8">
        <f>SUMIF(累计考核费用!$B$107:$B$156,原格式费用考核表!$B47,累计考核费用!Q$107:Q$156)/10000</f>
        <v>1.967452</v>
      </c>
      <c r="L47" s="8">
        <f>SUMIF(累计考核费用!$B$107:$B$156,原格式费用考核表!$B47,累计考核费用!P$107:P$156)/10000</f>
        <v>5.9747590000000015</v>
      </c>
      <c r="M47" s="8">
        <f>SUMIF(累计考核费用!$B$107:$B$156,原格式费用考核表!$B47,累计考核费用!O$107:O$156)/10000</f>
        <v>2.522697</v>
      </c>
      <c r="N47" s="8">
        <f>SUMIF(累计考核费用!$B$107:$B$156,原格式费用考核表!$B47,累计考核费用!R$107:R$156)/10000</f>
        <v>3.4639160000000002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SUMIF(累计考核费用!$B$107:$B$156,原格式费用考核表!$B47,累计考核费用!S$107:S$156)/10000</f>
        <v>2.8228790000000004</v>
      </c>
      <c r="Q47" s="8" t="e">
        <f>SUMIF(累计考核费用!$B$107:$B$156,原格式费用考核表!$B47,累计考核费用!#REF!)/10000</f>
        <v>#REF!</v>
      </c>
      <c r="R47" s="8">
        <f>SUMIF(累计考核费用!$B$107:$B$156,原格式费用考核表!$B47,累计考核费用!T$107:T$156)/10000</f>
        <v>1.5682000000000003</v>
      </c>
      <c r="S47" s="8">
        <f>SUMIF(累计考核费用!$B$107:$B$156,原格式费用考核表!$B47,累计考核费用!U$107:U$156)/10000</f>
        <v>0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SUMIF(累计考核费用!$B$107:$B$156,原格式费用考核表!$B47,累计考核费用!V$107:V$156)/10000</f>
        <v>0.15667</v>
      </c>
      <c r="V47" s="8">
        <f>SUMIF(累计考核费用!$B$107:$B$156,原格式费用考核表!$B47,累计考核费用!W$107:W$156)/10000</f>
        <v>1.4115300000000004</v>
      </c>
      <c r="W47" s="8">
        <f>SUMIF(累计考核费用!$B$107:$B$156,原格式费用考核表!$B47,累计考核费用!AB$107:AB$156)/10000</f>
        <v>0</v>
      </c>
      <c r="X47" s="8" t="e">
        <f>SUMIF(累计考核费用!$B$107:$B$156,原格式费用考核表!$B47,累计考核费用!#REF!)/10000</f>
        <v>#REF!</v>
      </c>
      <c r="Y47" s="8" t="e">
        <f>SUMIF(累计考核费用!$B$107:$B$156,原格式费用考核表!$B47,累计考核费用!#REF!)/10000</f>
        <v>#REF!</v>
      </c>
      <c r="Z47" s="8" t="e">
        <f>SUMIF(累计考核费用!$B$107:$B$156,原格式费用考核表!$B47,累计考核费用!#REF!)/10000</f>
        <v>#REF!</v>
      </c>
      <c r="AA47" s="8">
        <f>SUMIF(累计考核费用!$B$107:$B$156,原格式费用考核表!$B47,累计考核费用!AC$107:AC$156)/10000</f>
        <v>0</v>
      </c>
      <c r="AB47" s="8" t="e">
        <f>SUMIF(累计考核费用!$B$107:$B$156,原格式费用考核表!$B47,累计考核费用!#REF!)/10000</f>
        <v>#REF!</v>
      </c>
    </row>
    <row r="48" spans="1:28" s="2" customFormat="1" ht="12" customHeight="1">
      <c r="A48" s="252"/>
      <c r="B48" s="11" t="s">
        <v>142</v>
      </c>
      <c r="C48" s="11" t="s">
        <v>136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SUMIF(累计考核费用!$B$107:$B$156,原格式费用考核表!$B48,累计考核费用!L$107:L$156)/10000</f>
        <v>0</v>
      </c>
      <c r="J48" s="8">
        <f>SUMIF(累计考核费用!$B$107:$B$156,原格式费用考核表!$B48,累计考核费用!M$107:M$156)/10000</f>
        <v>0</v>
      </c>
      <c r="K48" s="8">
        <f>SUMIF(累计考核费用!$B$107:$B$156,原格式费用考核表!$B48,累计考核费用!Q$107:Q$156)/10000</f>
        <v>0</v>
      </c>
      <c r="L48" s="8">
        <f>SUMIF(累计考核费用!$B$107:$B$156,原格式费用考核表!$B48,累计考核费用!P$107:P$156)/10000</f>
        <v>0</v>
      </c>
      <c r="M48" s="8">
        <f>SUMIF(累计考核费用!$B$107:$B$156,原格式费用考核表!$B48,累计考核费用!O$107:O$156)/10000</f>
        <v>0</v>
      </c>
      <c r="N48" s="8">
        <f>SUMIF(累计考核费用!$B$107:$B$156,原格式费用考核表!$B48,累计考核费用!R$107:R$156)/10000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SUMIF(累计考核费用!$B$107:$B$156,原格式费用考核表!$B48,累计考核费用!S$107:S$156)/10000</f>
        <v>0</v>
      </c>
      <c r="Q48" s="8" t="e">
        <f>SUMIF(累计考核费用!$B$107:$B$156,原格式费用考核表!$B48,累计考核费用!#REF!)/10000</f>
        <v>#REF!</v>
      </c>
      <c r="R48" s="8">
        <f>SUMIF(累计考核费用!$B$107:$B$156,原格式费用考核表!$B48,累计考核费用!T$107:T$156)/10000</f>
        <v>0</v>
      </c>
      <c r="S48" s="8">
        <f>SUMIF(累计考核费用!$B$107:$B$156,原格式费用考核表!$B48,累计考核费用!U$107:U$156)/10000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SUMIF(累计考核费用!$B$107:$B$156,原格式费用考核表!$B48,累计考核费用!V$107:V$156)/10000</f>
        <v>0</v>
      </c>
      <c r="V48" s="8">
        <f>SUMIF(累计考核费用!$B$107:$B$156,原格式费用考核表!$B48,累计考核费用!W$107:W$156)/10000</f>
        <v>0</v>
      </c>
      <c r="W48" s="8">
        <f>SUMIF(累计考核费用!$B$107:$B$156,原格式费用考核表!$B48,累计考核费用!AB$107:AB$156)/10000</f>
        <v>0</v>
      </c>
      <c r="X48" s="8" t="e">
        <f>SUMIF(累计考核费用!$B$107:$B$156,原格式费用考核表!$B48,累计考核费用!#REF!)/10000</f>
        <v>#REF!</v>
      </c>
      <c r="Y48" s="8" t="e">
        <f>SUMIF(累计考核费用!$B$107:$B$156,原格式费用考核表!$B48,累计考核费用!#REF!)/10000</f>
        <v>#REF!</v>
      </c>
      <c r="Z48" s="8" t="e">
        <f>SUMIF(累计考核费用!$B$107:$B$156,原格式费用考核表!$B48,累计考核费用!#REF!)/10000</f>
        <v>#REF!</v>
      </c>
      <c r="AA48" s="8">
        <f>SUMIF(累计考核费用!$B$107:$B$156,原格式费用考核表!$B48,累计考核费用!AC$107:AC$156)/10000</f>
        <v>0</v>
      </c>
      <c r="AB48" s="8" t="e">
        <f>SUMIF(累计考核费用!$B$107:$B$156,原格式费用考核表!$B48,累计考核费用!#REF!)/10000</f>
        <v>#REF!</v>
      </c>
    </row>
    <row r="49" spans="1:28" s="2" customFormat="1" ht="12" customHeight="1">
      <c r="A49" s="253"/>
      <c r="B49" s="11" t="s">
        <v>99</v>
      </c>
      <c r="C49" s="11" t="s">
        <v>99</v>
      </c>
      <c r="D49" s="13">
        <f t="shared" ref="D49:AB49" si="5">SUM(D42:D48)</f>
        <v>7546.8963969999995</v>
      </c>
      <c r="E49" s="13">
        <f t="shared" si="5"/>
        <v>-750.18158599999992</v>
      </c>
      <c r="F49" s="13">
        <f t="shared" si="5"/>
        <v>3001.2009660000008</v>
      </c>
      <c r="G49" s="13">
        <f t="shared" si="5"/>
        <v>4572.0706769999997</v>
      </c>
      <c r="H49" s="13">
        <f t="shared" si="5"/>
        <v>96.020215999999991</v>
      </c>
      <c r="I49" s="13">
        <f t="shared" si="5"/>
        <v>544.3273650000001</v>
      </c>
      <c r="J49" s="13">
        <f t="shared" si="5"/>
        <v>36.956983999999991</v>
      </c>
      <c r="K49" s="13">
        <f t="shared" si="5"/>
        <v>25.364203999999997</v>
      </c>
      <c r="L49" s="13">
        <f t="shared" si="5"/>
        <v>39.296976999999998</v>
      </c>
      <c r="M49" s="13">
        <f t="shared" si="5"/>
        <v>28.283180000000002</v>
      </c>
      <c r="N49" s="13">
        <f t="shared" si="5"/>
        <v>46.956816000000003</v>
      </c>
      <c r="O49" s="13" t="e">
        <f t="shared" si="5"/>
        <v>#REF!</v>
      </c>
      <c r="P49" s="13">
        <f t="shared" si="5"/>
        <v>338.46810799999997</v>
      </c>
      <c r="Q49" s="13" t="e">
        <f t="shared" si="5"/>
        <v>#REF!</v>
      </c>
      <c r="R49" s="13">
        <f t="shared" si="5"/>
        <v>59.12688399999999</v>
      </c>
      <c r="S49" s="13">
        <f t="shared" si="5"/>
        <v>0.28867900000000002</v>
      </c>
      <c r="T49" s="13" t="e">
        <f t="shared" si="5"/>
        <v>#REF!</v>
      </c>
      <c r="U49" s="13">
        <f t="shared" si="5"/>
        <v>35.653251999999995</v>
      </c>
      <c r="V49" s="13">
        <f t="shared" si="5"/>
        <v>23.176552999999998</v>
      </c>
      <c r="W49" s="13">
        <f t="shared" si="5"/>
        <v>11.849883</v>
      </c>
      <c r="X49" s="13" t="e">
        <f t="shared" si="5"/>
        <v>#REF!</v>
      </c>
      <c r="Y49" s="13" t="e">
        <f t="shared" si="5"/>
        <v>#REF!</v>
      </c>
      <c r="Z49" s="13" t="e">
        <f t="shared" si="5"/>
        <v>#REF!</v>
      </c>
      <c r="AA49" s="13">
        <f t="shared" si="5"/>
        <v>12.481992</v>
      </c>
      <c r="AB49" s="13" t="e">
        <f t="shared" si="5"/>
        <v>#REF!</v>
      </c>
    </row>
    <row r="50" spans="1:28" s="2" customFormat="1" ht="12" customHeight="1">
      <c r="A50" s="14"/>
      <c r="B50" s="14" t="s">
        <v>3</v>
      </c>
      <c r="C50" s="15" t="s">
        <v>3</v>
      </c>
      <c r="D50" s="16">
        <f>D11+D16+D41+D49</f>
        <v>58266.369607999986</v>
      </c>
      <c r="E50" s="16">
        <f t="shared" ref="E50:AB50" si="6">E11+E16+E41+E49</f>
        <v>1259.4072610000001</v>
      </c>
      <c r="F50" s="16">
        <f t="shared" si="6"/>
        <v>14057.475130999996</v>
      </c>
      <c r="G50" s="16">
        <f t="shared" si="6"/>
        <v>28227.997625000004</v>
      </c>
      <c r="H50" s="16">
        <f t="shared" si="6"/>
        <v>1554.3013739999997</v>
      </c>
      <c r="I50" s="16">
        <f t="shared" si="6"/>
        <v>2647.9863660000001</v>
      </c>
      <c r="J50" s="16">
        <f t="shared" si="6"/>
        <v>264.62649299999998</v>
      </c>
      <c r="K50" s="16">
        <f t="shared" si="6"/>
        <v>280.76912599999997</v>
      </c>
      <c r="L50" s="16">
        <f t="shared" si="6"/>
        <v>659.46404399999983</v>
      </c>
      <c r="M50" s="16">
        <f t="shared" si="6"/>
        <v>143.203396</v>
      </c>
      <c r="N50" s="16">
        <f t="shared" si="6"/>
        <v>335.13751200000002</v>
      </c>
      <c r="O50" s="16" t="e">
        <f t="shared" si="6"/>
        <v>#REF!</v>
      </c>
      <c r="P50" s="16">
        <f t="shared" si="6"/>
        <v>638.28838100000007</v>
      </c>
      <c r="Q50" s="16" t="e">
        <f t="shared" si="6"/>
        <v>#REF!</v>
      </c>
      <c r="R50" s="16">
        <f t="shared" si="6"/>
        <v>10542.583778</v>
      </c>
      <c r="S50" s="16">
        <f t="shared" si="6"/>
        <v>1081.889844</v>
      </c>
      <c r="T50" s="16" t="e">
        <f t="shared" si="6"/>
        <v>#REF!</v>
      </c>
      <c r="U50" s="16">
        <f t="shared" si="6"/>
        <v>7275.1696269999993</v>
      </c>
      <c r="V50" s="16">
        <f t="shared" si="6"/>
        <v>1976.9175579999999</v>
      </c>
      <c r="W50" s="16">
        <f t="shared" si="6"/>
        <v>629.18225100000018</v>
      </c>
      <c r="X50" s="16" t="e">
        <f t="shared" si="6"/>
        <v>#REF!</v>
      </c>
      <c r="Y50" s="16" t="e">
        <f t="shared" si="6"/>
        <v>#REF!</v>
      </c>
      <c r="Z50" s="16" t="e">
        <f t="shared" si="6"/>
        <v>#REF!</v>
      </c>
      <c r="AA50" s="16">
        <f t="shared" si="6"/>
        <v>589.43582200000003</v>
      </c>
      <c r="AB50" s="16" t="e">
        <f t="shared" si="6"/>
        <v>#REF!</v>
      </c>
    </row>
    <row r="52" spans="1:28" s="1" customFormat="1" ht="12" customHeight="1">
      <c r="A52" s="4" t="s">
        <v>86</v>
      </c>
      <c r="B52" s="5" t="s">
        <v>87</v>
      </c>
      <c r="C52" s="4"/>
      <c r="D52" s="6" t="s">
        <v>3</v>
      </c>
      <c r="E52" s="6" t="s">
        <v>4</v>
      </c>
      <c r="F52" s="6" t="s">
        <v>5</v>
      </c>
      <c r="G52" s="6" t="s">
        <v>6</v>
      </c>
      <c r="H52" s="6" t="s">
        <v>8</v>
      </c>
      <c r="I52" s="6" t="s">
        <v>12</v>
      </c>
      <c r="J52" s="23" t="s">
        <v>67</v>
      </c>
      <c r="K52" s="23" t="s">
        <v>17</v>
      </c>
      <c r="L52" s="23" t="s">
        <v>16</v>
      </c>
      <c r="M52" s="23" t="s">
        <v>15</v>
      </c>
      <c r="N52" s="23" t="s">
        <v>18</v>
      </c>
      <c r="O52" s="23" t="s">
        <v>68</v>
      </c>
      <c r="P52" s="23" t="s">
        <v>19</v>
      </c>
      <c r="Q52" s="23" t="s">
        <v>413</v>
      </c>
      <c r="R52" s="6" t="s">
        <v>69</v>
      </c>
      <c r="S52" s="6" t="s">
        <v>20</v>
      </c>
      <c r="T52" s="23" t="s">
        <v>71</v>
      </c>
      <c r="U52" s="23" t="s">
        <v>70</v>
      </c>
      <c r="V52" s="23" t="s">
        <v>416</v>
      </c>
      <c r="W52" s="23" t="s">
        <v>485</v>
      </c>
      <c r="X52" s="6" t="s">
        <v>28</v>
      </c>
      <c r="Y52" s="23" t="s">
        <v>29</v>
      </c>
      <c r="Z52" s="23" t="s">
        <v>30</v>
      </c>
      <c r="AA52" s="6" t="s">
        <v>31</v>
      </c>
      <c r="AB52" s="6" t="s">
        <v>32</v>
      </c>
    </row>
    <row r="55" spans="1:28" s="2" customFormat="1" ht="13.5">
      <c r="A55" s="17" t="s">
        <v>86</v>
      </c>
      <c r="B55" s="18" t="s">
        <v>87</v>
      </c>
      <c r="C55" s="17"/>
      <c r="D55" s="19" t="s">
        <v>3</v>
      </c>
      <c r="E55" s="19" t="s">
        <v>4</v>
      </c>
      <c r="F55" s="19" t="s">
        <v>5</v>
      </c>
      <c r="G55" s="19" t="s">
        <v>6</v>
      </c>
      <c r="H55" s="19" t="s">
        <v>8</v>
      </c>
      <c r="I55" s="19" t="s">
        <v>12</v>
      </c>
      <c r="J55" s="24" t="s">
        <v>67</v>
      </c>
      <c r="K55" s="24" t="s">
        <v>16</v>
      </c>
      <c r="L55" s="24" t="s">
        <v>18</v>
      </c>
      <c r="M55" s="24" t="s">
        <v>68</v>
      </c>
      <c r="N55" s="24" t="s">
        <v>19</v>
      </c>
      <c r="O55" s="24" t="s">
        <v>413</v>
      </c>
      <c r="P55" s="19" t="s">
        <v>69</v>
      </c>
      <c r="Q55" s="19" t="s">
        <v>20</v>
      </c>
      <c r="R55" s="24" t="s">
        <v>71</v>
      </c>
      <c r="S55" s="24" t="s">
        <v>70</v>
      </c>
      <c r="T55" s="24" t="s">
        <v>416</v>
      </c>
      <c r="U55" s="24" t="s">
        <v>485</v>
      </c>
      <c r="V55" s="19" t="s">
        <v>28</v>
      </c>
      <c r="W55" s="24" t="s">
        <v>29</v>
      </c>
      <c r="X55" s="24" t="s">
        <v>30</v>
      </c>
      <c r="Y55" s="24" t="s">
        <v>31</v>
      </c>
      <c r="Z55" s="19">
        <v>0</v>
      </c>
      <c r="AA55" s="19">
        <v>0</v>
      </c>
    </row>
    <row r="56" spans="1:28" ht="12" customHeight="1">
      <c r="A56" s="20" t="s">
        <v>486</v>
      </c>
      <c r="B56" t="s">
        <v>139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86</v>
      </c>
      <c r="C59" s="18" t="s">
        <v>87</v>
      </c>
      <c r="D59" s="19" t="s">
        <v>3</v>
      </c>
      <c r="E59" s="19" t="s">
        <v>4</v>
      </c>
      <c r="F59" s="19" t="s">
        <v>5</v>
      </c>
      <c r="G59" s="19" t="s">
        <v>6</v>
      </c>
      <c r="H59" s="19" t="s">
        <v>8</v>
      </c>
      <c r="I59" s="19" t="s">
        <v>12</v>
      </c>
      <c r="J59" s="24" t="s">
        <v>67</v>
      </c>
      <c r="K59" s="24" t="s">
        <v>16</v>
      </c>
      <c r="L59" s="24" t="s">
        <v>18</v>
      </c>
      <c r="M59" s="24" t="s">
        <v>68</v>
      </c>
      <c r="N59" s="24" t="s">
        <v>19</v>
      </c>
      <c r="O59" s="24" t="s">
        <v>413</v>
      </c>
      <c r="P59" s="19" t="s">
        <v>69</v>
      </c>
      <c r="Q59" s="19" t="s">
        <v>20</v>
      </c>
      <c r="R59" s="24" t="s">
        <v>71</v>
      </c>
      <c r="S59" s="24" t="s">
        <v>70</v>
      </c>
      <c r="T59" s="24" t="s">
        <v>416</v>
      </c>
      <c r="U59" s="24" t="s">
        <v>485</v>
      </c>
      <c r="V59" s="19" t="s">
        <v>28</v>
      </c>
      <c r="W59" s="24" t="s">
        <v>29</v>
      </c>
      <c r="X59" s="24" t="s">
        <v>30</v>
      </c>
      <c r="Y59" s="24" t="s">
        <v>31</v>
      </c>
      <c r="Z59" s="6" t="s">
        <v>32</v>
      </c>
    </row>
    <row r="60" spans="1:28" s="3" customFormat="1" ht="12" customHeight="1">
      <c r="B60" s="257" t="s">
        <v>88</v>
      </c>
      <c r="C60" s="21" t="s">
        <v>89</v>
      </c>
      <c r="D60" s="22">
        <f>D2</f>
        <v>18203.838647999997</v>
      </c>
      <c r="E60" s="22" t="e">
        <f>E2+AB2</f>
        <v>#REF!</v>
      </c>
      <c r="F60" s="22">
        <f t="shared" ref="F60:J69" si="8">F2</f>
        <v>4786.9396099999994</v>
      </c>
      <c r="G60" s="22">
        <f t="shared" si="8"/>
        <v>8605.3673250000011</v>
      </c>
      <c r="H60" s="22">
        <f t="shared" si="8"/>
        <v>822.80775499999993</v>
      </c>
      <c r="I60" s="22">
        <f t="shared" si="8"/>
        <v>1171.731892</v>
      </c>
      <c r="J60" s="22">
        <f t="shared" si="8"/>
        <v>80.264728000000005</v>
      </c>
      <c r="K60" s="22">
        <f>K2+L2</f>
        <v>504.43183699999997</v>
      </c>
      <c r="L60" s="22">
        <f t="shared" ref="L60:L91" si="9">N2</f>
        <v>190.92145299999999</v>
      </c>
      <c r="M60" s="22" t="e">
        <f t="shared" ref="M60:M91" si="10">O2</f>
        <v>#REF!</v>
      </c>
      <c r="N60" s="22">
        <f t="shared" ref="N60:N91" si="11">P2</f>
        <v>184.70327700000001</v>
      </c>
      <c r="O60" s="22" t="e">
        <f t="shared" ref="O60:O91" si="12">Q2</f>
        <v>#REF!</v>
      </c>
      <c r="P60" s="22">
        <f t="shared" ref="P60:Z60" si="13">R2</f>
        <v>1987.0224089999999</v>
      </c>
      <c r="Q60" s="22">
        <f t="shared" si="13"/>
        <v>496.996825</v>
      </c>
      <c r="R60" s="22" t="e">
        <f t="shared" si="13"/>
        <v>#REF!</v>
      </c>
      <c r="S60" s="22">
        <f t="shared" si="13"/>
        <v>685.719694</v>
      </c>
      <c r="T60" s="22">
        <f t="shared" si="13"/>
        <v>737.26765299999988</v>
      </c>
      <c r="U60" s="22">
        <f t="shared" si="13"/>
        <v>423.62621899999999</v>
      </c>
      <c r="V60" s="22" t="e">
        <f t="shared" si="13"/>
        <v>#REF!</v>
      </c>
      <c r="W60" s="22" t="e">
        <f t="shared" si="13"/>
        <v>#REF!</v>
      </c>
      <c r="X60" s="22" t="e">
        <f t="shared" si="13"/>
        <v>#REF!</v>
      </c>
      <c r="Y60" s="22">
        <f t="shared" si="13"/>
        <v>406.34343799999999</v>
      </c>
      <c r="Z60" s="25" t="e">
        <f t="shared" si="13"/>
        <v>#REF!</v>
      </c>
    </row>
    <row r="61" spans="1:28" s="3" customFormat="1" ht="12" customHeight="1">
      <c r="B61" s="258"/>
      <c r="C61" s="21" t="s">
        <v>90</v>
      </c>
      <c r="D61" s="22">
        <f t="shared" ref="D61:D108" si="14">D3</f>
        <v>286.27872999999994</v>
      </c>
      <c r="E61" s="22" t="e">
        <f t="shared" ref="E61:E108" si="15">E3+AB3</f>
        <v>#REF!</v>
      </c>
      <c r="F61" s="22">
        <f t="shared" si="8"/>
        <v>91.70758499999998</v>
      </c>
      <c r="G61" s="22">
        <f t="shared" si="8"/>
        <v>113.67591199999998</v>
      </c>
      <c r="H61" s="22">
        <f t="shared" si="8"/>
        <v>14.013592000000001</v>
      </c>
      <c r="I61" s="22">
        <f t="shared" si="8"/>
        <v>5.0284360000000001</v>
      </c>
      <c r="J61" s="22">
        <f t="shared" si="8"/>
        <v>0.65300000000000002</v>
      </c>
      <c r="K61" s="22">
        <f t="shared" ref="K61:K108" si="16">K3+L3</f>
        <v>3.1767599999999998</v>
      </c>
      <c r="L61" s="22">
        <f t="shared" si="9"/>
        <v>0.31508600000000003</v>
      </c>
      <c r="M61" s="22" t="e">
        <f t="shared" si="10"/>
        <v>#REF!</v>
      </c>
      <c r="N61" s="22">
        <f t="shared" si="11"/>
        <v>0.38108999999999998</v>
      </c>
      <c r="O61" s="22" t="e">
        <f t="shared" si="12"/>
        <v>#REF!</v>
      </c>
      <c r="P61" s="22">
        <f t="shared" ref="P61:P108" si="17">R3</f>
        <v>38.202424999999998</v>
      </c>
      <c r="Q61" s="22">
        <f t="shared" ref="Q61:Q108" si="18">S3</f>
        <v>10.350061999999999</v>
      </c>
      <c r="R61" s="22" t="e">
        <f t="shared" ref="R61:R108" si="19">T3</f>
        <v>#REF!</v>
      </c>
      <c r="S61" s="22">
        <f t="shared" ref="S61:S108" si="20">U3</f>
        <v>18.906950999999999</v>
      </c>
      <c r="T61" s="22">
        <f t="shared" ref="T61:T108" si="21">V3</f>
        <v>8.9209119999999995</v>
      </c>
      <c r="U61" s="22">
        <f t="shared" ref="U61:U108" si="22">W3</f>
        <v>13.230279999999999</v>
      </c>
      <c r="V61" s="22" t="e">
        <f t="shared" ref="V61:V108" si="23">X3</f>
        <v>#REF!</v>
      </c>
      <c r="W61" s="22" t="e">
        <f t="shared" ref="W61:W108" si="24">Y3</f>
        <v>#REF!</v>
      </c>
      <c r="X61" s="22" t="e">
        <f t="shared" ref="X61:X108" si="25">Z3</f>
        <v>#REF!</v>
      </c>
      <c r="Y61" s="22">
        <f t="shared" ref="Y61:Y108" si="26">AA3</f>
        <v>10.420500000000001</v>
      </c>
      <c r="Z61" s="25" t="e">
        <f t="shared" ref="Z61:Z108" si="27">AB3</f>
        <v>#REF!</v>
      </c>
    </row>
    <row r="62" spans="1:28" s="3" customFormat="1" ht="12" customHeight="1">
      <c r="B62" s="258"/>
      <c r="C62" s="21" t="s">
        <v>91</v>
      </c>
      <c r="D62" s="22">
        <f t="shared" si="14"/>
        <v>584.71500500000002</v>
      </c>
      <c r="E62" s="22" t="e">
        <f t="shared" si="15"/>
        <v>#REF!</v>
      </c>
      <c r="F62" s="22">
        <f t="shared" si="8"/>
        <v>53.596705999999983</v>
      </c>
      <c r="G62" s="22">
        <f t="shared" si="8"/>
        <v>299.17761899999999</v>
      </c>
      <c r="H62" s="22">
        <f t="shared" si="8"/>
        <v>18.738512</v>
      </c>
      <c r="I62" s="22">
        <f t="shared" si="8"/>
        <v>23.043157000000001</v>
      </c>
      <c r="J62" s="22">
        <f t="shared" si="8"/>
        <v>1.5839719999999999</v>
      </c>
      <c r="K62" s="22">
        <f t="shared" si="16"/>
        <v>10.229676000000001</v>
      </c>
      <c r="L62" s="22">
        <f t="shared" si="9"/>
        <v>3.8769490000000006</v>
      </c>
      <c r="M62" s="22" t="e">
        <f t="shared" si="10"/>
        <v>#REF!</v>
      </c>
      <c r="N62" s="22">
        <f t="shared" si="11"/>
        <v>3.0326680000000001</v>
      </c>
      <c r="O62" s="22" t="e">
        <f t="shared" si="12"/>
        <v>#REF!</v>
      </c>
      <c r="P62" s="22">
        <f t="shared" si="17"/>
        <v>178.15862000000001</v>
      </c>
      <c r="Q62" s="22">
        <f t="shared" si="18"/>
        <v>12.866103000000001</v>
      </c>
      <c r="R62" s="22" t="e">
        <f t="shared" si="19"/>
        <v>#REF!</v>
      </c>
      <c r="S62" s="22">
        <f t="shared" si="20"/>
        <v>135.29619500000001</v>
      </c>
      <c r="T62" s="22">
        <f t="shared" si="21"/>
        <v>28.655558000000003</v>
      </c>
      <c r="U62" s="22">
        <f t="shared" si="22"/>
        <v>5.2670569999999994</v>
      </c>
      <c r="V62" s="22" t="e">
        <f t="shared" si="23"/>
        <v>#REF!</v>
      </c>
      <c r="W62" s="22" t="e">
        <f t="shared" si="24"/>
        <v>#REF!</v>
      </c>
      <c r="X62" s="22" t="e">
        <f t="shared" si="25"/>
        <v>#REF!</v>
      </c>
      <c r="Y62" s="22">
        <f t="shared" si="26"/>
        <v>6.7333339999999993</v>
      </c>
      <c r="Z62" s="25" t="e">
        <f t="shared" si="27"/>
        <v>#REF!</v>
      </c>
    </row>
    <row r="63" spans="1:28" s="3" customFormat="1" ht="12" customHeight="1">
      <c r="B63" s="258"/>
      <c r="C63" s="21" t="s">
        <v>93</v>
      </c>
      <c r="D63" s="22">
        <f t="shared" si="14"/>
        <v>4642.4434559999991</v>
      </c>
      <c r="E63" s="22" t="e">
        <f t="shared" si="15"/>
        <v>#REF!</v>
      </c>
      <c r="F63" s="22">
        <f t="shared" si="8"/>
        <v>1001.3326789999995</v>
      </c>
      <c r="G63" s="22">
        <f t="shared" si="8"/>
        <v>2487.6863120000003</v>
      </c>
      <c r="H63" s="22">
        <f t="shared" si="8"/>
        <v>211.29468799999998</v>
      </c>
      <c r="I63" s="22">
        <f t="shared" si="8"/>
        <v>240.38563399999998</v>
      </c>
      <c r="J63" s="22">
        <f t="shared" si="8"/>
        <v>11.849267999999999</v>
      </c>
      <c r="K63" s="22">
        <f t="shared" si="16"/>
        <v>113.55244399999998</v>
      </c>
      <c r="L63" s="22">
        <f t="shared" si="9"/>
        <v>35.480829000000007</v>
      </c>
      <c r="M63" s="22" t="e">
        <f t="shared" si="10"/>
        <v>#REF!</v>
      </c>
      <c r="N63" s="22">
        <f t="shared" si="11"/>
        <v>34.624390999999996</v>
      </c>
      <c r="O63" s="22" t="e">
        <f t="shared" si="12"/>
        <v>#REF!</v>
      </c>
      <c r="P63" s="22">
        <f t="shared" si="17"/>
        <v>519.97657199999992</v>
      </c>
      <c r="Q63" s="22">
        <f t="shared" si="18"/>
        <v>148.29688100000001</v>
      </c>
      <c r="R63" s="22" t="e">
        <f t="shared" si="19"/>
        <v>#REF!</v>
      </c>
      <c r="S63" s="22">
        <f t="shared" si="20"/>
        <v>185.63787200000002</v>
      </c>
      <c r="T63" s="22">
        <f t="shared" si="21"/>
        <v>159.90214799999998</v>
      </c>
      <c r="U63" s="22">
        <f t="shared" si="22"/>
        <v>71.250440999999995</v>
      </c>
      <c r="V63" s="22" t="e">
        <f t="shared" si="23"/>
        <v>#REF!</v>
      </c>
      <c r="W63" s="22" t="e">
        <f t="shared" si="24"/>
        <v>#REF!</v>
      </c>
      <c r="X63" s="22" t="e">
        <f t="shared" si="25"/>
        <v>#REF!</v>
      </c>
      <c r="Y63" s="22">
        <f t="shared" si="26"/>
        <v>110.51712999999998</v>
      </c>
      <c r="Z63" s="25" t="e">
        <f t="shared" si="27"/>
        <v>#REF!</v>
      </c>
    </row>
    <row r="64" spans="1:28" s="3" customFormat="1" ht="12" customHeight="1">
      <c r="B64" s="258"/>
      <c r="C64" s="21" t="s">
        <v>94</v>
      </c>
      <c r="D64" s="22">
        <f t="shared" si="14"/>
        <v>35.974437000000002</v>
      </c>
      <c r="E64" s="22" t="e">
        <f t="shared" si="15"/>
        <v>#REF!</v>
      </c>
      <c r="F64" s="22">
        <f t="shared" si="8"/>
        <v>20</v>
      </c>
      <c r="G64" s="22">
        <f t="shared" si="8"/>
        <v>11.274900000000001</v>
      </c>
      <c r="H64" s="22">
        <f t="shared" si="8"/>
        <v>4.6995370000000003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 t="e">
        <f t="shared" si="12"/>
        <v>#REF!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 t="e">
        <f t="shared" si="23"/>
        <v>#REF!</v>
      </c>
      <c r="W64" s="22" t="e">
        <f t="shared" si="24"/>
        <v>#REF!</v>
      </c>
      <c r="X64" s="22" t="e">
        <f t="shared" si="25"/>
        <v>#REF!</v>
      </c>
      <c r="Y64" s="22">
        <f t="shared" si="26"/>
        <v>0</v>
      </c>
      <c r="Z64" s="25" t="e">
        <f t="shared" si="27"/>
        <v>#REF!</v>
      </c>
    </row>
    <row r="65" spans="2:26" s="3" customFormat="1" ht="12" customHeight="1">
      <c r="B65" s="258"/>
      <c r="C65" s="21" t="s">
        <v>95</v>
      </c>
      <c r="D65" s="22">
        <f t="shared" si="14"/>
        <v>271.77863699999995</v>
      </c>
      <c r="E65" s="22" t="e">
        <f t="shared" si="15"/>
        <v>#REF!</v>
      </c>
      <c r="F65" s="22">
        <f t="shared" si="8"/>
        <v>257.14621899999997</v>
      </c>
      <c r="G65" s="22">
        <f t="shared" si="8"/>
        <v>14.149177999999999</v>
      </c>
      <c r="H65" s="22">
        <f t="shared" si="8"/>
        <v>1.2734400000000001</v>
      </c>
      <c r="I65" s="22">
        <f t="shared" si="8"/>
        <v>-9.4529999999999989E-2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-9.4529999999999989E-2</v>
      </c>
      <c r="O65" s="22" t="e">
        <f t="shared" si="12"/>
        <v>#REF!</v>
      </c>
      <c r="P65" s="22">
        <f t="shared" si="17"/>
        <v>-0.39509999999999995</v>
      </c>
      <c r="Q65" s="22">
        <f t="shared" si="18"/>
        <v>-0.11150999999999998</v>
      </c>
      <c r="R65" s="22" t="e">
        <f t="shared" si="19"/>
        <v>#REF!</v>
      </c>
      <c r="S65" s="22">
        <f t="shared" si="20"/>
        <v>-9.4529999999999989E-2</v>
      </c>
      <c r="T65" s="22">
        <f t="shared" si="21"/>
        <v>-0.18905999999999998</v>
      </c>
      <c r="U65" s="22">
        <f t="shared" si="22"/>
        <v>-9.4529999999999989E-2</v>
      </c>
      <c r="V65" s="22" t="e">
        <f t="shared" si="23"/>
        <v>#REF!</v>
      </c>
      <c r="W65" s="22" t="e">
        <f t="shared" si="24"/>
        <v>#REF!</v>
      </c>
      <c r="X65" s="22" t="e">
        <f t="shared" si="25"/>
        <v>#REF!</v>
      </c>
      <c r="Y65" s="22">
        <f t="shared" si="26"/>
        <v>-0.20603999999999997</v>
      </c>
      <c r="Z65" s="25" t="e">
        <f t="shared" si="27"/>
        <v>#REF!</v>
      </c>
    </row>
    <row r="66" spans="2:26" s="3" customFormat="1" ht="12" customHeight="1">
      <c r="B66" s="258"/>
      <c r="C66" s="21" t="s">
        <v>96</v>
      </c>
      <c r="D66" s="22">
        <f t="shared" si="14"/>
        <v>232.57144899999997</v>
      </c>
      <c r="E66" s="22" t="e">
        <f t="shared" si="15"/>
        <v>#REF!</v>
      </c>
      <c r="F66" s="22">
        <f t="shared" si="8"/>
        <v>43.759999999999955</v>
      </c>
      <c r="G66" s="22">
        <f t="shared" si="8"/>
        <v>155.81662100000003</v>
      </c>
      <c r="H66" s="22">
        <f t="shared" si="8"/>
        <v>10.394</v>
      </c>
      <c r="I66" s="22">
        <f t="shared" si="8"/>
        <v>14.878</v>
      </c>
      <c r="J66" s="22">
        <f t="shared" si="8"/>
        <v>-1.0660000000000001</v>
      </c>
      <c r="K66" s="22">
        <f t="shared" si="16"/>
        <v>7.0519999999999996</v>
      </c>
      <c r="L66" s="22">
        <f t="shared" si="9"/>
        <v>2.5859999999999999</v>
      </c>
      <c r="M66" s="22" t="e">
        <f t="shared" si="10"/>
        <v>#REF!</v>
      </c>
      <c r="N66" s="22">
        <f t="shared" si="11"/>
        <v>1.722</v>
      </c>
      <c r="O66" s="22" t="e">
        <f t="shared" si="12"/>
        <v>#REF!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 t="e">
        <f t="shared" si="23"/>
        <v>#REF!</v>
      </c>
      <c r="W66" s="22" t="e">
        <f t="shared" si="24"/>
        <v>#REF!</v>
      </c>
      <c r="X66" s="22" t="e">
        <f t="shared" si="25"/>
        <v>#REF!</v>
      </c>
      <c r="Y66" s="22">
        <f t="shared" si="26"/>
        <v>7.7228279999999998</v>
      </c>
      <c r="Z66" s="25" t="e">
        <f t="shared" si="27"/>
        <v>#REF!</v>
      </c>
    </row>
    <row r="67" spans="2:26" s="3" customFormat="1" ht="12" customHeight="1">
      <c r="B67" s="258"/>
      <c r="C67" s="21" t="s">
        <v>139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58"/>
      <c r="C68" s="21" t="s">
        <v>98</v>
      </c>
      <c r="D68" s="22">
        <f t="shared" si="14"/>
        <v>1750</v>
      </c>
      <c r="E68" s="22" t="e">
        <f t="shared" si="15"/>
        <v>#REF!</v>
      </c>
      <c r="F68" s="22">
        <f t="shared" si="8"/>
        <v>1750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 t="e">
        <f t="shared" si="12"/>
        <v>#REF!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 t="e">
        <f t="shared" si="23"/>
        <v>#REF!</v>
      </c>
      <c r="W68" s="22" t="e">
        <f t="shared" si="24"/>
        <v>#REF!</v>
      </c>
      <c r="X68" s="22" t="e">
        <f t="shared" si="25"/>
        <v>#REF!</v>
      </c>
      <c r="Y68" s="22">
        <f t="shared" si="26"/>
        <v>0</v>
      </c>
      <c r="Z68" s="25" t="e">
        <f t="shared" si="27"/>
        <v>#REF!</v>
      </c>
    </row>
    <row r="69" spans="2:26" s="3" customFormat="1" ht="12" customHeight="1">
      <c r="B69" s="259"/>
      <c r="C69" s="21" t="s">
        <v>99</v>
      </c>
      <c r="D69" s="22">
        <f t="shared" si="14"/>
        <v>26057.767158999995</v>
      </c>
      <c r="E69" s="22" t="e">
        <f t="shared" si="15"/>
        <v>#REF!</v>
      </c>
      <c r="F69" s="22">
        <f t="shared" si="8"/>
        <v>8024.2262029999993</v>
      </c>
      <c r="G69" s="22">
        <f t="shared" si="8"/>
        <v>11708.530250000002</v>
      </c>
      <c r="H69" s="22">
        <f t="shared" si="8"/>
        <v>1084.4215239999999</v>
      </c>
      <c r="I69" s="22">
        <f t="shared" si="8"/>
        <v>1459.304999</v>
      </c>
      <c r="J69" s="22">
        <f t="shared" si="8"/>
        <v>93.411968000000002</v>
      </c>
      <c r="K69" s="22">
        <f t="shared" si="16"/>
        <v>639.81662099999994</v>
      </c>
      <c r="L69" s="22">
        <f t="shared" si="9"/>
        <v>234.09691699999999</v>
      </c>
      <c r="M69" s="22" t="e">
        <f t="shared" si="10"/>
        <v>#REF!</v>
      </c>
      <c r="N69" s="22">
        <f t="shared" si="11"/>
        <v>225.72280200000003</v>
      </c>
      <c r="O69" s="22" t="e">
        <f t="shared" si="12"/>
        <v>#REF!</v>
      </c>
      <c r="P69" s="22">
        <f t="shared" si="17"/>
        <v>2723.7649259999998</v>
      </c>
      <c r="Q69" s="22">
        <f t="shared" si="18"/>
        <v>669.39736100000005</v>
      </c>
      <c r="R69" s="22" t="e">
        <f t="shared" si="19"/>
        <v>#REF!</v>
      </c>
      <c r="S69" s="22">
        <f t="shared" si="20"/>
        <v>1025.626182</v>
      </c>
      <c r="T69" s="22">
        <f t="shared" si="21"/>
        <v>934.55721099999994</v>
      </c>
      <c r="U69" s="22">
        <f t="shared" si="22"/>
        <v>514.11846700000012</v>
      </c>
      <c r="V69" s="22" t="e">
        <f t="shared" si="23"/>
        <v>#REF!</v>
      </c>
      <c r="W69" s="22" t="e">
        <f t="shared" si="24"/>
        <v>#REF!</v>
      </c>
      <c r="X69" s="22" t="e">
        <f t="shared" si="25"/>
        <v>#REF!</v>
      </c>
      <c r="Y69" s="22">
        <f t="shared" si="26"/>
        <v>541.53119000000004</v>
      </c>
      <c r="Z69" s="25" t="e">
        <f t="shared" si="27"/>
        <v>#REF!</v>
      </c>
    </row>
    <row r="70" spans="2:26" s="3" customFormat="1" ht="12" customHeight="1">
      <c r="B70" s="254" t="s">
        <v>100</v>
      </c>
      <c r="C70" s="26" t="s">
        <v>101</v>
      </c>
      <c r="D70" s="22">
        <f t="shared" si="14"/>
        <v>9152.961299999999</v>
      </c>
      <c r="E70" s="22" t="e">
        <f t="shared" si="15"/>
        <v>#REF!</v>
      </c>
      <c r="F70" s="22">
        <f t="shared" ref="F70:J79" si="28">F12</f>
        <v>-1.4901161193847657E-12</v>
      </c>
      <c r="G70" s="22">
        <f t="shared" si="28"/>
        <v>2329.637428</v>
      </c>
      <c r="H70" s="22">
        <f t="shared" si="28"/>
        <v>225.53356799999997</v>
      </c>
      <c r="I70" s="22">
        <f t="shared" si="28"/>
        <v>0.34</v>
      </c>
      <c r="J70" s="22">
        <f t="shared" si="28"/>
        <v>0</v>
      </c>
      <c r="K70" s="22">
        <f t="shared" si="16"/>
        <v>0</v>
      </c>
      <c r="L70" s="22">
        <f t="shared" si="9"/>
        <v>0.34</v>
      </c>
      <c r="M70" s="22" t="e">
        <f t="shared" si="10"/>
        <v>#REF!</v>
      </c>
      <c r="N70" s="22">
        <f t="shared" si="11"/>
        <v>0</v>
      </c>
      <c r="O70" s="22" t="e">
        <f t="shared" si="12"/>
        <v>#REF!</v>
      </c>
      <c r="P70" s="22">
        <f t="shared" si="17"/>
        <v>6771.5290720000003</v>
      </c>
      <c r="Q70" s="22">
        <f t="shared" si="18"/>
        <v>146.3083</v>
      </c>
      <c r="R70" s="22" t="e">
        <f t="shared" si="19"/>
        <v>#REF!</v>
      </c>
      <c r="S70" s="22">
        <f t="shared" si="20"/>
        <v>6079.09</v>
      </c>
      <c r="T70" s="22">
        <f t="shared" si="21"/>
        <v>546.13077199999998</v>
      </c>
      <c r="U70" s="22">
        <f t="shared" si="22"/>
        <v>0</v>
      </c>
      <c r="V70" s="22" t="e">
        <f t="shared" si="23"/>
        <v>#REF!</v>
      </c>
      <c r="W70" s="22" t="e">
        <f t="shared" si="24"/>
        <v>#REF!</v>
      </c>
      <c r="X70" s="22" t="e">
        <f t="shared" si="25"/>
        <v>#REF!</v>
      </c>
      <c r="Y70" s="22">
        <f t="shared" si="26"/>
        <v>0</v>
      </c>
      <c r="Z70" s="25" t="e">
        <f t="shared" si="27"/>
        <v>#REF!</v>
      </c>
    </row>
    <row r="71" spans="2:26" s="3" customFormat="1" ht="12" customHeight="1">
      <c r="B71" s="255"/>
      <c r="C71" s="26" t="s">
        <v>140</v>
      </c>
      <c r="D71" s="22">
        <f t="shared" si="14"/>
        <v>6197.290986</v>
      </c>
      <c r="E71" s="22" t="e">
        <f t="shared" si="15"/>
        <v>#REF!</v>
      </c>
      <c r="F71" s="22">
        <f t="shared" si="28"/>
        <v>1610.9864329999994</v>
      </c>
      <c r="G71" s="22">
        <f t="shared" si="28"/>
        <v>5831.526726000001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 t="e">
        <f t="shared" si="12"/>
        <v>#REF!</v>
      </c>
      <c r="P71" s="22">
        <f t="shared" si="17"/>
        <v>-1246.5458599999999</v>
      </c>
      <c r="Q71" s="22">
        <f t="shared" si="18"/>
        <v>27.804145000000002</v>
      </c>
      <c r="R71" s="22" t="e">
        <f t="shared" si="19"/>
        <v>#REF!</v>
      </c>
      <c r="S71" s="22">
        <f t="shared" si="20"/>
        <v>-1372.1940569999999</v>
      </c>
      <c r="T71" s="22">
        <f t="shared" si="21"/>
        <v>97.844052000000005</v>
      </c>
      <c r="U71" s="22">
        <f t="shared" si="22"/>
        <v>0</v>
      </c>
      <c r="V71" s="22" t="e">
        <f t="shared" si="23"/>
        <v>#REF!</v>
      </c>
      <c r="W71" s="22" t="e">
        <f t="shared" si="24"/>
        <v>#REF!</v>
      </c>
      <c r="X71" s="22" t="e">
        <f t="shared" si="25"/>
        <v>#REF!</v>
      </c>
      <c r="Y71" s="22">
        <f t="shared" si="26"/>
        <v>1.3236870000000001</v>
      </c>
      <c r="Z71" s="25" t="e">
        <f t="shared" si="27"/>
        <v>#REF!</v>
      </c>
    </row>
    <row r="72" spans="2:26" s="3" customFormat="1" ht="12" customHeight="1">
      <c r="B72" s="255"/>
      <c r="C72" s="26" t="s">
        <v>103</v>
      </c>
      <c r="D72" s="22">
        <f t="shared" si="14"/>
        <v>1677.2946850000001</v>
      </c>
      <c r="E72" s="22" t="e">
        <f t="shared" si="15"/>
        <v>#REF!</v>
      </c>
      <c r="F72" s="22">
        <f t="shared" si="28"/>
        <v>-343.47076900000002</v>
      </c>
      <c r="G72" s="22">
        <f t="shared" si="28"/>
        <v>1355.402382</v>
      </c>
      <c r="H72" s="22">
        <f t="shared" si="28"/>
        <v>-68.650064</v>
      </c>
      <c r="I72" s="22">
        <f t="shared" si="28"/>
        <v>313.63800299999997</v>
      </c>
      <c r="J72" s="22">
        <f t="shared" si="28"/>
        <v>94.740000000000009</v>
      </c>
      <c r="K72" s="22">
        <f t="shared" si="16"/>
        <v>150.17069099999998</v>
      </c>
      <c r="L72" s="22">
        <f t="shared" si="9"/>
        <v>5.3454630000000005</v>
      </c>
      <c r="M72" s="22" t="e">
        <f t="shared" si="10"/>
        <v>#REF!</v>
      </c>
      <c r="N72" s="22">
        <f t="shared" si="11"/>
        <v>1.1384000000000002E-2</v>
      </c>
      <c r="O72" s="22" t="e">
        <f t="shared" si="12"/>
        <v>#REF!</v>
      </c>
      <c r="P72" s="22">
        <f t="shared" si="17"/>
        <v>442.52410800000001</v>
      </c>
      <c r="Q72" s="22">
        <f t="shared" si="18"/>
        <v>20.945461000000002</v>
      </c>
      <c r="R72" s="22" t="e">
        <f t="shared" si="19"/>
        <v>#REF!</v>
      </c>
      <c r="S72" s="22">
        <f t="shared" si="20"/>
        <v>374.13376499999993</v>
      </c>
      <c r="T72" s="22">
        <f t="shared" si="21"/>
        <v>45.663109000000006</v>
      </c>
      <c r="U72" s="22">
        <f t="shared" si="22"/>
        <v>-5.6070000000000071E-2</v>
      </c>
      <c r="V72" s="22" t="e">
        <f t="shared" si="23"/>
        <v>#REF!</v>
      </c>
      <c r="W72" s="22" t="e">
        <f t="shared" si="24"/>
        <v>#REF!</v>
      </c>
      <c r="X72" s="22" t="e">
        <f t="shared" si="25"/>
        <v>#REF!</v>
      </c>
      <c r="Y72" s="22">
        <f t="shared" si="26"/>
        <v>0</v>
      </c>
      <c r="Z72" s="25" t="e">
        <f t="shared" si="27"/>
        <v>#REF!</v>
      </c>
    </row>
    <row r="73" spans="2:26" s="3" customFormat="1" ht="12" customHeight="1">
      <c r="B73" s="255"/>
      <c r="C73" s="26" t="s">
        <v>105</v>
      </c>
      <c r="D73" s="22">
        <f t="shared" si="14"/>
        <v>11.160377</v>
      </c>
      <c r="E73" s="22" t="e">
        <f t="shared" si="15"/>
        <v>#REF!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11.160377</v>
      </c>
      <c r="J73" s="22">
        <f t="shared" si="28"/>
        <v>4.8333339999999998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 t="e">
        <f t="shared" si="12"/>
        <v>#REF!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 t="e">
        <f t="shared" si="23"/>
        <v>#REF!</v>
      </c>
      <c r="W73" s="22" t="e">
        <f t="shared" si="24"/>
        <v>#REF!</v>
      </c>
      <c r="X73" s="22" t="e">
        <f t="shared" si="25"/>
        <v>#REF!</v>
      </c>
      <c r="Y73" s="22">
        <f t="shared" si="26"/>
        <v>0</v>
      </c>
      <c r="Z73" s="25" t="e">
        <f t="shared" si="27"/>
        <v>#REF!</v>
      </c>
    </row>
    <row r="74" spans="2:26" s="3" customFormat="1" ht="12" customHeight="1">
      <c r="B74" s="256"/>
      <c r="C74" s="26" t="s">
        <v>99</v>
      </c>
      <c r="D74" s="22">
        <f t="shared" si="14"/>
        <v>17038.707348</v>
      </c>
      <c r="E74" s="22" t="e">
        <f t="shared" si="15"/>
        <v>#REF!</v>
      </c>
      <c r="F74" s="22">
        <f t="shared" si="28"/>
        <v>1267.5156639999977</v>
      </c>
      <c r="G74" s="22">
        <f t="shared" si="28"/>
        <v>9516.5665360000003</v>
      </c>
      <c r="H74" s="22">
        <f t="shared" si="28"/>
        <v>156.88350399999996</v>
      </c>
      <c r="I74" s="22">
        <f t="shared" si="28"/>
        <v>325.13837999999993</v>
      </c>
      <c r="J74" s="22">
        <f t="shared" si="28"/>
        <v>99.573334000000003</v>
      </c>
      <c r="K74" s="22">
        <f t="shared" si="16"/>
        <v>150.17069099999998</v>
      </c>
      <c r="L74" s="22">
        <f t="shared" si="9"/>
        <v>5.6854630000000004</v>
      </c>
      <c r="M74" s="22" t="e">
        <f t="shared" si="10"/>
        <v>#REF!</v>
      </c>
      <c r="N74" s="22">
        <f t="shared" si="11"/>
        <v>1.1384000000000002E-2</v>
      </c>
      <c r="O74" s="22" t="e">
        <f t="shared" si="12"/>
        <v>#REF!</v>
      </c>
      <c r="P74" s="22">
        <f t="shared" si="17"/>
        <v>5967.5073199999997</v>
      </c>
      <c r="Q74" s="22">
        <f t="shared" si="18"/>
        <v>195.057906</v>
      </c>
      <c r="R74" s="22" t="e">
        <f t="shared" si="19"/>
        <v>#REF!</v>
      </c>
      <c r="S74" s="22">
        <f t="shared" si="20"/>
        <v>5081.029708</v>
      </c>
      <c r="T74" s="22">
        <f t="shared" si="21"/>
        <v>689.63793299999998</v>
      </c>
      <c r="U74" s="22">
        <f t="shared" si="22"/>
        <v>-5.6070000000000071E-2</v>
      </c>
      <c r="V74" s="22" t="e">
        <f t="shared" si="23"/>
        <v>#REF!</v>
      </c>
      <c r="W74" s="22" t="e">
        <f t="shared" si="24"/>
        <v>#REF!</v>
      </c>
      <c r="X74" s="22" t="e">
        <f t="shared" si="25"/>
        <v>#REF!</v>
      </c>
      <c r="Y74" s="22">
        <f t="shared" si="26"/>
        <v>1.3236870000000001</v>
      </c>
      <c r="Z74" s="25" t="e">
        <f t="shared" si="27"/>
        <v>#REF!</v>
      </c>
    </row>
    <row r="75" spans="2:26" s="3" customFormat="1" ht="12" customHeight="1">
      <c r="B75" s="251" t="s">
        <v>106</v>
      </c>
      <c r="C75" s="26" t="s">
        <v>107</v>
      </c>
      <c r="D75" s="22">
        <f t="shared" si="14"/>
        <v>2186.3788770000001</v>
      </c>
      <c r="E75" s="22" t="e">
        <f t="shared" si="15"/>
        <v>#REF!</v>
      </c>
      <c r="F75" s="22">
        <f t="shared" si="28"/>
        <v>192.85351299999971</v>
      </c>
      <c r="G75" s="22">
        <f t="shared" si="28"/>
        <v>1032.4789090000002</v>
      </c>
      <c r="H75" s="22">
        <f t="shared" si="28"/>
        <v>90.579247999999993</v>
      </c>
      <c r="I75" s="22">
        <f t="shared" si="28"/>
        <v>114.03178299999999</v>
      </c>
      <c r="J75" s="22">
        <f t="shared" si="28"/>
        <v>12.68634</v>
      </c>
      <c r="K75" s="22">
        <f t="shared" si="16"/>
        <v>33.966218999999995</v>
      </c>
      <c r="L75" s="22">
        <f t="shared" si="9"/>
        <v>18.724384000000001</v>
      </c>
      <c r="M75" s="22" t="e">
        <f t="shared" si="10"/>
        <v>#REF!</v>
      </c>
      <c r="N75" s="22">
        <f t="shared" si="11"/>
        <v>18.562929999999998</v>
      </c>
      <c r="O75" s="22" t="e">
        <f t="shared" si="12"/>
        <v>#REF!</v>
      </c>
      <c r="P75" s="22">
        <f t="shared" si="17"/>
        <v>710.09557300000006</v>
      </c>
      <c r="Q75" s="22">
        <f t="shared" si="18"/>
        <v>70.667621999999994</v>
      </c>
      <c r="R75" s="22" t="e">
        <f t="shared" si="19"/>
        <v>#REF!</v>
      </c>
      <c r="S75" s="22">
        <f t="shared" si="20"/>
        <v>472.526118</v>
      </c>
      <c r="T75" s="22">
        <f t="shared" si="21"/>
        <v>131.47493400000002</v>
      </c>
      <c r="U75" s="22">
        <f t="shared" si="22"/>
        <v>30.879940999999999</v>
      </c>
      <c r="V75" s="22" t="e">
        <f t="shared" si="23"/>
        <v>#REF!</v>
      </c>
      <c r="W75" s="22" t="e">
        <f t="shared" si="24"/>
        <v>#REF!</v>
      </c>
      <c r="X75" s="22" t="e">
        <f t="shared" si="25"/>
        <v>#REF!</v>
      </c>
      <c r="Y75" s="22">
        <f t="shared" si="26"/>
        <v>15.459910000000001</v>
      </c>
      <c r="Z75" s="25" t="e">
        <f t="shared" si="27"/>
        <v>#REF!</v>
      </c>
    </row>
    <row r="76" spans="2:26" s="3" customFormat="1" ht="12" customHeight="1">
      <c r="B76" s="252"/>
      <c r="C76" s="26" t="s">
        <v>108</v>
      </c>
      <c r="D76" s="22">
        <f t="shared" si="14"/>
        <v>1337.0911699999999</v>
      </c>
      <c r="E76" s="22" t="e">
        <f t="shared" si="15"/>
        <v>#REF!</v>
      </c>
      <c r="F76" s="22">
        <f t="shared" si="28"/>
        <v>174.57424799999993</v>
      </c>
      <c r="G76" s="22">
        <f t="shared" si="28"/>
        <v>263.70385499999998</v>
      </c>
      <c r="H76" s="22">
        <f t="shared" si="28"/>
        <v>59.383497999999996</v>
      </c>
      <c r="I76" s="22">
        <f t="shared" si="28"/>
        <v>94.835645000000014</v>
      </c>
      <c r="J76" s="22">
        <f t="shared" si="28"/>
        <v>9.7717969999999994</v>
      </c>
      <c r="K76" s="22">
        <f t="shared" si="16"/>
        <v>30.738327000000002</v>
      </c>
      <c r="L76" s="22">
        <f t="shared" si="9"/>
        <v>16.147117000000001</v>
      </c>
      <c r="M76" s="22" t="e">
        <f t="shared" si="10"/>
        <v>#REF!</v>
      </c>
      <c r="N76" s="22">
        <f t="shared" si="11"/>
        <v>17.565418000000001</v>
      </c>
      <c r="O76" s="22" t="e">
        <f t="shared" si="12"/>
        <v>#REF!</v>
      </c>
      <c r="P76" s="22">
        <f t="shared" si="17"/>
        <v>698.34833999999989</v>
      </c>
      <c r="Q76" s="22">
        <f t="shared" si="18"/>
        <v>82.316199999999995</v>
      </c>
      <c r="R76" s="22" t="e">
        <f t="shared" si="19"/>
        <v>#REF!</v>
      </c>
      <c r="S76" s="22">
        <f t="shared" si="20"/>
        <v>422.68191399999995</v>
      </c>
      <c r="T76" s="22">
        <f t="shared" si="21"/>
        <v>119.25931799999996</v>
      </c>
      <c r="U76" s="22">
        <f t="shared" si="22"/>
        <v>41.400973999999998</v>
      </c>
      <c r="V76" s="22" t="e">
        <f t="shared" si="23"/>
        <v>#REF!</v>
      </c>
      <c r="W76" s="22" t="e">
        <f t="shared" si="24"/>
        <v>#REF!</v>
      </c>
      <c r="X76" s="22" t="e">
        <f t="shared" si="25"/>
        <v>#REF!</v>
      </c>
      <c r="Y76" s="22">
        <f t="shared" si="26"/>
        <v>4.8446099999999994</v>
      </c>
      <c r="Z76" s="25" t="e">
        <f t="shared" si="27"/>
        <v>#REF!</v>
      </c>
    </row>
    <row r="77" spans="2:26" s="3" customFormat="1" ht="12" customHeight="1">
      <c r="B77" s="252"/>
      <c r="C77" s="26" t="s">
        <v>121</v>
      </c>
      <c r="D77" s="22">
        <f t="shared" si="14"/>
        <v>360.0526989999999</v>
      </c>
      <c r="E77" s="22" t="e">
        <f t="shared" si="15"/>
        <v>#REF!</v>
      </c>
      <c r="F77" s="22">
        <f t="shared" si="28"/>
        <v>97.63893599999993</v>
      </c>
      <c r="G77" s="22">
        <f t="shared" si="28"/>
        <v>236.09596500000004</v>
      </c>
      <c r="H77" s="22">
        <f t="shared" si="28"/>
        <v>0.9689250000000007</v>
      </c>
      <c r="I77" s="22">
        <f t="shared" si="28"/>
        <v>13.961852999999998</v>
      </c>
      <c r="J77" s="22">
        <f t="shared" si="28"/>
        <v>1.8205549999999999</v>
      </c>
      <c r="K77" s="22">
        <f t="shared" si="16"/>
        <v>4.0044870000000001</v>
      </c>
      <c r="L77" s="22">
        <f t="shared" si="9"/>
        <v>2.1657310000000001</v>
      </c>
      <c r="M77" s="22" t="e">
        <f t="shared" si="10"/>
        <v>#REF!</v>
      </c>
      <c r="N77" s="22">
        <f t="shared" si="11"/>
        <v>2.3299700000000003</v>
      </c>
      <c r="O77" s="22" t="e">
        <f t="shared" si="12"/>
        <v>#REF!</v>
      </c>
      <c r="P77" s="22">
        <f t="shared" si="17"/>
        <v>7.1883410000000003</v>
      </c>
      <c r="Q77" s="22">
        <f t="shared" si="18"/>
        <v>0</v>
      </c>
      <c r="R77" s="22" t="e">
        <f t="shared" si="19"/>
        <v>#REF!</v>
      </c>
      <c r="S77" s="22">
        <f t="shared" si="20"/>
        <v>4.4405169999999998</v>
      </c>
      <c r="T77" s="22">
        <f t="shared" si="21"/>
        <v>2.7478239999999996</v>
      </c>
      <c r="U77" s="22">
        <f t="shared" si="22"/>
        <v>1.2751190000000001</v>
      </c>
      <c r="V77" s="22" t="e">
        <f t="shared" si="23"/>
        <v>#REF!</v>
      </c>
      <c r="W77" s="22" t="e">
        <f t="shared" si="24"/>
        <v>#REF!</v>
      </c>
      <c r="X77" s="22" t="e">
        <f t="shared" si="25"/>
        <v>#REF!</v>
      </c>
      <c r="Y77" s="22">
        <f t="shared" si="26"/>
        <v>0</v>
      </c>
      <c r="Z77" s="25" t="e">
        <f t="shared" si="27"/>
        <v>#REF!</v>
      </c>
    </row>
    <row r="78" spans="2:26" s="3" customFormat="1" ht="12" customHeight="1">
      <c r="B78" s="252"/>
      <c r="C78" s="26" t="s">
        <v>122</v>
      </c>
      <c r="D78" s="22">
        <f t="shared" si="14"/>
        <v>230.80654899999993</v>
      </c>
      <c r="E78" s="22" t="e">
        <f t="shared" si="15"/>
        <v>#REF!</v>
      </c>
      <c r="F78" s="22">
        <f t="shared" si="28"/>
        <v>44.954442999999983</v>
      </c>
      <c r="G78" s="22">
        <f t="shared" si="28"/>
        <v>146.77818399999998</v>
      </c>
      <c r="H78" s="22">
        <f t="shared" si="28"/>
        <v>5.9641000000000002</v>
      </c>
      <c r="I78" s="22">
        <f t="shared" si="28"/>
        <v>23.881683000000002</v>
      </c>
      <c r="J78" s="22">
        <f t="shared" si="28"/>
        <v>1.6984230000000002</v>
      </c>
      <c r="K78" s="22">
        <f t="shared" si="16"/>
        <v>2.3256349999999997</v>
      </c>
      <c r="L78" s="22">
        <f t="shared" si="9"/>
        <v>1.5591380000000001</v>
      </c>
      <c r="M78" s="22" t="e">
        <f t="shared" si="10"/>
        <v>#REF!</v>
      </c>
      <c r="N78" s="22">
        <f t="shared" si="11"/>
        <v>14.860908999999999</v>
      </c>
      <c r="O78" s="22" t="e">
        <f t="shared" si="12"/>
        <v>#REF!</v>
      </c>
      <c r="P78" s="22">
        <f t="shared" si="17"/>
        <v>4.4338509999999998</v>
      </c>
      <c r="Q78" s="22">
        <f t="shared" si="18"/>
        <v>1.720502</v>
      </c>
      <c r="R78" s="22" t="e">
        <f t="shared" si="19"/>
        <v>#REF!</v>
      </c>
      <c r="S78" s="22">
        <f t="shared" si="20"/>
        <v>1.8351850000000003</v>
      </c>
      <c r="T78" s="22">
        <f t="shared" si="21"/>
        <v>0.68197700000000006</v>
      </c>
      <c r="U78" s="22">
        <f t="shared" si="22"/>
        <v>1.277231</v>
      </c>
      <c r="V78" s="22" t="e">
        <f t="shared" si="23"/>
        <v>#REF!</v>
      </c>
      <c r="W78" s="22" t="e">
        <f t="shared" si="24"/>
        <v>#REF!</v>
      </c>
      <c r="X78" s="22" t="e">
        <f t="shared" si="25"/>
        <v>#REF!</v>
      </c>
      <c r="Y78" s="22">
        <f t="shared" si="26"/>
        <v>3.139157</v>
      </c>
      <c r="Z78" s="25" t="e">
        <f t="shared" si="27"/>
        <v>#REF!</v>
      </c>
    </row>
    <row r="79" spans="2:26" s="3" customFormat="1" ht="12" customHeight="1">
      <c r="B79" s="252"/>
      <c r="C79" s="26" t="s">
        <v>109</v>
      </c>
      <c r="D79" s="22">
        <f t="shared" si="14"/>
        <v>472.01760700000005</v>
      </c>
      <c r="E79" s="22" t="e">
        <f t="shared" si="15"/>
        <v>#REF!</v>
      </c>
      <c r="F79" s="22">
        <f t="shared" si="28"/>
        <v>135.31886000000006</v>
      </c>
      <c r="G79" s="22">
        <f t="shared" si="28"/>
        <v>188.031881</v>
      </c>
      <c r="H79" s="22">
        <f t="shared" si="28"/>
        <v>20.742805000000001</v>
      </c>
      <c r="I79" s="22">
        <f t="shared" si="28"/>
        <v>6.8596170000000001</v>
      </c>
      <c r="J79" s="22">
        <f t="shared" si="28"/>
        <v>0.54449800000000004</v>
      </c>
      <c r="K79" s="22">
        <f t="shared" si="16"/>
        <v>2.3675079999999999</v>
      </c>
      <c r="L79" s="22">
        <f t="shared" si="9"/>
        <v>2.4455559999999998</v>
      </c>
      <c r="M79" s="22" t="e">
        <f t="shared" si="10"/>
        <v>#REF!</v>
      </c>
      <c r="N79" s="22">
        <f t="shared" si="11"/>
        <v>5.5300999999999934E-2</v>
      </c>
      <c r="O79" s="22" t="e">
        <f t="shared" si="12"/>
        <v>#REF!</v>
      </c>
      <c r="P79" s="22">
        <f t="shared" si="17"/>
        <v>110.053607</v>
      </c>
      <c r="Q79" s="22">
        <f t="shared" si="18"/>
        <v>16.175425000000004</v>
      </c>
      <c r="R79" s="22" t="e">
        <f t="shared" si="19"/>
        <v>#REF!</v>
      </c>
      <c r="S79" s="22">
        <f t="shared" si="20"/>
        <v>69.594971999999999</v>
      </c>
      <c r="T79" s="22">
        <f t="shared" si="21"/>
        <v>23.680458999999999</v>
      </c>
      <c r="U79" s="22">
        <f t="shared" si="22"/>
        <v>8.9410150000000002</v>
      </c>
      <c r="V79" s="22" t="e">
        <f t="shared" si="23"/>
        <v>#REF!</v>
      </c>
      <c r="W79" s="22" t="e">
        <f t="shared" si="24"/>
        <v>#REF!</v>
      </c>
      <c r="X79" s="22" t="e">
        <f t="shared" si="25"/>
        <v>#REF!</v>
      </c>
      <c r="Y79" s="22">
        <f t="shared" si="26"/>
        <v>2.0698220000000003</v>
      </c>
      <c r="Z79" s="25" t="e">
        <f t="shared" si="27"/>
        <v>#REF!</v>
      </c>
    </row>
    <row r="80" spans="2:26" s="3" customFormat="1" ht="12" customHeight="1">
      <c r="B80" s="252"/>
      <c r="C80" s="26" t="s">
        <v>110</v>
      </c>
      <c r="D80" s="22">
        <f t="shared" si="14"/>
        <v>207.36495399999995</v>
      </c>
      <c r="E80" s="22" t="e">
        <f t="shared" si="15"/>
        <v>#REF!</v>
      </c>
      <c r="F80" s="22">
        <f t="shared" ref="F80:J89" si="29">F22</f>
        <v>38.251106999999969</v>
      </c>
      <c r="G80" s="22">
        <f t="shared" si="29"/>
        <v>102.15832599999999</v>
      </c>
      <c r="H80" s="22">
        <f t="shared" si="29"/>
        <v>8.276275</v>
      </c>
      <c r="I80" s="22">
        <f t="shared" si="29"/>
        <v>2.3942170000000003</v>
      </c>
      <c r="J80" s="22">
        <f t="shared" si="29"/>
        <v>0.24663100000000004</v>
      </c>
      <c r="K80" s="22">
        <f t="shared" si="16"/>
        <v>0.10472099999999999</v>
      </c>
      <c r="L80" s="22">
        <f t="shared" si="9"/>
        <v>0.60196500000000008</v>
      </c>
      <c r="M80" s="22" t="e">
        <f t="shared" si="10"/>
        <v>#REF!</v>
      </c>
      <c r="N80" s="22">
        <f t="shared" si="11"/>
        <v>0.76773599999999997</v>
      </c>
      <c r="O80" s="22" t="e">
        <f t="shared" si="12"/>
        <v>#REF!</v>
      </c>
      <c r="P80" s="22">
        <f t="shared" si="17"/>
        <v>50.863825000000013</v>
      </c>
      <c r="Q80" s="22">
        <f t="shared" si="18"/>
        <v>5.5195069999999991</v>
      </c>
      <c r="R80" s="22" t="e">
        <f t="shared" si="19"/>
        <v>#REF!</v>
      </c>
      <c r="S80" s="22">
        <f t="shared" si="20"/>
        <v>31.455201000000006</v>
      </c>
      <c r="T80" s="22">
        <f t="shared" si="21"/>
        <v>13.889117000000001</v>
      </c>
      <c r="U80" s="22">
        <f t="shared" si="22"/>
        <v>3.9456479999999994</v>
      </c>
      <c r="V80" s="22" t="e">
        <f t="shared" si="23"/>
        <v>#REF!</v>
      </c>
      <c r="W80" s="22" t="e">
        <f t="shared" si="24"/>
        <v>#REF!</v>
      </c>
      <c r="X80" s="22" t="e">
        <f t="shared" si="25"/>
        <v>#REF!</v>
      </c>
      <c r="Y80" s="22">
        <f t="shared" si="26"/>
        <v>1.4755559999999999</v>
      </c>
      <c r="Z80" s="25" t="e">
        <f t="shared" si="27"/>
        <v>#REF!</v>
      </c>
    </row>
    <row r="81" spans="2:26" s="3" customFormat="1" ht="12" customHeight="1">
      <c r="B81" s="252"/>
      <c r="C81" s="21" t="s">
        <v>92</v>
      </c>
      <c r="D81" s="22">
        <f t="shared" si="14"/>
        <v>439.05232699999993</v>
      </c>
      <c r="E81" s="22" t="e">
        <f t="shared" si="15"/>
        <v>#REF!</v>
      </c>
      <c r="F81" s="22">
        <f t="shared" si="29"/>
        <v>162.01178900000005</v>
      </c>
      <c r="G81" s="22">
        <f t="shared" si="29"/>
        <v>173.40857299999999</v>
      </c>
      <c r="H81" s="22">
        <f t="shared" si="29"/>
        <v>11.237073000000001</v>
      </c>
      <c r="I81" s="22">
        <f t="shared" si="29"/>
        <v>16.447088000000004</v>
      </c>
      <c r="J81" s="22">
        <f t="shared" si="29"/>
        <v>2.1940499999999998</v>
      </c>
      <c r="K81" s="22">
        <f t="shared" si="16"/>
        <v>4.8381470000000002</v>
      </c>
      <c r="L81" s="22">
        <f t="shared" si="9"/>
        <v>2.6324419999999997</v>
      </c>
      <c r="M81" s="22" t="e">
        <f t="shared" si="10"/>
        <v>#REF!</v>
      </c>
      <c r="N81" s="22">
        <f t="shared" si="11"/>
        <v>1.529185</v>
      </c>
      <c r="O81" s="22" t="e">
        <f t="shared" si="12"/>
        <v>#REF!</v>
      </c>
      <c r="P81" s="22">
        <f t="shared" si="17"/>
        <v>67.084935000000002</v>
      </c>
      <c r="Q81" s="22">
        <f t="shared" si="18"/>
        <v>7.7881800000000005</v>
      </c>
      <c r="R81" s="22" t="e">
        <f t="shared" si="19"/>
        <v>#REF!</v>
      </c>
      <c r="S81" s="22">
        <f t="shared" si="20"/>
        <v>40.241785999999998</v>
      </c>
      <c r="T81" s="22">
        <f t="shared" si="21"/>
        <v>18.696479</v>
      </c>
      <c r="U81" s="22">
        <f t="shared" si="22"/>
        <v>4.6603010000000014</v>
      </c>
      <c r="V81" s="22" t="e">
        <f t="shared" si="23"/>
        <v>#REF!</v>
      </c>
      <c r="W81" s="22" t="e">
        <f t="shared" si="24"/>
        <v>#REF!</v>
      </c>
      <c r="X81" s="22" t="e">
        <f t="shared" si="25"/>
        <v>#REF!</v>
      </c>
      <c r="Y81" s="22">
        <f t="shared" si="26"/>
        <v>4.2025679999999994</v>
      </c>
      <c r="Z81" s="25" t="e">
        <f t="shared" si="27"/>
        <v>#REF!</v>
      </c>
    </row>
    <row r="82" spans="2:26" s="3" customFormat="1" ht="12" customHeight="1">
      <c r="B82" s="252"/>
      <c r="C82" s="26" t="s">
        <v>123</v>
      </c>
      <c r="D82" s="22">
        <f t="shared" si="14"/>
        <v>216.76165300000002</v>
      </c>
      <c r="E82" s="22" t="e">
        <f t="shared" si="15"/>
        <v>#REF!</v>
      </c>
      <c r="F82" s="22">
        <f t="shared" si="29"/>
        <v>192.20587300000003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 t="e">
        <f t="shared" si="12"/>
        <v>#REF!</v>
      </c>
      <c r="P82" s="22">
        <f t="shared" si="17"/>
        <v>24.555779999999999</v>
      </c>
      <c r="Q82" s="22">
        <f t="shared" si="18"/>
        <v>0</v>
      </c>
      <c r="R82" s="22" t="e">
        <f t="shared" si="19"/>
        <v>#REF!</v>
      </c>
      <c r="S82" s="22">
        <f t="shared" si="20"/>
        <v>24.555779999999999</v>
      </c>
      <c r="T82" s="22">
        <f t="shared" si="21"/>
        <v>0</v>
      </c>
      <c r="U82" s="22">
        <f t="shared" si="22"/>
        <v>0</v>
      </c>
      <c r="V82" s="22" t="e">
        <f t="shared" si="23"/>
        <v>#REF!</v>
      </c>
      <c r="W82" s="22" t="e">
        <f t="shared" si="24"/>
        <v>#REF!</v>
      </c>
      <c r="X82" s="22" t="e">
        <f t="shared" si="25"/>
        <v>#REF!</v>
      </c>
      <c r="Y82" s="22">
        <f t="shared" si="26"/>
        <v>0</v>
      </c>
      <c r="Z82" s="25" t="e">
        <f t="shared" si="27"/>
        <v>#REF!</v>
      </c>
    </row>
    <row r="83" spans="2:26" s="3" customFormat="1" ht="12" customHeight="1">
      <c r="B83" s="252"/>
      <c r="C83" s="26" t="s">
        <v>111</v>
      </c>
      <c r="D83" s="22">
        <f t="shared" si="14"/>
        <v>401.68240199999997</v>
      </c>
      <c r="E83" s="22" t="e">
        <f t="shared" si="15"/>
        <v>#REF!</v>
      </c>
      <c r="F83" s="22">
        <f t="shared" si="29"/>
        <v>214.91362600000002</v>
      </c>
      <c r="G83" s="22">
        <f t="shared" si="29"/>
        <v>-692.41296299999988</v>
      </c>
      <c r="H83" s="22">
        <f t="shared" si="29"/>
        <v>1.1320999999999999E-2</v>
      </c>
      <c r="I83" s="22">
        <f t="shared" si="29"/>
        <v>0.11396299999999999</v>
      </c>
      <c r="J83" s="22">
        <f t="shared" si="29"/>
        <v>0</v>
      </c>
      <c r="K83" s="22">
        <f t="shared" si="16"/>
        <v>7.5500000000000003E-4</v>
      </c>
      <c r="L83" s="22">
        <f t="shared" si="9"/>
        <v>0</v>
      </c>
      <c r="M83" s="22" t="e">
        <f t="shared" si="10"/>
        <v>#REF!</v>
      </c>
      <c r="N83" s="22">
        <f t="shared" si="11"/>
        <v>0.11320799999999999</v>
      </c>
      <c r="O83" s="22" t="e">
        <f t="shared" si="12"/>
        <v>#REF!</v>
      </c>
      <c r="P83" s="22">
        <f t="shared" si="17"/>
        <v>0.101132</v>
      </c>
      <c r="Q83" s="22">
        <f t="shared" si="18"/>
        <v>3.3961999999999999E-2</v>
      </c>
      <c r="R83" s="22" t="e">
        <f t="shared" si="19"/>
        <v>#REF!</v>
      </c>
      <c r="S83" s="22">
        <f t="shared" si="20"/>
        <v>3.8491000000000004E-2</v>
      </c>
      <c r="T83" s="22">
        <f t="shared" si="21"/>
        <v>2.8679000000000003E-2</v>
      </c>
      <c r="U83" s="22">
        <f t="shared" si="22"/>
        <v>1.1320999999999999E-2</v>
      </c>
      <c r="V83" s="22" t="e">
        <f t="shared" si="23"/>
        <v>#REF!</v>
      </c>
      <c r="W83" s="22" t="e">
        <f t="shared" si="24"/>
        <v>#REF!</v>
      </c>
      <c r="X83" s="22" t="e">
        <f t="shared" si="25"/>
        <v>#REF!</v>
      </c>
      <c r="Y83" s="22">
        <f t="shared" si="26"/>
        <v>3.8339999999999999E-2</v>
      </c>
      <c r="Z83" s="25" t="e">
        <f t="shared" si="27"/>
        <v>#REF!</v>
      </c>
    </row>
    <row r="84" spans="2:26" s="3" customFormat="1" ht="12" customHeight="1">
      <c r="B84" s="252"/>
      <c r="C84" s="26" t="s">
        <v>118</v>
      </c>
      <c r="D84" s="22">
        <f t="shared" si="14"/>
        <v>318.48802900000004</v>
      </c>
      <c r="E84" s="22" t="e">
        <f t="shared" si="15"/>
        <v>#REF!</v>
      </c>
      <c r="F84" s="22">
        <f t="shared" si="29"/>
        <v>0</v>
      </c>
      <c r="G84" s="22">
        <f t="shared" si="29"/>
        <v>318.48802900000004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 t="e">
        <f t="shared" si="12"/>
        <v>#REF!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 t="e">
        <f t="shared" si="23"/>
        <v>#REF!</v>
      </c>
      <c r="W84" s="22" t="e">
        <f t="shared" si="24"/>
        <v>#REF!</v>
      </c>
      <c r="X84" s="22" t="e">
        <f t="shared" si="25"/>
        <v>#REF!</v>
      </c>
      <c r="Y84" s="22">
        <f t="shared" si="26"/>
        <v>0</v>
      </c>
      <c r="Z84" s="25" t="e">
        <f t="shared" si="27"/>
        <v>#REF!</v>
      </c>
    </row>
    <row r="85" spans="2:26" s="3" customFormat="1" ht="12" customHeight="1">
      <c r="B85" s="252"/>
      <c r="C85" s="26" t="s">
        <v>112</v>
      </c>
      <c r="D85" s="22">
        <f t="shared" si="14"/>
        <v>336.65278400000005</v>
      </c>
      <c r="E85" s="22" t="e">
        <f t="shared" si="15"/>
        <v>#REF!</v>
      </c>
      <c r="F85" s="22">
        <f t="shared" si="29"/>
        <v>97.677696999999995</v>
      </c>
      <c r="G85" s="22">
        <f t="shared" si="29"/>
        <v>116.222154</v>
      </c>
      <c r="H85" s="22">
        <f t="shared" si="29"/>
        <v>7.0534189999999946</v>
      </c>
      <c r="I85" s="22">
        <f t="shared" si="29"/>
        <v>12.284796</v>
      </c>
      <c r="J85" s="22">
        <f t="shared" si="29"/>
        <v>2.917573</v>
      </c>
      <c r="K85" s="22">
        <f t="shared" si="16"/>
        <v>4.156015</v>
      </c>
      <c r="L85" s="22">
        <f t="shared" si="9"/>
        <v>0.47046000000000004</v>
      </c>
      <c r="M85" s="22" t="e">
        <f t="shared" si="10"/>
        <v>#REF!</v>
      </c>
      <c r="N85" s="22">
        <f t="shared" si="11"/>
        <v>0.36480000000000001</v>
      </c>
      <c r="O85" s="22" t="e">
        <f t="shared" si="12"/>
        <v>#REF!</v>
      </c>
      <c r="P85" s="22">
        <f t="shared" si="17"/>
        <v>21.131720000000001</v>
      </c>
      <c r="Q85" s="22">
        <f t="shared" si="18"/>
        <v>19.672520000000002</v>
      </c>
      <c r="R85" s="22" t="e">
        <f t="shared" si="19"/>
        <v>#REF!</v>
      </c>
      <c r="S85" s="22">
        <f t="shared" si="20"/>
        <v>0.72960000000000003</v>
      </c>
      <c r="T85" s="22">
        <f t="shared" si="21"/>
        <v>0.72960000000000003</v>
      </c>
      <c r="U85" s="22">
        <f t="shared" si="22"/>
        <v>0.72960000000000003</v>
      </c>
      <c r="V85" s="22" t="e">
        <f t="shared" si="23"/>
        <v>#REF!</v>
      </c>
      <c r="W85" s="22" t="e">
        <f t="shared" si="24"/>
        <v>#REF!</v>
      </c>
      <c r="X85" s="22" t="e">
        <f t="shared" si="25"/>
        <v>#REF!</v>
      </c>
      <c r="Y85" s="22">
        <f t="shared" si="26"/>
        <v>0</v>
      </c>
      <c r="Z85" s="25" t="e">
        <f t="shared" si="27"/>
        <v>#REF!</v>
      </c>
    </row>
    <row r="86" spans="2:26" s="3" customFormat="1" ht="12" customHeight="1">
      <c r="B86" s="252"/>
      <c r="C86" s="26" t="s">
        <v>124</v>
      </c>
      <c r="D86" s="22">
        <f t="shared" si="14"/>
        <v>209.703564</v>
      </c>
      <c r="E86" s="22" t="e">
        <f t="shared" si="15"/>
        <v>#REF!</v>
      </c>
      <c r="F86" s="22">
        <f t="shared" si="29"/>
        <v>26.588728000000025</v>
      </c>
      <c r="G86" s="22">
        <f t="shared" si="29"/>
        <v>171.79345699999999</v>
      </c>
      <c r="H86" s="22">
        <f t="shared" si="29"/>
        <v>2.1089570000000002</v>
      </c>
      <c r="I86" s="22">
        <f t="shared" si="29"/>
        <v>7.8434220000000003</v>
      </c>
      <c r="J86" s="22">
        <f t="shared" si="29"/>
        <v>0.98339099999999979</v>
      </c>
      <c r="K86" s="22">
        <f t="shared" si="16"/>
        <v>2.2866789999999999</v>
      </c>
      <c r="L86" s="22">
        <f t="shared" si="9"/>
        <v>1.303288</v>
      </c>
      <c r="M86" s="22" t="e">
        <f t="shared" si="10"/>
        <v>#REF!</v>
      </c>
      <c r="N86" s="22">
        <f t="shared" si="11"/>
        <v>1.3032839999999999</v>
      </c>
      <c r="O86" s="22" t="e">
        <f t="shared" si="12"/>
        <v>#REF!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 t="e">
        <f t="shared" si="23"/>
        <v>#REF!</v>
      </c>
      <c r="W86" s="22" t="e">
        <f t="shared" si="24"/>
        <v>#REF!</v>
      </c>
      <c r="X86" s="22" t="e">
        <f t="shared" si="25"/>
        <v>#REF!</v>
      </c>
      <c r="Y86" s="22">
        <f t="shared" si="26"/>
        <v>1.369</v>
      </c>
      <c r="Z86" s="25" t="e">
        <f t="shared" si="27"/>
        <v>#REF!</v>
      </c>
    </row>
    <row r="87" spans="2:26" s="3" customFormat="1" ht="12" customHeight="1">
      <c r="B87" s="252"/>
      <c r="C87" s="26" t="s">
        <v>113</v>
      </c>
      <c r="D87" s="22">
        <f t="shared" si="14"/>
        <v>233.15265499999998</v>
      </c>
      <c r="E87" s="22" t="e">
        <f t="shared" si="15"/>
        <v>#REF!</v>
      </c>
      <c r="F87" s="22">
        <f t="shared" si="29"/>
        <v>124.37363299999998</v>
      </c>
      <c r="G87" s="22">
        <f t="shared" si="29"/>
        <v>70.387223000000006</v>
      </c>
      <c r="H87" s="22">
        <f t="shared" si="29"/>
        <v>0</v>
      </c>
      <c r="I87" s="22">
        <f t="shared" si="29"/>
        <v>3.2038839999999995</v>
      </c>
      <c r="J87" s="22">
        <f t="shared" si="29"/>
        <v>0.97087400000000001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 t="e">
        <f t="shared" si="12"/>
        <v>#REF!</v>
      </c>
      <c r="P87" s="22">
        <f t="shared" si="17"/>
        <v>31.457414</v>
      </c>
      <c r="Q87" s="22">
        <f t="shared" si="18"/>
        <v>7.117794</v>
      </c>
      <c r="R87" s="22" t="e">
        <f t="shared" si="19"/>
        <v>#REF!</v>
      </c>
      <c r="S87" s="22">
        <f t="shared" si="20"/>
        <v>17.807935999999998</v>
      </c>
      <c r="T87" s="22">
        <f t="shared" si="21"/>
        <v>6.5316840000000003</v>
      </c>
      <c r="U87" s="22">
        <f t="shared" si="22"/>
        <v>3.4773510000000001</v>
      </c>
      <c r="V87" s="22" t="e">
        <f t="shared" si="23"/>
        <v>#REF!</v>
      </c>
      <c r="W87" s="22" t="e">
        <f t="shared" si="24"/>
        <v>#REF!</v>
      </c>
      <c r="X87" s="22" t="e">
        <f t="shared" si="25"/>
        <v>#REF!</v>
      </c>
      <c r="Y87" s="22">
        <f t="shared" si="26"/>
        <v>0.25314999999999999</v>
      </c>
      <c r="Z87" s="25" t="e">
        <f t="shared" si="27"/>
        <v>#REF!</v>
      </c>
    </row>
    <row r="88" spans="2:26" s="3" customFormat="1" ht="12" customHeight="1">
      <c r="B88" s="252"/>
      <c r="C88" s="26" t="s">
        <v>114</v>
      </c>
      <c r="D88" s="22">
        <f t="shared" si="14"/>
        <v>88.170083000000005</v>
      </c>
      <c r="E88" s="22" t="e">
        <f t="shared" si="15"/>
        <v>#REF!</v>
      </c>
      <c r="F88" s="22">
        <f t="shared" si="29"/>
        <v>11.782504999999997</v>
      </c>
      <c r="G88" s="22">
        <f t="shared" si="29"/>
        <v>40.792749000000008</v>
      </c>
      <c r="H88" s="22">
        <f t="shared" si="29"/>
        <v>2.0125599999999997</v>
      </c>
      <c r="I88" s="22">
        <f t="shared" si="29"/>
        <v>1.8398489999999998</v>
      </c>
      <c r="J88" s="22">
        <f t="shared" si="29"/>
        <v>0.169434</v>
      </c>
      <c r="K88" s="22">
        <f t="shared" si="16"/>
        <v>0.39480799999999999</v>
      </c>
      <c r="L88" s="22">
        <f t="shared" si="9"/>
        <v>0.1386</v>
      </c>
      <c r="M88" s="22" t="e">
        <f t="shared" si="10"/>
        <v>#REF!</v>
      </c>
      <c r="N88" s="22">
        <f t="shared" si="11"/>
        <v>0.73464099999999999</v>
      </c>
      <c r="O88" s="22" t="e">
        <f t="shared" si="12"/>
        <v>#REF!</v>
      </c>
      <c r="P88" s="22">
        <f t="shared" si="17"/>
        <v>28.170089999999995</v>
      </c>
      <c r="Q88" s="22">
        <f t="shared" si="18"/>
        <v>1.4953050000000001</v>
      </c>
      <c r="R88" s="22" t="e">
        <f t="shared" si="19"/>
        <v>#REF!</v>
      </c>
      <c r="S88" s="22">
        <f t="shared" si="20"/>
        <v>20.110333999999998</v>
      </c>
      <c r="T88" s="22">
        <f t="shared" si="21"/>
        <v>5.5868099999999998</v>
      </c>
      <c r="U88" s="22">
        <f t="shared" si="22"/>
        <v>3.3987379999999998</v>
      </c>
      <c r="V88" s="22" t="e">
        <f t="shared" si="23"/>
        <v>#REF!</v>
      </c>
      <c r="W88" s="22" t="e">
        <f t="shared" si="24"/>
        <v>#REF!</v>
      </c>
      <c r="X88" s="22" t="e">
        <f t="shared" si="25"/>
        <v>#REF!</v>
      </c>
      <c r="Y88" s="22">
        <f t="shared" si="26"/>
        <v>0.173592</v>
      </c>
      <c r="Z88" s="25" t="e">
        <f t="shared" si="27"/>
        <v>#REF!</v>
      </c>
    </row>
    <row r="89" spans="2:26" s="3" customFormat="1" ht="12" customHeight="1">
      <c r="B89" s="252"/>
      <c r="C89" s="26" t="s">
        <v>117</v>
      </c>
      <c r="D89" s="22">
        <f t="shared" si="14"/>
        <v>175.89901299999997</v>
      </c>
      <c r="E89" s="22" t="e">
        <f t="shared" si="15"/>
        <v>#REF!</v>
      </c>
      <c r="F89" s="22">
        <f t="shared" si="29"/>
        <v>59.780164999999968</v>
      </c>
      <c r="G89" s="22">
        <f t="shared" si="29"/>
        <v>101.40285899999999</v>
      </c>
      <c r="H89" s="22">
        <f t="shared" si="29"/>
        <v>4.0241629999999997</v>
      </c>
      <c r="I89" s="22">
        <f t="shared" si="29"/>
        <v>11.312758000000002</v>
      </c>
      <c r="J89" s="22">
        <f t="shared" si="29"/>
        <v>0.384463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11.697973000000001</v>
      </c>
      <c r="O89" s="22" t="e">
        <f t="shared" si="12"/>
        <v>#REF!</v>
      </c>
      <c r="P89" s="22">
        <f t="shared" si="17"/>
        <v>-0.22889999999999999</v>
      </c>
      <c r="Q89" s="22">
        <f t="shared" si="18"/>
        <v>-0.999</v>
      </c>
      <c r="R89" s="22" t="e">
        <f t="shared" si="19"/>
        <v>#REF!</v>
      </c>
      <c r="S89" s="22">
        <f t="shared" si="20"/>
        <v>2.5700000000000001E-2</v>
      </c>
      <c r="T89" s="22">
        <f t="shared" si="21"/>
        <v>0.38540000000000002</v>
      </c>
      <c r="U89" s="22">
        <f t="shared" si="22"/>
        <v>1.4775680000000002</v>
      </c>
      <c r="V89" s="22" t="e">
        <f t="shared" si="23"/>
        <v>#REF!</v>
      </c>
      <c r="W89" s="22" t="e">
        <f t="shared" si="24"/>
        <v>#REF!</v>
      </c>
      <c r="X89" s="22" t="e">
        <f t="shared" si="25"/>
        <v>#REF!</v>
      </c>
      <c r="Y89" s="22">
        <f t="shared" si="26"/>
        <v>0</v>
      </c>
      <c r="Z89" s="25" t="e">
        <f t="shared" si="27"/>
        <v>#REF!</v>
      </c>
    </row>
    <row r="90" spans="2:26" s="3" customFormat="1" ht="12" customHeight="1">
      <c r="B90" s="252"/>
      <c r="C90" s="26" t="s">
        <v>125</v>
      </c>
      <c r="D90" s="22">
        <f t="shared" si="14"/>
        <v>23.765846999999997</v>
      </c>
      <c r="E90" s="22" t="e">
        <f t="shared" si="15"/>
        <v>#REF!</v>
      </c>
      <c r="F90" s="22">
        <f t="shared" ref="F90:J99" si="30">F32</f>
        <v>23.765846999999997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 t="e">
        <f t="shared" si="12"/>
        <v>#REF!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 t="e">
        <f t="shared" si="23"/>
        <v>#REF!</v>
      </c>
      <c r="W90" s="22" t="e">
        <f t="shared" si="24"/>
        <v>#REF!</v>
      </c>
      <c r="X90" s="22" t="e">
        <f t="shared" si="25"/>
        <v>#REF!</v>
      </c>
      <c r="Y90" s="22">
        <f t="shared" si="26"/>
        <v>0</v>
      </c>
      <c r="Z90" s="25" t="e">
        <f t="shared" si="27"/>
        <v>#REF!</v>
      </c>
    </row>
    <row r="91" spans="2:26" s="3" customFormat="1" ht="12" customHeight="1">
      <c r="B91" s="252"/>
      <c r="C91" s="26" t="s">
        <v>126</v>
      </c>
      <c r="D91" s="22">
        <f t="shared" si="14"/>
        <v>55.873431000000004</v>
      </c>
      <c r="E91" s="22" t="e">
        <f t="shared" si="15"/>
        <v>#REF!</v>
      </c>
      <c r="F91" s="22">
        <f t="shared" si="30"/>
        <v>27.901789000000001</v>
      </c>
      <c r="G91" s="22">
        <f t="shared" si="30"/>
        <v>25.882722000000005</v>
      </c>
      <c r="H91" s="22">
        <f t="shared" si="30"/>
        <v>0.04</v>
      </c>
      <c r="I91" s="22">
        <f t="shared" si="30"/>
        <v>1.2412939999999999</v>
      </c>
      <c r="J91" s="22">
        <f t="shared" si="30"/>
        <v>0</v>
      </c>
      <c r="K91" s="22">
        <f t="shared" si="16"/>
        <v>0.60204899999999995</v>
      </c>
      <c r="L91" s="22">
        <f t="shared" si="9"/>
        <v>0</v>
      </c>
      <c r="M91" s="22" t="e">
        <f t="shared" si="10"/>
        <v>#REF!</v>
      </c>
      <c r="N91" s="22">
        <f t="shared" si="11"/>
        <v>0.63924499999999995</v>
      </c>
      <c r="O91" s="22" t="e">
        <f t="shared" si="12"/>
        <v>#REF!</v>
      </c>
      <c r="P91" s="22">
        <f t="shared" si="17"/>
        <v>0.16462599999999999</v>
      </c>
      <c r="Q91" s="22">
        <f t="shared" si="18"/>
        <v>0</v>
      </c>
      <c r="R91" s="22" t="e">
        <f t="shared" si="19"/>
        <v>#REF!</v>
      </c>
      <c r="S91" s="22">
        <f t="shared" si="20"/>
        <v>7.4160000000000004E-2</v>
      </c>
      <c r="T91" s="22">
        <f t="shared" si="21"/>
        <v>9.0465999999999991E-2</v>
      </c>
      <c r="U91" s="22">
        <f t="shared" si="22"/>
        <v>0.61</v>
      </c>
      <c r="V91" s="22" t="e">
        <f t="shared" si="23"/>
        <v>#REF!</v>
      </c>
      <c r="W91" s="22" t="e">
        <f t="shared" si="24"/>
        <v>#REF!</v>
      </c>
      <c r="X91" s="22" t="e">
        <f t="shared" si="25"/>
        <v>#REF!</v>
      </c>
      <c r="Y91" s="22">
        <f t="shared" si="26"/>
        <v>3.3000000000000002E-2</v>
      </c>
      <c r="Z91" s="25" t="e">
        <f t="shared" si="27"/>
        <v>#REF!</v>
      </c>
    </row>
    <row r="92" spans="2:26" s="3" customFormat="1" ht="12" customHeight="1">
      <c r="B92" s="252"/>
      <c r="C92" s="26" t="s">
        <v>115</v>
      </c>
      <c r="D92" s="22">
        <f t="shared" si="14"/>
        <v>20.804432000000002</v>
      </c>
      <c r="E92" s="22" t="e">
        <f t="shared" si="15"/>
        <v>#REF!</v>
      </c>
      <c r="F92" s="22">
        <f t="shared" si="30"/>
        <v>3.2240900000000017</v>
      </c>
      <c r="G92" s="22">
        <f t="shared" si="30"/>
        <v>15.461093</v>
      </c>
      <c r="H92" s="22">
        <f t="shared" si="30"/>
        <v>0.46774400000000005</v>
      </c>
      <c r="I92" s="22">
        <f t="shared" si="30"/>
        <v>0.720638</v>
      </c>
      <c r="J92" s="22">
        <f t="shared" si="30"/>
        <v>2.9065999999999998E-2</v>
      </c>
      <c r="K92" s="22">
        <f t="shared" si="16"/>
        <v>0.23213</v>
      </c>
      <c r="L92" s="22">
        <f t="shared" ref="L92:L108" si="31">N34</f>
        <v>1.324E-2</v>
      </c>
      <c r="M92" s="22" t="e">
        <f t="shared" ref="M92:M108" si="32">O34</f>
        <v>#REF!</v>
      </c>
      <c r="N92" s="22">
        <f t="shared" ref="N92:N108" si="33">P34</f>
        <v>0.38806799999999997</v>
      </c>
      <c r="O92" s="22" t="e">
        <f t="shared" ref="O92:O108" si="34">Q34</f>
        <v>#REF!</v>
      </c>
      <c r="P92" s="22">
        <f t="shared" si="17"/>
        <v>0.70286699999999991</v>
      </c>
      <c r="Q92" s="22">
        <f t="shared" si="18"/>
        <v>6.6314999999999999E-2</v>
      </c>
      <c r="R92" s="22" t="e">
        <f t="shared" si="19"/>
        <v>#REF!</v>
      </c>
      <c r="S92" s="22">
        <f t="shared" si="20"/>
        <v>0.374</v>
      </c>
      <c r="T92" s="22">
        <f t="shared" si="21"/>
        <v>0.169682</v>
      </c>
      <c r="U92" s="22">
        <f t="shared" si="22"/>
        <v>8.4000000000000005E-2</v>
      </c>
      <c r="V92" s="22" t="e">
        <f t="shared" si="23"/>
        <v>#REF!</v>
      </c>
      <c r="W92" s="22" t="e">
        <f t="shared" si="24"/>
        <v>#REF!</v>
      </c>
      <c r="X92" s="22" t="e">
        <f t="shared" si="25"/>
        <v>#REF!</v>
      </c>
      <c r="Y92" s="22">
        <f t="shared" si="26"/>
        <v>0.14399999999999999</v>
      </c>
      <c r="Z92" s="25" t="e">
        <f t="shared" si="27"/>
        <v>#REF!</v>
      </c>
    </row>
    <row r="93" spans="2:26" s="3" customFormat="1" ht="12" customHeight="1">
      <c r="B93" s="252"/>
      <c r="C93" s="26" t="s">
        <v>116</v>
      </c>
      <c r="D93" s="22">
        <f t="shared" si="14"/>
        <v>71.574651999999986</v>
      </c>
      <c r="E93" s="22" t="e">
        <f t="shared" si="15"/>
        <v>#REF!</v>
      </c>
      <c r="F93" s="22">
        <f t="shared" si="30"/>
        <v>17.065543999999992</v>
      </c>
      <c r="G93" s="22">
        <f t="shared" si="30"/>
        <v>30.563649999999999</v>
      </c>
      <c r="H93" s="22">
        <f t="shared" si="30"/>
        <v>4.1060419999999995</v>
      </c>
      <c r="I93" s="22">
        <f t="shared" si="30"/>
        <v>6.0344149999999983</v>
      </c>
      <c r="J93" s="22">
        <f t="shared" si="30"/>
        <v>0.26711200000000002</v>
      </c>
      <c r="K93" s="22">
        <f t="shared" si="16"/>
        <v>0.94110099999999997</v>
      </c>
      <c r="L93" s="22">
        <f t="shared" si="31"/>
        <v>3.1129949999999993</v>
      </c>
      <c r="M93" s="22" t="e">
        <f t="shared" si="32"/>
        <v>#REF!</v>
      </c>
      <c r="N93" s="22">
        <f t="shared" si="33"/>
        <v>0.96470199999999984</v>
      </c>
      <c r="O93" s="22" t="e">
        <f t="shared" si="34"/>
        <v>#REF!</v>
      </c>
      <c r="P93" s="22">
        <f t="shared" si="17"/>
        <v>12.479839</v>
      </c>
      <c r="Q93" s="22">
        <f t="shared" si="18"/>
        <v>5.5715660000000007</v>
      </c>
      <c r="R93" s="22" t="e">
        <f t="shared" si="19"/>
        <v>#REF!</v>
      </c>
      <c r="S93" s="22">
        <f t="shared" si="20"/>
        <v>3.6723270000000006</v>
      </c>
      <c r="T93" s="22">
        <f t="shared" si="21"/>
        <v>2.7082879999999996</v>
      </c>
      <c r="U93" s="22">
        <f t="shared" si="22"/>
        <v>1.101164</v>
      </c>
      <c r="V93" s="22" t="e">
        <f t="shared" si="23"/>
        <v>#REF!</v>
      </c>
      <c r="W93" s="22" t="e">
        <f t="shared" si="24"/>
        <v>#REF!</v>
      </c>
      <c r="X93" s="22" t="e">
        <f t="shared" si="25"/>
        <v>#REF!</v>
      </c>
      <c r="Y93" s="22">
        <f t="shared" si="26"/>
        <v>0.223998</v>
      </c>
      <c r="Z93" s="25" t="e">
        <f t="shared" si="27"/>
        <v>#REF!</v>
      </c>
    </row>
    <row r="94" spans="2:26" s="3" customFormat="1" ht="12" customHeight="1">
      <c r="B94" s="252"/>
      <c r="C94" s="26" t="s">
        <v>127</v>
      </c>
      <c r="D94" s="22">
        <f t="shared" si="14"/>
        <v>98.962999999999994</v>
      </c>
      <c r="E94" s="22" t="e">
        <f t="shared" si="15"/>
        <v>#REF!</v>
      </c>
      <c r="F94" s="22">
        <f t="shared" si="30"/>
        <v>46</v>
      </c>
      <c r="G94" s="22">
        <f t="shared" si="30"/>
        <v>52.162999999999997</v>
      </c>
      <c r="H94" s="22">
        <f t="shared" si="30"/>
        <v>0</v>
      </c>
      <c r="I94" s="22">
        <f t="shared" si="30"/>
        <v>0.8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0.8</v>
      </c>
      <c r="O94" s="22" t="e">
        <f t="shared" si="34"/>
        <v>#REF!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 t="e">
        <f t="shared" si="23"/>
        <v>#REF!</v>
      </c>
      <c r="W94" s="22" t="e">
        <f t="shared" si="24"/>
        <v>#REF!</v>
      </c>
      <c r="X94" s="22" t="e">
        <f t="shared" si="25"/>
        <v>#REF!</v>
      </c>
      <c r="Y94" s="22">
        <f t="shared" si="26"/>
        <v>0</v>
      </c>
      <c r="Z94" s="25" t="e">
        <f t="shared" si="27"/>
        <v>#REF!</v>
      </c>
    </row>
    <row r="95" spans="2:26" s="3" customFormat="1" ht="12" customHeight="1">
      <c r="B95" s="252"/>
      <c r="C95" s="26" t="s">
        <v>104</v>
      </c>
      <c r="D95" s="22">
        <f t="shared" si="14"/>
        <v>56.048171000000011</v>
      </c>
      <c r="E95" s="22" t="e">
        <f t="shared" si="15"/>
        <v>#REF!</v>
      </c>
      <c r="F95" s="22">
        <f t="shared" si="30"/>
        <v>30.449999999999996</v>
      </c>
      <c r="G95" s="22">
        <f t="shared" si="30"/>
        <v>24.229454000000004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 t="e">
        <f t="shared" si="34"/>
        <v>#REF!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 t="e">
        <f t="shared" si="23"/>
        <v>#REF!</v>
      </c>
      <c r="W95" s="22" t="e">
        <f t="shared" si="24"/>
        <v>#REF!</v>
      </c>
      <c r="X95" s="22" t="e">
        <f t="shared" si="25"/>
        <v>#REF!</v>
      </c>
      <c r="Y95" s="22">
        <f t="shared" si="26"/>
        <v>0</v>
      </c>
      <c r="Z95" s="25" t="e">
        <f t="shared" si="27"/>
        <v>#REF!</v>
      </c>
    </row>
    <row r="96" spans="2:26" s="3" customFormat="1" ht="12" customHeight="1">
      <c r="B96" s="252"/>
      <c r="C96" s="26" t="s">
        <v>128</v>
      </c>
      <c r="D96" s="22">
        <f t="shared" si="14"/>
        <v>76.940554999999989</v>
      </c>
      <c r="E96" s="22" t="e">
        <f t="shared" si="15"/>
        <v>#REF!</v>
      </c>
      <c r="F96" s="22">
        <f t="shared" si="30"/>
        <v>43.199904999999994</v>
      </c>
      <c r="G96" s="22">
        <f t="shared" si="30"/>
        <v>8.1590419999999995</v>
      </c>
      <c r="H96" s="22">
        <f t="shared" si="30"/>
        <v>0</v>
      </c>
      <c r="I96" s="22">
        <f t="shared" si="30"/>
        <v>0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 t="e">
        <f t="shared" si="34"/>
        <v>#REF!</v>
      </c>
      <c r="P96" s="22">
        <f t="shared" si="17"/>
        <v>25.581607999999999</v>
      </c>
      <c r="Q96" s="22">
        <f t="shared" si="18"/>
        <v>0</v>
      </c>
      <c r="R96" s="22" t="e">
        <f t="shared" si="19"/>
        <v>#REF!</v>
      </c>
      <c r="S96" s="22">
        <f t="shared" si="20"/>
        <v>22.696463999999999</v>
      </c>
      <c r="T96" s="22">
        <f t="shared" si="21"/>
        <v>2.8851440000000004</v>
      </c>
      <c r="U96" s="22">
        <f t="shared" si="22"/>
        <v>0</v>
      </c>
      <c r="V96" s="22" t="e">
        <f t="shared" si="23"/>
        <v>#REF!</v>
      </c>
      <c r="W96" s="22" t="e">
        <f t="shared" si="24"/>
        <v>#REF!</v>
      </c>
      <c r="X96" s="22" t="e">
        <f t="shared" si="25"/>
        <v>#REF!</v>
      </c>
      <c r="Y96" s="22">
        <f t="shared" si="26"/>
        <v>0</v>
      </c>
      <c r="Z96" s="25" t="e">
        <f t="shared" si="27"/>
        <v>#REF!</v>
      </c>
    </row>
    <row r="97" spans="2:26" s="3" customFormat="1" ht="12" customHeight="1">
      <c r="B97" s="252"/>
      <c r="C97" s="26" t="s">
        <v>129</v>
      </c>
      <c r="D97" s="22">
        <f t="shared" si="14"/>
        <v>0</v>
      </c>
      <c r="E97" s="22" t="e">
        <f t="shared" si="15"/>
        <v>#REF!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 t="e">
        <f t="shared" si="34"/>
        <v>#REF!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 t="e">
        <f t="shared" si="23"/>
        <v>#REF!</v>
      </c>
      <c r="W97" s="22" t="e">
        <f t="shared" si="24"/>
        <v>#REF!</v>
      </c>
      <c r="X97" s="22" t="e">
        <f t="shared" si="25"/>
        <v>#REF!</v>
      </c>
      <c r="Y97" s="22">
        <f t="shared" si="26"/>
        <v>0</v>
      </c>
      <c r="Z97" s="25" t="e">
        <f t="shared" si="27"/>
        <v>#REF!</v>
      </c>
    </row>
    <row r="98" spans="2:26" s="3" customFormat="1" ht="12" customHeight="1">
      <c r="B98" s="252"/>
      <c r="C98" s="26" t="s">
        <v>141</v>
      </c>
      <c r="D98" s="22">
        <f t="shared" si="14"/>
        <v>5.7542499999999999</v>
      </c>
      <c r="E98" s="22" t="e">
        <f t="shared" si="15"/>
        <v>#REF!</v>
      </c>
      <c r="F98" s="22">
        <f t="shared" si="30"/>
        <v>0</v>
      </c>
      <c r="G98" s="22">
        <f t="shared" si="30"/>
        <v>5.0419999999999998</v>
      </c>
      <c r="H98" s="22">
        <f t="shared" si="30"/>
        <v>0</v>
      </c>
      <c r="I98" s="22">
        <f t="shared" si="30"/>
        <v>0.04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0.04</v>
      </c>
      <c r="O98" s="22" t="e">
        <f t="shared" si="34"/>
        <v>#REF!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 t="e">
        <f t="shared" si="23"/>
        <v>#REF!</v>
      </c>
      <c r="W98" s="22" t="e">
        <f t="shared" si="24"/>
        <v>#REF!</v>
      </c>
      <c r="X98" s="22" t="e">
        <f t="shared" si="25"/>
        <v>#REF!</v>
      </c>
      <c r="Y98" s="22">
        <f t="shared" si="26"/>
        <v>0.67225000000000001</v>
      </c>
      <c r="Z98" s="25" t="e">
        <f t="shared" si="27"/>
        <v>#REF!</v>
      </c>
    </row>
    <row r="99" spans="2:26" s="3" customFormat="1" ht="12" customHeight="1">
      <c r="B99" s="253"/>
      <c r="C99" s="26" t="s">
        <v>99</v>
      </c>
      <c r="D99" s="22">
        <f t="shared" si="14"/>
        <v>7622.9987039999996</v>
      </c>
      <c r="E99" s="22" t="e">
        <f t="shared" si="15"/>
        <v>#REF!</v>
      </c>
      <c r="F99" s="22">
        <f t="shared" si="30"/>
        <v>1764.5322979999992</v>
      </c>
      <c r="G99" s="22">
        <f t="shared" si="30"/>
        <v>2430.8301620000007</v>
      </c>
      <c r="H99" s="22">
        <f t="shared" si="30"/>
        <v>216.97613000000001</v>
      </c>
      <c r="I99" s="22">
        <f t="shared" si="30"/>
        <v>319.21562200000011</v>
      </c>
      <c r="J99" s="22">
        <f t="shared" si="30"/>
        <v>34.684207000000001</v>
      </c>
      <c r="K99" s="22">
        <f t="shared" si="16"/>
        <v>85.584676999999999</v>
      </c>
      <c r="L99" s="22">
        <f t="shared" si="31"/>
        <v>48.398316000000001</v>
      </c>
      <c r="M99" s="22" t="e">
        <f t="shared" si="32"/>
        <v>#REF!</v>
      </c>
      <c r="N99" s="22">
        <f t="shared" si="33"/>
        <v>74.08608700000002</v>
      </c>
      <c r="O99" s="22" t="e">
        <f t="shared" si="34"/>
        <v>#REF!</v>
      </c>
      <c r="P99" s="22">
        <f t="shared" si="17"/>
        <v>1792.1846480000002</v>
      </c>
      <c r="Q99" s="22">
        <f t="shared" si="18"/>
        <v>217.14589800000002</v>
      </c>
      <c r="R99" s="22" t="e">
        <f t="shared" si="19"/>
        <v>#REF!</v>
      </c>
      <c r="S99" s="22">
        <f t="shared" si="20"/>
        <v>1132.8604849999997</v>
      </c>
      <c r="T99" s="22">
        <f t="shared" si="21"/>
        <v>329.545861</v>
      </c>
      <c r="U99" s="22">
        <f t="shared" si="22"/>
        <v>103.26997100000001</v>
      </c>
      <c r="V99" s="22" t="e">
        <f t="shared" si="23"/>
        <v>#REF!</v>
      </c>
      <c r="W99" s="22" t="e">
        <f t="shared" si="24"/>
        <v>#REF!</v>
      </c>
      <c r="X99" s="22" t="e">
        <f t="shared" si="25"/>
        <v>#REF!</v>
      </c>
      <c r="Y99" s="22">
        <f t="shared" si="26"/>
        <v>34.098953000000002</v>
      </c>
      <c r="Z99" s="25" t="e">
        <f t="shared" si="27"/>
        <v>#REF!</v>
      </c>
    </row>
    <row r="100" spans="2:26" s="3" customFormat="1" ht="12" customHeight="1">
      <c r="B100" s="251" t="s">
        <v>120</v>
      </c>
      <c r="C100" s="26" t="s">
        <v>130</v>
      </c>
      <c r="D100" s="22">
        <f t="shared" si="14"/>
        <v>1302.1373189999997</v>
      </c>
      <c r="E100" s="22" t="e">
        <f t="shared" si="15"/>
        <v>#REF!</v>
      </c>
      <c r="F100" s="22">
        <f t="shared" ref="F100:J108" si="35">F42</f>
        <v>811.01990600000011</v>
      </c>
      <c r="G100" s="22">
        <f t="shared" si="35"/>
        <v>463.81929799999983</v>
      </c>
      <c r="H100" s="22">
        <f t="shared" si="35"/>
        <v>15.482778</v>
      </c>
      <c r="I100" s="22">
        <f t="shared" si="35"/>
        <v>11.815337</v>
      </c>
      <c r="J100" s="22">
        <f t="shared" si="35"/>
        <v>3.3959019999999995</v>
      </c>
      <c r="K100" s="22">
        <f t="shared" si="16"/>
        <v>2.6363439999999998</v>
      </c>
      <c r="L100" s="22">
        <f t="shared" si="31"/>
        <v>2.6363439999999998</v>
      </c>
      <c r="M100" s="22" t="e">
        <f t="shared" si="32"/>
        <v>#REF!</v>
      </c>
      <c r="N100" s="22">
        <f t="shared" si="33"/>
        <v>1.025226</v>
      </c>
      <c r="O100" s="22" t="e">
        <f t="shared" si="34"/>
        <v>#REF!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 t="e">
        <f t="shared" si="23"/>
        <v>#REF!</v>
      </c>
      <c r="W100" s="22" t="e">
        <f t="shared" si="24"/>
        <v>#REF!</v>
      </c>
      <c r="X100" s="22" t="e">
        <f t="shared" si="25"/>
        <v>#REF!</v>
      </c>
      <c r="Y100" s="22">
        <f t="shared" si="26"/>
        <v>0</v>
      </c>
      <c r="Z100" s="25" t="e">
        <f t="shared" si="27"/>
        <v>#REF!</v>
      </c>
    </row>
    <row r="101" spans="2:26" s="3" customFormat="1" ht="12" customHeight="1">
      <c r="B101" s="252"/>
      <c r="C101" s="26" t="s">
        <v>131</v>
      </c>
      <c r="D101" s="22">
        <f t="shared" si="14"/>
        <v>326.01803599999994</v>
      </c>
      <c r="E101" s="22" t="e">
        <f t="shared" si="15"/>
        <v>#REF!</v>
      </c>
      <c r="F101" s="22">
        <f t="shared" si="35"/>
        <v>95.070836999999955</v>
      </c>
      <c r="G101" s="22">
        <f t="shared" si="35"/>
        <v>198.50753899999998</v>
      </c>
      <c r="H101" s="22">
        <f t="shared" si="35"/>
        <v>25.177462999999999</v>
      </c>
      <c r="I101" s="22">
        <f t="shared" si="35"/>
        <v>6.0779320000000006</v>
      </c>
      <c r="J101" s="22">
        <f t="shared" si="35"/>
        <v>0.53976400000000002</v>
      </c>
      <c r="K101" s="22">
        <f t="shared" si="16"/>
        <v>2.7574520000000002</v>
      </c>
      <c r="L101" s="22">
        <f t="shared" si="31"/>
        <v>1.3315560000000002</v>
      </c>
      <c r="M101" s="22" t="e">
        <f t="shared" si="32"/>
        <v>#REF!</v>
      </c>
      <c r="N101" s="22">
        <f t="shared" si="33"/>
        <v>0.156</v>
      </c>
      <c r="O101" s="22" t="e">
        <f t="shared" si="34"/>
        <v>#REF!</v>
      </c>
      <c r="P101" s="22">
        <f t="shared" si="17"/>
        <v>0.41067900000000002</v>
      </c>
      <c r="Q101" s="22">
        <f t="shared" si="18"/>
        <v>0.28867900000000002</v>
      </c>
      <c r="R101" s="22" t="e">
        <f t="shared" si="19"/>
        <v>#REF!</v>
      </c>
      <c r="S101" s="22">
        <f t="shared" si="20"/>
        <v>0.122</v>
      </c>
      <c r="T101" s="22">
        <f t="shared" si="21"/>
        <v>0</v>
      </c>
      <c r="U101" s="22">
        <f t="shared" si="22"/>
        <v>0.54716999999999993</v>
      </c>
      <c r="V101" s="22" t="e">
        <f t="shared" si="23"/>
        <v>#REF!</v>
      </c>
      <c r="W101" s="22" t="e">
        <f t="shared" si="24"/>
        <v>#REF!</v>
      </c>
      <c r="X101" s="22" t="e">
        <f t="shared" si="25"/>
        <v>#REF!</v>
      </c>
      <c r="Y101" s="22">
        <f t="shared" si="26"/>
        <v>0.22641599999999998</v>
      </c>
      <c r="Z101" s="25" t="e">
        <f t="shared" si="27"/>
        <v>#REF!</v>
      </c>
    </row>
    <row r="102" spans="2:26" s="3" customFormat="1" ht="12" customHeight="1">
      <c r="B102" s="252"/>
      <c r="C102" s="26" t="s">
        <v>132</v>
      </c>
      <c r="D102" s="22">
        <f t="shared" si="14"/>
        <v>3090.17263</v>
      </c>
      <c r="E102" s="22" t="e">
        <f t="shared" si="15"/>
        <v>#REF!</v>
      </c>
      <c r="F102" s="22">
        <f t="shared" si="35"/>
        <v>187.91806800000069</v>
      </c>
      <c r="G102" s="22">
        <f t="shared" si="35"/>
        <v>2307.5612889999998</v>
      </c>
      <c r="H102" s="22">
        <f t="shared" si="35"/>
        <v>43.882639999999995</v>
      </c>
      <c r="I102" s="22">
        <f t="shared" si="35"/>
        <v>442.90559500000006</v>
      </c>
      <c r="J102" s="22">
        <f t="shared" si="35"/>
        <v>21.147612999999996</v>
      </c>
      <c r="K102" s="22">
        <f t="shared" si="16"/>
        <v>48.823676999999989</v>
      </c>
      <c r="L102" s="22">
        <f t="shared" si="31"/>
        <v>38.510428000000005</v>
      </c>
      <c r="M102" s="22" t="e">
        <f t="shared" si="32"/>
        <v>#REF!</v>
      </c>
      <c r="N102" s="22">
        <f t="shared" si="33"/>
        <v>292.08216399999998</v>
      </c>
      <c r="O102" s="22" t="e">
        <f t="shared" si="34"/>
        <v>#REF!</v>
      </c>
      <c r="P102" s="22">
        <f t="shared" si="17"/>
        <v>57.148004999999991</v>
      </c>
      <c r="Q102" s="22">
        <f t="shared" si="18"/>
        <v>0</v>
      </c>
      <c r="R102" s="22" t="e">
        <f t="shared" si="19"/>
        <v>#REF!</v>
      </c>
      <c r="S102" s="22">
        <f t="shared" si="20"/>
        <v>35.374581999999997</v>
      </c>
      <c r="T102" s="22">
        <f t="shared" si="21"/>
        <v>21.765022999999999</v>
      </c>
      <c r="U102" s="22">
        <f t="shared" si="22"/>
        <v>11.302713000000001</v>
      </c>
      <c r="V102" s="22" t="e">
        <f t="shared" si="23"/>
        <v>#REF!</v>
      </c>
      <c r="W102" s="22" t="e">
        <f t="shared" si="24"/>
        <v>#REF!</v>
      </c>
      <c r="X102" s="22" t="e">
        <f t="shared" si="25"/>
        <v>#REF!</v>
      </c>
      <c r="Y102" s="22">
        <f t="shared" si="26"/>
        <v>12.004</v>
      </c>
      <c r="Z102" s="25" t="e">
        <f t="shared" si="27"/>
        <v>#REF!</v>
      </c>
    </row>
    <row r="103" spans="2:26" s="3" customFormat="1" ht="12" customHeight="1">
      <c r="B103" s="252"/>
      <c r="C103" s="26" t="s">
        <v>133</v>
      </c>
      <c r="D103" s="22">
        <f t="shared" si="14"/>
        <v>1463.6156489999998</v>
      </c>
      <c r="E103" s="22" t="e">
        <f t="shared" si="15"/>
        <v>#REF!</v>
      </c>
      <c r="F103" s="22">
        <f t="shared" si="35"/>
        <v>1106.4168579999998</v>
      </c>
      <c r="G103" s="22">
        <f t="shared" si="35"/>
        <v>1081.743197</v>
      </c>
      <c r="H103" s="22">
        <f t="shared" si="35"/>
        <v>0.67112899999999998</v>
      </c>
      <c r="I103" s="22">
        <f t="shared" si="35"/>
        <v>52.416371000000005</v>
      </c>
      <c r="J103" s="22">
        <f t="shared" si="35"/>
        <v>2.1600029999999997</v>
      </c>
      <c r="K103" s="22">
        <f t="shared" si="16"/>
        <v>2.5014969999999996</v>
      </c>
      <c r="L103" s="22">
        <f t="shared" si="31"/>
        <v>1.014572</v>
      </c>
      <c r="M103" s="22" t="e">
        <f t="shared" si="32"/>
        <v>#REF!</v>
      </c>
      <c r="N103" s="22">
        <f t="shared" si="33"/>
        <v>42.381838999999999</v>
      </c>
      <c r="O103" s="22" t="e">
        <f t="shared" si="34"/>
        <v>#REF!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 t="e">
        <f t="shared" si="23"/>
        <v>#REF!</v>
      </c>
      <c r="W103" s="22" t="e">
        <f t="shared" si="24"/>
        <v>#REF!</v>
      </c>
      <c r="X103" s="22" t="e">
        <f t="shared" si="25"/>
        <v>#REF!</v>
      </c>
      <c r="Y103" s="22">
        <f t="shared" si="26"/>
        <v>0</v>
      </c>
      <c r="Z103" s="25" t="e">
        <f t="shared" si="27"/>
        <v>#REF!</v>
      </c>
    </row>
    <row r="104" spans="2:26" s="3" customFormat="1" ht="12" customHeight="1">
      <c r="B104" s="252"/>
      <c r="C104" s="26" t="s">
        <v>134</v>
      </c>
      <c r="D104" s="22">
        <f t="shared" si="14"/>
        <v>697.40947000000006</v>
      </c>
      <c r="E104" s="22" t="e">
        <f t="shared" si="15"/>
        <v>#REF!</v>
      </c>
      <c r="F104" s="22">
        <f t="shared" si="35"/>
        <v>635.03928200000007</v>
      </c>
      <c r="G104" s="22">
        <f t="shared" si="35"/>
        <v>52.831528000000013</v>
      </c>
      <c r="H104" s="22">
        <f t="shared" si="35"/>
        <v>0</v>
      </c>
      <c r="I104" s="22">
        <f t="shared" si="35"/>
        <v>9.2870840000000019</v>
      </c>
      <c r="J104" s="22">
        <f t="shared" si="35"/>
        <v>7.1438300000000003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 t="e">
        <f t="shared" si="34"/>
        <v>#REF!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 t="e">
        <f t="shared" si="23"/>
        <v>#REF!</v>
      </c>
      <c r="W104" s="22" t="e">
        <f t="shared" si="24"/>
        <v>#REF!</v>
      </c>
      <c r="X104" s="22" t="e">
        <f t="shared" si="25"/>
        <v>#REF!</v>
      </c>
      <c r="Y104" s="22">
        <f t="shared" si="26"/>
        <v>0.25157600000000002</v>
      </c>
      <c r="Z104" s="25" t="e">
        <f t="shared" si="27"/>
        <v>#REF!</v>
      </c>
    </row>
    <row r="105" spans="2:26" s="3" customFormat="1" ht="12" customHeight="1">
      <c r="B105" s="252"/>
      <c r="C105" s="26" t="s">
        <v>135</v>
      </c>
      <c r="D105" s="22">
        <f t="shared" si="14"/>
        <v>667.54329299999995</v>
      </c>
      <c r="E105" s="22" t="e">
        <f t="shared" si="15"/>
        <v>#REF!</v>
      </c>
      <c r="F105" s="22">
        <f t="shared" si="35"/>
        <v>165.73601499999998</v>
      </c>
      <c r="G105" s="22">
        <f t="shared" si="35"/>
        <v>467.60782599999999</v>
      </c>
      <c r="H105" s="22">
        <f t="shared" si="35"/>
        <v>10.806206</v>
      </c>
      <c r="I105" s="22">
        <f t="shared" si="35"/>
        <v>21.825046</v>
      </c>
      <c r="J105" s="22">
        <f t="shared" si="35"/>
        <v>2.5698719999999997</v>
      </c>
      <c r="K105" s="22">
        <f t="shared" si="16"/>
        <v>7.9422110000000012</v>
      </c>
      <c r="L105" s="22">
        <f t="shared" si="31"/>
        <v>3.4639160000000002</v>
      </c>
      <c r="M105" s="22" t="e">
        <f t="shared" si="32"/>
        <v>#REF!</v>
      </c>
      <c r="N105" s="22">
        <f t="shared" si="33"/>
        <v>2.8228790000000004</v>
      </c>
      <c r="O105" s="22" t="e">
        <f t="shared" si="34"/>
        <v>#REF!</v>
      </c>
      <c r="P105" s="22">
        <f t="shared" si="17"/>
        <v>1.5682000000000003</v>
      </c>
      <c r="Q105" s="22">
        <f t="shared" si="18"/>
        <v>0</v>
      </c>
      <c r="R105" s="22" t="e">
        <f t="shared" si="19"/>
        <v>#REF!</v>
      </c>
      <c r="S105" s="22">
        <f t="shared" si="20"/>
        <v>0.15667</v>
      </c>
      <c r="T105" s="22">
        <f t="shared" si="21"/>
        <v>1.4115300000000004</v>
      </c>
      <c r="U105" s="22">
        <f t="shared" si="22"/>
        <v>0</v>
      </c>
      <c r="V105" s="22" t="e">
        <f t="shared" si="23"/>
        <v>#REF!</v>
      </c>
      <c r="W105" s="22" t="e">
        <f t="shared" si="24"/>
        <v>#REF!</v>
      </c>
      <c r="X105" s="22" t="e">
        <f t="shared" si="25"/>
        <v>#REF!</v>
      </c>
      <c r="Y105" s="22">
        <f t="shared" si="26"/>
        <v>0</v>
      </c>
      <c r="Z105" s="25" t="e">
        <f t="shared" si="27"/>
        <v>#REF!</v>
      </c>
    </row>
    <row r="106" spans="2:26" s="3" customFormat="1" ht="12" customHeight="1">
      <c r="B106" s="252"/>
      <c r="C106" s="26" t="s">
        <v>142</v>
      </c>
      <c r="D106" s="22">
        <f t="shared" si="14"/>
        <v>0</v>
      </c>
      <c r="E106" s="22" t="e">
        <f t="shared" si="15"/>
        <v>#REF!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 t="e">
        <f t="shared" si="34"/>
        <v>#REF!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 t="e">
        <f t="shared" si="23"/>
        <v>#REF!</v>
      </c>
      <c r="W106" s="22" t="e">
        <f t="shared" si="24"/>
        <v>#REF!</v>
      </c>
      <c r="X106" s="22" t="e">
        <f t="shared" si="25"/>
        <v>#REF!</v>
      </c>
      <c r="Y106" s="22">
        <f t="shared" si="26"/>
        <v>0</v>
      </c>
      <c r="Z106" s="25" t="e">
        <f t="shared" si="27"/>
        <v>#REF!</v>
      </c>
    </row>
    <row r="107" spans="2:26" s="3" customFormat="1" ht="12" customHeight="1">
      <c r="B107" s="253"/>
      <c r="C107" s="26" t="s">
        <v>99</v>
      </c>
      <c r="D107" s="22">
        <f t="shared" si="14"/>
        <v>7546.8963969999995</v>
      </c>
      <c r="E107" s="22" t="e">
        <f t="shared" si="15"/>
        <v>#REF!</v>
      </c>
      <c r="F107" s="22">
        <f t="shared" si="35"/>
        <v>3001.2009660000008</v>
      </c>
      <c r="G107" s="22">
        <f t="shared" si="35"/>
        <v>4572.0706769999997</v>
      </c>
      <c r="H107" s="22">
        <f t="shared" si="35"/>
        <v>96.020215999999991</v>
      </c>
      <c r="I107" s="22">
        <f t="shared" si="35"/>
        <v>544.3273650000001</v>
      </c>
      <c r="J107" s="22">
        <f t="shared" si="35"/>
        <v>36.956983999999991</v>
      </c>
      <c r="K107" s="22">
        <f t="shared" si="16"/>
        <v>64.661180999999999</v>
      </c>
      <c r="L107" s="22">
        <f t="shared" si="31"/>
        <v>46.956816000000003</v>
      </c>
      <c r="M107" s="22" t="e">
        <f t="shared" si="32"/>
        <v>#REF!</v>
      </c>
      <c r="N107" s="22">
        <f t="shared" si="33"/>
        <v>338.46810799999997</v>
      </c>
      <c r="O107" s="22" t="e">
        <f t="shared" si="34"/>
        <v>#REF!</v>
      </c>
      <c r="P107" s="22">
        <f t="shared" si="17"/>
        <v>59.12688399999999</v>
      </c>
      <c r="Q107" s="22">
        <f t="shared" si="18"/>
        <v>0.28867900000000002</v>
      </c>
      <c r="R107" s="22" t="e">
        <f t="shared" si="19"/>
        <v>#REF!</v>
      </c>
      <c r="S107" s="22">
        <f t="shared" si="20"/>
        <v>35.653251999999995</v>
      </c>
      <c r="T107" s="22">
        <f t="shared" si="21"/>
        <v>23.176552999999998</v>
      </c>
      <c r="U107" s="22">
        <f t="shared" si="22"/>
        <v>11.849883</v>
      </c>
      <c r="V107" s="22" t="e">
        <f t="shared" si="23"/>
        <v>#REF!</v>
      </c>
      <c r="W107" s="22" t="e">
        <f t="shared" si="24"/>
        <v>#REF!</v>
      </c>
      <c r="X107" s="22" t="e">
        <f t="shared" si="25"/>
        <v>#REF!</v>
      </c>
      <c r="Y107" s="22">
        <f t="shared" si="26"/>
        <v>12.481992</v>
      </c>
      <c r="Z107" s="25" t="e">
        <f t="shared" si="27"/>
        <v>#REF!</v>
      </c>
    </row>
    <row r="108" spans="2:26" s="3" customFormat="1" ht="12" customHeight="1">
      <c r="B108" s="14"/>
      <c r="C108" s="27" t="s">
        <v>3</v>
      </c>
      <c r="D108" s="22">
        <f t="shared" si="14"/>
        <v>58266.369607999986</v>
      </c>
      <c r="E108" s="22" t="e">
        <f t="shared" si="15"/>
        <v>#REF!</v>
      </c>
      <c r="F108" s="22">
        <f t="shared" si="35"/>
        <v>14057.475130999996</v>
      </c>
      <c r="G108" s="22">
        <f t="shared" si="35"/>
        <v>28227.997625000004</v>
      </c>
      <c r="H108" s="22">
        <f t="shared" si="35"/>
        <v>1554.3013739999997</v>
      </c>
      <c r="I108" s="22">
        <f t="shared" si="35"/>
        <v>2647.9863660000001</v>
      </c>
      <c r="J108" s="22">
        <f t="shared" si="35"/>
        <v>264.62649299999998</v>
      </c>
      <c r="K108" s="22">
        <f t="shared" si="16"/>
        <v>940.23316999999975</v>
      </c>
      <c r="L108" s="22">
        <f t="shared" si="31"/>
        <v>335.13751200000002</v>
      </c>
      <c r="M108" s="22" t="e">
        <f t="shared" si="32"/>
        <v>#REF!</v>
      </c>
      <c r="N108" s="22">
        <f t="shared" si="33"/>
        <v>638.28838100000007</v>
      </c>
      <c r="O108" s="22" t="e">
        <f t="shared" si="34"/>
        <v>#REF!</v>
      </c>
      <c r="P108" s="22">
        <f t="shared" si="17"/>
        <v>10542.583778</v>
      </c>
      <c r="Q108" s="22">
        <f t="shared" si="18"/>
        <v>1081.889844</v>
      </c>
      <c r="R108" s="22" t="e">
        <f t="shared" si="19"/>
        <v>#REF!</v>
      </c>
      <c r="S108" s="22">
        <f t="shared" si="20"/>
        <v>7275.1696269999993</v>
      </c>
      <c r="T108" s="22">
        <f t="shared" si="21"/>
        <v>1976.9175579999999</v>
      </c>
      <c r="U108" s="22">
        <f t="shared" si="22"/>
        <v>629.18225100000018</v>
      </c>
      <c r="V108" s="22" t="e">
        <f t="shared" si="23"/>
        <v>#REF!</v>
      </c>
      <c r="W108" s="22" t="e">
        <f t="shared" si="24"/>
        <v>#REF!</v>
      </c>
      <c r="X108" s="22" t="e">
        <f t="shared" si="25"/>
        <v>#REF!</v>
      </c>
      <c r="Y108" s="22">
        <f t="shared" si="26"/>
        <v>589.43582200000003</v>
      </c>
      <c r="Z108" s="25" t="e">
        <f t="shared" si="27"/>
        <v>#REF!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 t="e">
        <f t="shared" si="36"/>
        <v>#REF!</v>
      </c>
    </row>
    <row r="156" spans="15:15" ht="12" customHeight="1">
      <c r="O156" s="28" t="e">
        <f t="shared" si="36"/>
        <v>#REF!</v>
      </c>
    </row>
    <row r="157" spans="15:15" ht="12" customHeight="1">
      <c r="O157" s="28" t="e">
        <f t="shared" si="36"/>
        <v>#REF!</v>
      </c>
    </row>
    <row r="158" spans="15:15" ht="12" customHeight="1">
      <c r="O158" s="28" t="e">
        <f t="shared" si="36"/>
        <v>#REF!</v>
      </c>
    </row>
    <row r="159" spans="15:15" ht="12" customHeight="1">
      <c r="O159" s="28" t="e">
        <f t="shared" si="36"/>
        <v>#REF!</v>
      </c>
    </row>
    <row r="160" spans="15:15" ht="12" customHeight="1">
      <c r="O160" s="28" t="e">
        <f t="shared" si="36"/>
        <v>#REF!</v>
      </c>
    </row>
    <row r="161" spans="15:15" ht="12" customHeight="1">
      <c r="O161" s="28" t="e">
        <f t="shared" si="36"/>
        <v>#REF!</v>
      </c>
    </row>
    <row r="162" spans="15:15" ht="12" customHeight="1">
      <c r="O162" s="28">
        <f t="shared" si="36"/>
        <v>1.3610000000000002</v>
      </c>
    </row>
    <row r="163" spans="15:15" ht="12" customHeight="1">
      <c r="O163" s="28" t="e">
        <f t="shared" si="36"/>
        <v>#REF!</v>
      </c>
    </row>
    <row r="164" spans="15:15" ht="12" customHeight="1">
      <c r="O164" s="28" t="e">
        <f t="shared" si="36"/>
        <v>#REF!</v>
      </c>
    </row>
    <row r="165" spans="15:15" ht="12" customHeight="1">
      <c r="O165" s="28" t="e">
        <f t="shared" si="36"/>
        <v>#REF!</v>
      </c>
    </row>
    <row r="166" spans="15:15" ht="12" customHeight="1">
      <c r="O166" s="28" t="e">
        <f t="shared" si="36"/>
        <v>#REF!</v>
      </c>
    </row>
    <row r="167" spans="15:15" ht="12" customHeight="1">
      <c r="O167" s="28" t="e">
        <f t="shared" si="36"/>
        <v>#REF!</v>
      </c>
    </row>
    <row r="168" spans="15:15" ht="12" customHeight="1">
      <c r="O168" s="28" t="e">
        <f t="shared" si="36"/>
        <v>#REF!</v>
      </c>
    </row>
    <row r="169" spans="15:15" ht="12" customHeight="1">
      <c r="O169" s="28" t="e">
        <f t="shared" si="36"/>
        <v>#REF!</v>
      </c>
    </row>
    <row r="170" spans="15:15" ht="12" customHeight="1">
      <c r="O170" s="28" t="e">
        <f t="shared" si="36"/>
        <v>#REF!</v>
      </c>
    </row>
    <row r="171" spans="15:15" ht="12" customHeight="1">
      <c r="O171" s="28" t="e">
        <f t="shared" si="36"/>
        <v>#REF!</v>
      </c>
    </row>
    <row r="172" spans="15:15" ht="12" customHeight="1">
      <c r="O172" s="28" t="e">
        <f t="shared" si="36"/>
        <v>#REF!</v>
      </c>
    </row>
    <row r="173" spans="15:15" ht="12" customHeight="1">
      <c r="O173" s="28" t="e">
        <f t="shared" si="36"/>
        <v>#REF!</v>
      </c>
    </row>
    <row r="174" spans="15:15" ht="12" customHeight="1">
      <c r="O174" s="28" t="e">
        <f t="shared" si="36"/>
        <v>#REF!</v>
      </c>
    </row>
    <row r="175" spans="15:15" ht="12" customHeight="1">
      <c r="O175" s="28" t="e">
        <f t="shared" si="36"/>
        <v>#REF!</v>
      </c>
    </row>
    <row r="176" spans="15:15" ht="12" customHeight="1">
      <c r="O176" s="28" t="e">
        <f t="shared" si="36"/>
        <v>#REF!</v>
      </c>
    </row>
    <row r="177" spans="15:15" ht="12" customHeight="1">
      <c r="O177" s="28" t="e">
        <f t="shared" ref="O177:O184" si="37">P82+O82</f>
        <v>#REF!</v>
      </c>
    </row>
    <row r="178" spans="15:15" ht="12" customHeight="1">
      <c r="O178" s="28" t="e">
        <f t="shared" si="37"/>
        <v>#REF!</v>
      </c>
    </row>
    <row r="179" spans="15:15" ht="12" customHeight="1">
      <c r="O179" s="28" t="e">
        <f t="shared" si="37"/>
        <v>#REF!</v>
      </c>
    </row>
    <row r="180" spans="15:15" ht="12" customHeight="1">
      <c r="O180" s="28" t="e">
        <f t="shared" si="37"/>
        <v>#REF!</v>
      </c>
    </row>
    <row r="181" spans="15:15" ht="12" customHeight="1">
      <c r="O181" s="28" t="e">
        <f t="shared" si="37"/>
        <v>#REF!</v>
      </c>
    </row>
    <row r="182" spans="15:15" ht="12" customHeight="1">
      <c r="O182" s="28" t="e">
        <f t="shared" si="37"/>
        <v>#REF!</v>
      </c>
    </row>
    <row r="183" spans="15:15" ht="12" customHeight="1">
      <c r="O183" s="28" t="e">
        <f t="shared" si="37"/>
        <v>#REF!</v>
      </c>
    </row>
    <row r="184" spans="15:15" ht="12" customHeight="1">
      <c r="O184" s="28" t="e">
        <f t="shared" si="37"/>
        <v>#REF!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34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 </cp:lastModifiedBy>
  <dcterms:created xsi:type="dcterms:W3CDTF">2015-03-04T01:18:00Z</dcterms:created>
  <dcterms:modified xsi:type="dcterms:W3CDTF">2017-11-13T03:22:35Z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