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打包资料\财务分析\打包资料\2017.11\"/>
    </mc:Choice>
  </mc:AlternateContent>
  <bookViews>
    <workbookView minimized="1" xWindow="0" yWindow="0" windowWidth="16095" windowHeight="7950" firstSheet="1" activeTab="2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2" hidden="1">考核调整事项表!$A$228:$Y$275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J263" i="3" l="1"/>
  <c r="F67" i="2" l="1"/>
  <c r="F68" i="2"/>
  <c r="F69" i="2"/>
  <c r="F70" i="2"/>
  <c r="F71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14" i="2"/>
  <c r="T52" i="2"/>
  <c r="T5" i="2"/>
  <c r="T6" i="2"/>
  <c r="T7" i="2"/>
  <c r="T8" i="2"/>
  <c r="T9" i="2"/>
  <c r="T10" i="2"/>
  <c r="T11" i="2"/>
  <c r="T12" i="2"/>
  <c r="T13" i="2"/>
  <c r="T4" i="2"/>
  <c r="G52" i="2"/>
  <c r="D52" i="2"/>
  <c r="E52" i="2"/>
  <c r="F52" i="2"/>
  <c r="H52" i="2"/>
  <c r="I52" i="2"/>
  <c r="J52" i="2"/>
  <c r="K52" i="2"/>
  <c r="L52" i="2"/>
  <c r="M52" i="2"/>
  <c r="N52" i="2"/>
  <c r="O52" i="2"/>
  <c r="P52" i="2"/>
  <c r="Q52" i="2"/>
  <c r="R52" i="2"/>
  <c r="S52" i="2"/>
  <c r="U52" i="2"/>
  <c r="V52" i="2"/>
  <c r="W52" i="2"/>
  <c r="X52" i="2"/>
  <c r="Y52" i="2"/>
  <c r="Z52" i="2"/>
  <c r="AA52" i="2"/>
  <c r="AB52" i="2"/>
  <c r="AC52" i="2"/>
  <c r="C52" i="2"/>
  <c r="F219" i="3"/>
  <c r="F220" i="3"/>
  <c r="F221" i="3"/>
  <c r="D218" i="3"/>
  <c r="D219" i="3"/>
  <c r="D220" i="3"/>
  <c r="D221" i="3"/>
  <c r="F158" i="3"/>
  <c r="F159" i="3"/>
  <c r="D158" i="3"/>
  <c r="D159" i="3"/>
  <c r="C301" i="3"/>
  <c r="C297" i="3"/>
  <c r="C28" i="1"/>
  <c r="D28" i="1"/>
  <c r="E28" i="1"/>
  <c r="G28" i="1"/>
  <c r="H28" i="1"/>
  <c r="I28" i="1"/>
  <c r="J28" i="1"/>
  <c r="L28" i="1"/>
  <c r="M28" i="1"/>
  <c r="N28" i="1"/>
  <c r="O28" i="1"/>
  <c r="P28" i="1"/>
  <c r="Q28" i="1"/>
  <c r="R28" i="1"/>
  <c r="T28" i="1"/>
  <c r="U28" i="1"/>
  <c r="V28" i="1"/>
  <c r="W28" i="1"/>
  <c r="X28" i="1"/>
  <c r="Y28" i="1"/>
  <c r="Z28" i="1"/>
  <c r="AA28" i="1"/>
  <c r="AB28" i="1"/>
  <c r="B28" i="1"/>
  <c r="B58" i="1"/>
  <c r="C275" i="3"/>
  <c r="E275" i="3"/>
  <c r="C104" i="3"/>
  <c r="E103" i="3"/>
  <c r="C103" i="3"/>
  <c r="C219" i="3"/>
  <c r="E219" i="3"/>
  <c r="E104" i="3"/>
  <c r="C220" i="3"/>
  <c r="E220" i="3"/>
  <c r="C158" i="3"/>
  <c r="C300" i="3"/>
  <c r="E301" i="3"/>
  <c r="E300" i="3"/>
  <c r="C299" i="3"/>
  <c r="C293" i="3"/>
  <c r="D308" i="3"/>
  <c r="E308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7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7" i="1"/>
  <c r="K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7" i="1"/>
  <c r="S4" i="1"/>
  <c r="C74" i="3"/>
  <c r="C128" i="3"/>
  <c r="C53" i="3"/>
  <c r="C254" i="3"/>
  <c r="C274" i="3"/>
  <c r="E274" i="3"/>
  <c r="C273" i="3"/>
  <c r="E273" i="3"/>
  <c r="C290" i="3"/>
  <c r="C92" i="3"/>
  <c r="C79" i="3"/>
  <c r="S29" i="1"/>
  <c r="E272" i="3"/>
  <c r="E271" i="3"/>
  <c r="E270" i="3"/>
  <c r="E269" i="3"/>
  <c r="C156" i="3"/>
  <c r="C157" i="3"/>
  <c r="E299" i="3"/>
  <c r="B29" i="1"/>
  <c r="M61" i="1"/>
  <c r="L61" i="1"/>
  <c r="C122" i="3"/>
  <c r="E98" i="3"/>
  <c r="E255" i="3"/>
  <c r="E254" i="3"/>
  <c r="E253" i="3"/>
  <c r="E268" i="3"/>
  <c r="I264" i="3"/>
  <c r="C78" i="3"/>
  <c r="E102" i="3"/>
  <c r="E85" i="3"/>
  <c r="C202" i="3"/>
  <c r="E202" i="3"/>
  <c r="D202" i="3"/>
  <c r="F202" i="3"/>
  <c r="C140" i="3"/>
  <c r="E140" i="3"/>
  <c r="D140" i="3"/>
  <c r="F140" i="3"/>
  <c r="C175" i="3"/>
  <c r="E175" i="3"/>
  <c r="C185" i="3"/>
  <c r="E262" i="3"/>
  <c r="E263" i="3"/>
  <c r="D187" i="3"/>
  <c r="M32" i="4"/>
  <c r="N32" i="4"/>
  <c r="P32" i="4"/>
  <c r="W32" i="4"/>
  <c r="X32" i="4"/>
  <c r="Y32" i="4"/>
  <c r="Z32" i="4"/>
  <c r="AA32" i="4"/>
  <c r="AB32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2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W28" i="4"/>
  <c r="X28" i="4"/>
  <c r="Y28" i="4"/>
  <c r="Z28" i="4"/>
  <c r="C218" i="3"/>
  <c r="E218" i="3"/>
  <c r="C217" i="3"/>
  <c r="E217" i="3"/>
  <c r="C170" i="3"/>
  <c r="E170" i="3"/>
  <c r="C171" i="3"/>
  <c r="E171" i="3"/>
  <c r="C172" i="3"/>
  <c r="E172" i="3"/>
  <c r="C173" i="3"/>
  <c r="E173" i="3"/>
  <c r="C174" i="3"/>
  <c r="E174" i="3"/>
  <c r="C180" i="3"/>
  <c r="C181" i="3"/>
  <c r="E181" i="3"/>
  <c r="C182" i="3"/>
  <c r="E182" i="3"/>
  <c r="C183" i="3"/>
  <c r="E183" i="3"/>
  <c r="C184" i="3"/>
  <c r="E184" i="3"/>
  <c r="C186" i="3"/>
  <c r="E186" i="3"/>
  <c r="C188" i="3"/>
  <c r="E188" i="3"/>
  <c r="C189" i="3"/>
  <c r="E189" i="3"/>
  <c r="C191" i="3"/>
  <c r="E191" i="3"/>
  <c r="C192" i="3"/>
  <c r="E192" i="3"/>
  <c r="C193" i="3"/>
  <c r="E193" i="3"/>
  <c r="C194" i="3"/>
  <c r="E194" i="3"/>
  <c r="C195" i="3"/>
  <c r="E195" i="3"/>
  <c r="C196" i="3"/>
  <c r="C197" i="3"/>
  <c r="E197" i="3"/>
  <c r="C198" i="3"/>
  <c r="E198" i="3"/>
  <c r="C199" i="3"/>
  <c r="E199" i="3"/>
  <c r="C200" i="3"/>
  <c r="E200" i="3"/>
  <c r="C206" i="3"/>
  <c r="E206" i="3"/>
  <c r="C207" i="3"/>
  <c r="C208" i="3"/>
  <c r="E208" i="3"/>
  <c r="C209" i="3"/>
  <c r="E209" i="3"/>
  <c r="C210" i="3"/>
  <c r="E210" i="3"/>
  <c r="C211" i="3"/>
  <c r="E211" i="3"/>
  <c r="C212" i="3"/>
  <c r="E212" i="3"/>
  <c r="C213" i="3"/>
  <c r="E213" i="3"/>
  <c r="C214" i="3"/>
  <c r="E214" i="3"/>
  <c r="C216" i="3"/>
  <c r="E216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E179" i="3"/>
  <c r="E185" i="3"/>
  <c r="E187" i="3"/>
  <c r="AB73" i="2"/>
  <c r="AB125" i="2" s="1"/>
  <c r="AA50" i="4" s="1"/>
  <c r="C123" i="3"/>
  <c r="C118" i="3"/>
  <c r="C120" i="3"/>
  <c r="C106" i="3"/>
  <c r="C152" i="3"/>
  <c r="E106" i="3"/>
  <c r="C160" i="3"/>
  <c r="E160" i="3"/>
  <c r="E222" i="3"/>
  <c r="E207" i="3"/>
  <c r="E196" i="3"/>
  <c r="E180" i="3"/>
  <c r="F218" i="3"/>
  <c r="E156" i="3"/>
  <c r="D156" i="3"/>
  <c r="F156" i="3"/>
  <c r="E157" i="3"/>
  <c r="D157" i="3"/>
  <c r="F157" i="3"/>
  <c r="F155" i="3"/>
  <c r="F107" i="3"/>
  <c r="F108" i="3"/>
  <c r="F109" i="3"/>
  <c r="F110" i="3"/>
  <c r="F111" i="3"/>
  <c r="F112" i="3"/>
  <c r="F166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D107" i="3"/>
  <c r="D108" i="3"/>
  <c r="D109" i="3"/>
  <c r="D110" i="3"/>
  <c r="D111" i="3"/>
  <c r="D112" i="3"/>
  <c r="D166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C108" i="3"/>
  <c r="C109" i="3"/>
  <c r="C110" i="3"/>
  <c r="E110" i="3"/>
  <c r="C111" i="3"/>
  <c r="E111" i="3"/>
  <c r="C112" i="3"/>
  <c r="E112" i="3"/>
  <c r="C113" i="3"/>
  <c r="E113" i="3"/>
  <c r="C116" i="3"/>
  <c r="E116" i="3"/>
  <c r="E118" i="3"/>
  <c r="C119" i="3"/>
  <c r="E119" i="3"/>
  <c r="E120" i="3"/>
  <c r="C121" i="3"/>
  <c r="E121" i="3"/>
  <c r="E122" i="3"/>
  <c r="E123" i="3"/>
  <c r="C124" i="3"/>
  <c r="E124" i="3"/>
  <c r="C126" i="3"/>
  <c r="E126" i="3"/>
  <c r="C127" i="3"/>
  <c r="E127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4" i="3"/>
  <c r="E154" i="3"/>
  <c r="C155" i="3"/>
  <c r="E155" i="3"/>
  <c r="E161" i="3"/>
  <c r="E117" i="3"/>
  <c r="E125" i="3"/>
  <c r="E152" i="3"/>
  <c r="E158" i="3"/>
  <c r="E162" i="3"/>
  <c r="E163" i="3"/>
  <c r="D168" i="3"/>
  <c r="D163" i="3"/>
  <c r="D225" i="3"/>
  <c r="F224" i="3"/>
  <c r="F162" i="3"/>
  <c r="E109" i="3"/>
  <c r="E225" i="3"/>
  <c r="D162" i="3"/>
  <c r="D224" i="3"/>
  <c r="F165" i="3"/>
  <c r="F227" i="3"/>
  <c r="F161" i="3"/>
  <c r="F223" i="3"/>
  <c r="E108" i="3"/>
  <c r="E224" i="3"/>
  <c r="D227" i="3"/>
  <c r="D165" i="3"/>
  <c r="D223" i="3"/>
  <c r="D161" i="3"/>
  <c r="F164" i="3"/>
  <c r="F226" i="3"/>
  <c r="D226" i="3"/>
  <c r="D164" i="3"/>
  <c r="F225" i="3"/>
  <c r="F163" i="3"/>
  <c r="O38" i="1"/>
  <c r="D106" i="3"/>
  <c r="D222" i="3"/>
  <c r="D160" i="3"/>
  <c r="E101" i="3"/>
  <c r="E100" i="3"/>
  <c r="C99" i="3"/>
  <c r="E97" i="3"/>
  <c r="E96" i="3"/>
  <c r="E95" i="3"/>
  <c r="E94" i="3"/>
  <c r="E93" i="3"/>
  <c r="E92" i="3"/>
  <c r="E91" i="3"/>
  <c r="E90" i="3"/>
  <c r="C89" i="3"/>
  <c r="C88" i="3"/>
  <c r="C87" i="3"/>
  <c r="E84" i="3"/>
  <c r="E83" i="3"/>
  <c r="N38" i="1"/>
  <c r="E82" i="3"/>
  <c r="E81" i="3"/>
  <c r="E80" i="3"/>
  <c r="E79" i="3"/>
  <c r="E78" i="3"/>
  <c r="E77" i="3"/>
  <c r="E76" i="3"/>
  <c r="E75" i="3"/>
  <c r="C190" i="3"/>
  <c r="E73" i="3"/>
  <c r="E72" i="3"/>
  <c r="E71" i="3"/>
  <c r="E70" i="3"/>
  <c r="E69" i="3"/>
  <c r="E68" i="3"/>
  <c r="E67" i="3"/>
  <c r="E66" i="3"/>
  <c r="E65" i="3"/>
  <c r="E64" i="3"/>
  <c r="E63" i="3"/>
  <c r="E59" i="3"/>
  <c r="E36" i="1"/>
  <c r="E58" i="3"/>
  <c r="E57" i="3"/>
  <c r="E56" i="3"/>
  <c r="E55" i="3"/>
  <c r="E54" i="3"/>
  <c r="C201" i="3"/>
  <c r="E201" i="3"/>
  <c r="C139" i="3"/>
  <c r="E139" i="3"/>
  <c r="C204" i="3"/>
  <c r="E204" i="3"/>
  <c r="C142" i="3"/>
  <c r="E142" i="3"/>
  <c r="C215" i="3"/>
  <c r="E215" i="3"/>
  <c r="C153" i="3"/>
  <c r="E153" i="3"/>
  <c r="C177" i="3"/>
  <c r="E177" i="3"/>
  <c r="C115" i="3"/>
  <c r="E115" i="3"/>
  <c r="C176" i="3"/>
  <c r="E176" i="3"/>
  <c r="C114" i="3"/>
  <c r="E114" i="3"/>
  <c r="E62" i="3"/>
  <c r="C178" i="3"/>
  <c r="E178" i="3"/>
  <c r="E128" i="3"/>
  <c r="C203" i="3"/>
  <c r="C141" i="3"/>
  <c r="E141" i="3"/>
  <c r="C205" i="3"/>
  <c r="E205" i="3"/>
  <c r="C143" i="3"/>
  <c r="E143" i="3"/>
  <c r="E74" i="3"/>
  <c r="E60" i="3"/>
  <c r="E61" i="3"/>
  <c r="E87" i="3"/>
  <c r="E89" i="3"/>
  <c r="E88" i="3"/>
  <c r="E99" i="3"/>
  <c r="E203" i="3"/>
  <c r="E190" i="3"/>
  <c r="C245" i="3"/>
  <c r="E248" i="3"/>
  <c r="E238" i="3"/>
  <c r="E239" i="3"/>
  <c r="E240" i="3"/>
  <c r="E241" i="3"/>
  <c r="E243" i="3"/>
  <c r="E244" i="3"/>
  <c r="E245" i="3"/>
  <c r="C168" i="3"/>
  <c r="Z90" i="1"/>
  <c r="E227" i="3"/>
  <c r="U90" i="1"/>
  <c r="U28" i="4"/>
  <c r="AA56" i="2"/>
  <c r="AA108" i="2" s="1"/>
  <c r="Z33" i="4" s="1"/>
  <c r="AA57" i="2"/>
  <c r="AA109" i="2"/>
  <c r="Z34" i="4" s="1"/>
  <c r="AA58" i="2"/>
  <c r="AA110" i="2" s="1"/>
  <c r="Z35" i="4" s="1"/>
  <c r="AA60" i="2"/>
  <c r="AA112" i="2"/>
  <c r="Z37" i="4" s="1"/>
  <c r="AA61" i="2"/>
  <c r="AA113" i="2" s="1"/>
  <c r="Z38" i="4" s="1"/>
  <c r="AA62" i="2"/>
  <c r="AA114" i="2"/>
  <c r="Z39" i="4" s="1"/>
  <c r="AA63" i="2"/>
  <c r="AA115" i="2" s="1"/>
  <c r="Z40" i="4" s="1"/>
  <c r="AA64" i="2"/>
  <c r="AA116" i="2"/>
  <c r="Z41" i="4" s="1"/>
  <c r="AA65" i="2"/>
  <c r="AA117" i="2" s="1"/>
  <c r="Z42" i="4" s="1"/>
  <c r="AA67" i="2"/>
  <c r="AA119" i="2"/>
  <c r="Z44" i="4" s="1"/>
  <c r="AA68" i="2"/>
  <c r="AA120" i="2" s="1"/>
  <c r="Z45" i="4" s="1"/>
  <c r="AA70" i="2"/>
  <c r="AA122" i="2"/>
  <c r="Z47" i="4" s="1"/>
  <c r="AA71" i="2"/>
  <c r="AA123" i="2" s="1"/>
  <c r="Z48" i="4" s="1"/>
  <c r="AA75" i="2"/>
  <c r="AA127" i="2"/>
  <c r="Z52" i="4" s="1"/>
  <c r="AA76" i="2"/>
  <c r="AA128" i="2" s="1"/>
  <c r="Z53" i="4" s="1"/>
  <c r="AA77" i="2"/>
  <c r="AA129" i="2"/>
  <c r="Z54" i="4" s="1"/>
  <c r="AA78" i="2"/>
  <c r="AA130" i="2" s="1"/>
  <c r="Z55" i="4" s="1"/>
  <c r="AA79" i="2"/>
  <c r="AA131" i="2"/>
  <c r="Z56" i="4" s="1"/>
  <c r="AA80" i="2"/>
  <c r="AA132" i="2" s="1"/>
  <c r="Z57" i="4" s="1"/>
  <c r="AA81" i="2"/>
  <c r="AA133" i="2"/>
  <c r="Z58" i="4" s="1"/>
  <c r="AA82" i="2"/>
  <c r="AA134" i="2" s="1"/>
  <c r="Z59" i="4" s="1"/>
  <c r="AA83" i="2"/>
  <c r="AA135" i="2"/>
  <c r="Z60" i="4" s="1"/>
  <c r="AA84" i="2"/>
  <c r="AA136" i="2" s="1"/>
  <c r="Z61" i="4" s="1"/>
  <c r="AA85" i="2"/>
  <c r="AA137" i="2"/>
  <c r="Z62" i="4" s="1"/>
  <c r="AA87" i="2"/>
  <c r="AA139" i="2" s="1"/>
  <c r="AA88" i="2"/>
  <c r="AA140" i="2"/>
  <c r="Z65" i="4" s="1"/>
  <c r="AA89" i="2"/>
  <c r="AA141" i="2" s="1"/>
  <c r="Z66" i="4"/>
  <c r="AA90" i="2"/>
  <c r="AA142" i="2"/>
  <c r="Z67" i="4" s="1"/>
  <c r="AA91" i="2"/>
  <c r="AA143" i="2" s="1"/>
  <c r="Z68" i="4"/>
  <c r="AA92" i="2"/>
  <c r="AA144" i="2"/>
  <c r="Z69" i="4" s="1"/>
  <c r="AA93" i="2"/>
  <c r="AA145" i="2" s="1"/>
  <c r="Z70" i="4"/>
  <c r="AA94" i="2"/>
  <c r="AA146" i="2"/>
  <c r="Z71" i="4" s="1"/>
  <c r="AA95" i="2"/>
  <c r="AA147" i="2" s="1"/>
  <c r="Z72" i="4"/>
  <c r="AA96" i="2"/>
  <c r="AA148" i="2"/>
  <c r="Z73" i="4" s="1"/>
  <c r="AA97" i="2"/>
  <c r="AA149" i="2" s="1"/>
  <c r="Z74" i="4"/>
  <c r="AA98" i="2"/>
  <c r="AA150" i="2"/>
  <c r="Z75" i="4" s="1"/>
  <c r="AA99" i="2"/>
  <c r="AA151" i="2" s="1"/>
  <c r="Z76" i="4"/>
  <c r="AA100" i="2"/>
  <c r="AA152" i="2"/>
  <c r="Z77" i="4" s="1"/>
  <c r="AA101" i="2"/>
  <c r="AA153" i="2" s="1"/>
  <c r="Z78" i="4"/>
  <c r="AA102" i="2"/>
  <c r="AA154" i="2"/>
  <c r="Z79" i="4" s="1"/>
  <c r="Z35" i="1"/>
  <c r="Z36" i="1"/>
  <c r="Z68" i="1"/>
  <c r="Z6" i="4" s="1"/>
  <c r="Z37" i="1"/>
  <c r="Z69" i="1" s="1"/>
  <c r="Z7" i="4"/>
  <c r="Z38" i="1"/>
  <c r="Z70" i="1"/>
  <c r="Z8" i="4" s="1"/>
  <c r="Z39" i="1"/>
  <c r="Z71" i="1" s="1"/>
  <c r="Z9" i="4"/>
  <c r="Z40" i="1"/>
  <c r="Z41" i="1"/>
  <c r="Z73" i="1" s="1"/>
  <c r="Z11" i="4" s="1"/>
  <c r="Z42" i="1"/>
  <c r="Z74" i="1"/>
  <c r="Z12" i="4" s="1"/>
  <c r="Z43" i="1"/>
  <c r="Z75" i="1" s="1"/>
  <c r="Z13" i="4" s="1"/>
  <c r="Z47" i="1"/>
  <c r="Z79" i="1"/>
  <c r="Z17" i="4" s="1"/>
  <c r="Z48" i="1"/>
  <c r="Z80" i="1" s="1"/>
  <c r="Z18" i="4" s="1"/>
  <c r="Z50" i="1"/>
  <c r="Z82" i="1"/>
  <c r="Z20" i="4" s="1"/>
  <c r="Z51" i="1"/>
  <c r="Z83" i="1" s="1"/>
  <c r="Z21" i="4" s="1"/>
  <c r="Z53" i="1"/>
  <c r="Z85" i="1"/>
  <c r="Z23" i="4" s="1"/>
  <c r="Z55" i="1"/>
  <c r="Z87" i="1"/>
  <c r="Z25" i="4"/>
  <c r="AA103" i="2"/>
  <c r="C169" i="3"/>
  <c r="C107" i="3"/>
  <c r="E223" i="3"/>
  <c r="AB58" i="1"/>
  <c r="AB60" i="1"/>
  <c r="AB59" i="1"/>
  <c r="AB90" i="1"/>
  <c r="AB28" i="4"/>
  <c r="E107" i="3"/>
  <c r="E169" i="3"/>
  <c r="E291" i="3"/>
  <c r="E290" i="3"/>
  <c r="AC56" i="2"/>
  <c r="AC108" i="2"/>
  <c r="AB33" i="4" s="1"/>
  <c r="AC57" i="2"/>
  <c r="AC109" i="2" s="1"/>
  <c r="AB34" i="4" s="1"/>
  <c r="AC58" i="2"/>
  <c r="AC110" i="2"/>
  <c r="AB35" i="4" s="1"/>
  <c r="AC59" i="2"/>
  <c r="AC111" i="2" s="1"/>
  <c r="AB36" i="4" s="1"/>
  <c r="AC60" i="2"/>
  <c r="AC112" i="2"/>
  <c r="AB37" i="4" s="1"/>
  <c r="AC61" i="2"/>
  <c r="AC113" i="2" s="1"/>
  <c r="AB38" i="4" s="1"/>
  <c r="AC62" i="2"/>
  <c r="AC114" i="2"/>
  <c r="AB39" i="4" s="1"/>
  <c r="AC63" i="2"/>
  <c r="AC115" i="2" s="1"/>
  <c r="AB40" i="4" s="1"/>
  <c r="AC64" i="2"/>
  <c r="AC116" i="2"/>
  <c r="AB41" i="4" s="1"/>
  <c r="AC65" i="2"/>
  <c r="AC117" i="2" s="1"/>
  <c r="AB42" i="4" s="1"/>
  <c r="AC67" i="2"/>
  <c r="AC119" i="2"/>
  <c r="AB44" i="4" s="1"/>
  <c r="AC68" i="2"/>
  <c r="AC120" i="2" s="1"/>
  <c r="AB45" i="4" s="1"/>
  <c r="AC70" i="2"/>
  <c r="AC122" i="2"/>
  <c r="AB47" i="4" s="1"/>
  <c r="AC71" i="2"/>
  <c r="AC123" i="2" s="1"/>
  <c r="AB48" i="4" s="1"/>
  <c r="AC73" i="2"/>
  <c r="AC125" i="2"/>
  <c r="AB50" i="4" s="1"/>
  <c r="AC74" i="2"/>
  <c r="AC126" i="2" s="1"/>
  <c r="AB51" i="4" s="1"/>
  <c r="AC75" i="2"/>
  <c r="AC127" i="2"/>
  <c r="AB52" i="4" s="1"/>
  <c r="AC76" i="2"/>
  <c r="AC128" i="2" s="1"/>
  <c r="AB53" i="4" s="1"/>
  <c r="AC77" i="2"/>
  <c r="AC129" i="2"/>
  <c r="AB54" i="4" s="1"/>
  <c r="AC78" i="2"/>
  <c r="AC130" i="2" s="1"/>
  <c r="AB55" i="4" s="1"/>
  <c r="AC79" i="2"/>
  <c r="AC131" i="2"/>
  <c r="AB56" i="4" s="1"/>
  <c r="AC80" i="2"/>
  <c r="AC132" i="2" s="1"/>
  <c r="AB57" i="4" s="1"/>
  <c r="AC81" i="2"/>
  <c r="AC133" i="2"/>
  <c r="AB58" i="4" s="1"/>
  <c r="AC82" i="2"/>
  <c r="AC134" i="2" s="1"/>
  <c r="AB59" i="4" s="1"/>
  <c r="AC83" i="2"/>
  <c r="AC135" i="2"/>
  <c r="AB60" i="4" s="1"/>
  <c r="AC84" i="2"/>
  <c r="AC136" i="2" s="1"/>
  <c r="AB61" i="4" s="1"/>
  <c r="AC85" i="2"/>
  <c r="AC137" i="2" s="1"/>
  <c r="AB62" i="4" s="1"/>
  <c r="AC87" i="2"/>
  <c r="AC139" i="2"/>
  <c r="AB64" i="4" s="1"/>
  <c r="AC88" i="2"/>
  <c r="AC140" i="2" s="1"/>
  <c r="AB65" i="4" s="1"/>
  <c r="AC89" i="2"/>
  <c r="AC141" i="2"/>
  <c r="AB66" i="4" s="1"/>
  <c r="AC90" i="2"/>
  <c r="AC142" i="2" s="1"/>
  <c r="AB67" i="4" s="1"/>
  <c r="AC91" i="2"/>
  <c r="AC143" i="2"/>
  <c r="AB68" i="4" s="1"/>
  <c r="AC92" i="2"/>
  <c r="AC144" i="2" s="1"/>
  <c r="AB69" i="4" s="1"/>
  <c r="AC93" i="2"/>
  <c r="AC145" i="2"/>
  <c r="AB70" i="4" s="1"/>
  <c r="AC94" i="2"/>
  <c r="AC146" i="2" s="1"/>
  <c r="AB71" i="4" s="1"/>
  <c r="AC95" i="2"/>
  <c r="AC147" i="2"/>
  <c r="AB72" i="4" s="1"/>
  <c r="AC96" i="2"/>
  <c r="AC148" i="2" s="1"/>
  <c r="AB73" i="4" s="1"/>
  <c r="AC97" i="2"/>
  <c r="AC149" i="2"/>
  <c r="AB74" i="4" s="1"/>
  <c r="AC98" i="2"/>
  <c r="AC150" i="2" s="1"/>
  <c r="AB75" i="4" s="1"/>
  <c r="AC99" i="2"/>
  <c r="AC151" i="2"/>
  <c r="AB76" i="4" s="1"/>
  <c r="AC100" i="2"/>
  <c r="AC152" i="2" s="1"/>
  <c r="AB77" i="4" s="1"/>
  <c r="AC101" i="2"/>
  <c r="AC153" i="2"/>
  <c r="AB78" i="4" s="1"/>
  <c r="AC102" i="2"/>
  <c r="AC154" i="2" s="1"/>
  <c r="AB79" i="4" s="1"/>
  <c r="AC66" i="2"/>
  <c r="AB35" i="1"/>
  <c r="AB67" i="1" s="1"/>
  <c r="AB5" i="4" s="1"/>
  <c r="AB36" i="1"/>
  <c r="AB68" i="1"/>
  <c r="AB6" i="4" s="1"/>
  <c r="AB37" i="1"/>
  <c r="AB69" i="1" s="1"/>
  <c r="AB7" i="4" s="1"/>
  <c r="AB38" i="1"/>
  <c r="AB70" i="1"/>
  <c r="AB8" i="4" s="1"/>
  <c r="AB39" i="1"/>
  <c r="AB71" i="1" s="1"/>
  <c r="AB9" i="4" s="1"/>
  <c r="AB40" i="1"/>
  <c r="AB41" i="1"/>
  <c r="AB73" i="1" s="1"/>
  <c r="AB11" i="4" s="1"/>
  <c r="AB42" i="1"/>
  <c r="AB74" i="1"/>
  <c r="AB12" i="4" s="1"/>
  <c r="AB43" i="1"/>
  <c r="AB75" i="1" s="1"/>
  <c r="AB13" i="4" s="1"/>
  <c r="AB47" i="1"/>
  <c r="AB79" i="1"/>
  <c r="AB17" i="4" s="1"/>
  <c r="AB48" i="1"/>
  <c r="AB80" i="1" s="1"/>
  <c r="AB18" i="4" s="1"/>
  <c r="AB50" i="1"/>
  <c r="AB82" i="1"/>
  <c r="AB20" i="4" s="1"/>
  <c r="AB51" i="1"/>
  <c r="AB83" i="1" s="1"/>
  <c r="AB21" i="4" s="1"/>
  <c r="AB53" i="1"/>
  <c r="AB85" i="1"/>
  <c r="AB23" i="4" s="1"/>
  <c r="AB55" i="1"/>
  <c r="AB87" i="1"/>
  <c r="AB25" i="4"/>
  <c r="U35" i="1"/>
  <c r="V35" i="1"/>
  <c r="W35" i="1"/>
  <c r="X35" i="1"/>
  <c r="Y35" i="1"/>
  <c r="AA35" i="1"/>
  <c r="U36" i="1"/>
  <c r="V36" i="1"/>
  <c r="W36" i="1"/>
  <c r="X36" i="1"/>
  <c r="Y36" i="1"/>
  <c r="U37" i="1"/>
  <c r="V37" i="1"/>
  <c r="W37" i="1"/>
  <c r="X37" i="1"/>
  <c r="Y37" i="1"/>
  <c r="AA37" i="1"/>
  <c r="U38" i="1"/>
  <c r="V38" i="1"/>
  <c r="W38" i="1"/>
  <c r="X38" i="1"/>
  <c r="Y38" i="1"/>
  <c r="AA38" i="1"/>
  <c r="U39" i="1"/>
  <c r="V39" i="1"/>
  <c r="W39" i="1"/>
  <c r="X39" i="1"/>
  <c r="Y39" i="1"/>
  <c r="AA39" i="1"/>
  <c r="U40" i="1"/>
  <c r="V40" i="1"/>
  <c r="W40" i="1"/>
  <c r="X40" i="1"/>
  <c r="Y40" i="1"/>
  <c r="AA40" i="1"/>
  <c r="U41" i="1"/>
  <c r="V41" i="1"/>
  <c r="W41" i="1"/>
  <c r="X41" i="1"/>
  <c r="Y41" i="1"/>
  <c r="AA41" i="1"/>
  <c r="U42" i="1"/>
  <c r="V42" i="1"/>
  <c r="W42" i="1"/>
  <c r="X42" i="1"/>
  <c r="Y42" i="1"/>
  <c r="AA42" i="1"/>
  <c r="U43" i="1"/>
  <c r="V43" i="1"/>
  <c r="W43" i="1"/>
  <c r="X43" i="1"/>
  <c r="Y43" i="1"/>
  <c r="AA43" i="1"/>
  <c r="U47" i="1"/>
  <c r="V47" i="1"/>
  <c r="W47" i="1"/>
  <c r="X47" i="1"/>
  <c r="Y47" i="1"/>
  <c r="AA47" i="1"/>
  <c r="U48" i="1"/>
  <c r="V48" i="1"/>
  <c r="W48" i="1"/>
  <c r="X48" i="1"/>
  <c r="Y48" i="1"/>
  <c r="AA48" i="1"/>
  <c r="U50" i="1"/>
  <c r="V50" i="1"/>
  <c r="W50" i="1"/>
  <c r="X50" i="1"/>
  <c r="Y50" i="1"/>
  <c r="AA50" i="1"/>
  <c r="U51" i="1"/>
  <c r="V51" i="1"/>
  <c r="W51" i="1"/>
  <c r="X51" i="1"/>
  <c r="Y51" i="1"/>
  <c r="AA51" i="1"/>
  <c r="U53" i="1"/>
  <c r="V53" i="1"/>
  <c r="W53" i="1"/>
  <c r="X53" i="1"/>
  <c r="Y53" i="1"/>
  <c r="AA53" i="1"/>
  <c r="U55" i="1"/>
  <c r="V55" i="1"/>
  <c r="W55" i="1"/>
  <c r="X55" i="1"/>
  <c r="Y55" i="1"/>
  <c r="AA55" i="1"/>
  <c r="W34" i="1"/>
  <c r="W33" i="1" s="1"/>
  <c r="U34" i="1"/>
  <c r="X34" i="1"/>
  <c r="X33" i="1" s="1"/>
  <c r="V34" i="1"/>
  <c r="V33" i="1" s="1"/>
  <c r="AB34" i="1"/>
  <c r="AB33" i="1" s="1"/>
  <c r="Y34" i="1"/>
  <c r="O154" i="6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/>
  <c r="AA48" i="6"/>
  <c r="Y106" i="6" s="1"/>
  <c r="Z48" i="6"/>
  <c r="X106" i="6"/>
  <c r="Y48" i="6"/>
  <c r="W106" i="6"/>
  <c r="X48" i="6"/>
  <c r="V106" i="6"/>
  <c r="W48" i="6"/>
  <c r="U106" i="6" s="1"/>
  <c r="V48" i="6"/>
  <c r="T106" i="6" s="1"/>
  <c r="U48" i="6"/>
  <c r="S106" i="6" s="1"/>
  <c r="T48" i="6"/>
  <c r="R106" i="6"/>
  <c r="S48" i="6"/>
  <c r="Q106" i="6" s="1"/>
  <c r="R48" i="6"/>
  <c r="P106" i="6" s="1"/>
  <c r="Q48" i="6"/>
  <c r="O106" i="6"/>
  <c r="P48" i="6"/>
  <c r="O48" i="6"/>
  <c r="M106" i="6"/>
  <c r="N48" i="6"/>
  <c r="L106" i="6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/>
  <c r="T47" i="6"/>
  <c r="R105" i="6"/>
  <c r="Q47" i="6"/>
  <c r="O105" i="6"/>
  <c r="O47" i="6"/>
  <c r="M105" i="6"/>
  <c r="T46" i="6"/>
  <c r="R104" i="6"/>
  <c r="Q46" i="6"/>
  <c r="O104" i="6"/>
  <c r="O46" i="6"/>
  <c r="M104" i="6"/>
  <c r="T45" i="6"/>
  <c r="R103" i="6"/>
  <c r="Q45" i="6"/>
  <c r="O103" i="6"/>
  <c r="O45" i="6"/>
  <c r="M103" i="6"/>
  <c r="T44" i="6"/>
  <c r="R102" i="6"/>
  <c r="Q44" i="6"/>
  <c r="O102" i="6"/>
  <c r="O44" i="6"/>
  <c r="M102" i="6"/>
  <c r="T43" i="6"/>
  <c r="R101" i="6"/>
  <c r="Q43" i="6"/>
  <c r="O101" i="6"/>
  <c r="O43" i="6"/>
  <c r="M101" i="6"/>
  <c r="T42" i="6"/>
  <c r="R100" i="6"/>
  <c r="Q42" i="6"/>
  <c r="O42" i="6"/>
  <c r="T40" i="6"/>
  <c r="R98" i="6"/>
  <c r="Q40" i="6"/>
  <c r="O98" i="6"/>
  <c r="O40" i="6"/>
  <c r="M98" i="6"/>
  <c r="T39" i="6"/>
  <c r="R97" i="6"/>
  <c r="Q39" i="6"/>
  <c r="O97" i="6"/>
  <c r="O39" i="6"/>
  <c r="M97" i="6"/>
  <c r="T38" i="6"/>
  <c r="R96" i="6"/>
  <c r="Q38" i="6"/>
  <c r="O96" i="6"/>
  <c r="O38" i="6"/>
  <c r="M96" i="6"/>
  <c r="T37" i="6"/>
  <c r="R95" i="6"/>
  <c r="Q37" i="6"/>
  <c r="O95" i="6"/>
  <c r="O37" i="6"/>
  <c r="M95" i="6"/>
  <c r="T36" i="6"/>
  <c r="R94" i="6"/>
  <c r="Q36" i="6"/>
  <c r="O94" i="6"/>
  <c r="O36" i="6"/>
  <c r="M94" i="6"/>
  <c r="T35" i="6"/>
  <c r="R93" i="6"/>
  <c r="Q35" i="6"/>
  <c r="O93" i="6"/>
  <c r="O35" i="6"/>
  <c r="M93" i="6"/>
  <c r="T34" i="6"/>
  <c r="R92" i="6"/>
  <c r="Q34" i="6"/>
  <c r="O92" i="6"/>
  <c r="O34" i="6"/>
  <c r="M92" i="6"/>
  <c r="T33" i="6"/>
  <c r="R91" i="6"/>
  <c r="Q33" i="6"/>
  <c r="O91" i="6"/>
  <c r="O33" i="6"/>
  <c r="M91" i="6"/>
  <c r="T32" i="6"/>
  <c r="R90" i="6"/>
  <c r="Q32" i="6"/>
  <c r="O90" i="6"/>
  <c r="O32" i="6"/>
  <c r="M90" i="6"/>
  <c r="T30" i="6"/>
  <c r="R88" i="6"/>
  <c r="Q30" i="6"/>
  <c r="O88" i="6"/>
  <c r="O30" i="6"/>
  <c r="M88" i="6"/>
  <c r="T29" i="6"/>
  <c r="R87" i="6"/>
  <c r="Q29" i="6"/>
  <c r="O87" i="6"/>
  <c r="O29" i="6"/>
  <c r="M87" i="6"/>
  <c r="T28" i="6"/>
  <c r="R86" i="6"/>
  <c r="Q28" i="6"/>
  <c r="O86" i="6"/>
  <c r="O28" i="6"/>
  <c r="M86" i="6"/>
  <c r="T27" i="6"/>
  <c r="R85" i="6"/>
  <c r="Q27" i="6"/>
  <c r="O85" i="6"/>
  <c r="O27" i="6"/>
  <c r="M85" i="6"/>
  <c r="T26" i="6"/>
  <c r="R84" i="6"/>
  <c r="Q26" i="6"/>
  <c r="O84" i="6"/>
  <c r="O26" i="6"/>
  <c r="M84" i="6"/>
  <c r="T25" i="6"/>
  <c r="R83" i="6"/>
  <c r="Q25" i="6"/>
  <c r="O83" i="6"/>
  <c r="O25" i="6"/>
  <c r="M83" i="6"/>
  <c r="T24" i="6"/>
  <c r="R82" i="6"/>
  <c r="Q24" i="6"/>
  <c r="O82" i="6"/>
  <c r="O24" i="6"/>
  <c r="M82" i="6"/>
  <c r="T23" i="6"/>
  <c r="R81" i="6"/>
  <c r="Q23" i="6"/>
  <c r="O81" i="6"/>
  <c r="O23" i="6"/>
  <c r="M81" i="6"/>
  <c r="T22" i="6"/>
  <c r="R80" i="6"/>
  <c r="Q22" i="6"/>
  <c r="O80" i="6"/>
  <c r="O22" i="6"/>
  <c r="M80" i="6"/>
  <c r="T21" i="6"/>
  <c r="R79" i="6"/>
  <c r="Q21" i="6"/>
  <c r="O79" i="6"/>
  <c r="O21" i="6"/>
  <c r="M79" i="6"/>
  <c r="T20" i="6"/>
  <c r="R78" i="6"/>
  <c r="Q20" i="6"/>
  <c r="O78" i="6"/>
  <c r="O20" i="6"/>
  <c r="M78" i="6"/>
  <c r="T19" i="6"/>
  <c r="R77" i="6"/>
  <c r="Q19" i="6"/>
  <c r="O77" i="6"/>
  <c r="O19" i="6"/>
  <c r="M77" i="6"/>
  <c r="T18" i="6"/>
  <c r="R76" i="6"/>
  <c r="Q18" i="6"/>
  <c r="O76" i="6"/>
  <c r="O18" i="6"/>
  <c r="M76" i="6"/>
  <c r="T17" i="6"/>
  <c r="Q17" i="6"/>
  <c r="O17" i="6"/>
  <c r="T15" i="6"/>
  <c r="R73" i="6"/>
  <c r="Q15" i="6"/>
  <c r="O73" i="6"/>
  <c r="O15" i="6"/>
  <c r="M73" i="6"/>
  <c r="T14" i="6"/>
  <c r="R72" i="6"/>
  <c r="Q14" i="6"/>
  <c r="O72" i="6"/>
  <c r="O14" i="6"/>
  <c r="M72" i="6"/>
  <c r="T13" i="6"/>
  <c r="R71" i="6"/>
  <c r="Q13" i="6"/>
  <c r="O71" i="6"/>
  <c r="O13" i="6"/>
  <c r="M71" i="6"/>
  <c r="T12" i="6"/>
  <c r="R70" i="6"/>
  <c r="Q12" i="6"/>
  <c r="O70" i="6"/>
  <c r="O12" i="6"/>
  <c r="M70" i="6"/>
  <c r="T10" i="6"/>
  <c r="R68" i="6"/>
  <c r="Q10" i="6"/>
  <c r="O68" i="6"/>
  <c r="O10" i="6"/>
  <c r="M68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L9" i="6"/>
  <c r="J9" i="6"/>
  <c r="I9" i="6"/>
  <c r="H9" i="6"/>
  <c r="G9" i="6"/>
  <c r="F9" i="6"/>
  <c r="E9" i="6"/>
  <c r="D9" i="6"/>
  <c r="T8" i="6"/>
  <c r="R66" i="6"/>
  <c r="Q8" i="6"/>
  <c r="O66" i="6"/>
  <c r="O8" i="6"/>
  <c r="M66" i="6"/>
  <c r="T7" i="6"/>
  <c r="R65" i="6"/>
  <c r="Q7" i="6"/>
  <c r="O65" i="6"/>
  <c r="O7" i="6"/>
  <c r="M65" i="6"/>
  <c r="T6" i="6"/>
  <c r="R64" i="6"/>
  <c r="Q6" i="6"/>
  <c r="O64" i="6"/>
  <c r="O6" i="6"/>
  <c r="M64" i="6"/>
  <c r="T5" i="6"/>
  <c r="R63" i="6"/>
  <c r="Q5" i="6"/>
  <c r="O63" i="6"/>
  <c r="O5" i="6"/>
  <c r="M63" i="6"/>
  <c r="T4" i="6"/>
  <c r="R62" i="6"/>
  <c r="Q4" i="6"/>
  <c r="O62" i="6"/>
  <c r="O4" i="6"/>
  <c r="M62" i="6"/>
  <c r="T3" i="6"/>
  <c r="R61" i="6"/>
  <c r="Q3" i="6"/>
  <c r="O61" i="6"/>
  <c r="O3" i="6"/>
  <c r="M61" i="6"/>
  <c r="T2" i="6"/>
  <c r="Q2" i="6"/>
  <c r="O60" i="6"/>
  <c r="O2" i="6"/>
  <c r="M60" i="6"/>
  <c r="B27" i="4"/>
  <c r="B10" i="4"/>
  <c r="B2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96" i="3"/>
  <c r="E295" i="3"/>
  <c r="E292" i="3"/>
  <c r="F285" i="3"/>
  <c r="D285" i="3"/>
  <c r="E267" i="3"/>
  <c r="E266" i="3"/>
  <c r="E265" i="3"/>
  <c r="E264" i="3"/>
  <c r="E259" i="3"/>
  <c r="AA59" i="2"/>
  <c r="E258" i="3"/>
  <c r="AA73" i="2"/>
  <c r="AA125" i="2" s="1"/>
  <c r="Z50" i="4"/>
  <c r="E257" i="3"/>
  <c r="AA74" i="2"/>
  <c r="AA126" i="2" s="1"/>
  <c r="Z51" i="4" s="1"/>
  <c r="E256" i="3"/>
  <c r="E252" i="3"/>
  <c r="F98" i="2" s="1"/>
  <c r="F150" i="2"/>
  <c r="E75" i="4" s="1"/>
  <c r="E251" i="3"/>
  <c r="D98" i="2" s="1"/>
  <c r="E250" i="3"/>
  <c r="F87" i="2" s="1"/>
  <c r="E249" i="3"/>
  <c r="D87" i="2"/>
  <c r="E247" i="3"/>
  <c r="D88" i="2"/>
  <c r="E246" i="3"/>
  <c r="E237" i="3"/>
  <c r="E236" i="3"/>
  <c r="E235" i="3"/>
  <c r="E234" i="3"/>
  <c r="E233" i="3"/>
  <c r="E232" i="3"/>
  <c r="E261" i="3"/>
  <c r="E260" i="3"/>
  <c r="D77" i="2"/>
  <c r="E242" i="3"/>
  <c r="D78" i="2" s="1"/>
  <c r="E231" i="3"/>
  <c r="E230" i="3"/>
  <c r="E229" i="3"/>
  <c r="D67" i="2" s="1"/>
  <c r="E226" i="3"/>
  <c r="F168" i="3"/>
  <c r="E168" i="3"/>
  <c r="E165" i="3"/>
  <c r="F106" i="3"/>
  <c r="C51" i="3"/>
  <c r="E53" i="3"/>
  <c r="E52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W107" i="2"/>
  <c r="V32" i="4"/>
  <c r="V107" i="2"/>
  <c r="U32" i="4"/>
  <c r="U107" i="2"/>
  <c r="T32" i="4"/>
  <c r="T107" i="2"/>
  <c r="S32" i="4"/>
  <c r="S107" i="2"/>
  <c r="R32" i="4"/>
  <c r="R107" i="2"/>
  <c r="Q32" i="4"/>
  <c r="Q107" i="2"/>
  <c r="P107" i="2"/>
  <c r="O32" i="4"/>
  <c r="O107" i="2"/>
  <c r="N107" i="2"/>
  <c r="M107" i="2"/>
  <c r="L32" i="4"/>
  <c r="L107" i="2"/>
  <c r="K32" i="4"/>
  <c r="K107" i="2"/>
  <c r="J32" i="4"/>
  <c r="J107" i="2"/>
  <c r="I32" i="4"/>
  <c r="I107" i="2"/>
  <c r="H32" i="4"/>
  <c r="H107" i="2"/>
  <c r="G32" i="4"/>
  <c r="G107" i="2"/>
  <c r="F32" i="4"/>
  <c r="F107" i="2"/>
  <c r="E32" i="4"/>
  <c r="E107" i="2"/>
  <c r="D32" i="4"/>
  <c r="D107" i="2"/>
  <c r="C32" i="4"/>
  <c r="C107" i="2"/>
  <c r="B32" i="4"/>
  <c r="AB102" i="2"/>
  <c r="AB154" i="2"/>
  <c r="AA79" i="4" s="1"/>
  <c r="Z102" i="2"/>
  <c r="Z154" i="2" s="1"/>
  <c r="Y79" i="4" s="1"/>
  <c r="Y102" i="2"/>
  <c r="Y154" i="2"/>
  <c r="X79" i="4" s="1"/>
  <c r="X102" i="2"/>
  <c r="X154" i="2" s="1"/>
  <c r="W79" i="4" s="1"/>
  <c r="W102" i="2"/>
  <c r="W154" i="2"/>
  <c r="V79" i="4" s="1"/>
  <c r="V102" i="2"/>
  <c r="V154" i="2" s="1"/>
  <c r="U79" i="4" s="1"/>
  <c r="U102" i="2"/>
  <c r="S102" i="2"/>
  <c r="S154" i="2" s="1"/>
  <c r="R79" i="4"/>
  <c r="R102" i="2"/>
  <c r="R154" i="2"/>
  <c r="Q79" i="4" s="1"/>
  <c r="Q102" i="2"/>
  <c r="Q154" i="2" s="1"/>
  <c r="P79" i="4"/>
  <c r="P102" i="2"/>
  <c r="P154" i="2"/>
  <c r="O79" i="4" s="1"/>
  <c r="O102" i="2"/>
  <c r="O154" i="2" s="1"/>
  <c r="N79" i="4"/>
  <c r="N102" i="2"/>
  <c r="N154" i="2"/>
  <c r="M79" i="4" s="1"/>
  <c r="M102" i="2"/>
  <c r="M154" i="2" s="1"/>
  <c r="L79" i="4"/>
  <c r="K102" i="2"/>
  <c r="K154" i="2"/>
  <c r="J79" i="4" s="1"/>
  <c r="J102" i="2"/>
  <c r="J154" i="2" s="1"/>
  <c r="I79" i="4"/>
  <c r="I102" i="2"/>
  <c r="I154" i="2"/>
  <c r="H79" i="4" s="1"/>
  <c r="H102" i="2"/>
  <c r="H154" i="2" s="1"/>
  <c r="G79" i="4"/>
  <c r="F102" i="2"/>
  <c r="F154" i="2"/>
  <c r="E79" i="4" s="1"/>
  <c r="E102" i="2"/>
  <c r="E154" i="2" s="1"/>
  <c r="D79" i="4"/>
  <c r="D102" i="2"/>
  <c r="AB101" i="2"/>
  <c r="AB153" i="2" s="1"/>
  <c r="AA78" i="4" s="1"/>
  <c r="Z101" i="2"/>
  <c r="Z153" i="2"/>
  <c r="Y78" i="4" s="1"/>
  <c r="Y101" i="2"/>
  <c r="Y153" i="2" s="1"/>
  <c r="X78" i="4" s="1"/>
  <c r="X101" i="2"/>
  <c r="X153" i="2"/>
  <c r="W78" i="4" s="1"/>
  <c r="W101" i="2"/>
  <c r="W153" i="2" s="1"/>
  <c r="V78" i="4" s="1"/>
  <c r="V101" i="2"/>
  <c r="V153" i="2"/>
  <c r="U78" i="4" s="1"/>
  <c r="U101" i="2"/>
  <c r="S101" i="2"/>
  <c r="S153" i="2"/>
  <c r="R78" i="4" s="1"/>
  <c r="R101" i="2"/>
  <c r="R153" i="2" s="1"/>
  <c r="Q78" i="4"/>
  <c r="Q101" i="2"/>
  <c r="Q153" i="2"/>
  <c r="P78" i="4" s="1"/>
  <c r="P101" i="2"/>
  <c r="P153" i="2" s="1"/>
  <c r="O78" i="4"/>
  <c r="O101" i="2"/>
  <c r="O153" i="2"/>
  <c r="N78" i="4" s="1"/>
  <c r="N101" i="2"/>
  <c r="N153" i="2" s="1"/>
  <c r="M78" i="4"/>
  <c r="M101" i="2"/>
  <c r="M153" i="2"/>
  <c r="L78" i="4" s="1"/>
  <c r="K101" i="2"/>
  <c r="K153" i="2" s="1"/>
  <c r="J78" i="4"/>
  <c r="J101" i="2"/>
  <c r="J153" i="2"/>
  <c r="I78" i="4" s="1"/>
  <c r="I101" i="2"/>
  <c r="I153" i="2" s="1"/>
  <c r="H78" i="4"/>
  <c r="H101" i="2"/>
  <c r="H153" i="2"/>
  <c r="G78" i="4" s="1"/>
  <c r="F101" i="2"/>
  <c r="F153" i="2" s="1"/>
  <c r="E78" i="4"/>
  <c r="D101" i="2"/>
  <c r="AB100" i="2"/>
  <c r="AB152" i="2" s="1"/>
  <c r="AA77" i="4" s="1"/>
  <c r="Z100" i="2"/>
  <c r="Z152" i="2"/>
  <c r="Y77" i="4" s="1"/>
  <c r="Y100" i="2"/>
  <c r="Y152" i="2" s="1"/>
  <c r="X77" i="4" s="1"/>
  <c r="X100" i="2"/>
  <c r="X152" i="2"/>
  <c r="W77" i="4" s="1"/>
  <c r="W100" i="2"/>
  <c r="W152" i="2" s="1"/>
  <c r="V77" i="4" s="1"/>
  <c r="V100" i="2"/>
  <c r="V152" i="2"/>
  <c r="U77" i="4" s="1"/>
  <c r="U100" i="2"/>
  <c r="S100" i="2"/>
  <c r="S152" i="2"/>
  <c r="R77" i="4" s="1"/>
  <c r="R100" i="2"/>
  <c r="R152" i="2" s="1"/>
  <c r="Q77" i="4"/>
  <c r="Q100" i="2"/>
  <c r="Q152" i="2"/>
  <c r="P77" i="4" s="1"/>
  <c r="P100" i="2"/>
  <c r="P152" i="2" s="1"/>
  <c r="O77" i="4"/>
  <c r="O100" i="2"/>
  <c r="O152" i="2"/>
  <c r="N77" i="4" s="1"/>
  <c r="N100" i="2"/>
  <c r="N152" i="2" s="1"/>
  <c r="M77" i="4"/>
  <c r="M100" i="2"/>
  <c r="M152" i="2"/>
  <c r="L77" i="4" s="1"/>
  <c r="K100" i="2"/>
  <c r="K152" i="2" s="1"/>
  <c r="J77" i="4"/>
  <c r="J100" i="2"/>
  <c r="J152" i="2"/>
  <c r="I77" i="4" s="1"/>
  <c r="I100" i="2"/>
  <c r="I152" i="2" s="1"/>
  <c r="H77" i="4"/>
  <c r="H100" i="2"/>
  <c r="H152" i="2"/>
  <c r="G77" i="4" s="1"/>
  <c r="F100" i="2"/>
  <c r="F152" i="2" s="1"/>
  <c r="E77" i="4"/>
  <c r="E100" i="2"/>
  <c r="E152" i="2"/>
  <c r="D77" i="4" s="1"/>
  <c r="D100" i="2"/>
  <c r="AB99" i="2"/>
  <c r="AB151" i="2"/>
  <c r="AA76" i="4" s="1"/>
  <c r="Z99" i="2"/>
  <c r="Z151" i="2" s="1"/>
  <c r="Y76" i="4" s="1"/>
  <c r="Y99" i="2"/>
  <c r="Y151" i="2"/>
  <c r="X76" i="4" s="1"/>
  <c r="X99" i="2"/>
  <c r="X151" i="2" s="1"/>
  <c r="W76" i="4" s="1"/>
  <c r="W99" i="2"/>
  <c r="W151" i="2"/>
  <c r="V76" i="4" s="1"/>
  <c r="V99" i="2"/>
  <c r="V151" i="2" s="1"/>
  <c r="U76" i="4" s="1"/>
  <c r="U99" i="2"/>
  <c r="S99" i="2"/>
  <c r="S151" i="2" s="1"/>
  <c r="R76" i="4"/>
  <c r="R99" i="2"/>
  <c r="R151" i="2"/>
  <c r="Q76" i="4" s="1"/>
  <c r="Q99" i="2"/>
  <c r="Q151" i="2" s="1"/>
  <c r="P76" i="4"/>
  <c r="P99" i="2"/>
  <c r="P151" i="2"/>
  <c r="O76" i="4" s="1"/>
  <c r="O99" i="2"/>
  <c r="O151" i="2" s="1"/>
  <c r="N76" i="4"/>
  <c r="N99" i="2"/>
  <c r="N151" i="2"/>
  <c r="M76" i="4" s="1"/>
  <c r="M99" i="2"/>
  <c r="M151" i="2" s="1"/>
  <c r="L76" i="4"/>
  <c r="K99" i="2"/>
  <c r="K151" i="2"/>
  <c r="J76" i="4" s="1"/>
  <c r="J99" i="2"/>
  <c r="J151" i="2" s="1"/>
  <c r="I76" i="4"/>
  <c r="I99" i="2"/>
  <c r="I151" i="2"/>
  <c r="H76" i="4" s="1"/>
  <c r="H99" i="2"/>
  <c r="H151" i="2" s="1"/>
  <c r="G76" i="4"/>
  <c r="F99" i="2"/>
  <c r="F151" i="2"/>
  <c r="E76" i="4" s="1"/>
  <c r="D99" i="2"/>
  <c r="AB98" i="2"/>
  <c r="Z98" i="2"/>
  <c r="Z150" i="2" s="1"/>
  <c r="Y75" i="4"/>
  <c r="Y98" i="2"/>
  <c r="Y150" i="2"/>
  <c r="X75" i="4" s="1"/>
  <c r="X98" i="2"/>
  <c r="X150" i="2" s="1"/>
  <c r="W75" i="4"/>
  <c r="W98" i="2"/>
  <c r="W150" i="2"/>
  <c r="V75" i="4" s="1"/>
  <c r="V98" i="2"/>
  <c r="V150" i="2" s="1"/>
  <c r="U75" i="4"/>
  <c r="U98" i="2"/>
  <c r="S98" i="2"/>
  <c r="S150" i="2" s="1"/>
  <c r="R75" i="4" s="1"/>
  <c r="R98" i="2"/>
  <c r="R150" i="2"/>
  <c r="Q75" i="4" s="1"/>
  <c r="Q98" i="2"/>
  <c r="Q150" i="2" s="1"/>
  <c r="P75" i="4" s="1"/>
  <c r="P98" i="2"/>
  <c r="P150" i="2"/>
  <c r="O75" i="4" s="1"/>
  <c r="O98" i="2"/>
  <c r="O150" i="2" s="1"/>
  <c r="N75" i="4" s="1"/>
  <c r="N98" i="2"/>
  <c r="N150" i="2"/>
  <c r="M75" i="4" s="1"/>
  <c r="M98" i="2"/>
  <c r="M150" i="2" s="1"/>
  <c r="L75" i="4" s="1"/>
  <c r="K98" i="2"/>
  <c r="K150" i="2"/>
  <c r="J75" i="4" s="1"/>
  <c r="J98" i="2"/>
  <c r="J150" i="2" s="1"/>
  <c r="I75" i="4" s="1"/>
  <c r="I98" i="2"/>
  <c r="I150" i="2"/>
  <c r="H75" i="4" s="1"/>
  <c r="H98" i="2"/>
  <c r="H150" i="2" s="1"/>
  <c r="G75" i="4" s="1"/>
  <c r="E98" i="2"/>
  <c r="E150" i="2" s="1"/>
  <c r="D75" i="4" s="1"/>
  <c r="AB97" i="2"/>
  <c r="AB149" i="2"/>
  <c r="AA74" i="4" s="1"/>
  <c r="Z97" i="2"/>
  <c r="Z149" i="2" s="1"/>
  <c r="Y74" i="4" s="1"/>
  <c r="Y97" i="2"/>
  <c r="Y149" i="2"/>
  <c r="X74" i="4" s="1"/>
  <c r="X97" i="2"/>
  <c r="X149" i="2" s="1"/>
  <c r="W74" i="4" s="1"/>
  <c r="W97" i="2"/>
  <c r="W149" i="2"/>
  <c r="V74" i="4" s="1"/>
  <c r="V97" i="2"/>
  <c r="V149" i="2" s="1"/>
  <c r="U74" i="4" s="1"/>
  <c r="U97" i="2"/>
  <c r="S97" i="2"/>
  <c r="S149" i="2" s="1"/>
  <c r="R74" i="4" s="1"/>
  <c r="R97" i="2"/>
  <c r="R149" i="2"/>
  <c r="Q74" i="4" s="1"/>
  <c r="Q97" i="2"/>
  <c r="Q149" i="2" s="1"/>
  <c r="P74" i="4" s="1"/>
  <c r="P97" i="2"/>
  <c r="P149" i="2"/>
  <c r="O74" i="4" s="1"/>
  <c r="O97" i="2"/>
  <c r="O149" i="2" s="1"/>
  <c r="N74" i="4" s="1"/>
  <c r="N97" i="2"/>
  <c r="N149" i="2"/>
  <c r="M74" i="4" s="1"/>
  <c r="M97" i="2"/>
  <c r="M149" i="2" s="1"/>
  <c r="L74" i="4" s="1"/>
  <c r="K97" i="2"/>
  <c r="K149" i="2"/>
  <c r="J74" i="4" s="1"/>
  <c r="J97" i="2"/>
  <c r="J149" i="2" s="1"/>
  <c r="I74" i="4" s="1"/>
  <c r="I97" i="2"/>
  <c r="I149" i="2"/>
  <c r="H74" i="4" s="1"/>
  <c r="H97" i="2"/>
  <c r="H149" i="2" s="1"/>
  <c r="G74" i="4" s="1"/>
  <c r="F97" i="2"/>
  <c r="F149" i="2"/>
  <c r="E74" i="4" s="1"/>
  <c r="E97" i="2"/>
  <c r="E149" i="2" s="1"/>
  <c r="D74" i="4" s="1"/>
  <c r="D97" i="2"/>
  <c r="AB96" i="2"/>
  <c r="AB148" i="2" s="1"/>
  <c r="AA73" i="4" s="1"/>
  <c r="Z96" i="2"/>
  <c r="Z148" i="2"/>
  <c r="Y73" i="4" s="1"/>
  <c r="Y96" i="2"/>
  <c r="Y148" i="2" s="1"/>
  <c r="X73" i="4" s="1"/>
  <c r="X96" i="2"/>
  <c r="X148" i="2"/>
  <c r="W73" i="4" s="1"/>
  <c r="W96" i="2"/>
  <c r="W148" i="2" s="1"/>
  <c r="V73" i="4" s="1"/>
  <c r="V96" i="2"/>
  <c r="V148" i="2"/>
  <c r="U73" i="4" s="1"/>
  <c r="U96" i="2"/>
  <c r="S96" i="2"/>
  <c r="S148" i="2"/>
  <c r="R73" i="4" s="1"/>
  <c r="R96" i="2"/>
  <c r="R148" i="2" s="1"/>
  <c r="Q73" i="4" s="1"/>
  <c r="Q96" i="2"/>
  <c r="Q148" i="2"/>
  <c r="P73" i="4" s="1"/>
  <c r="P96" i="2"/>
  <c r="P148" i="2" s="1"/>
  <c r="O73" i="4" s="1"/>
  <c r="O96" i="2"/>
  <c r="O148" i="2"/>
  <c r="N73" i="4" s="1"/>
  <c r="N96" i="2"/>
  <c r="N148" i="2" s="1"/>
  <c r="M73" i="4" s="1"/>
  <c r="M96" i="2"/>
  <c r="M148" i="2"/>
  <c r="L73" i="4" s="1"/>
  <c r="K96" i="2"/>
  <c r="K148" i="2" s="1"/>
  <c r="J73" i="4" s="1"/>
  <c r="J96" i="2"/>
  <c r="J148" i="2"/>
  <c r="I73" i="4" s="1"/>
  <c r="I96" i="2"/>
  <c r="I148" i="2" s="1"/>
  <c r="H73" i="4" s="1"/>
  <c r="H96" i="2"/>
  <c r="H148" i="2"/>
  <c r="G73" i="4" s="1"/>
  <c r="F96" i="2"/>
  <c r="F148" i="2" s="1"/>
  <c r="E73" i="4" s="1"/>
  <c r="E96" i="2"/>
  <c r="E148" i="2"/>
  <c r="D73" i="4" s="1"/>
  <c r="D96" i="2"/>
  <c r="AB95" i="2"/>
  <c r="AB147" i="2"/>
  <c r="AA72" i="4" s="1"/>
  <c r="Z95" i="2"/>
  <c r="Z147" i="2" s="1"/>
  <c r="Y72" i="4" s="1"/>
  <c r="Y95" i="2"/>
  <c r="Y147" i="2"/>
  <c r="X72" i="4" s="1"/>
  <c r="X95" i="2"/>
  <c r="X147" i="2" s="1"/>
  <c r="W72" i="4" s="1"/>
  <c r="W95" i="2"/>
  <c r="W147" i="2"/>
  <c r="V72" i="4" s="1"/>
  <c r="V95" i="2"/>
  <c r="V147" i="2" s="1"/>
  <c r="U72" i="4" s="1"/>
  <c r="U95" i="2"/>
  <c r="S95" i="2"/>
  <c r="S147" i="2" s="1"/>
  <c r="R72" i="4" s="1"/>
  <c r="R95" i="2"/>
  <c r="R147" i="2"/>
  <c r="Q72" i="4" s="1"/>
  <c r="Q95" i="2"/>
  <c r="Q147" i="2" s="1"/>
  <c r="P72" i="4" s="1"/>
  <c r="P95" i="2"/>
  <c r="P147" i="2"/>
  <c r="O72" i="4" s="1"/>
  <c r="O95" i="2"/>
  <c r="O147" i="2" s="1"/>
  <c r="N72" i="4" s="1"/>
  <c r="N95" i="2"/>
  <c r="N147" i="2"/>
  <c r="M72" i="4" s="1"/>
  <c r="M95" i="2"/>
  <c r="M147" i="2" s="1"/>
  <c r="L72" i="4" s="1"/>
  <c r="K95" i="2"/>
  <c r="K147" i="2"/>
  <c r="J72" i="4" s="1"/>
  <c r="J95" i="2"/>
  <c r="J147" i="2" s="1"/>
  <c r="I72" i="4" s="1"/>
  <c r="I95" i="2"/>
  <c r="I147" i="2"/>
  <c r="H72" i="4" s="1"/>
  <c r="H95" i="2"/>
  <c r="H147" i="2" s="1"/>
  <c r="G72" i="4" s="1"/>
  <c r="F95" i="2"/>
  <c r="F147" i="2"/>
  <c r="E72" i="4" s="1"/>
  <c r="E95" i="2"/>
  <c r="E147" i="2" s="1"/>
  <c r="D72" i="4" s="1"/>
  <c r="D95" i="2"/>
  <c r="AB94" i="2"/>
  <c r="AB146" i="2" s="1"/>
  <c r="AA71" i="4" s="1"/>
  <c r="Z94" i="2"/>
  <c r="Z146" i="2"/>
  <c r="Y71" i="4" s="1"/>
  <c r="Y94" i="2"/>
  <c r="Y146" i="2" s="1"/>
  <c r="X71" i="4" s="1"/>
  <c r="X94" i="2"/>
  <c r="X146" i="2"/>
  <c r="W71" i="4" s="1"/>
  <c r="W94" i="2"/>
  <c r="W146" i="2" s="1"/>
  <c r="V71" i="4" s="1"/>
  <c r="V94" i="2"/>
  <c r="V146" i="2"/>
  <c r="U71" i="4" s="1"/>
  <c r="U94" i="2"/>
  <c r="S94" i="2"/>
  <c r="S146" i="2"/>
  <c r="R71" i="4" s="1"/>
  <c r="R94" i="2"/>
  <c r="R146" i="2" s="1"/>
  <c r="Q71" i="4" s="1"/>
  <c r="Q94" i="2"/>
  <c r="Q146" i="2"/>
  <c r="P71" i="4" s="1"/>
  <c r="P94" i="2"/>
  <c r="P146" i="2" s="1"/>
  <c r="O71" i="4" s="1"/>
  <c r="O94" i="2"/>
  <c r="O146" i="2"/>
  <c r="N71" i="4" s="1"/>
  <c r="N94" i="2"/>
  <c r="N146" i="2" s="1"/>
  <c r="M71" i="4" s="1"/>
  <c r="M94" i="2"/>
  <c r="M146" i="2"/>
  <c r="L71" i="4" s="1"/>
  <c r="K94" i="2"/>
  <c r="K146" i="2" s="1"/>
  <c r="J71" i="4" s="1"/>
  <c r="J94" i="2"/>
  <c r="J146" i="2"/>
  <c r="I71" i="4" s="1"/>
  <c r="I94" i="2"/>
  <c r="I146" i="2" s="1"/>
  <c r="H71" i="4" s="1"/>
  <c r="H94" i="2"/>
  <c r="H146" i="2"/>
  <c r="G71" i="4" s="1"/>
  <c r="F94" i="2"/>
  <c r="F146" i="2" s="1"/>
  <c r="E71" i="4" s="1"/>
  <c r="E94" i="2"/>
  <c r="E146" i="2"/>
  <c r="D71" i="4" s="1"/>
  <c r="D94" i="2"/>
  <c r="AB93" i="2"/>
  <c r="AB145" i="2"/>
  <c r="AA70" i="4" s="1"/>
  <c r="Z93" i="2"/>
  <c r="Z145" i="2" s="1"/>
  <c r="Y70" i="4" s="1"/>
  <c r="Y93" i="2"/>
  <c r="Y145" i="2"/>
  <c r="X70" i="4" s="1"/>
  <c r="X93" i="2"/>
  <c r="X145" i="2" s="1"/>
  <c r="W70" i="4" s="1"/>
  <c r="W93" i="2"/>
  <c r="W145" i="2"/>
  <c r="V70" i="4" s="1"/>
  <c r="V93" i="2"/>
  <c r="V145" i="2" s="1"/>
  <c r="U70" i="4" s="1"/>
  <c r="U93" i="2"/>
  <c r="S93" i="2"/>
  <c r="S145" i="2" s="1"/>
  <c r="R70" i="4" s="1"/>
  <c r="R93" i="2"/>
  <c r="R145" i="2"/>
  <c r="Q70" i="4" s="1"/>
  <c r="Q93" i="2"/>
  <c r="Q145" i="2" s="1"/>
  <c r="P70" i="4" s="1"/>
  <c r="P93" i="2"/>
  <c r="P145" i="2"/>
  <c r="O70" i="4" s="1"/>
  <c r="O93" i="2"/>
  <c r="O145" i="2" s="1"/>
  <c r="N70" i="4" s="1"/>
  <c r="N93" i="2"/>
  <c r="N145" i="2"/>
  <c r="M70" i="4" s="1"/>
  <c r="M93" i="2"/>
  <c r="M145" i="2" s="1"/>
  <c r="L70" i="4" s="1"/>
  <c r="K93" i="2"/>
  <c r="K145" i="2"/>
  <c r="J70" i="4" s="1"/>
  <c r="J93" i="2"/>
  <c r="J145" i="2" s="1"/>
  <c r="I70" i="4" s="1"/>
  <c r="I93" i="2"/>
  <c r="I145" i="2"/>
  <c r="H70" i="4" s="1"/>
  <c r="H93" i="2"/>
  <c r="H145" i="2" s="1"/>
  <c r="G70" i="4" s="1"/>
  <c r="F93" i="2"/>
  <c r="F145" i="2"/>
  <c r="E70" i="4" s="1"/>
  <c r="E93" i="2"/>
  <c r="E145" i="2" s="1"/>
  <c r="D70" i="4" s="1"/>
  <c r="D93" i="2"/>
  <c r="AB92" i="2"/>
  <c r="AB144" i="2" s="1"/>
  <c r="AA69" i="4" s="1"/>
  <c r="Z92" i="2"/>
  <c r="Z144" i="2"/>
  <c r="Y69" i="4" s="1"/>
  <c r="Y92" i="2"/>
  <c r="Y144" i="2" s="1"/>
  <c r="X69" i="4" s="1"/>
  <c r="X92" i="2"/>
  <c r="X144" i="2"/>
  <c r="W69" i="4" s="1"/>
  <c r="W92" i="2"/>
  <c r="W144" i="2" s="1"/>
  <c r="V69" i="4" s="1"/>
  <c r="V92" i="2"/>
  <c r="V144" i="2"/>
  <c r="U69" i="4" s="1"/>
  <c r="U92" i="2"/>
  <c r="S92" i="2"/>
  <c r="S144" i="2"/>
  <c r="R69" i="4" s="1"/>
  <c r="R92" i="2"/>
  <c r="R144" i="2" s="1"/>
  <c r="Q69" i="4" s="1"/>
  <c r="Q92" i="2"/>
  <c r="Q144" i="2"/>
  <c r="P69" i="4" s="1"/>
  <c r="P92" i="2"/>
  <c r="P144" i="2" s="1"/>
  <c r="O69" i="4" s="1"/>
  <c r="O92" i="2"/>
  <c r="O144" i="2"/>
  <c r="N69" i="4" s="1"/>
  <c r="N92" i="2"/>
  <c r="N144" i="2" s="1"/>
  <c r="M69" i="4" s="1"/>
  <c r="M92" i="2"/>
  <c r="M144" i="2"/>
  <c r="L69" i="4" s="1"/>
  <c r="K92" i="2"/>
  <c r="K144" i="2" s="1"/>
  <c r="J69" i="4" s="1"/>
  <c r="J92" i="2"/>
  <c r="J144" i="2"/>
  <c r="I69" i="4" s="1"/>
  <c r="I92" i="2"/>
  <c r="I144" i="2" s="1"/>
  <c r="H69" i="4" s="1"/>
  <c r="H92" i="2"/>
  <c r="H144" i="2"/>
  <c r="G69" i="4" s="1"/>
  <c r="F92" i="2"/>
  <c r="F144" i="2" s="1"/>
  <c r="E69" i="4" s="1"/>
  <c r="E92" i="2"/>
  <c r="E144" i="2"/>
  <c r="D69" i="4" s="1"/>
  <c r="D92" i="2"/>
  <c r="AB91" i="2"/>
  <c r="AB143" i="2"/>
  <c r="AA68" i="4" s="1"/>
  <c r="Z91" i="2"/>
  <c r="Z143" i="2" s="1"/>
  <c r="Y68" i="4" s="1"/>
  <c r="Y91" i="2"/>
  <c r="Y143" i="2"/>
  <c r="X68" i="4" s="1"/>
  <c r="X91" i="2"/>
  <c r="X143" i="2" s="1"/>
  <c r="W68" i="4" s="1"/>
  <c r="W91" i="2"/>
  <c r="W143" i="2"/>
  <c r="V68" i="4" s="1"/>
  <c r="V91" i="2"/>
  <c r="V143" i="2" s="1"/>
  <c r="U68" i="4" s="1"/>
  <c r="U91" i="2"/>
  <c r="S91" i="2"/>
  <c r="S143" i="2" s="1"/>
  <c r="R68" i="4" s="1"/>
  <c r="R91" i="2"/>
  <c r="R143" i="2"/>
  <c r="Q68" i="4" s="1"/>
  <c r="Q91" i="2"/>
  <c r="Q143" i="2" s="1"/>
  <c r="P68" i="4" s="1"/>
  <c r="P91" i="2"/>
  <c r="P143" i="2"/>
  <c r="O68" i="4" s="1"/>
  <c r="O91" i="2"/>
  <c r="O143" i="2" s="1"/>
  <c r="N68" i="4" s="1"/>
  <c r="N91" i="2"/>
  <c r="N143" i="2"/>
  <c r="M68" i="4" s="1"/>
  <c r="M91" i="2"/>
  <c r="M143" i="2" s="1"/>
  <c r="L68" i="4" s="1"/>
  <c r="K91" i="2"/>
  <c r="K143" i="2"/>
  <c r="J68" i="4" s="1"/>
  <c r="J91" i="2"/>
  <c r="J143" i="2" s="1"/>
  <c r="I68" i="4" s="1"/>
  <c r="I91" i="2"/>
  <c r="I143" i="2"/>
  <c r="H68" i="4" s="1"/>
  <c r="H91" i="2"/>
  <c r="H143" i="2" s="1"/>
  <c r="G68" i="4" s="1"/>
  <c r="F91" i="2"/>
  <c r="F143" i="2"/>
  <c r="E68" i="4" s="1"/>
  <c r="E91" i="2"/>
  <c r="E143" i="2" s="1"/>
  <c r="D68" i="4" s="1"/>
  <c r="D91" i="2"/>
  <c r="AB90" i="2"/>
  <c r="AB142" i="2" s="1"/>
  <c r="AA67" i="4" s="1"/>
  <c r="Z90" i="2"/>
  <c r="Z142" i="2"/>
  <c r="Y67" i="4" s="1"/>
  <c r="Y90" i="2"/>
  <c r="Y142" i="2" s="1"/>
  <c r="X67" i="4" s="1"/>
  <c r="X90" i="2"/>
  <c r="X142" i="2"/>
  <c r="W67" i="4" s="1"/>
  <c r="W90" i="2"/>
  <c r="W142" i="2" s="1"/>
  <c r="V67" i="4" s="1"/>
  <c r="V90" i="2"/>
  <c r="V142" i="2"/>
  <c r="U67" i="4" s="1"/>
  <c r="U90" i="2"/>
  <c r="S90" i="2"/>
  <c r="S142" i="2"/>
  <c r="R67" i="4" s="1"/>
  <c r="R90" i="2"/>
  <c r="R142" i="2" s="1"/>
  <c r="Q67" i="4" s="1"/>
  <c r="Q90" i="2"/>
  <c r="Q142" i="2"/>
  <c r="P67" i="4" s="1"/>
  <c r="P90" i="2"/>
  <c r="P142" i="2" s="1"/>
  <c r="O67" i="4" s="1"/>
  <c r="O90" i="2"/>
  <c r="O142" i="2"/>
  <c r="N67" i="4" s="1"/>
  <c r="N90" i="2"/>
  <c r="N142" i="2" s="1"/>
  <c r="M67" i="4" s="1"/>
  <c r="M90" i="2"/>
  <c r="M142" i="2"/>
  <c r="L67" i="4" s="1"/>
  <c r="K90" i="2"/>
  <c r="K142" i="2" s="1"/>
  <c r="J67" i="4" s="1"/>
  <c r="J90" i="2"/>
  <c r="J142" i="2"/>
  <c r="I67" i="4" s="1"/>
  <c r="I90" i="2"/>
  <c r="I142" i="2" s="1"/>
  <c r="H67" i="4" s="1"/>
  <c r="H90" i="2"/>
  <c r="H142" i="2"/>
  <c r="G67" i="4" s="1"/>
  <c r="F90" i="2"/>
  <c r="F142" i="2" s="1"/>
  <c r="E67" i="4" s="1"/>
  <c r="E90" i="2"/>
  <c r="E142" i="2"/>
  <c r="D67" i="4" s="1"/>
  <c r="D90" i="2"/>
  <c r="AB89" i="2"/>
  <c r="AB141" i="2"/>
  <c r="AA66" i="4" s="1"/>
  <c r="Z89" i="2"/>
  <c r="Z141" i="2" s="1"/>
  <c r="Y66" i="4" s="1"/>
  <c r="Y89" i="2"/>
  <c r="Y141" i="2"/>
  <c r="X66" i="4" s="1"/>
  <c r="X89" i="2"/>
  <c r="X141" i="2" s="1"/>
  <c r="W66" i="4" s="1"/>
  <c r="W89" i="2"/>
  <c r="W141" i="2"/>
  <c r="V66" i="4" s="1"/>
  <c r="V89" i="2"/>
  <c r="V141" i="2" s="1"/>
  <c r="U66" i="4" s="1"/>
  <c r="U89" i="2"/>
  <c r="S89" i="2"/>
  <c r="S141" i="2" s="1"/>
  <c r="R66" i="4" s="1"/>
  <c r="R89" i="2"/>
  <c r="R141" i="2"/>
  <c r="Q66" i="4" s="1"/>
  <c r="Q89" i="2"/>
  <c r="Q141" i="2" s="1"/>
  <c r="P66" i="4" s="1"/>
  <c r="P89" i="2"/>
  <c r="P141" i="2"/>
  <c r="O66" i="4" s="1"/>
  <c r="O89" i="2"/>
  <c r="O141" i="2" s="1"/>
  <c r="N66" i="4" s="1"/>
  <c r="N89" i="2"/>
  <c r="N141" i="2"/>
  <c r="M66" i="4" s="1"/>
  <c r="M89" i="2"/>
  <c r="M141" i="2" s="1"/>
  <c r="L66" i="4" s="1"/>
  <c r="K89" i="2"/>
  <c r="K141" i="2"/>
  <c r="J66" i="4" s="1"/>
  <c r="J89" i="2"/>
  <c r="J141" i="2" s="1"/>
  <c r="I66" i="4" s="1"/>
  <c r="I89" i="2"/>
  <c r="I141" i="2"/>
  <c r="H66" i="4" s="1"/>
  <c r="H89" i="2"/>
  <c r="H141" i="2" s="1"/>
  <c r="G66" i="4" s="1"/>
  <c r="F89" i="2"/>
  <c r="F141" i="2"/>
  <c r="E66" i="4" s="1"/>
  <c r="E89" i="2"/>
  <c r="E141" i="2" s="1"/>
  <c r="D66" i="4" s="1"/>
  <c r="D89" i="2"/>
  <c r="AB88" i="2"/>
  <c r="AB140" i="2" s="1"/>
  <c r="AA65" i="4"/>
  <c r="Z88" i="2"/>
  <c r="Z140" i="2"/>
  <c r="Y65" i="4" s="1"/>
  <c r="Y88" i="2"/>
  <c r="Y140" i="2" s="1"/>
  <c r="X65" i="4" s="1"/>
  <c r="X88" i="2"/>
  <c r="X140" i="2"/>
  <c r="W65" i="4" s="1"/>
  <c r="W88" i="2"/>
  <c r="W140" i="2" s="1"/>
  <c r="V65" i="4" s="1"/>
  <c r="V88" i="2"/>
  <c r="V140" i="2"/>
  <c r="U65" i="4" s="1"/>
  <c r="U88" i="2"/>
  <c r="S88" i="2"/>
  <c r="S140" i="2"/>
  <c r="R65" i="4" s="1"/>
  <c r="R88" i="2"/>
  <c r="R140" i="2" s="1"/>
  <c r="Q65" i="4"/>
  <c r="Q88" i="2"/>
  <c r="Q140" i="2"/>
  <c r="P65" i="4" s="1"/>
  <c r="P88" i="2"/>
  <c r="P140" i="2" s="1"/>
  <c r="O65" i="4"/>
  <c r="O88" i="2"/>
  <c r="O140" i="2"/>
  <c r="N65" i="4" s="1"/>
  <c r="N88" i="2"/>
  <c r="N140" i="2" s="1"/>
  <c r="M65" i="4" s="1"/>
  <c r="M88" i="2"/>
  <c r="M140" i="2"/>
  <c r="L65" i="4" s="1"/>
  <c r="K88" i="2"/>
  <c r="K140" i="2" s="1"/>
  <c r="J65" i="4" s="1"/>
  <c r="J88" i="2"/>
  <c r="J140" i="2"/>
  <c r="I65" i="4" s="1"/>
  <c r="I88" i="2"/>
  <c r="I140" i="2" s="1"/>
  <c r="H65" i="4" s="1"/>
  <c r="H88" i="2"/>
  <c r="H140" i="2"/>
  <c r="G65" i="4" s="1"/>
  <c r="F88" i="2"/>
  <c r="F140" i="2" s="1"/>
  <c r="E65" i="4" s="1"/>
  <c r="E88" i="2"/>
  <c r="E140" i="2"/>
  <c r="D65" i="4" s="1"/>
  <c r="AB87" i="2"/>
  <c r="AB139" i="2" s="1"/>
  <c r="AA64" i="4" s="1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K87" i="2"/>
  <c r="J87" i="2"/>
  <c r="I87" i="2"/>
  <c r="H87" i="2"/>
  <c r="E87" i="2"/>
  <c r="AB85" i="2"/>
  <c r="AB137" i="2"/>
  <c r="AA62" i="4" s="1"/>
  <c r="Z85" i="2"/>
  <c r="Z137" i="2" s="1"/>
  <c r="Y62" i="4"/>
  <c r="Y85" i="2"/>
  <c r="Y137" i="2"/>
  <c r="X62" i="4" s="1"/>
  <c r="X85" i="2"/>
  <c r="X137" i="2" s="1"/>
  <c r="W62" i="4"/>
  <c r="W85" i="2"/>
  <c r="W137" i="2"/>
  <c r="V62" i="4" s="1"/>
  <c r="V85" i="2"/>
  <c r="V137" i="2" s="1"/>
  <c r="U62" i="4"/>
  <c r="U85" i="2"/>
  <c r="S85" i="2"/>
  <c r="S137" i="2" s="1"/>
  <c r="R62" i="4" s="1"/>
  <c r="R85" i="2"/>
  <c r="R137" i="2"/>
  <c r="Q62" i="4" s="1"/>
  <c r="Q85" i="2"/>
  <c r="Q137" i="2" s="1"/>
  <c r="P62" i="4" s="1"/>
  <c r="P85" i="2"/>
  <c r="P137" i="2"/>
  <c r="O62" i="4" s="1"/>
  <c r="O85" i="2"/>
  <c r="O137" i="2" s="1"/>
  <c r="N62" i="4" s="1"/>
  <c r="N85" i="2"/>
  <c r="N137" i="2"/>
  <c r="M62" i="4" s="1"/>
  <c r="M85" i="2"/>
  <c r="M137" i="2" s="1"/>
  <c r="L62" i="4" s="1"/>
  <c r="K85" i="2"/>
  <c r="K137" i="2"/>
  <c r="J62" i="4" s="1"/>
  <c r="J85" i="2"/>
  <c r="J137" i="2" s="1"/>
  <c r="I62" i="4" s="1"/>
  <c r="I85" i="2"/>
  <c r="I137" i="2"/>
  <c r="H62" i="4" s="1"/>
  <c r="H85" i="2"/>
  <c r="H137" i="2" s="1"/>
  <c r="G62" i="4" s="1"/>
  <c r="F85" i="2"/>
  <c r="F137" i="2"/>
  <c r="E62" i="4" s="1"/>
  <c r="E85" i="2"/>
  <c r="E137" i="2" s="1"/>
  <c r="D62" i="4" s="1"/>
  <c r="D85" i="2"/>
  <c r="AB84" i="2"/>
  <c r="AB136" i="2" s="1"/>
  <c r="AA61" i="4"/>
  <c r="Z84" i="2"/>
  <c r="Z136" i="2"/>
  <c r="Y61" i="4" s="1"/>
  <c r="Y84" i="2"/>
  <c r="Y136" i="2" s="1"/>
  <c r="X61" i="4"/>
  <c r="X84" i="2"/>
  <c r="X136" i="2"/>
  <c r="W61" i="4" s="1"/>
  <c r="W84" i="2"/>
  <c r="W136" i="2" s="1"/>
  <c r="V61" i="4"/>
  <c r="V84" i="2"/>
  <c r="V136" i="2"/>
  <c r="U61" i="4" s="1"/>
  <c r="U84" i="2"/>
  <c r="S84" i="2"/>
  <c r="S136" i="2"/>
  <c r="R61" i="4" s="1"/>
  <c r="R84" i="2"/>
  <c r="R136" i="2" s="1"/>
  <c r="Q61" i="4" s="1"/>
  <c r="Q84" i="2"/>
  <c r="Q136" i="2"/>
  <c r="P61" i="4" s="1"/>
  <c r="P84" i="2"/>
  <c r="P136" i="2" s="1"/>
  <c r="O61" i="4" s="1"/>
  <c r="O84" i="2"/>
  <c r="O136" i="2"/>
  <c r="N61" i="4" s="1"/>
  <c r="N84" i="2"/>
  <c r="N136" i="2" s="1"/>
  <c r="M61" i="4" s="1"/>
  <c r="M84" i="2"/>
  <c r="M136" i="2"/>
  <c r="L61" i="4" s="1"/>
  <c r="K84" i="2"/>
  <c r="K136" i="2" s="1"/>
  <c r="J61" i="4" s="1"/>
  <c r="J84" i="2"/>
  <c r="J136" i="2"/>
  <c r="I61" i="4" s="1"/>
  <c r="I84" i="2"/>
  <c r="I136" i="2" s="1"/>
  <c r="H61" i="4" s="1"/>
  <c r="H84" i="2"/>
  <c r="H136" i="2"/>
  <c r="G61" i="4" s="1"/>
  <c r="F84" i="2"/>
  <c r="F136" i="2" s="1"/>
  <c r="E61" i="4" s="1"/>
  <c r="E84" i="2"/>
  <c r="E136" i="2"/>
  <c r="D61" i="4" s="1"/>
  <c r="D84" i="2"/>
  <c r="AB83" i="2"/>
  <c r="Z83" i="2"/>
  <c r="Z135" i="2" s="1"/>
  <c r="Y60" i="4" s="1"/>
  <c r="Y83" i="2"/>
  <c r="Y135" i="2"/>
  <c r="X60" i="4" s="1"/>
  <c r="X83" i="2"/>
  <c r="X135" i="2" s="1"/>
  <c r="W60" i="4" s="1"/>
  <c r="W83" i="2"/>
  <c r="W135" i="2"/>
  <c r="V60" i="4" s="1"/>
  <c r="V83" i="2"/>
  <c r="V135" i="2" s="1"/>
  <c r="U60" i="4" s="1"/>
  <c r="U83" i="2"/>
  <c r="S83" i="2"/>
  <c r="S135" i="2" s="1"/>
  <c r="R60" i="4"/>
  <c r="R83" i="2"/>
  <c r="R135" i="2"/>
  <c r="Q60" i="4" s="1"/>
  <c r="Q83" i="2"/>
  <c r="Q135" i="2" s="1"/>
  <c r="P60" i="4"/>
  <c r="P83" i="2"/>
  <c r="P135" i="2"/>
  <c r="O60" i="4" s="1"/>
  <c r="O83" i="2"/>
  <c r="O135" i="2" s="1"/>
  <c r="N60" i="4"/>
  <c r="N83" i="2"/>
  <c r="N135" i="2"/>
  <c r="M60" i="4" s="1"/>
  <c r="M83" i="2"/>
  <c r="K83" i="2"/>
  <c r="K135" i="2"/>
  <c r="J60" i="4" s="1"/>
  <c r="J83" i="2"/>
  <c r="J135" i="2" s="1"/>
  <c r="I60" i="4" s="1"/>
  <c r="I83" i="2"/>
  <c r="I135" i="2"/>
  <c r="H60" i="4" s="1"/>
  <c r="H83" i="2"/>
  <c r="H135" i="2" s="1"/>
  <c r="G60" i="4" s="1"/>
  <c r="F83" i="2"/>
  <c r="F135" i="2"/>
  <c r="E60" i="4" s="1"/>
  <c r="E83" i="2"/>
  <c r="E135" i="2" s="1"/>
  <c r="D60" i="4" s="1"/>
  <c r="D83" i="2"/>
  <c r="AB82" i="2"/>
  <c r="AB134" i="2" s="1"/>
  <c r="AA59" i="4"/>
  <c r="Z82" i="2"/>
  <c r="Z134" i="2"/>
  <c r="Y59" i="4" s="1"/>
  <c r="Y82" i="2"/>
  <c r="Y134" i="2" s="1"/>
  <c r="X59" i="4"/>
  <c r="X82" i="2"/>
  <c r="X134" i="2"/>
  <c r="W59" i="4" s="1"/>
  <c r="W82" i="2"/>
  <c r="W134" i="2" s="1"/>
  <c r="V59" i="4"/>
  <c r="V82" i="2"/>
  <c r="V134" i="2"/>
  <c r="U59" i="4" s="1"/>
  <c r="U82" i="2"/>
  <c r="S82" i="2"/>
  <c r="S134" i="2"/>
  <c r="R59" i="4" s="1"/>
  <c r="R82" i="2"/>
  <c r="R134" i="2" s="1"/>
  <c r="Q59" i="4" s="1"/>
  <c r="Q82" i="2"/>
  <c r="Q134" i="2"/>
  <c r="P59" i="4" s="1"/>
  <c r="P82" i="2"/>
  <c r="P134" i="2" s="1"/>
  <c r="O59" i="4" s="1"/>
  <c r="O82" i="2"/>
  <c r="O134" i="2"/>
  <c r="N59" i="4" s="1"/>
  <c r="N82" i="2"/>
  <c r="N134" i="2" s="1"/>
  <c r="M59" i="4" s="1"/>
  <c r="M82" i="2"/>
  <c r="K82" i="2"/>
  <c r="K134" i="2" s="1"/>
  <c r="J59" i="4"/>
  <c r="J82" i="2"/>
  <c r="J134" i="2"/>
  <c r="I59" i="4" s="1"/>
  <c r="I82" i="2"/>
  <c r="I134" i="2" s="1"/>
  <c r="H59" i="4"/>
  <c r="H82" i="2"/>
  <c r="H134" i="2"/>
  <c r="G59" i="4" s="1"/>
  <c r="F82" i="2"/>
  <c r="F134" i="2" s="1"/>
  <c r="E59" i="4"/>
  <c r="E82" i="2"/>
  <c r="E134" i="2"/>
  <c r="D59" i="4" s="1"/>
  <c r="D82" i="2"/>
  <c r="AB81" i="2"/>
  <c r="AB133" i="2"/>
  <c r="AA58" i="4" s="1"/>
  <c r="Z81" i="2"/>
  <c r="Z133" i="2" s="1"/>
  <c r="Y58" i="4" s="1"/>
  <c r="Y81" i="2"/>
  <c r="Y133" i="2"/>
  <c r="X58" i="4" s="1"/>
  <c r="X81" i="2"/>
  <c r="X133" i="2" s="1"/>
  <c r="W58" i="4" s="1"/>
  <c r="W81" i="2"/>
  <c r="W133" i="2"/>
  <c r="V58" i="4" s="1"/>
  <c r="V81" i="2"/>
  <c r="V133" i="2" s="1"/>
  <c r="U58" i="4" s="1"/>
  <c r="U81" i="2"/>
  <c r="S81" i="2"/>
  <c r="S133" i="2"/>
  <c r="R58" i="4" s="1"/>
  <c r="R81" i="2"/>
  <c r="R133" i="2" s="1"/>
  <c r="Q58" i="4" s="1"/>
  <c r="Q81" i="2"/>
  <c r="Q133" i="2"/>
  <c r="P58" i="4" s="1"/>
  <c r="P81" i="2"/>
  <c r="P133" i="2" s="1"/>
  <c r="O58" i="4" s="1"/>
  <c r="O81" i="2"/>
  <c r="O133" i="2"/>
  <c r="N58" i="4" s="1"/>
  <c r="N81" i="2"/>
  <c r="N133" i="2" s="1"/>
  <c r="M58" i="4" s="1"/>
  <c r="M81" i="2"/>
  <c r="K81" i="2"/>
  <c r="K133" i="2" s="1"/>
  <c r="J58" i="4" s="1"/>
  <c r="J81" i="2"/>
  <c r="J133" i="2"/>
  <c r="I58" i="4" s="1"/>
  <c r="I81" i="2"/>
  <c r="I133" i="2" s="1"/>
  <c r="H58" i="4" s="1"/>
  <c r="H81" i="2"/>
  <c r="H133" i="2"/>
  <c r="G58" i="4" s="1"/>
  <c r="F81" i="2"/>
  <c r="F133" i="2" s="1"/>
  <c r="E58" i="4" s="1"/>
  <c r="E81" i="2"/>
  <c r="E133" i="2"/>
  <c r="D58" i="4" s="1"/>
  <c r="D81" i="2"/>
  <c r="AB80" i="2"/>
  <c r="AB132" i="2"/>
  <c r="AA57" i="4" s="1"/>
  <c r="Z80" i="2"/>
  <c r="Z132" i="2" s="1"/>
  <c r="Y57" i="4" s="1"/>
  <c r="Y80" i="2"/>
  <c r="Y132" i="2"/>
  <c r="X57" i="4" s="1"/>
  <c r="X80" i="2"/>
  <c r="X132" i="2" s="1"/>
  <c r="W57" i="4" s="1"/>
  <c r="W80" i="2"/>
  <c r="W132" i="2"/>
  <c r="V57" i="4" s="1"/>
  <c r="V80" i="2"/>
  <c r="V132" i="2" s="1"/>
  <c r="U57" i="4" s="1"/>
  <c r="U80" i="2"/>
  <c r="S80" i="2"/>
  <c r="S132" i="2" s="1"/>
  <c r="R57" i="4" s="1"/>
  <c r="R80" i="2"/>
  <c r="R132" i="2"/>
  <c r="Q57" i="4" s="1"/>
  <c r="Q80" i="2"/>
  <c r="Q132" i="2" s="1"/>
  <c r="P57" i="4" s="1"/>
  <c r="P80" i="2"/>
  <c r="P132" i="2"/>
  <c r="O57" i="4" s="1"/>
  <c r="O80" i="2"/>
  <c r="O132" i="2" s="1"/>
  <c r="N57" i="4" s="1"/>
  <c r="N80" i="2"/>
  <c r="N132" i="2"/>
  <c r="M57" i="4" s="1"/>
  <c r="M80" i="2"/>
  <c r="K80" i="2"/>
  <c r="K132" i="2"/>
  <c r="J57" i="4" s="1"/>
  <c r="J80" i="2"/>
  <c r="J132" i="2" s="1"/>
  <c r="I57" i="4" s="1"/>
  <c r="I80" i="2"/>
  <c r="I132" i="2"/>
  <c r="H57" i="4" s="1"/>
  <c r="H80" i="2"/>
  <c r="H132" i="2" s="1"/>
  <c r="G57" i="4" s="1"/>
  <c r="F80" i="2"/>
  <c r="F132" i="2"/>
  <c r="E57" i="4" s="1"/>
  <c r="E80" i="2"/>
  <c r="E132" i="2" s="1"/>
  <c r="D57" i="4" s="1"/>
  <c r="D80" i="2"/>
  <c r="AB79" i="2"/>
  <c r="AB131" i="2" s="1"/>
  <c r="AA56" i="4" s="1"/>
  <c r="Z79" i="2"/>
  <c r="Z131" i="2"/>
  <c r="Y56" i="4" s="1"/>
  <c r="Y79" i="2"/>
  <c r="Y131" i="2" s="1"/>
  <c r="X56" i="4" s="1"/>
  <c r="X79" i="2"/>
  <c r="X131" i="2"/>
  <c r="W56" i="4" s="1"/>
  <c r="W79" i="2"/>
  <c r="W131" i="2" s="1"/>
  <c r="V56" i="4" s="1"/>
  <c r="V79" i="2"/>
  <c r="V131" i="2"/>
  <c r="U56" i="4" s="1"/>
  <c r="U79" i="2"/>
  <c r="S79" i="2"/>
  <c r="S131" i="2"/>
  <c r="R56" i="4" s="1"/>
  <c r="R79" i="2"/>
  <c r="R131" i="2" s="1"/>
  <c r="Q56" i="4" s="1"/>
  <c r="Q79" i="2"/>
  <c r="Q131" i="2"/>
  <c r="P56" i="4" s="1"/>
  <c r="P79" i="2"/>
  <c r="P131" i="2" s="1"/>
  <c r="O56" i="4" s="1"/>
  <c r="O79" i="2"/>
  <c r="O131" i="2"/>
  <c r="N56" i="4" s="1"/>
  <c r="N79" i="2"/>
  <c r="N131" i="2" s="1"/>
  <c r="M56" i="4" s="1"/>
  <c r="M79" i="2"/>
  <c r="K79" i="2"/>
  <c r="K131" i="2" s="1"/>
  <c r="J56" i="4" s="1"/>
  <c r="J79" i="2"/>
  <c r="J131" i="2"/>
  <c r="I56" i="4" s="1"/>
  <c r="I79" i="2"/>
  <c r="I131" i="2" s="1"/>
  <c r="H56" i="4" s="1"/>
  <c r="H79" i="2"/>
  <c r="H131" i="2"/>
  <c r="G56" i="4" s="1"/>
  <c r="F79" i="2"/>
  <c r="F131" i="2" s="1"/>
  <c r="E56" i="4" s="1"/>
  <c r="E79" i="2"/>
  <c r="E131" i="2"/>
  <c r="D56" i="4" s="1"/>
  <c r="D79" i="2"/>
  <c r="AB78" i="2"/>
  <c r="AB130" i="2"/>
  <c r="AA55" i="4" s="1"/>
  <c r="Z78" i="2"/>
  <c r="Z130" i="2" s="1"/>
  <c r="Y55" i="4" s="1"/>
  <c r="Y78" i="2"/>
  <c r="Y130" i="2"/>
  <c r="X55" i="4" s="1"/>
  <c r="X78" i="2"/>
  <c r="X130" i="2" s="1"/>
  <c r="W55" i="4" s="1"/>
  <c r="W78" i="2"/>
  <c r="W130" i="2"/>
  <c r="V55" i="4" s="1"/>
  <c r="V78" i="2"/>
  <c r="V130" i="2" s="1"/>
  <c r="U55" i="4" s="1"/>
  <c r="U78" i="2"/>
  <c r="S78" i="2"/>
  <c r="S130" i="2" s="1"/>
  <c r="R55" i="4" s="1"/>
  <c r="R78" i="2"/>
  <c r="R130" i="2"/>
  <c r="Q55" i="4" s="1"/>
  <c r="Q78" i="2"/>
  <c r="Q130" i="2" s="1"/>
  <c r="P55" i="4" s="1"/>
  <c r="P78" i="2"/>
  <c r="P130" i="2"/>
  <c r="O55" i="4" s="1"/>
  <c r="O78" i="2"/>
  <c r="O130" i="2" s="1"/>
  <c r="N55" i="4" s="1"/>
  <c r="N78" i="2"/>
  <c r="N130" i="2"/>
  <c r="M55" i="4" s="1"/>
  <c r="M78" i="2"/>
  <c r="K78" i="2"/>
  <c r="K130" i="2"/>
  <c r="J55" i="4" s="1"/>
  <c r="J78" i="2"/>
  <c r="J130" i="2" s="1"/>
  <c r="I55" i="4" s="1"/>
  <c r="I78" i="2"/>
  <c r="I130" i="2"/>
  <c r="H55" i="4" s="1"/>
  <c r="H78" i="2"/>
  <c r="H130" i="2" s="1"/>
  <c r="G55" i="4" s="1"/>
  <c r="F78" i="2"/>
  <c r="F130" i="2"/>
  <c r="E55" i="4" s="1"/>
  <c r="E78" i="2"/>
  <c r="E130" i="2" s="1"/>
  <c r="D55" i="4" s="1"/>
  <c r="AB77" i="2"/>
  <c r="AB129" i="2"/>
  <c r="AA54" i="4" s="1"/>
  <c r="Z77" i="2"/>
  <c r="Z129" i="2" s="1"/>
  <c r="Y54" i="4" s="1"/>
  <c r="Y77" i="2"/>
  <c r="Y129" i="2"/>
  <c r="X54" i="4" s="1"/>
  <c r="X77" i="2"/>
  <c r="X129" i="2" s="1"/>
  <c r="W54" i="4" s="1"/>
  <c r="W77" i="2"/>
  <c r="W129" i="2"/>
  <c r="V54" i="4" s="1"/>
  <c r="V77" i="2"/>
  <c r="V129" i="2" s="1"/>
  <c r="U54" i="4" s="1"/>
  <c r="U77" i="2"/>
  <c r="S77" i="2"/>
  <c r="S129" i="2" s="1"/>
  <c r="R54" i="4" s="1"/>
  <c r="R77" i="2"/>
  <c r="R129" i="2"/>
  <c r="Q54" i="4" s="1"/>
  <c r="Q77" i="2"/>
  <c r="Q129" i="2" s="1"/>
  <c r="P54" i="4" s="1"/>
  <c r="P77" i="2"/>
  <c r="P129" i="2"/>
  <c r="O54" i="4" s="1"/>
  <c r="O77" i="2"/>
  <c r="O129" i="2" s="1"/>
  <c r="N54" i="4" s="1"/>
  <c r="N77" i="2"/>
  <c r="N129" i="2"/>
  <c r="M54" i="4" s="1"/>
  <c r="M77" i="2"/>
  <c r="K77" i="2"/>
  <c r="K129" i="2"/>
  <c r="J54" i="4" s="1"/>
  <c r="J77" i="2"/>
  <c r="J129" i="2" s="1"/>
  <c r="I54" i="4" s="1"/>
  <c r="I77" i="2"/>
  <c r="I129" i="2"/>
  <c r="H54" i="4" s="1"/>
  <c r="H77" i="2"/>
  <c r="H129" i="2" s="1"/>
  <c r="G54" i="4" s="1"/>
  <c r="F77" i="2"/>
  <c r="F129" i="2"/>
  <c r="E54" i="4" s="1"/>
  <c r="E77" i="2"/>
  <c r="E129" i="2" s="1"/>
  <c r="D54" i="4" s="1"/>
  <c r="AB76" i="2"/>
  <c r="AB128" i="2"/>
  <c r="AA53" i="4" s="1"/>
  <c r="Z76" i="2"/>
  <c r="Z128" i="2" s="1"/>
  <c r="Y53" i="4" s="1"/>
  <c r="Y76" i="2"/>
  <c r="Y128" i="2"/>
  <c r="X53" i="4" s="1"/>
  <c r="X76" i="2"/>
  <c r="X128" i="2" s="1"/>
  <c r="W53" i="4" s="1"/>
  <c r="W76" i="2"/>
  <c r="W128" i="2"/>
  <c r="V53" i="4" s="1"/>
  <c r="V76" i="2"/>
  <c r="V128" i="2" s="1"/>
  <c r="U53" i="4" s="1"/>
  <c r="U76" i="2"/>
  <c r="S76" i="2"/>
  <c r="S128" i="2" s="1"/>
  <c r="R53" i="4" s="1"/>
  <c r="R76" i="2"/>
  <c r="R128" i="2"/>
  <c r="Q53" i="4" s="1"/>
  <c r="Q76" i="2"/>
  <c r="Q128" i="2" s="1"/>
  <c r="P53" i="4" s="1"/>
  <c r="P76" i="2"/>
  <c r="P128" i="2"/>
  <c r="O53" i="4" s="1"/>
  <c r="O76" i="2"/>
  <c r="O128" i="2" s="1"/>
  <c r="N53" i="4" s="1"/>
  <c r="N76" i="2"/>
  <c r="N128" i="2"/>
  <c r="M53" i="4" s="1"/>
  <c r="M76" i="2"/>
  <c r="K76" i="2"/>
  <c r="K128" i="2"/>
  <c r="J53" i="4" s="1"/>
  <c r="J76" i="2"/>
  <c r="J128" i="2" s="1"/>
  <c r="I53" i="4" s="1"/>
  <c r="I76" i="2"/>
  <c r="I128" i="2"/>
  <c r="H53" i="4" s="1"/>
  <c r="H76" i="2"/>
  <c r="H128" i="2" s="1"/>
  <c r="G53" i="4" s="1"/>
  <c r="F76" i="2"/>
  <c r="F128" i="2"/>
  <c r="E53" i="4" s="1"/>
  <c r="E76" i="2"/>
  <c r="E128" i="2" s="1"/>
  <c r="D53" i="4" s="1"/>
  <c r="D76" i="2"/>
  <c r="AB75" i="2"/>
  <c r="AB127" i="2" s="1"/>
  <c r="AA52" i="4" s="1"/>
  <c r="Z75" i="2"/>
  <c r="Z127" i="2"/>
  <c r="Y52" i="4" s="1"/>
  <c r="Y75" i="2"/>
  <c r="Y127" i="2" s="1"/>
  <c r="X52" i="4" s="1"/>
  <c r="X75" i="2"/>
  <c r="X127" i="2"/>
  <c r="W52" i="4" s="1"/>
  <c r="W75" i="2"/>
  <c r="W127" i="2" s="1"/>
  <c r="V52" i="4" s="1"/>
  <c r="V75" i="2"/>
  <c r="V127" i="2"/>
  <c r="U52" i="4" s="1"/>
  <c r="U75" i="2"/>
  <c r="S75" i="2"/>
  <c r="S127" i="2"/>
  <c r="R52" i="4" s="1"/>
  <c r="R75" i="2"/>
  <c r="R127" i="2" s="1"/>
  <c r="Q52" i="4" s="1"/>
  <c r="Q75" i="2"/>
  <c r="Q127" i="2"/>
  <c r="P52" i="4" s="1"/>
  <c r="P75" i="2"/>
  <c r="P127" i="2" s="1"/>
  <c r="O52" i="4" s="1"/>
  <c r="O75" i="2"/>
  <c r="O127" i="2"/>
  <c r="N52" i="4" s="1"/>
  <c r="N75" i="2"/>
  <c r="N127" i="2" s="1"/>
  <c r="M52" i="4" s="1"/>
  <c r="M75" i="2"/>
  <c r="M127" i="2"/>
  <c r="L52" i="4" s="1"/>
  <c r="K75" i="2"/>
  <c r="K127" i="2" s="1"/>
  <c r="J52" i="4" s="1"/>
  <c r="J75" i="2"/>
  <c r="J127" i="2"/>
  <c r="I52" i="4" s="1"/>
  <c r="I75" i="2"/>
  <c r="I127" i="2" s="1"/>
  <c r="H52" i="4" s="1"/>
  <c r="H75" i="2"/>
  <c r="H127" i="2"/>
  <c r="G52" i="4" s="1"/>
  <c r="F75" i="2"/>
  <c r="F127" i="2" s="1"/>
  <c r="E52" i="4" s="1"/>
  <c r="E75" i="2"/>
  <c r="E127" i="2"/>
  <c r="D52" i="4" s="1"/>
  <c r="D75" i="2"/>
  <c r="AB74" i="2"/>
  <c r="AB126" i="2"/>
  <c r="AA51" i="4" s="1"/>
  <c r="Z74" i="2"/>
  <c r="Z126" i="2" s="1"/>
  <c r="Y51" i="4" s="1"/>
  <c r="Y74" i="2"/>
  <c r="Y126" i="2"/>
  <c r="X51" i="4" s="1"/>
  <c r="X74" i="2"/>
  <c r="X126" i="2" s="1"/>
  <c r="W51" i="4" s="1"/>
  <c r="W74" i="2"/>
  <c r="W126" i="2"/>
  <c r="V51" i="4" s="1"/>
  <c r="V74" i="2"/>
  <c r="V126" i="2" s="1"/>
  <c r="U51" i="4" s="1"/>
  <c r="U74" i="2"/>
  <c r="S74" i="2"/>
  <c r="S126" i="2" s="1"/>
  <c r="R51" i="4" s="1"/>
  <c r="R74" i="2"/>
  <c r="R126" i="2"/>
  <c r="Q51" i="4" s="1"/>
  <c r="Q74" i="2"/>
  <c r="Q126" i="2" s="1"/>
  <c r="P51" i="4" s="1"/>
  <c r="P74" i="2"/>
  <c r="P126" i="2"/>
  <c r="O51" i="4" s="1"/>
  <c r="O74" i="2"/>
  <c r="O126" i="2" s="1"/>
  <c r="N51" i="4" s="1"/>
  <c r="N74" i="2"/>
  <c r="N126" i="2"/>
  <c r="M51" i="4" s="1"/>
  <c r="M74" i="2"/>
  <c r="M126" i="2" s="1"/>
  <c r="L51" i="4" s="1"/>
  <c r="K74" i="2"/>
  <c r="K126" i="2"/>
  <c r="J51" i="4" s="1"/>
  <c r="J74" i="2"/>
  <c r="J126" i="2" s="1"/>
  <c r="I51" i="4" s="1"/>
  <c r="I74" i="2"/>
  <c r="I126" i="2"/>
  <c r="H51" i="4" s="1"/>
  <c r="H74" i="2"/>
  <c r="H126" i="2" s="1"/>
  <c r="G51" i="4" s="1"/>
  <c r="F74" i="2"/>
  <c r="F126" i="2"/>
  <c r="E51" i="4" s="1"/>
  <c r="E74" i="2"/>
  <c r="E126" i="2" s="1"/>
  <c r="D51" i="4" s="1"/>
  <c r="D74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K73" i="2"/>
  <c r="J73" i="2"/>
  <c r="I73" i="2"/>
  <c r="H73" i="2"/>
  <c r="F73" i="2"/>
  <c r="D73" i="2"/>
  <c r="AB71" i="2"/>
  <c r="AB123" i="2"/>
  <c r="AA48" i="4" s="1"/>
  <c r="Z71" i="2"/>
  <c r="Z123" i="2" s="1"/>
  <c r="Y48" i="4" s="1"/>
  <c r="Y71" i="2"/>
  <c r="Y123" i="2"/>
  <c r="X48" i="4" s="1"/>
  <c r="X71" i="2"/>
  <c r="X123" i="2" s="1"/>
  <c r="W48" i="4" s="1"/>
  <c r="W71" i="2"/>
  <c r="W123" i="2"/>
  <c r="V48" i="4" s="1"/>
  <c r="V71" i="2"/>
  <c r="V123" i="2" s="1"/>
  <c r="U48" i="4" s="1"/>
  <c r="U71" i="2"/>
  <c r="S71" i="2"/>
  <c r="S123" i="2" s="1"/>
  <c r="R48" i="4" s="1"/>
  <c r="R71" i="2"/>
  <c r="R123" i="2"/>
  <c r="Q48" i="4" s="1"/>
  <c r="Q71" i="2"/>
  <c r="Q123" i="2" s="1"/>
  <c r="P48" i="4" s="1"/>
  <c r="P71" i="2"/>
  <c r="P123" i="2"/>
  <c r="O48" i="4" s="1"/>
  <c r="O71" i="2"/>
  <c r="O123" i="2" s="1"/>
  <c r="N48" i="4" s="1"/>
  <c r="N71" i="2"/>
  <c r="N123" i="2"/>
  <c r="M48" i="4" s="1"/>
  <c r="M71" i="2"/>
  <c r="M123" i="2" s="1"/>
  <c r="L48" i="4" s="1"/>
  <c r="K71" i="2"/>
  <c r="K123" i="2"/>
  <c r="J48" i="4" s="1"/>
  <c r="J71" i="2"/>
  <c r="J123" i="2" s="1"/>
  <c r="I48" i="4" s="1"/>
  <c r="I71" i="2"/>
  <c r="I123" i="2"/>
  <c r="H48" i="4" s="1"/>
  <c r="H71" i="2"/>
  <c r="H123" i="2" s="1"/>
  <c r="G48" i="4" s="1"/>
  <c r="F123" i="2"/>
  <c r="E48" i="4"/>
  <c r="E71" i="2"/>
  <c r="E123" i="2"/>
  <c r="D48" i="4" s="1"/>
  <c r="D71" i="2"/>
  <c r="AB70" i="2"/>
  <c r="AB122" i="2"/>
  <c r="AA47" i="4" s="1"/>
  <c r="Z70" i="2"/>
  <c r="Z122" i="2" s="1"/>
  <c r="Y47" i="4" s="1"/>
  <c r="Y70" i="2"/>
  <c r="Y122" i="2"/>
  <c r="X47" i="4" s="1"/>
  <c r="X70" i="2"/>
  <c r="X122" i="2" s="1"/>
  <c r="W47" i="4" s="1"/>
  <c r="W70" i="2"/>
  <c r="W122" i="2"/>
  <c r="V47" i="4" s="1"/>
  <c r="V70" i="2"/>
  <c r="V122" i="2" s="1"/>
  <c r="U47" i="4" s="1"/>
  <c r="U70" i="2"/>
  <c r="S70" i="2"/>
  <c r="S122" i="2" s="1"/>
  <c r="R47" i="4" s="1"/>
  <c r="R70" i="2"/>
  <c r="R122" i="2"/>
  <c r="Q47" i="4" s="1"/>
  <c r="Q70" i="2"/>
  <c r="Q122" i="2" s="1"/>
  <c r="P47" i="4" s="1"/>
  <c r="P70" i="2"/>
  <c r="P122" i="2"/>
  <c r="O47" i="4" s="1"/>
  <c r="O70" i="2"/>
  <c r="O122" i="2" s="1"/>
  <c r="N47" i="4" s="1"/>
  <c r="N70" i="2"/>
  <c r="N122" i="2"/>
  <c r="M47" i="4" s="1"/>
  <c r="M70" i="2"/>
  <c r="M122" i="2" s="1"/>
  <c r="L47" i="4" s="1"/>
  <c r="K70" i="2"/>
  <c r="K122" i="2"/>
  <c r="J47" i="4" s="1"/>
  <c r="J70" i="2"/>
  <c r="J122" i="2" s="1"/>
  <c r="I47" i="4" s="1"/>
  <c r="I70" i="2"/>
  <c r="I122" i="2"/>
  <c r="H47" i="4" s="1"/>
  <c r="H70" i="2"/>
  <c r="H122" i="2" s="1"/>
  <c r="G47" i="4" s="1"/>
  <c r="F122" i="2"/>
  <c r="E47" i="4"/>
  <c r="E70" i="2"/>
  <c r="E122" i="2"/>
  <c r="D47" i="4" s="1"/>
  <c r="D70" i="2"/>
  <c r="AB68" i="2"/>
  <c r="AB120" i="2"/>
  <c r="AA45" i="4" s="1"/>
  <c r="Z68" i="2"/>
  <c r="Z120" i="2" s="1"/>
  <c r="Y45" i="4" s="1"/>
  <c r="Y68" i="2"/>
  <c r="Y120" i="2"/>
  <c r="X45" i="4" s="1"/>
  <c r="X68" i="2"/>
  <c r="X120" i="2" s="1"/>
  <c r="W45" i="4" s="1"/>
  <c r="W68" i="2"/>
  <c r="W120" i="2"/>
  <c r="V45" i="4" s="1"/>
  <c r="V68" i="2"/>
  <c r="V120" i="2" s="1"/>
  <c r="U45" i="4" s="1"/>
  <c r="U68" i="2"/>
  <c r="S68" i="2"/>
  <c r="S120" i="2" s="1"/>
  <c r="R45" i="4" s="1"/>
  <c r="R68" i="2"/>
  <c r="R120" i="2"/>
  <c r="Q45" i="4" s="1"/>
  <c r="Q68" i="2"/>
  <c r="Q120" i="2" s="1"/>
  <c r="P45" i="4" s="1"/>
  <c r="P68" i="2"/>
  <c r="P120" i="2"/>
  <c r="O45" i="4" s="1"/>
  <c r="O68" i="2"/>
  <c r="O120" i="2" s="1"/>
  <c r="N45" i="4" s="1"/>
  <c r="N68" i="2"/>
  <c r="N120" i="2"/>
  <c r="M45" i="4" s="1"/>
  <c r="M68" i="2"/>
  <c r="M120" i="2" s="1"/>
  <c r="L45" i="4" s="1"/>
  <c r="K68" i="2"/>
  <c r="K120" i="2"/>
  <c r="J45" i="4" s="1"/>
  <c r="J68" i="2"/>
  <c r="J120" i="2" s="1"/>
  <c r="I45" i="4" s="1"/>
  <c r="I68" i="2"/>
  <c r="I120" i="2"/>
  <c r="H45" i="4" s="1"/>
  <c r="H68" i="2"/>
  <c r="H120" i="2" s="1"/>
  <c r="G45" i="4" s="1"/>
  <c r="F120" i="2"/>
  <c r="E45" i="4"/>
  <c r="E68" i="2"/>
  <c r="E120" i="2"/>
  <c r="D45" i="4" s="1"/>
  <c r="D68" i="2"/>
  <c r="AB67" i="2"/>
  <c r="AB119" i="2"/>
  <c r="AA44" i="4" s="1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K67" i="2"/>
  <c r="J67" i="2"/>
  <c r="I67" i="2"/>
  <c r="H67" i="2"/>
  <c r="E67" i="2"/>
  <c r="AB65" i="2"/>
  <c r="AB117" i="2" s="1"/>
  <c r="AA42" i="4" s="1"/>
  <c r="Z65" i="2"/>
  <c r="Z117" i="2"/>
  <c r="Y42" i="4" s="1"/>
  <c r="Y65" i="2"/>
  <c r="Y117" i="2" s="1"/>
  <c r="X42" i="4" s="1"/>
  <c r="X65" i="2"/>
  <c r="X117" i="2"/>
  <c r="W42" i="4" s="1"/>
  <c r="W65" i="2"/>
  <c r="W117" i="2" s="1"/>
  <c r="V42" i="4" s="1"/>
  <c r="V65" i="2"/>
  <c r="V117" i="2"/>
  <c r="U42" i="4" s="1"/>
  <c r="U65" i="2"/>
  <c r="S65" i="2"/>
  <c r="S117" i="2"/>
  <c r="R42" i="4" s="1"/>
  <c r="R65" i="2"/>
  <c r="R117" i="2" s="1"/>
  <c r="Q42" i="4" s="1"/>
  <c r="Q65" i="2"/>
  <c r="Q117" i="2"/>
  <c r="P42" i="4" s="1"/>
  <c r="P65" i="2"/>
  <c r="P117" i="2" s="1"/>
  <c r="O42" i="4" s="1"/>
  <c r="O65" i="2"/>
  <c r="O117" i="2"/>
  <c r="N42" i="4" s="1"/>
  <c r="N65" i="2"/>
  <c r="N117" i="2" s="1"/>
  <c r="M42" i="4" s="1"/>
  <c r="M65" i="2"/>
  <c r="M117" i="2"/>
  <c r="L42" i="4" s="1"/>
  <c r="K65" i="2"/>
  <c r="K117" i="2" s="1"/>
  <c r="J42" i="4" s="1"/>
  <c r="J65" i="2"/>
  <c r="J117" i="2"/>
  <c r="I42" i="4" s="1"/>
  <c r="I65" i="2"/>
  <c r="I117" i="2" s="1"/>
  <c r="H42" i="4" s="1"/>
  <c r="H65" i="2"/>
  <c r="H117" i="2"/>
  <c r="G42" i="4" s="1"/>
  <c r="F65" i="2"/>
  <c r="F117" i="2" s="1"/>
  <c r="E42" i="4" s="1"/>
  <c r="E65" i="2"/>
  <c r="E117" i="2"/>
  <c r="D42" i="4" s="1"/>
  <c r="D65" i="2"/>
  <c r="AB64" i="2"/>
  <c r="AB116" i="2"/>
  <c r="AA41" i="4" s="1"/>
  <c r="Z64" i="2"/>
  <c r="Z116" i="2" s="1"/>
  <c r="Y41" i="4" s="1"/>
  <c r="Y64" i="2"/>
  <c r="Y116" i="2"/>
  <c r="X41" i="4" s="1"/>
  <c r="X64" i="2"/>
  <c r="X116" i="2" s="1"/>
  <c r="W41" i="4" s="1"/>
  <c r="W64" i="2"/>
  <c r="W116" i="2"/>
  <c r="V41" i="4" s="1"/>
  <c r="V64" i="2"/>
  <c r="V116" i="2" s="1"/>
  <c r="U41" i="4" s="1"/>
  <c r="U64" i="2"/>
  <c r="S64" i="2"/>
  <c r="S116" i="2" s="1"/>
  <c r="R41" i="4" s="1"/>
  <c r="R64" i="2"/>
  <c r="R116" i="2"/>
  <c r="Q41" i="4" s="1"/>
  <c r="Q64" i="2"/>
  <c r="Q116" i="2" s="1"/>
  <c r="P41" i="4" s="1"/>
  <c r="P64" i="2"/>
  <c r="P116" i="2"/>
  <c r="O41" i="4" s="1"/>
  <c r="O64" i="2"/>
  <c r="O116" i="2" s="1"/>
  <c r="N41" i="4" s="1"/>
  <c r="N64" i="2"/>
  <c r="N116" i="2"/>
  <c r="M41" i="4" s="1"/>
  <c r="M64" i="2"/>
  <c r="M116" i="2" s="1"/>
  <c r="L41" i="4" s="1"/>
  <c r="K64" i="2"/>
  <c r="K116" i="2"/>
  <c r="J41" i="4" s="1"/>
  <c r="J64" i="2"/>
  <c r="J116" i="2" s="1"/>
  <c r="I41" i="4" s="1"/>
  <c r="I64" i="2"/>
  <c r="I116" i="2"/>
  <c r="H41" i="4" s="1"/>
  <c r="H64" i="2"/>
  <c r="H116" i="2" s="1"/>
  <c r="G41" i="4" s="1"/>
  <c r="F64" i="2"/>
  <c r="F116" i="2"/>
  <c r="E41" i="4" s="1"/>
  <c r="E64" i="2"/>
  <c r="E116" i="2" s="1"/>
  <c r="D41" i="4" s="1"/>
  <c r="D64" i="2"/>
  <c r="AB63" i="2"/>
  <c r="AB115" i="2" s="1"/>
  <c r="AA40" i="4" s="1"/>
  <c r="Z63" i="2"/>
  <c r="Z115" i="2"/>
  <c r="Y40" i="4" s="1"/>
  <c r="Y63" i="2"/>
  <c r="Y115" i="2" s="1"/>
  <c r="X40" i="4" s="1"/>
  <c r="X63" i="2"/>
  <c r="X115" i="2"/>
  <c r="W40" i="4" s="1"/>
  <c r="W63" i="2"/>
  <c r="W115" i="2" s="1"/>
  <c r="V40" i="4" s="1"/>
  <c r="V63" i="2"/>
  <c r="V115" i="2"/>
  <c r="U40" i="4" s="1"/>
  <c r="U63" i="2"/>
  <c r="S63" i="2"/>
  <c r="S115" i="2"/>
  <c r="R40" i="4" s="1"/>
  <c r="R63" i="2"/>
  <c r="R115" i="2" s="1"/>
  <c r="Q40" i="4" s="1"/>
  <c r="Q63" i="2"/>
  <c r="Q115" i="2"/>
  <c r="P40" i="4" s="1"/>
  <c r="P63" i="2"/>
  <c r="P115" i="2" s="1"/>
  <c r="O40" i="4" s="1"/>
  <c r="O63" i="2"/>
  <c r="O115" i="2"/>
  <c r="N40" i="4" s="1"/>
  <c r="N63" i="2"/>
  <c r="N115" i="2" s="1"/>
  <c r="M40" i="4" s="1"/>
  <c r="M63" i="2"/>
  <c r="M115" i="2"/>
  <c r="L40" i="4" s="1"/>
  <c r="K63" i="2"/>
  <c r="K115" i="2" s="1"/>
  <c r="J40" i="4" s="1"/>
  <c r="J63" i="2"/>
  <c r="J115" i="2"/>
  <c r="I40" i="4" s="1"/>
  <c r="I63" i="2"/>
  <c r="I115" i="2" s="1"/>
  <c r="H40" i="4" s="1"/>
  <c r="H63" i="2"/>
  <c r="H115" i="2"/>
  <c r="G40" i="4" s="1"/>
  <c r="F63" i="2"/>
  <c r="F115" i="2" s="1"/>
  <c r="E40" i="4" s="1"/>
  <c r="E63" i="2"/>
  <c r="E115" i="2"/>
  <c r="D40" i="4" s="1"/>
  <c r="D63" i="2"/>
  <c r="AB62" i="2"/>
  <c r="AB114" i="2"/>
  <c r="AA39" i="4" s="1"/>
  <c r="Z62" i="2"/>
  <c r="Z114" i="2" s="1"/>
  <c r="Y39" i="4" s="1"/>
  <c r="Y62" i="2"/>
  <c r="Y114" i="2"/>
  <c r="X39" i="4" s="1"/>
  <c r="X62" i="2"/>
  <c r="X114" i="2" s="1"/>
  <c r="W39" i="4" s="1"/>
  <c r="W62" i="2"/>
  <c r="W114" i="2"/>
  <c r="V39" i="4" s="1"/>
  <c r="V62" i="2"/>
  <c r="V114" i="2" s="1"/>
  <c r="U39" i="4" s="1"/>
  <c r="U62" i="2"/>
  <c r="S62" i="2"/>
  <c r="S114" i="2" s="1"/>
  <c r="R39" i="4" s="1"/>
  <c r="R62" i="2"/>
  <c r="R114" i="2"/>
  <c r="Q39" i="4" s="1"/>
  <c r="Q62" i="2"/>
  <c r="Q114" i="2" s="1"/>
  <c r="P39" i="4" s="1"/>
  <c r="P62" i="2"/>
  <c r="P114" i="2"/>
  <c r="O39" i="4" s="1"/>
  <c r="O62" i="2"/>
  <c r="O114" i="2" s="1"/>
  <c r="N39" i="4" s="1"/>
  <c r="N62" i="2"/>
  <c r="N114" i="2"/>
  <c r="M39" i="4" s="1"/>
  <c r="M62" i="2"/>
  <c r="M114" i="2" s="1"/>
  <c r="L39" i="4" s="1"/>
  <c r="K62" i="2"/>
  <c r="K114" i="2"/>
  <c r="J39" i="4" s="1"/>
  <c r="J62" i="2"/>
  <c r="J114" i="2" s="1"/>
  <c r="I39" i="4" s="1"/>
  <c r="I62" i="2"/>
  <c r="I114" i="2"/>
  <c r="H39" i="4" s="1"/>
  <c r="H62" i="2"/>
  <c r="H114" i="2" s="1"/>
  <c r="G39" i="4" s="1"/>
  <c r="F62" i="2"/>
  <c r="F114" i="2"/>
  <c r="E39" i="4" s="1"/>
  <c r="E62" i="2"/>
  <c r="E114" i="2" s="1"/>
  <c r="D39" i="4" s="1"/>
  <c r="D62" i="2"/>
  <c r="AB61" i="2"/>
  <c r="AB113" i="2" s="1"/>
  <c r="AA38" i="4" s="1"/>
  <c r="Z61" i="2"/>
  <c r="Z113" i="2"/>
  <c r="Y38" i="4" s="1"/>
  <c r="Y61" i="2"/>
  <c r="Y113" i="2" s="1"/>
  <c r="X38" i="4" s="1"/>
  <c r="X61" i="2"/>
  <c r="X113" i="2"/>
  <c r="W38" i="4" s="1"/>
  <c r="W61" i="2"/>
  <c r="W113" i="2" s="1"/>
  <c r="V38" i="4" s="1"/>
  <c r="V61" i="2"/>
  <c r="V113" i="2"/>
  <c r="U38" i="4" s="1"/>
  <c r="U61" i="2"/>
  <c r="S61" i="2"/>
  <c r="S113" i="2"/>
  <c r="R38" i="4" s="1"/>
  <c r="R61" i="2"/>
  <c r="R113" i="2" s="1"/>
  <c r="Q38" i="4" s="1"/>
  <c r="Q61" i="2"/>
  <c r="Q113" i="2"/>
  <c r="P38" i="4" s="1"/>
  <c r="P61" i="2"/>
  <c r="P113" i="2" s="1"/>
  <c r="O38" i="4" s="1"/>
  <c r="O61" i="2"/>
  <c r="O113" i="2"/>
  <c r="N38" i="4" s="1"/>
  <c r="N61" i="2"/>
  <c r="N113" i="2" s="1"/>
  <c r="M38" i="4" s="1"/>
  <c r="M61" i="2"/>
  <c r="M113" i="2"/>
  <c r="L38" i="4" s="1"/>
  <c r="K61" i="2"/>
  <c r="K113" i="2" s="1"/>
  <c r="J38" i="4" s="1"/>
  <c r="J61" i="2"/>
  <c r="J113" i="2"/>
  <c r="I38" i="4" s="1"/>
  <c r="I61" i="2"/>
  <c r="I113" i="2" s="1"/>
  <c r="H38" i="4" s="1"/>
  <c r="H61" i="2"/>
  <c r="H113" i="2"/>
  <c r="G38" i="4" s="1"/>
  <c r="F61" i="2"/>
  <c r="F113" i="2" s="1"/>
  <c r="E38" i="4" s="1"/>
  <c r="E61" i="2"/>
  <c r="E113" i="2"/>
  <c r="D38" i="4" s="1"/>
  <c r="D61" i="2"/>
  <c r="AB60" i="2"/>
  <c r="AB112" i="2"/>
  <c r="AA37" i="4" s="1"/>
  <c r="Z60" i="2"/>
  <c r="Z112" i="2" s="1"/>
  <c r="Y37" i="4" s="1"/>
  <c r="Y60" i="2"/>
  <c r="Y112" i="2"/>
  <c r="X37" i="4" s="1"/>
  <c r="X60" i="2"/>
  <c r="X112" i="2" s="1"/>
  <c r="W37" i="4" s="1"/>
  <c r="W60" i="2"/>
  <c r="W112" i="2"/>
  <c r="V37" i="4" s="1"/>
  <c r="V60" i="2"/>
  <c r="V112" i="2" s="1"/>
  <c r="U37" i="4" s="1"/>
  <c r="U60" i="2"/>
  <c r="S60" i="2"/>
  <c r="S112" i="2" s="1"/>
  <c r="R37" i="4" s="1"/>
  <c r="R60" i="2"/>
  <c r="R112" i="2"/>
  <c r="Q37" i="4" s="1"/>
  <c r="Q60" i="2"/>
  <c r="Q112" i="2" s="1"/>
  <c r="P37" i="4"/>
  <c r="P60" i="2"/>
  <c r="P112" i="2"/>
  <c r="O37" i="4" s="1"/>
  <c r="O60" i="2"/>
  <c r="O112" i="2" s="1"/>
  <c r="N37" i="4" s="1"/>
  <c r="N60" i="2"/>
  <c r="N112" i="2"/>
  <c r="M37" i="4" s="1"/>
  <c r="M60" i="2"/>
  <c r="M112" i="2" s="1"/>
  <c r="L37" i="4" s="1"/>
  <c r="K60" i="2"/>
  <c r="K112" i="2"/>
  <c r="J37" i="4" s="1"/>
  <c r="J60" i="2"/>
  <c r="J112" i="2" s="1"/>
  <c r="I37" i="4" s="1"/>
  <c r="I60" i="2"/>
  <c r="I112" i="2"/>
  <c r="H37" i="4" s="1"/>
  <c r="H60" i="2"/>
  <c r="H112" i="2" s="1"/>
  <c r="G37" i="4" s="1"/>
  <c r="F60" i="2"/>
  <c r="F112" i="2"/>
  <c r="E37" i="4" s="1"/>
  <c r="E60" i="2"/>
  <c r="E112" i="2" s="1"/>
  <c r="D37" i="4" s="1"/>
  <c r="D60" i="2"/>
  <c r="AB59" i="2"/>
  <c r="AB111" i="2" s="1"/>
  <c r="AA36" i="4"/>
  <c r="Z59" i="2"/>
  <c r="Z111" i="2"/>
  <c r="Y36" i="4" s="1"/>
  <c r="Y59" i="2"/>
  <c r="Y111" i="2" s="1"/>
  <c r="X36" i="4"/>
  <c r="X59" i="2"/>
  <c r="X111" i="2"/>
  <c r="W36" i="4" s="1"/>
  <c r="W59" i="2"/>
  <c r="W111" i="2" s="1"/>
  <c r="V36" i="4"/>
  <c r="V59" i="2"/>
  <c r="V111" i="2"/>
  <c r="U36" i="4" s="1"/>
  <c r="U59" i="2"/>
  <c r="S59" i="2"/>
  <c r="S111" i="2"/>
  <c r="R36" i="4" s="1"/>
  <c r="R59" i="2"/>
  <c r="R111" i="2" s="1"/>
  <c r="Q36" i="4" s="1"/>
  <c r="Q59" i="2"/>
  <c r="Q111" i="2"/>
  <c r="P36" i="4" s="1"/>
  <c r="P59" i="2"/>
  <c r="P111" i="2" s="1"/>
  <c r="O36" i="4" s="1"/>
  <c r="O59" i="2"/>
  <c r="O111" i="2"/>
  <c r="N36" i="4" s="1"/>
  <c r="N59" i="2"/>
  <c r="N111" i="2" s="1"/>
  <c r="M36" i="4" s="1"/>
  <c r="M59" i="2"/>
  <c r="M111" i="2"/>
  <c r="L36" i="4" s="1"/>
  <c r="K59" i="2"/>
  <c r="K111" i="2" s="1"/>
  <c r="J36" i="4" s="1"/>
  <c r="J59" i="2"/>
  <c r="J111" i="2"/>
  <c r="I36" i="4" s="1"/>
  <c r="I59" i="2"/>
  <c r="I111" i="2" s="1"/>
  <c r="H36" i="4" s="1"/>
  <c r="H59" i="2"/>
  <c r="F59" i="2"/>
  <c r="F111" i="2" s="1"/>
  <c r="E36" i="4" s="1"/>
  <c r="E59" i="2"/>
  <c r="E111" i="2"/>
  <c r="D36" i="4" s="1"/>
  <c r="D59" i="2"/>
  <c r="AB58" i="2"/>
  <c r="AB110" i="2"/>
  <c r="AA35" i="4" s="1"/>
  <c r="Z58" i="2"/>
  <c r="Z110" i="2" s="1"/>
  <c r="Y35" i="4" s="1"/>
  <c r="Y58" i="2"/>
  <c r="Y110" i="2"/>
  <c r="X35" i="4" s="1"/>
  <c r="X58" i="2"/>
  <c r="X110" i="2" s="1"/>
  <c r="W35" i="4" s="1"/>
  <c r="W58" i="2"/>
  <c r="W110" i="2"/>
  <c r="V35" i="4" s="1"/>
  <c r="V58" i="2"/>
  <c r="V110" i="2" s="1"/>
  <c r="U35" i="4" s="1"/>
  <c r="U58" i="2"/>
  <c r="S58" i="2"/>
  <c r="S110" i="2" s="1"/>
  <c r="R35" i="4" s="1"/>
  <c r="R58" i="2"/>
  <c r="R110" i="2"/>
  <c r="Q35" i="4" s="1"/>
  <c r="Q58" i="2"/>
  <c r="Q110" i="2" s="1"/>
  <c r="P35" i="4" s="1"/>
  <c r="P58" i="2"/>
  <c r="P110" i="2"/>
  <c r="O35" i="4" s="1"/>
  <c r="O58" i="2"/>
  <c r="O110" i="2" s="1"/>
  <c r="N35" i="4" s="1"/>
  <c r="N58" i="2"/>
  <c r="N110" i="2"/>
  <c r="M35" i="4" s="1"/>
  <c r="M58" i="2"/>
  <c r="M110" i="2" s="1"/>
  <c r="L35" i="4" s="1"/>
  <c r="K58" i="2"/>
  <c r="K110" i="2"/>
  <c r="J35" i="4" s="1"/>
  <c r="J58" i="2"/>
  <c r="J110" i="2" s="1"/>
  <c r="I35" i="4" s="1"/>
  <c r="I58" i="2"/>
  <c r="I110" i="2"/>
  <c r="H35" i="4" s="1"/>
  <c r="H58" i="2"/>
  <c r="F58" i="2"/>
  <c r="F110" i="2"/>
  <c r="E35" i="4" s="1"/>
  <c r="E58" i="2"/>
  <c r="E110" i="2" s="1"/>
  <c r="D35" i="4" s="1"/>
  <c r="D58" i="2"/>
  <c r="AB57" i="2"/>
  <c r="AB109" i="2" s="1"/>
  <c r="Z57" i="2"/>
  <c r="Z109" i="2"/>
  <c r="Y34" i="4" s="1"/>
  <c r="Y57" i="2"/>
  <c r="Y109" i="2" s="1"/>
  <c r="X34" i="4" s="1"/>
  <c r="X57" i="2"/>
  <c r="X109" i="2"/>
  <c r="W34" i="4" s="1"/>
  <c r="W57" i="2"/>
  <c r="W109" i="2" s="1"/>
  <c r="V34" i="4" s="1"/>
  <c r="V57" i="2"/>
  <c r="V109" i="2"/>
  <c r="U34" i="4" s="1"/>
  <c r="U57" i="2"/>
  <c r="S57" i="2"/>
  <c r="S109" i="2"/>
  <c r="R34" i="4" s="1"/>
  <c r="R57" i="2"/>
  <c r="R109" i="2" s="1"/>
  <c r="Q34" i="4" s="1"/>
  <c r="Q57" i="2"/>
  <c r="Q109" i="2"/>
  <c r="P34" i="4" s="1"/>
  <c r="P57" i="2"/>
  <c r="P109" i="2" s="1"/>
  <c r="O34" i="4" s="1"/>
  <c r="O57" i="2"/>
  <c r="O109" i="2"/>
  <c r="N34" i="4" s="1"/>
  <c r="N57" i="2"/>
  <c r="N109" i="2" s="1"/>
  <c r="M34" i="4" s="1"/>
  <c r="M57" i="2"/>
  <c r="M109" i="2"/>
  <c r="L34" i="4" s="1"/>
  <c r="K57" i="2"/>
  <c r="K109" i="2" s="1"/>
  <c r="J34" i="4" s="1"/>
  <c r="J57" i="2"/>
  <c r="J109" i="2"/>
  <c r="I34" i="4" s="1"/>
  <c r="I57" i="2"/>
  <c r="I109" i="2" s="1"/>
  <c r="H34" i="4" s="1"/>
  <c r="H57" i="2"/>
  <c r="F57" i="2"/>
  <c r="F109" i="2" s="1"/>
  <c r="E34" i="4" s="1"/>
  <c r="E57" i="2"/>
  <c r="E109" i="2"/>
  <c r="D34" i="4" s="1"/>
  <c r="D57" i="2"/>
  <c r="AB56" i="2"/>
  <c r="AB108" i="2"/>
  <c r="AA33" i="4" s="1"/>
  <c r="Z56" i="2"/>
  <c r="Y56" i="2"/>
  <c r="X56" i="2"/>
  <c r="W56" i="2"/>
  <c r="V56" i="2"/>
  <c r="U56" i="2"/>
  <c r="S56" i="2"/>
  <c r="R56" i="2"/>
  <c r="Q56" i="2"/>
  <c r="P56" i="2"/>
  <c r="O56" i="2"/>
  <c r="N56" i="2"/>
  <c r="M56" i="2"/>
  <c r="K56" i="2"/>
  <c r="J56" i="2"/>
  <c r="I56" i="2"/>
  <c r="H56" i="2"/>
  <c r="F56" i="2"/>
  <c r="E56" i="2"/>
  <c r="D56" i="2"/>
  <c r="T124" i="1"/>
  <c r="P124" i="1"/>
  <c r="T123" i="1"/>
  <c r="P123" i="1"/>
  <c r="AA122" i="1"/>
  <c r="V122" i="1"/>
  <c r="U122" i="1"/>
  <c r="T122" i="1"/>
  <c r="S122" i="1"/>
  <c r="R122" i="1"/>
  <c r="Q122" i="1"/>
  <c r="P122" i="1"/>
  <c r="O122" i="1"/>
  <c r="N122" i="1"/>
  <c r="L122" i="1"/>
  <c r="K122" i="1"/>
  <c r="F122" i="1"/>
  <c r="E122" i="1"/>
  <c r="D122" i="1"/>
  <c r="C122" i="1"/>
  <c r="B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AA105" i="1"/>
  <c r="V105" i="1"/>
  <c r="U105" i="1"/>
  <c r="T105" i="1"/>
  <c r="S105" i="1"/>
  <c r="R105" i="1"/>
  <c r="Q105" i="1"/>
  <c r="P105" i="1"/>
  <c r="O105" i="1"/>
  <c r="N105" i="1"/>
  <c r="L105" i="1"/>
  <c r="K105" i="1"/>
  <c r="F105" i="1"/>
  <c r="E105" i="1"/>
  <c r="D105" i="1"/>
  <c r="C105" i="1"/>
  <c r="B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Y90" i="1"/>
  <c r="X90" i="1"/>
  <c r="W90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1" i="1"/>
  <c r="K61" i="1"/>
  <c r="F61" i="1"/>
  <c r="AA60" i="1"/>
  <c r="AA59" i="1"/>
  <c r="AA90" i="1"/>
  <c r="AA28" i="4"/>
  <c r="V90" i="1"/>
  <c r="V28" i="4"/>
  <c r="T60" i="1"/>
  <c r="T59" i="1"/>
  <c r="T90" i="1"/>
  <c r="T28" i="4"/>
  <c r="R60" i="1"/>
  <c r="R59" i="1"/>
  <c r="R90" i="1"/>
  <c r="R28" i="4"/>
  <c r="Q59" i="1"/>
  <c r="Q90" i="1"/>
  <c r="Q28" i="4"/>
  <c r="P59" i="1"/>
  <c r="P90" i="1"/>
  <c r="P28" i="4"/>
  <c r="O59" i="1"/>
  <c r="O90" i="1"/>
  <c r="O28" i="4"/>
  <c r="N59" i="1"/>
  <c r="N90" i="1"/>
  <c r="N28" i="4"/>
  <c r="M59" i="1"/>
  <c r="M90" i="1"/>
  <c r="M28" i="4"/>
  <c r="J59" i="1"/>
  <c r="J90" i="1"/>
  <c r="J28" i="4"/>
  <c r="I59" i="1"/>
  <c r="I90" i="1"/>
  <c r="I28" i="4"/>
  <c r="H59" i="1"/>
  <c r="H90" i="1"/>
  <c r="H28" i="4"/>
  <c r="E59" i="1"/>
  <c r="E90" i="1"/>
  <c r="E28" i="4"/>
  <c r="D60" i="1"/>
  <c r="C60" i="1"/>
  <c r="C59" i="1"/>
  <c r="C90" i="1"/>
  <c r="C28" i="4"/>
  <c r="L59" i="1"/>
  <c r="L90" i="1"/>
  <c r="L28" i="4"/>
  <c r="D59" i="1"/>
  <c r="D90" i="1"/>
  <c r="D28" i="4"/>
  <c r="AA58" i="1"/>
  <c r="V58" i="1"/>
  <c r="U58" i="1"/>
  <c r="T58" i="1"/>
  <c r="R58" i="1"/>
  <c r="Q58" i="1"/>
  <c r="P58" i="1"/>
  <c r="N58" i="1"/>
  <c r="C58" i="1"/>
  <c r="AA87" i="1"/>
  <c r="AA25" i="4"/>
  <c r="Y87" i="1"/>
  <c r="Y25" i="4"/>
  <c r="X87" i="1"/>
  <c r="X25" i="4"/>
  <c r="W87" i="1"/>
  <c r="W25" i="4"/>
  <c r="V87" i="1"/>
  <c r="V25" i="4"/>
  <c r="U87" i="1"/>
  <c r="U25" i="4"/>
  <c r="T55" i="1"/>
  <c r="S55" i="1"/>
  <c r="R55" i="1"/>
  <c r="R87" i="1"/>
  <c r="R25" i="4"/>
  <c r="Q55" i="1"/>
  <c r="Q87" i="1"/>
  <c r="Q25" i="4"/>
  <c r="P55" i="1"/>
  <c r="P87" i="1"/>
  <c r="P25" i="4"/>
  <c r="N55" i="1"/>
  <c r="N87" i="1"/>
  <c r="N25" i="4"/>
  <c r="C55" i="1"/>
  <c r="T53" i="1"/>
  <c r="S53" i="1" s="1"/>
  <c r="R53" i="1"/>
  <c r="R85" i="1" s="1"/>
  <c r="R23" i="4" s="1"/>
  <c r="Q53" i="1"/>
  <c r="Q85" i="1"/>
  <c r="Q23" i="4" s="1"/>
  <c r="P53" i="1"/>
  <c r="P85" i="1" s="1"/>
  <c r="P23" i="4" s="1"/>
  <c r="O53" i="1"/>
  <c r="O85" i="1"/>
  <c r="O23" i="4" s="1"/>
  <c r="N53" i="1"/>
  <c r="N85" i="1" s="1"/>
  <c r="N23" i="4" s="1"/>
  <c r="M53" i="1"/>
  <c r="M85" i="1"/>
  <c r="M23" i="4" s="1"/>
  <c r="L53" i="1"/>
  <c r="J53" i="1"/>
  <c r="J85" i="1"/>
  <c r="J23" i="4" s="1"/>
  <c r="I53" i="1"/>
  <c r="H53" i="1"/>
  <c r="H85" i="1"/>
  <c r="H23" i="4" s="1"/>
  <c r="G53" i="1"/>
  <c r="E53" i="1"/>
  <c r="E85" i="1"/>
  <c r="E23" i="4" s="1"/>
  <c r="D53" i="1"/>
  <c r="C53" i="1"/>
  <c r="T51" i="1"/>
  <c r="S51" i="1" s="1"/>
  <c r="R51" i="1"/>
  <c r="R83" i="1" s="1"/>
  <c r="R21" i="4" s="1"/>
  <c r="Q51" i="1"/>
  <c r="Q83" i="1"/>
  <c r="Q21" i="4" s="1"/>
  <c r="P51" i="1"/>
  <c r="P83" i="1" s="1"/>
  <c r="P21" i="4" s="1"/>
  <c r="O51" i="1"/>
  <c r="O83" i="1"/>
  <c r="O21" i="4" s="1"/>
  <c r="N51" i="1"/>
  <c r="N83" i="1" s="1"/>
  <c r="N21" i="4" s="1"/>
  <c r="M51" i="1"/>
  <c r="M83" i="1"/>
  <c r="M21" i="4" s="1"/>
  <c r="L51" i="1"/>
  <c r="L83" i="1" s="1"/>
  <c r="L21" i="4" s="1"/>
  <c r="J51" i="1"/>
  <c r="I51" i="1"/>
  <c r="I83" i="1" s="1"/>
  <c r="I21" i="4" s="1"/>
  <c r="H51" i="1"/>
  <c r="G51" i="1"/>
  <c r="E51" i="1"/>
  <c r="E83" i="1"/>
  <c r="E21" i="4" s="1"/>
  <c r="D51" i="1"/>
  <c r="C51" i="1"/>
  <c r="T50" i="1"/>
  <c r="S50" i="1" s="1"/>
  <c r="R50" i="1"/>
  <c r="R82" i="1" s="1"/>
  <c r="R20" i="4" s="1"/>
  <c r="Q50" i="1"/>
  <c r="Q82" i="1"/>
  <c r="Q20" i="4" s="1"/>
  <c r="P50" i="1"/>
  <c r="P82" i="1" s="1"/>
  <c r="P20" i="4" s="1"/>
  <c r="O50" i="1"/>
  <c r="O82" i="1"/>
  <c r="O20" i="4" s="1"/>
  <c r="N50" i="1"/>
  <c r="N82" i="1" s="1"/>
  <c r="N20" i="4" s="1"/>
  <c r="M50" i="1"/>
  <c r="M82" i="1"/>
  <c r="M20" i="4" s="1"/>
  <c r="L50" i="1"/>
  <c r="J50" i="1"/>
  <c r="J82" i="1"/>
  <c r="J20" i="4" s="1"/>
  <c r="I50" i="1"/>
  <c r="H50" i="1"/>
  <c r="H82" i="1"/>
  <c r="H20" i="4" s="1"/>
  <c r="G50" i="1"/>
  <c r="E50" i="1"/>
  <c r="E82" i="1"/>
  <c r="E20" i="4" s="1"/>
  <c r="D50" i="1"/>
  <c r="C50" i="1"/>
  <c r="C82" i="1"/>
  <c r="C20" i="4" s="1"/>
  <c r="T48" i="1"/>
  <c r="S48" i="1" s="1"/>
  <c r="R48" i="1"/>
  <c r="R80" i="1" s="1"/>
  <c r="R18" i="4" s="1"/>
  <c r="Q48" i="1"/>
  <c r="Q80" i="1"/>
  <c r="Q18" i="4" s="1"/>
  <c r="P48" i="1"/>
  <c r="P80" i="1" s="1"/>
  <c r="P18" i="4" s="1"/>
  <c r="O48" i="1"/>
  <c r="O80" i="1"/>
  <c r="O18" i="4" s="1"/>
  <c r="N48" i="1"/>
  <c r="N80" i="1" s="1"/>
  <c r="N18" i="4" s="1"/>
  <c r="M48" i="1"/>
  <c r="M80" i="1"/>
  <c r="M18" i="4" s="1"/>
  <c r="L48" i="1"/>
  <c r="L80" i="1" s="1"/>
  <c r="L18" i="4" s="1"/>
  <c r="J48" i="1"/>
  <c r="I48" i="1"/>
  <c r="I80" i="1" s="1"/>
  <c r="I18" i="4" s="1"/>
  <c r="H48" i="1"/>
  <c r="G48" i="1"/>
  <c r="E48" i="1"/>
  <c r="E80" i="1"/>
  <c r="E18" i="4" s="1"/>
  <c r="D48" i="1"/>
  <c r="C48" i="1"/>
  <c r="T47" i="1"/>
  <c r="S47" i="1" s="1"/>
  <c r="R47" i="1"/>
  <c r="R79" i="1" s="1"/>
  <c r="R17" i="4" s="1"/>
  <c r="Q47" i="1"/>
  <c r="Q79" i="1"/>
  <c r="Q17" i="4" s="1"/>
  <c r="P47" i="1"/>
  <c r="P79" i="1" s="1"/>
  <c r="P17" i="4" s="1"/>
  <c r="O47" i="1"/>
  <c r="O79" i="1"/>
  <c r="O17" i="4" s="1"/>
  <c r="N47" i="1"/>
  <c r="N79" i="1" s="1"/>
  <c r="N17" i="4" s="1"/>
  <c r="M47" i="1"/>
  <c r="M79" i="1"/>
  <c r="M17" i="4" s="1"/>
  <c r="L47" i="1"/>
  <c r="J47" i="1"/>
  <c r="J79" i="1"/>
  <c r="J17" i="4" s="1"/>
  <c r="I47" i="1"/>
  <c r="H47" i="1"/>
  <c r="H79" i="1"/>
  <c r="H17" i="4" s="1"/>
  <c r="G47" i="1"/>
  <c r="E47" i="1"/>
  <c r="E79" i="1"/>
  <c r="E17" i="4" s="1"/>
  <c r="D47" i="1"/>
  <c r="C47" i="1"/>
  <c r="T43" i="1"/>
  <c r="S43" i="1" s="1"/>
  <c r="R43" i="1"/>
  <c r="Q43" i="1"/>
  <c r="Q75" i="1"/>
  <c r="Q13" i="4" s="1"/>
  <c r="P43" i="1"/>
  <c r="O43" i="1"/>
  <c r="O75" i="1"/>
  <c r="O13" i="4" s="1"/>
  <c r="N43" i="1"/>
  <c r="M43" i="1"/>
  <c r="M75" i="1"/>
  <c r="M13" i="4" s="1"/>
  <c r="L43" i="1"/>
  <c r="J43" i="1"/>
  <c r="J75" i="1"/>
  <c r="J13" i="4" s="1"/>
  <c r="I43" i="1"/>
  <c r="H43" i="1"/>
  <c r="H75" i="1"/>
  <c r="H13" i="4" s="1"/>
  <c r="G43" i="1"/>
  <c r="E43" i="1"/>
  <c r="D43" i="1"/>
  <c r="C43" i="1"/>
  <c r="T42" i="1"/>
  <c r="S42" i="1" s="1"/>
  <c r="R42" i="1"/>
  <c r="Q42" i="1"/>
  <c r="Q74" i="1"/>
  <c r="Q12" i="4" s="1"/>
  <c r="P42" i="1"/>
  <c r="O42" i="1"/>
  <c r="O74" i="1"/>
  <c r="O12" i="4" s="1"/>
  <c r="N42" i="1"/>
  <c r="M42" i="1"/>
  <c r="M74" i="1"/>
  <c r="M12" i="4" s="1"/>
  <c r="L42" i="1"/>
  <c r="J42" i="1"/>
  <c r="I42" i="1"/>
  <c r="I74" i="1" s="1"/>
  <c r="I12" i="4" s="1"/>
  <c r="H42" i="1"/>
  <c r="G42" i="1"/>
  <c r="E42" i="1"/>
  <c r="E74" i="1"/>
  <c r="E12" i="4" s="1"/>
  <c r="D42" i="1"/>
  <c r="C42" i="1"/>
  <c r="T41" i="1"/>
  <c r="S41" i="1" s="1"/>
  <c r="R41" i="1"/>
  <c r="Q41" i="1"/>
  <c r="Q73" i="1"/>
  <c r="Q11" i="4" s="1"/>
  <c r="P41" i="1"/>
  <c r="N41" i="1"/>
  <c r="M41" i="1"/>
  <c r="H41" i="1"/>
  <c r="H73" i="1"/>
  <c r="H11" i="4" s="1"/>
  <c r="G41" i="1"/>
  <c r="D41" i="1"/>
  <c r="C41" i="1"/>
  <c r="T40" i="1"/>
  <c r="S40" i="1"/>
  <c r="R40" i="1"/>
  <c r="Q40" i="1"/>
  <c r="P40" i="1"/>
  <c r="O40" i="1"/>
  <c r="N40" i="1"/>
  <c r="M40" i="1"/>
  <c r="L40" i="1"/>
  <c r="J40" i="1"/>
  <c r="I40" i="1"/>
  <c r="H40" i="1"/>
  <c r="G40" i="1"/>
  <c r="E40" i="1"/>
  <c r="D40" i="1"/>
  <c r="C40" i="1"/>
  <c r="T39" i="1"/>
  <c r="S39" i="1"/>
  <c r="R39" i="1"/>
  <c r="Q39" i="1"/>
  <c r="Q71" i="1" s="1"/>
  <c r="Q9" i="4" s="1"/>
  <c r="P39" i="1"/>
  <c r="O39" i="1"/>
  <c r="O71" i="1" s="1"/>
  <c r="O9" i="4" s="1"/>
  <c r="N39" i="1"/>
  <c r="M39" i="1"/>
  <c r="M71" i="1" s="1"/>
  <c r="M9" i="4" s="1"/>
  <c r="L39" i="1"/>
  <c r="J39" i="1"/>
  <c r="J71" i="1" s="1"/>
  <c r="J9" i="4" s="1"/>
  <c r="I39" i="1"/>
  <c r="H39" i="1"/>
  <c r="H71" i="1" s="1"/>
  <c r="H9" i="4" s="1"/>
  <c r="G39" i="1"/>
  <c r="E39" i="1"/>
  <c r="D39" i="1"/>
  <c r="C39" i="1"/>
  <c r="AA70" i="1"/>
  <c r="AA8" i="4"/>
  <c r="V70" i="1"/>
  <c r="V8" i="4"/>
  <c r="T38" i="1"/>
  <c r="S38" i="1"/>
  <c r="R38" i="1"/>
  <c r="Q38" i="1"/>
  <c r="P38" i="1"/>
  <c r="M38" i="1"/>
  <c r="L38" i="1"/>
  <c r="J38" i="1"/>
  <c r="J70" i="1" s="1"/>
  <c r="J8" i="4" s="1"/>
  <c r="I38" i="1"/>
  <c r="H38" i="1"/>
  <c r="H70" i="1" s="1"/>
  <c r="H8" i="4" s="1"/>
  <c r="G38" i="1"/>
  <c r="E38" i="1"/>
  <c r="D38" i="1"/>
  <c r="C38" i="1"/>
  <c r="W69" i="1"/>
  <c r="W7" i="4"/>
  <c r="U69" i="1"/>
  <c r="U7" i="4"/>
  <c r="T37" i="1"/>
  <c r="S37" i="1"/>
  <c r="R37" i="1"/>
  <c r="R69" i="1"/>
  <c r="R7" i="4" s="1"/>
  <c r="Q37" i="1"/>
  <c r="P37" i="1"/>
  <c r="P69" i="1"/>
  <c r="P7" i="4" s="1"/>
  <c r="O37" i="1"/>
  <c r="N37" i="1"/>
  <c r="N69" i="1"/>
  <c r="N7" i="4" s="1"/>
  <c r="M37" i="1"/>
  <c r="L37" i="1"/>
  <c r="L69" i="1"/>
  <c r="L7" i="4" s="1"/>
  <c r="J37" i="1"/>
  <c r="I37" i="1"/>
  <c r="I69" i="1"/>
  <c r="I7" i="4" s="1"/>
  <c r="H37" i="1"/>
  <c r="G37" i="1"/>
  <c r="E37" i="1"/>
  <c r="E69" i="1" s="1"/>
  <c r="E7" i="4" s="1"/>
  <c r="D37" i="1"/>
  <c r="C37" i="1"/>
  <c r="T36" i="1"/>
  <c r="S36" i="1"/>
  <c r="R36" i="1"/>
  <c r="Q36" i="1"/>
  <c r="Q68" i="1" s="1"/>
  <c r="Q6" i="4" s="1"/>
  <c r="P36" i="1"/>
  <c r="O36" i="1"/>
  <c r="O68" i="1" s="1"/>
  <c r="O6" i="4" s="1"/>
  <c r="N36" i="1"/>
  <c r="M36" i="1"/>
  <c r="M68" i="1" s="1"/>
  <c r="M6" i="4" s="1"/>
  <c r="L36" i="1"/>
  <c r="J36" i="1"/>
  <c r="I36" i="1"/>
  <c r="H36" i="1"/>
  <c r="G36" i="1"/>
  <c r="E68" i="1"/>
  <c r="E6" i="4" s="1"/>
  <c r="D36" i="1"/>
  <c r="C36" i="1"/>
  <c r="T35" i="1"/>
  <c r="S35" i="1" s="1"/>
  <c r="R35" i="1"/>
  <c r="Q35" i="1"/>
  <c r="P35" i="1"/>
  <c r="O35" i="1"/>
  <c r="N35" i="1"/>
  <c r="M35" i="1"/>
  <c r="L35" i="1"/>
  <c r="J35" i="1"/>
  <c r="I35" i="1"/>
  <c r="H35" i="1"/>
  <c r="G35" i="1"/>
  <c r="E35" i="1"/>
  <c r="D35" i="1"/>
  <c r="C35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298" i="3"/>
  <c r="C289" i="3"/>
  <c r="C308" i="3"/>
  <c r="AA85" i="1"/>
  <c r="AA23" i="4" s="1"/>
  <c r="X85" i="1"/>
  <c r="X23" i="4" s="1"/>
  <c r="V85" i="1"/>
  <c r="V23" i="4" s="1"/>
  <c r="Y83" i="1"/>
  <c r="Y21" i="4" s="1"/>
  <c r="W83" i="1"/>
  <c r="W21" i="4" s="1"/>
  <c r="U83" i="1"/>
  <c r="U21" i="4" s="1"/>
  <c r="AA82" i="1"/>
  <c r="AA20" i="4" s="1"/>
  <c r="X82" i="1"/>
  <c r="X20" i="4" s="1"/>
  <c r="V82" i="1"/>
  <c r="V20" i="4" s="1"/>
  <c r="Y80" i="1"/>
  <c r="Y18" i="4" s="1"/>
  <c r="W80" i="1"/>
  <c r="W18" i="4" s="1"/>
  <c r="U80" i="1"/>
  <c r="U18" i="4" s="1"/>
  <c r="AA79" i="1"/>
  <c r="AA17" i="4" s="1"/>
  <c r="X79" i="1"/>
  <c r="X17" i="4" s="1"/>
  <c r="V79" i="1"/>
  <c r="V17" i="4" s="1"/>
  <c r="AA75" i="1"/>
  <c r="AA13" i="4" s="1"/>
  <c r="X75" i="1"/>
  <c r="X13" i="4" s="1"/>
  <c r="V75" i="1"/>
  <c r="V13" i="4" s="1"/>
  <c r="Y74" i="1"/>
  <c r="Y12" i="4" s="1"/>
  <c r="W74" i="1"/>
  <c r="W12" i="4" s="1"/>
  <c r="U74" i="1"/>
  <c r="U12" i="4" s="1"/>
  <c r="AA73" i="1"/>
  <c r="AA11" i="4" s="1"/>
  <c r="X73" i="1"/>
  <c r="X11" i="4" s="1"/>
  <c r="V73" i="1"/>
  <c r="V11" i="4" s="1"/>
  <c r="AA71" i="1"/>
  <c r="AA9" i="4" s="1"/>
  <c r="X71" i="1"/>
  <c r="X9" i="4" s="1"/>
  <c r="V71" i="1"/>
  <c r="V9" i="4" s="1"/>
  <c r="X70" i="1"/>
  <c r="X8" i="4" s="1"/>
  <c r="Y69" i="1"/>
  <c r="Y7" i="4" s="1"/>
  <c r="E45" i="1"/>
  <c r="D31" i="1" s="1"/>
  <c r="F160" i="3"/>
  <c r="F222" i="3"/>
  <c r="N34" i="1"/>
  <c r="N33" i="1" s="1"/>
  <c r="E73" i="2"/>
  <c r="E86" i="2" s="1"/>
  <c r="H45" i="1"/>
  <c r="N45" i="1"/>
  <c r="N77" i="1"/>
  <c r="N15" i="4" s="1"/>
  <c r="R45" i="1"/>
  <c r="R77" i="1" s="1"/>
  <c r="J45" i="1"/>
  <c r="P45" i="1"/>
  <c r="M45" i="1"/>
  <c r="Q45" i="1"/>
  <c r="Q77" i="1"/>
  <c r="S60" i="1"/>
  <c r="E298" i="3"/>
  <c r="E41" i="1"/>
  <c r="E73" i="1"/>
  <c r="E11" i="4" s="1"/>
  <c r="O152" i="6"/>
  <c r="E46" i="1"/>
  <c r="E31" i="1"/>
  <c r="T56" i="2"/>
  <c r="T108" i="2"/>
  <c r="S33" i="4" s="1"/>
  <c r="C75" i="1"/>
  <c r="C13" i="4" s="1"/>
  <c r="C79" i="1"/>
  <c r="C17" i="4" s="1"/>
  <c r="C85" i="1"/>
  <c r="C23" i="4" s="1"/>
  <c r="J69" i="2"/>
  <c r="J121" i="2" s="1"/>
  <c r="I46" i="4" s="1"/>
  <c r="Z69" i="2"/>
  <c r="Z121" i="2"/>
  <c r="Y46" i="4" s="1"/>
  <c r="O69" i="2"/>
  <c r="O121" i="2" s="1"/>
  <c r="N46" i="4" s="1"/>
  <c r="X69" i="2"/>
  <c r="X121" i="2"/>
  <c r="W46" i="4" s="1"/>
  <c r="AB69" i="2"/>
  <c r="AB121" i="2" s="1"/>
  <c r="AA46" i="4" s="1"/>
  <c r="S69" i="2"/>
  <c r="S121" i="2"/>
  <c r="R46" i="4" s="1"/>
  <c r="AA69" i="2"/>
  <c r="I69" i="2"/>
  <c r="I121" i="2"/>
  <c r="H46" i="4" s="1"/>
  <c r="U69" i="2"/>
  <c r="U72" i="2" s="1"/>
  <c r="R69" i="2"/>
  <c r="R121" i="2" s="1"/>
  <c r="Q46" i="4" s="1"/>
  <c r="H69" i="2"/>
  <c r="E69" i="2"/>
  <c r="M69" i="2"/>
  <c r="AC69" i="2"/>
  <c r="D69" i="2"/>
  <c r="V69" i="2"/>
  <c r="V121" i="2" s="1"/>
  <c r="U46" i="4" s="1"/>
  <c r="K69" i="2"/>
  <c r="K72" i="2"/>
  <c r="Y69" i="2"/>
  <c r="Y121" i="2"/>
  <c r="X46" i="4" s="1"/>
  <c r="N69" i="2"/>
  <c r="N121" i="2" s="1"/>
  <c r="M46" i="4" s="1"/>
  <c r="P69" i="2"/>
  <c r="P121" i="2"/>
  <c r="O46" i="4" s="1"/>
  <c r="Q69" i="2"/>
  <c r="Q121" i="2" s="1"/>
  <c r="P46" i="4" s="1"/>
  <c r="Z45" i="1"/>
  <c r="Z77" i="1"/>
  <c r="Z15" i="4" s="1"/>
  <c r="C45" i="1"/>
  <c r="AB135" i="2"/>
  <c r="AA60" i="4"/>
  <c r="AB150" i="2"/>
  <c r="AA75" i="4"/>
  <c r="AA66" i="2"/>
  <c r="AA111" i="2"/>
  <c r="C34" i="1"/>
  <c r="AA138" i="2"/>
  <c r="Z63" i="4" s="1"/>
  <c r="E34" i="1"/>
  <c r="H34" i="1"/>
  <c r="H33" i="1"/>
  <c r="J34" i="1"/>
  <c r="J66" i="1"/>
  <c r="J4" i="4" s="1"/>
  <c r="M34" i="1"/>
  <c r="M33" i="1" s="1"/>
  <c r="O34" i="1"/>
  <c r="O66" i="1" s="1"/>
  <c r="O4" i="4" s="1"/>
  <c r="Q34" i="1"/>
  <c r="Q33" i="1"/>
  <c r="T82" i="2"/>
  <c r="T134" i="2"/>
  <c r="L73" i="2"/>
  <c r="T76" i="2"/>
  <c r="T128" i="2" s="1"/>
  <c r="T78" i="2"/>
  <c r="T130" i="2" s="1"/>
  <c r="T80" i="2"/>
  <c r="T132" i="2" s="1"/>
  <c r="U109" i="2"/>
  <c r="T57" i="2"/>
  <c r="T109" i="2"/>
  <c r="S34" i="4" s="1"/>
  <c r="U111" i="2"/>
  <c r="T59" i="2"/>
  <c r="T111" i="2"/>
  <c r="S36" i="4" s="1"/>
  <c r="U113" i="2"/>
  <c r="T61" i="2"/>
  <c r="T113" i="2"/>
  <c r="S38" i="4" s="1"/>
  <c r="U115" i="2"/>
  <c r="T63" i="2"/>
  <c r="T115" i="2"/>
  <c r="S40" i="4" s="1"/>
  <c r="U117" i="2"/>
  <c r="T65" i="2"/>
  <c r="T117" i="2"/>
  <c r="U120" i="2"/>
  <c r="T45" i="4"/>
  <c r="T68" i="2"/>
  <c r="T120" i="2"/>
  <c r="S45" i="4" s="1"/>
  <c r="U123" i="2"/>
  <c r="T48" i="4" s="1"/>
  <c r="T71" i="2"/>
  <c r="T123" i="2" s="1"/>
  <c r="U126" i="2"/>
  <c r="T51" i="4" s="1"/>
  <c r="T74" i="2"/>
  <c r="T126" i="2" s="1"/>
  <c r="U136" i="2"/>
  <c r="T61" i="4"/>
  <c r="T84" i="2"/>
  <c r="T136" i="2"/>
  <c r="U140" i="2"/>
  <c r="T65" i="4"/>
  <c r="T88" i="2"/>
  <c r="T140" i="2"/>
  <c r="U142" i="2"/>
  <c r="T67" i="4"/>
  <c r="T90" i="2"/>
  <c r="T142" i="2"/>
  <c r="U144" i="2"/>
  <c r="T69" i="4"/>
  <c r="T92" i="2"/>
  <c r="T144" i="2"/>
  <c r="U146" i="2"/>
  <c r="T71" i="4"/>
  <c r="T94" i="2"/>
  <c r="T146" i="2"/>
  <c r="U148" i="2"/>
  <c r="T73" i="4"/>
  <c r="T96" i="2"/>
  <c r="T148" i="2"/>
  <c r="S73" i="4" s="1"/>
  <c r="U152" i="2"/>
  <c r="T77" i="4" s="1"/>
  <c r="T100" i="2"/>
  <c r="T152" i="2" s="1"/>
  <c r="U153" i="2"/>
  <c r="T78" i="4" s="1"/>
  <c r="T101" i="2"/>
  <c r="T153" i="2" s="1"/>
  <c r="U110" i="2"/>
  <c r="T35" i="4" s="1"/>
  <c r="T58" i="2"/>
  <c r="T110" i="2" s="1"/>
  <c r="U112" i="2"/>
  <c r="T60" i="2"/>
  <c r="T112" i="2" s="1"/>
  <c r="U114" i="2"/>
  <c r="T62" i="2"/>
  <c r="T114" i="2" s="1"/>
  <c r="U116" i="2"/>
  <c r="T41" i="4"/>
  <c r="T64" i="2"/>
  <c r="T116" i="2"/>
  <c r="S41" i="4" s="1"/>
  <c r="T67" i="2"/>
  <c r="U122" i="2"/>
  <c r="T47" i="4"/>
  <c r="T70" i="2"/>
  <c r="T122" i="2"/>
  <c r="S47" i="4" s="1"/>
  <c r="T73" i="2"/>
  <c r="U127" i="2"/>
  <c r="T75" i="2"/>
  <c r="T127" i="2" s="1"/>
  <c r="T77" i="2"/>
  <c r="T129" i="2"/>
  <c r="T79" i="2"/>
  <c r="T131" i="2"/>
  <c r="S56" i="4" s="1"/>
  <c r="T81" i="2"/>
  <c r="T133" i="2" s="1"/>
  <c r="U135" i="2"/>
  <c r="T60" i="4" s="1"/>
  <c r="T83" i="2"/>
  <c r="T135" i="2" s="1"/>
  <c r="U137" i="2"/>
  <c r="T62" i="4"/>
  <c r="T85" i="2"/>
  <c r="T137" i="2"/>
  <c r="S62" i="4" s="1"/>
  <c r="T87" i="2"/>
  <c r="U141" i="2"/>
  <c r="T66" i="4"/>
  <c r="T89" i="2"/>
  <c r="T141" i="2"/>
  <c r="S66" i="4" s="1"/>
  <c r="U143" i="2"/>
  <c r="T91" i="2"/>
  <c r="T143" i="2"/>
  <c r="S68" i="4" s="1"/>
  <c r="U145" i="2"/>
  <c r="T70" i="4" s="1"/>
  <c r="T93" i="2"/>
  <c r="T145" i="2" s="1"/>
  <c r="U147" i="2"/>
  <c r="T95" i="2"/>
  <c r="T147" i="2" s="1"/>
  <c r="U149" i="2"/>
  <c r="T74" i="4"/>
  <c r="T97" i="2"/>
  <c r="T149" i="2"/>
  <c r="S74" i="4" s="1"/>
  <c r="U150" i="2"/>
  <c r="T75" i="4" s="1"/>
  <c r="T98" i="2"/>
  <c r="T150" i="2" s="1"/>
  <c r="U151" i="2"/>
  <c r="T76" i="4"/>
  <c r="T99" i="2"/>
  <c r="T151" i="2"/>
  <c r="U154" i="2"/>
  <c r="T79" i="4"/>
  <c r="T102" i="2"/>
  <c r="T154" i="2"/>
  <c r="S79" i="4" s="1"/>
  <c r="T34" i="1"/>
  <c r="D34" i="1"/>
  <c r="D33" i="1" s="1"/>
  <c r="D65" i="1" s="1"/>
  <c r="D98" i="1" s="1"/>
  <c r="G34" i="1"/>
  <c r="G33" i="1" s="1"/>
  <c r="G65" i="1" s="1"/>
  <c r="I34" i="1"/>
  <c r="L34" i="1"/>
  <c r="L66" i="1" s="1"/>
  <c r="P34" i="1"/>
  <c r="P33" i="1"/>
  <c r="P65" i="1" s="1"/>
  <c r="R34" i="1"/>
  <c r="AA86" i="2"/>
  <c r="Z46" i="1"/>
  <c r="E101" i="2"/>
  <c r="E153" i="2"/>
  <c r="E99" i="2"/>
  <c r="E151" i="2"/>
  <c r="C87" i="1"/>
  <c r="C25" i="4"/>
  <c r="T87" i="1"/>
  <c r="AA36" i="1"/>
  <c r="AA34" i="1" s="1"/>
  <c r="D66" i="2"/>
  <c r="F66" i="2"/>
  <c r="N66" i="2"/>
  <c r="P66" i="2"/>
  <c r="R66" i="2"/>
  <c r="U66" i="2"/>
  <c r="D86" i="2"/>
  <c r="H66" i="2"/>
  <c r="J66" i="2"/>
  <c r="M66" i="2"/>
  <c r="V66" i="2"/>
  <c r="X66" i="2"/>
  <c r="Z66" i="2"/>
  <c r="D103" i="2"/>
  <c r="E108" i="2"/>
  <c r="E66" i="2"/>
  <c r="O108" i="2"/>
  <c r="N33" i="4"/>
  <c r="O66" i="2"/>
  <c r="Q108" i="2"/>
  <c r="P33" i="4" s="1"/>
  <c r="Q66" i="2"/>
  <c r="S108" i="2"/>
  <c r="R33" i="4"/>
  <c r="S66" i="2"/>
  <c r="E119" i="2"/>
  <c r="H119" i="2"/>
  <c r="G44" i="4"/>
  <c r="J119" i="2"/>
  <c r="M119" i="2"/>
  <c r="L44" i="4" s="1"/>
  <c r="O119" i="2"/>
  <c r="N44" i="4" s="1"/>
  <c r="Q119" i="2"/>
  <c r="P44" i="4" s="1"/>
  <c r="S119" i="2"/>
  <c r="R44" i="4" s="1"/>
  <c r="V119" i="2"/>
  <c r="U44" i="4" s="1"/>
  <c r="X119" i="2"/>
  <c r="W44" i="4" s="1"/>
  <c r="Z119" i="2"/>
  <c r="Y44" i="4" s="1"/>
  <c r="H125" i="2"/>
  <c r="H86" i="2"/>
  <c r="J125" i="2"/>
  <c r="J86" i="2"/>
  <c r="M125" i="2"/>
  <c r="M86" i="2"/>
  <c r="O125" i="2"/>
  <c r="N50" i="4" s="1"/>
  <c r="O86" i="2"/>
  <c r="Q125" i="2"/>
  <c r="P50" i="4"/>
  <c r="Q86" i="2"/>
  <c r="S125" i="2"/>
  <c r="R50" i="4" s="1"/>
  <c r="S86" i="2"/>
  <c r="V125" i="2"/>
  <c r="U50" i="4"/>
  <c r="V86" i="2"/>
  <c r="X125" i="2"/>
  <c r="W50" i="4" s="1"/>
  <c r="X86" i="2"/>
  <c r="Z125" i="2"/>
  <c r="Y50" i="4"/>
  <c r="Z86" i="2"/>
  <c r="F139" i="2"/>
  <c r="E64" i="4" s="1"/>
  <c r="F103" i="2"/>
  <c r="I139" i="2"/>
  <c r="H64" i="4"/>
  <c r="I103" i="2"/>
  <c r="K139" i="2"/>
  <c r="J64" i="4" s="1"/>
  <c r="K103" i="2"/>
  <c r="N139" i="2"/>
  <c r="N103" i="2"/>
  <c r="P139" i="2"/>
  <c r="O64" i="4"/>
  <c r="P103" i="2"/>
  <c r="R139" i="2"/>
  <c r="Q64" i="4" s="1"/>
  <c r="R103" i="2"/>
  <c r="U139" i="2"/>
  <c r="T64" i="4"/>
  <c r="U103" i="2"/>
  <c r="W139" i="2"/>
  <c r="V64" i="4" s="1"/>
  <c r="W103" i="2"/>
  <c r="Y139" i="2"/>
  <c r="X64" i="4"/>
  <c r="Y103" i="2"/>
  <c r="W19" i="6"/>
  <c r="U77" i="6" s="1"/>
  <c r="AB103" i="2"/>
  <c r="I108" i="2"/>
  <c r="H33" i="4"/>
  <c r="I66" i="2"/>
  <c r="K108" i="2"/>
  <c r="J33" i="4" s="1"/>
  <c r="K66" i="2"/>
  <c r="W108" i="2"/>
  <c r="W66" i="2"/>
  <c r="Y108" i="2"/>
  <c r="X33" i="4"/>
  <c r="Y66" i="2"/>
  <c r="AB66" i="2"/>
  <c r="F119" i="2"/>
  <c r="E44" i="4"/>
  <c r="I119" i="2"/>
  <c r="K119" i="2"/>
  <c r="J44" i="4" s="1"/>
  <c r="N119" i="2"/>
  <c r="P119" i="2"/>
  <c r="O44" i="4"/>
  <c r="R119" i="2"/>
  <c r="Q44" i="4"/>
  <c r="U119" i="2"/>
  <c r="T44" i="4"/>
  <c r="W119" i="2"/>
  <c r="V44" i="4"/>
  <c r="Y119" i="2"/>
  <c r="F125" i="2"/>
  <c r="E50" i="4" s="1"/>
  <c r="F86" i="2"/>
  <c r="I125" i="2"/>
  <c r="H50" i="4"/>
  <c r="I86" i="2"/>
  <c r="K125" i="2"/>
  <c r="J50" i="4" s="1"/>
  <c r="K86" i="2"/>
  <c r="N125" i="2"/>
  <c r="N86" i="2"/>
  <c r="P125" i="2"/>
  <c r="O50" i="4"/>
  <c r="P86" i="2"/>
  <c r="R125" i="2"/>
  <c r="Q50" i="4" s="1"/>
  <c r="R86" i="2"/>
  <c r="U125" i="2"/>
  <c r="T50" i="4"/>
  <c r="U86" i="2"/>
  <c r="W125" i="2"/>
  <c r="V50" i="4" s="1"/>
  <c r="W86" i="2"/>
  <c r="Y125" i="2"/>
  <c r="X50" i="4"/>
  <c r="Y86" i="2"/>
  <c r="AB86" i="2"/>
  <c r="E139" i="2"/>
  <c r="D64" i="4"/>
  <c r="H139" i="2"/>
  <c r="H103" i="2"/>
  <c r="J139" i="2"/>
  <c r="J103" i="2"/>
  <c r="M139" i="2"/>
  <c r="L64" i="4"/>
  <c r="M103" i="2"/>
  <c r="O139" i="2"/>
  <c r="N64" i="4" s="1"/>
  <c r="O103" i="2"/>
  <c r="Q139" i="2"/>
  <c r="P64" i="4"/>
  <c r="Q103" i="2"/>
  <c r="S139" i="2"/>
  <c r="R64" i="4" s="1"/>
  <c r="S103" i="2"/>
  <c r="V139" i="2"/>
  <c r="U64" i="4"/>
  <c r="V103" i="2"/>
  <c r="X139" i="2"/>
  <c r="W64" i="4" s="1"/>
  <c r="X103" i="2"/>
  <c r="Z139" i="2"/>
  <c r="Y64" i="4"/>
  <c r="Z103" i="2"/>
  <c r="AB65" i="1"/>
  <c r="AB66" i="1"/>
  <c r="AB4" i="4"/>
  <c r="K60" i="1"/>
  <c r="B61" i="1"/>
  <c r="F60" i="1"/>
  <c r="Y45" i="1"/>
  <c r="Y77" i="1" s="1"/>
  <c r="Y15" i="4" s="1"/>
  <c r="AB45" i="1"/>
  <c r="AB77" i="1"/>
  <c r="AB15" i="4" s="1"/>
  <c r="X45" i="1"/>
  <c r="AA45" i="1"/>
  <c r="AB46" i="1"/>
  <c r="AB78" i="1" s="1"/>
  <c r="AB16" i="4" s="1"/>
  <c r="X46" i="1"/>
  <c r="X78" i="1"/>
  <c r="X16" i="4" s="1"/>
  <c r="AA46" i="1"/>
  <c r="AA78" i="1" s="1"/>
  <c r="Y46" i="1"/>
  <c r="Y78" i="1" s="1"/>
  <c r="Y16" i="4" s="1"/>
  <c r="W45" i="1"/>
  <c r="W77" i="1"/>
  <c r="W15" i="4" s="1"/>
  <c r="V45" i="1"/>
  <c r="V77" i="1" s="1"/>
  <c r="V15" i="4" s="1"/>
  <c r="W46" i="1"/>
  <c r="W78" i="1"/>
  <c r="W16" i="4" s="1"/>
  <c r="V46" i="1"/>
  <c r="V78" i="1" s="1"/>
  <c r="V16" i="4" s="1"/>
  <c r="D45" i="1"/>
  <c r="D77" i="1"/>
  <c r="D15" i="4" s="1"/>
  <c r="U45" i="1"/>
  <c r="U77" i="1" s="1"/>
  <c r="U15" i="4" s="1"/>
  <c r="U46" i="1"/>
  <c r="T70" i="1"/>
  <c r="T73" i="1"/>
  <c r="T11" i="4"/>
  <c r="T75" i="1"/>
  <c r="T13" i="4"/>
  <c r="G56" i="2"/>
  <c r="C71" i="1"/>
  <c r="C73" i="1"/>
  <c r="C74" i="1"/>
  <c r="M108" i="2"/>
  <c r="L56" i="2"/>
  <c r="D113" i="2"/>
  <c r="D115" i="2"/>
  <c r="C40" i="4" s="1"/>
  <c r="D117" i="2"/>
  <c r="C42" i="4" s="1"/>
  <c r="D120" i="2"/>
  <c r="C45" i="4" s="1"/>
  <c r="D122" i="2"/>
  <c r="D125" i="2"/>
  <c r="C50" i="4"/>
  <c r="D127" i="2"/>
  <c r="D129" i="2"/>
  <c r="C54" i="4" s="1"/>
  <c r="D131" i="2"/>
  <c r="D133" i="2"/>
  <c r="C58" i="4"/>
  <c r="D135" i="2"/>
  <c r="C60" i="4"/>
  <c r="D137" i="2"/>
  <c r="C62" i="4"/>
  <c r="D140" i="2"/>
  <c r="D142" i="2"/>
  <c r="D144" i="2"/>
  <c r="C69" i="4"/>
  <c r="D146" i="2"/>
  <c r="D148" i="2"/>
  <c r="D150" i="2"/>
  <c r="C75" i="4"/>
  <c r="D152" i="2"/>
  <c r="C77" i="4"/>
  <c r="D154" i="2"/>
  <c r="C79" i="4"/>
  <c r="T71" i="1"/>
  <c r="K35" i="1"/>
  <c r="K67" i="1" s="1"/>
  <c r="C70" i="1"/>
  <c r="C8" i="4"/>
  <c r="D108" i="2"/>
  <c r="C33" i="4"/>
  <c r="U108" i="2"/>
  <c r="T33" i="4"/>
  <c r="D112" i="2"/>
  <c r="D114" i="2"/>
  <c r="C39" i="4" s="1"/>
  <c r="D116" i="2"/>
  <c r="C41" i="4" s="1"/>
  <c r="D119" i="2"/>
  <c r="C44" i="4" s="1"/>
  <c r="D123" i="2"/>
  <c r="D126" i="2"/>
  <c r="D128" i="2"/>
  <c r="C53" i="4" s="1"/>
  <c r="D130" i="2"/>
  <c r="C55" i="4" s="1"/>
  <c r="D132" i="2"/>
  <c r="D134" i="2"/>
  <c r="C59" i="4"/>
  <c r="D136" i="2"/>
  <c r="C61" i="4"/>
  <c r="D139" i="2"/>
  <c r="C64" i="4"/>
  <c r="D141" i="2"/>
  <c r="D143" i="2"/>
  <c r="D145" i="2"/>
  <c r="C70" i="4"/>
  <c r="D147" i="2"/>
  <c r="D149" i="2"/>
  <c r="D151" i="2"/>
  <c r="D153" i="2"/>
  <c r="C78" i="4" s="1"/>
  <c r="L70" i="1"/>
  <c r="L8" i="4" s="1"/>
  <c r="N70" i="1"/>
  <c r="N8" i="4" s="1"/>
  <c r="P70" i="1"/>
  <c r="P8" i="4" s="1"/>
  <c r="R70" i="1"/>
  <c r="R8" i="4" s="1"/>
  <c r="P73" i="1"/>
  <c r="P11" i="4" s="1"/>
  <c r="R73" i="1"/>
  <c r="U73" i="1"/>
  <c r="U11" i="4"/>
  <c r="W73" i="1"/>
  <c r="W11" i="4"/>
  <c r="Y73" i="1"/>
  <c r="Y11" i="4"/>
  <c r="G69" i="1"/>
  <c r="G7" i="4"/>
  <c r="G73" i="1"/>
  <c r="G11" i="4"/>
  <c r="G74" i="1"/>
  <c r="G12" i="4"/>
  <c r="M73" i="1"/>
  <c r="M11" i="4"/>
  <c r="H74" i="1"/>
  <c r="H12" i="4"/>
  <c r="J74" i="1"/>
  <c r="J12" i="4"/>
  <c r="T74" i="1"/>
  <c r="T12" i="4"/>
  <c r="V74" i="1"/>
  <c r="V12" i="4"/>
  <c r="X74" i="1"/>
  <c r="X12" i="4"/>
  <c r="AA74" i="1"/>
  <c r="AA12" i="4"/>
  <c r="G75" i="1"/>
  <c r="G13" i="4"/>
  <c r="I75" i="1"/>
  <c r="I13" i="4"/>
  <c r="L75" i="1"/>
  <c r="N75" i="1"/>
  <c r="N13" i="4" s="1"/>
  <c r="P75" i="1"/>
  <c r="P13" i="4" s="1"/>
  <c r="R75" i="1"/>
  <c r="U75" i="1"/>
  <c r="U13" i="4"/>
  <c r="W75" i="1"/>
  <c r="W13" i="4"/>
  <c r="Y75" i="1"/>
  <c r="Y13" i="4"/>
  <c r="J77" i="1"/>
  <c r="J15" i="4"/>
  <c r="G80" i="1"/>
  <c r="G18" i="4"/>
  <c r="G83" i="1"/>
  <c r="G21" i="4"/>
  <c r="M67" i="1"/>
  <c r="M5" i="4"/>
  <c r="O67" i="1"/>
  <c r="O5" i="4"/>
  <c r="Q67" i="1"/>
  <c r="Q5" i="4"/>
  <c r="L67" i="1"/>
  <c r="L5" i="4"/>
  <c r="N67" i="1"/>
  <c r="N5" i="4"/>
  <c r="P67" i="1"/>
  <c r="P5" i="4"/>
  <c r="R67" i="1"/>
  <c r="U67" i="1"/>
  <c r="U5" i="4" s="1"/>
  <c r="W67" i="1"/>
  <c r="W5" i="4" s="1"/>
  <c r="Y67" i="1"/>
  <c r="Y5" i="4" s="1"/>
  <c r="AA100" i="1"/>
  <c r="C68" i="1"/>
  <c r="C6" i="4"/>
  <c r="H68" i="1"/>
  <c r="H6" i="4"/>
  <c r="J68" i="1"/>
  <c r="J6" i="4"/>
  <c r="T68" i="1"/>
  <c r="V68" i="1"/>
  <c r="V6" i="4" s="1"/>
  <c r="X68" i="1"/>
  <c r="X6" i="4" s="1"/>
  <c r="G70" i="1"/>
  <c r="G8" i="4" s="1"/>
  <c r="I70" i="1"/>
  <c r="I8" i="4" s="1"/>
  <c r="U70" i="1"/>
  <c r="U8" i="4" s="1"/>
  <c r="W70" i="1"/>
  <c r="W8" i="4" s="1"/>
  <c r="Y70" i="1"/>
  <c r="Y8" i="4" s="1"/>
  <c r="E71" i="1"/>
  <c r="E9" i="4" s="1"/>
  <c r="E67" i="1"/>
  <c r="L68" i="1"/>
  <c r="N68" i="1"/>
  <c r="N6" i="4" s="1"/>
  <c r="P68" i="1"/>
  <c r="P6" i="4" s="1"/>
  <c r="R68" i="1"/>
  <c r="R6" i="4" s="1"/>
  <c r="M69" i="1"/>
  <c r="M7" i="4" s="1"/>
  <c r="O69" i="1"/>
  <c r="Q69" i="1"/>
  <c r="Q7" i="4"/>
  <c r="T69" i="1"/>
  <c r="T7" i="4"/>
  <c r="V69" i="1"/>
  <c r="V7" i="4"/>
  <c r="X69" i="1"/>
  <c r="X7" i="4"/>
  <c r="AA69" i="1"/>
  <c r="AA7" i="4"/>
  <c r="E70" i="1"/>
  <c r="M70" i="1"/>
  <c r="M8" i="4" s="1"/>
  <c r="O70" i="1"/>
  <c r="O8" i="4" s="1"/>
  <c r="Q70" i="1"/>
  <c r="Q8" i="4" s="1"/>
  <c r="G71" i="1"/>
  <c r="G9" i="4" s="1"/>
  <c r="I71" i="1"/>
  <c r="I9" i="4" s="1"/>
  <c r="L71" i="1"/>
  <c r="N71" i="1"/>
  <c r="N9" i="4"/>
  <c r="P71" i="1"/>
  <c r="P9" i="4"/>
  <c r="R71" i="1"/>
  <c r="R9" i="4"/>
  <c r="U71" i="1"/>
  <c r="U9" i="4"/>
  <c r="W71" i="1"/>
  <c r="W9" i="4"/>
  <c r="Y71" i="1"/>
  <c r="Y9" i="4"/>
  <c r="AA104" i="1"/>
  <c r="N73" i="1"/>
  <c r="N11" i="4" s="1"/>
  <c r="L74" i="1"/>
  <c r="N74" i="1"/>
  <c r="N12" i="4"/>
  <c r="P74" i="1"/>
  <c r="P12" i="4"/>
  <c r="R74" i="1"/>
  <c r="R12" i="4"/>
  <c r="E75" i="1"/>
  <c r="S74" i="1"/>
  <c r="S12" i="4" s="1"/>
  <c r="K43" i="1"/>
  <c r="K75" i="1" s="1"/>
  <c r="L79" i="1"/>
  <c r="L17" i="4" s="1"/>
  <c r="T82" i="1"/>
  <c r="L85" i="1"/>
  <c r="L23" i="4"/>
  <c r="T79" i="1"/>
  <c r="T17" i="4"/>
  <c r="L82" i="1"/>
  <c r="L20" i="4"/>
  <c r="T85" i="1"/>
  <c r="T23" i="4"/>
  <c r="G79" i="1"/>
  <c r="G17" i="4"/>
  <c r="I79" i="1"/>
  <c r="I17" i="4"/>
  <c r="U79" i="1"/>
  <c r="U17" i="4"/>
  <c r="W79" i="1"/>
  <c r="W17" i="4"/>
  <c r="Y79" i="1"/>
  <c r="Y17" i="4"/>
  <c r="C80" i="1"/>
  <c r="C18" i="4"/>
  <c r="H80" i="1"/>
  <c r="H18" i="4"/>
  <c r="J80" i="1"/>
  <c r="J18" i="4"/>
  <c r="T80" i="1"/>
  <c r="T18" i="4"/>
  <c r="V80" i="1"/>
  <c r="V18" i="4"/>
  <c r="X80" i="1"/>
  <c r="X18" i="4"/>
  <c r="AA80" i="1"/>
  <c r="G82" i="1"/>
  <c r="G20" i="4" s="1"/>
  <c r="I82" i="1"/>
  <c r="I20" i="4" s="1"/>
  <c r="U82" i="1"/>
  <c r="U20" i="4" s="1"/>
  <c r="W82" i="1"/>
  <c r="W20" i="4" s="1"/>
  <c r="Y82" i="1"/>
  <c r="Y20" i="4" s="1"/>
  <c r="C83" i="1"/>
  <c r="H83" i="1"/>
  <c r="H21" i="4"/>
  <c r="J83" i="1"/>
  <c r="J21" i="4"/>
  <c r="T83" i="1"/>
  <c r="T21" i="4"/>
  <c r="V83" i="1"/>
  <c r="V21" i="4"/>
  <c r="X83" i="1"/>
  <c r="X21" i="4"/>
  <c r="AA83" i="1"/>
  <c r="AA21" i="4"/>
  <c r="G85" i="1"/>
  <c r="G23" i="4"/>
  <c r="I85" i="1"/>
  <c r="I23" i="4"/>
  <c r="U85" i="1"/>
  <c r="U23" i="4"/>
  <c r="W85" i="1"/>
  <c r="W23" i="4"/>
  <c r="Y85" i="1"/>
  <c r="Y23" i="4"/>
  <c r="K42" i="1"/>
  <c r="K74" i="1"/>
  <c r="S75" i="1"/>
  <c r="S13" i="4"/>
  <c r="V106" i="1"/>
  <c r="Y66" i="1"/>
  <c r="Y4" i="4" s="1"/>
  <c r="I68" i="1"/>
  <c r="I6" i="4" s="1"/>
  <c r="U68" i="1"/>
  <c r="U6" i="4" s="1"/>
  <c r="W68" i="1"/>
  <c r="W6" i="4" s="1"/>
  <c r="Y68" i="1"/>
  <c r="Y6" i="4" s="1"/>
  <c r="C69" i="1"/>
  <c r="C7" i="4" s="1"/>
  <c r="H69" i="1"/>
  <c r="H7" i="4" s="1"/>
  <c r="J69" i="1"/>
  <c r="J7" i="4" s="1"/>
  <c r="V107" i="1"/>
  <c r="S68" i="1"/>
  <c r="S6" i="4"/>
  <c r="K37" i="1"/>
  <c r="K69" i="1"/>
  <c r="K7" i="4" s="1"/>
  <c r="K38" i="1"/>
  <c r="K70" i="1" s="1"/>
  <c r="S71" i="1"/>
  <c r="S9" i="4"/>
  <c r="K40" i="1"/>
  <c r="F42" i="1"/>
  <c r="F74" i="1" s="1"/>
  <c r="F43" i="1"/>
  <c r="F75" i="1"/>
  <c r="F13" i="4" s="1"/>
  <c r="K48" i="1"/>
  <c r="K80" i="1" s="1"/>
  <c r="S82" i="1"/>
  <c r="S20" i="4"/>
  <c r="K51" i="1"/>
  <c r="K83" i="1"/>
  <c r="K21" i="4" s="1"/>
  <c r="W66" i="1"/>
  <c r="W4" i="4" s="1"/>
  <c r="V66" i="1"/>
  <c r="V4" i="4" s="1"/>
  <c r="X66" i="1"/>
  <c r="X4" i="4" s="1"/>
  <c r="G67" i="1"/>
  <c r="G5" i="4" s="1"/>
  <c r="I67" i="1"/>
  <c r="I5" i="4" s="1"/>
  <c r="F36" i="1"/>
  <c r="F68" i="1" s="1"/>
  <c r="S70" i="1"/>
  <c r="S8" i="4"/>
  <c r="K39" i="1"/>
  <c r="S73" i="1"/>
  <c r="S11" i="4" s="1"/>
  <c r="K47" i="1"/>
  <c r="S80" i="1"/>
  <c r="S18" i="4"/>
  <c r="K50" i="1"/>
  <c r="K82" i="1"/>
  <c r="K20" i="4" s="1"/>
  <c r="S83" i="1"/>
  <c r="S21" i="4" s="1"/>
  <c r="K53" i="1"/>
  <c r="V65" i="1"/>
  <c r="V3" i="4"/>
  <c r="X65" i="1"/>
  <c r="C67" i="1"/>
  <c r="C5" i="4" s="1"/>
  <c r="H67" i="1"/>
  <c r="H5" i="4" s="1"/>
  <c r="J67" i="1"/>
  <c r="J5" i="4" s="1"/>
  <c r="T67" i="1"/>
  <c r="T5" i="4" s="1"/>
  <c r="V67" i="1"/>
  <c r="V5" i="4" s="1"/>
  <c r="X67" i="1"/>
  <c r="X5" i="4" s="1"/>
  <c r="AA67" i="1"/>
  <c r="AA5" i="4" s="1"/>
  <c r="G68" i="1"/>
  <c r="G6" i="4" s="1"/>
  <c r="V103" i="1"/>
  <c r="F35" i="1"/>
  <c r="K36" i="1"/>
  <c r="F37" i="1"/>
  <c r="F69" i="1"/>
  <c r="F7" i="4" s="1"/>
  <c r="F38" i="1"/>
  <c r="F39" i="1"/>
  <c r="F40" i="1"/>
  <c r="V104" i="1"/>
  <c r="U128" i="2"/>
  <c r="M129" i="2"/>
  <c r="L54" i="4"/>
  <c r="L77" i="2"/>
  <c r="L129" i="2"/>
  <c r="U130" i="2"/>
  <c r="T55" i="4"/>
  <c r="M131" i="2"/>
  <c r="L56" i="4"/>
  <c r="L79" i="2"/>
  <c r="L131" i="2"/>
  <c r="U132" i="2"/>
  <c r="T57" i="4"/>
  <c r="M133" i="2"/>
  <c r="L58" i="4"/>
  <c r="L81" i="2"/>
  <c r="L133" i="2"/>
  <c r="U134" i="2"/>
  <c r="T59" i="4"/>
  <c r="M135" i="2"/>
  <c r="L60" i="4"/>
  <c r="L83" i="2"/>
  <c r="L135" i="2"/>
  <c r="F47" i="1"/>
  <c r="F79" i="1"/>
  <c r="F17" i="4" s="1"/>
  <c r="F48" i="1"/>
  <c r="F50" i="1"/>
  <c r="F82" i="1"/>
  <c r="F20" i="4" s="1"/>
  <c r="F51" i="1"/>
  <c r="F53" i="1"/>
  <c r="F85" i="1"/>
  <c r="F23" i="4" s="1"/>
  <c r="L57" i="2"/>
  <c r="L109" i="2" s="1"/>
  <c r="L58" i="2"/>
  <c r="L110" i="2"/>
  <c r="K35" i="4" s="1"/>
  <c r="L59" i="2"/>
  <c r="L111" i="2" s="1"/>
  <c r="L60" i="2"/>
  <c r="L112" i="2" s="1"/>
  <c r="L61" i="2"/>
  <c r="L113" i="2"/>
  <c r="K38" i="4" s="1"/>
  <c r="L62" i="2"/>
  <c r="L114" i="2" s="1"/>
  <c r="L63" i="2"/>
  <c r="L115" i="2"/>
  <c r="K40" i="4" s="1"/>
  <c r="L64" i="2"/>
  <c r="L116" i="2" s="1"/>
  <c r="L65" i="2"/>
  <c r="L117" i="2"/>
  <c r="K42" i="4" s="1"/>
  <c r="L67" i="2"/>
  <c r="L68" i="2"/>
  <c r="L120" i="2"/>
  <c r="K45" i="4" s="1"/>
  <c r="X13" i="6"/>
  <c r="V71" i="6"/>
  <c r="L70" i="2"/>
  <c r="L122" i="2" s="1"/>
  <c r="L71" i="2"/>
  <c r="L123" i="2"/>
  <c r="L74" i="2"/>
  <c r="L126" i="2"/>
  <c r="K51" i="4" s="1"/>
  <c r="L75" i="2"/>
  <c r="L127" i="2" s="1"/>
  <c r="M128" i="2"/>
  <c r="L53" i="4" s="1"/>
  <c r="L76" i="2"/>
  <c r="L128" i="2" s="1"/>
  <c r="U129" i="2"/>
  <c r="T54" i="4"/>
  <c r="M130" i="2"/>
  <c r="L55" i="4"/>
  <c r="L78" i="2"/>
  <c r="L130" i="2"/>
  <c r="K55" i="4" s="1"/>
  <c r="U131" i="2"/>
  <c r="T56" i="4" s="1"/>
  <c r="M132" i="2"/>
  <c r="L57" i="4" s="1"/>
  <c r="L80" i="2"/>
  <c r="L132" i="2" s="1"/>
  <c r="U133" i="2"/>
  <c r="T58" i="4"/>
  <c r="M134" i="2"/>
  <c r="L59" i="4"/>
  <c r="L82" i="2"/>
  <c r="L134" i="2"/>
  <c r="K59" i="4" s="1"/>
  <c r="L84" i="2"/>
  <c r="L136" i="2" s="1"/>
  <c r="L85" i="2"/>
  <c r="L137" i="2"/>
  <c r="L87" i="2"/>
  <c r="L88" i="2"/>
  <c r="L140" i="2" s="1"/>
  <c r="L89" i="2"/>
  <c r="L141" i="2"/>
  <c r="L90" i="2"/>
  <c r="L142" i="2"/>
  <c r="L91" i="2"/>
  <c r="L143" i="2"/>
  <c r="K68" i="4" s="1"/>
  <c r="L92" i="2"/>
  <c r="L144" i="2" s="1"/>
  <c r="L93" i="2"/>
  <c r="L145" i="2"/>
  <c r="L94" i="2"/>
  <c r="L146" i="2"/>
  <c r="L95" i="2"/>
  <c r="L147" i="2"/>
  <c r="K72" i="4" s="1"/>
  <c r="L96" i="2"/>
  <c r="L148" i="2" s="1"/>
  <c r="L97" i="2"/>
  <c r="L149" i="2"/>
  <c r="L98" i="2"/>
  <c r="L150" i="2"/>
  <c r="K75" i="4" s="1"/>
  <c r="L99" i="2"/>
  <c r="L151" i="2" s="1"/>
  <c r="L100" i="2"/>
  <c r="L152" i="2"/>
  <c r="K77" i="4" s="1"/>
  <c r="L101" i="2"/>
  <c r="L153" i="2" s="1"/>
  <c r="L102" i="2"/>
  <c r="L154" i="2" s="1"/>
  <c r="E106" i="6"/>
  <c r="K106" i="6"/>
  <c r="AA101" i="1"/>
  <c r="E102" i="1"/>
  <c r="U103" i="1"/>
  <c r="AA103" i="1"/>
  <c r="O104" i="1"/>
  <c r="O106" i="1"/>
  <c r="AA107" i="1"/>
  <c r="O108" i="1"/>
  <c r="AA111" i="1"/>
  <c r="E112" i="1"/>
  <c r="N112" i="1"/>
  <c r="O112" i="1"/>
  <c r="E115" i="1"/>
  <c r="N115" i="1"/>
  <c r="O115" i="1"/>
  <c r="E118" i="1"/>
  <c r="N118" i="1"/>
  <c r="O118" i="1"/>
  <c r="E101" i="1"/>
  <c r="O101" i="1"/>
  <c r="L102" i="1"/>
  <c r="Q102" i="1"/>
  <c r="AA102" i="1"/>
  <c r="U104" i="1"/>
  <c r="U106" i="1"/>
  <c r="AA106" i="1"/>
  <c r="E107" i="1"/>
  <c r="O107" i="1"/>
  <c r="U108" i="1"/>
  <c r="AA108" i="1"/>
  <c r="AA110" i="1"/>
  <c r="E113" i="1"/>
  <c r="N113" i="1"/>
  <c r="O113" i="1"/>
  <c r="C115" i="1"/>
  <c r="E116" i="1"/>
  <c r="N116" i="1"/>
  <c r="O116" i="1"/>
  <c r="O120" i="1"/>
  <c r="N123" i="1"/>
  <c r="O123" i="1"/>
  <c r="U123" i="1"/>
  <c r="C120" i="1"/>
  <c r="C123" i="1"/>
  <c r="E293" i="3"/>
  <c r="J41" i="1"/>
  <c r="E294" i="3"/>
  <c r="L41" i="1"/>
  <c r="E55" i="1"/>
  <c r="G55" i="1"/>
  <c r="G87" i="1"/>
  <c r="G25" i="4"/>
  <c r="I55" i="1"/>
  <c r="I87" i="1"/>
  <c r="I25" i="4"/>
  <c r="M55" i="1"/>
  <c r="M87" i="1"/>
  <c r="M25" i="4"/>
  <c r="O55" i="1"/>
  <c r="O87" i="1"/>
  <c r="O25" i="4"/>
  <c r="E58" i="1"/>
  <c r="G58" i="1"/>
  <c r="I58" i="1"/>
  <c r="E297" i="3"/>
  <c r="I41" i="1"/>
  <c r="M58" i="1"/>
  <c r="O58" i="1"/>
  <c r="S58" i="1"/>
  <c r="D123" i="1"/>
  <c r="L123" i="1"/>
  <c r="Q123" i="1"/>
  <c r="S123" i="1"/>
  <c r="R123" i="1"/>
  <c r="H108" i="2"/>
  <c r="G33" i="4"/>
  <c r="J108" i="2"/>
  <c r="I33" i="4"/>
  <c r="N108" i="2"/>
  <c r="M33" i="4"/>
  <c r="P108" i="2"/>
  <c r="R108" i="2"/>
  <c r="V108" i="2"/>
  <c r="X108" i="2"/>
  <c r="W33" i="4" s="1"/>
  <c r="Z108" i="2"/>
  <c r="Y33" i="4" s="1"/>
  <c r="F3" i="6"/>
  <c r="F61" i="6" s="1"/>
  <c r="H109" i="2"/>
  <c r="G34" i="4" s="1"/>
  <c r="G57" i="2"/>
  <c r="G109" i="2" s="1"/>
  <c r="L3" i="6"/>
  <c r="N3" i="6"/>
  <c r="L61" i="6" s="1"/>
  <c r="U3" i="6"/>
  <c r="S61" i="6" s="1"/>
  <c r="Z3" i="6"/>
  <c r="X61" i="6"/>
  <c r="AB3" i="6"/>
  <c r="Z61" i="6"/>
  <c r="F4" i="6"/>
  <c r="F62" i="6" s="1"/>
  <c r="H110" i="2"/>
  <c r="G35" i="4" s="1"/>
  <c r="G58" i="2"/>
  <c r="G110" i="2" s="1"/>
  <c r="F35" i="4" s="1"/>
  <c r="L4" i="6"/>
  <c r="N4" i="6"/>
  <c r="L62" i="6" s="1"/>
  <c r="U4" i="6"/>
  <c r="S62" i="6" s="1"/>
  <c r="X4" i="6"/>
  <c r="V62" i="6"/>
  <c r="Z4" i="6"/>
  <c r="X62" i="6"/>
  <c r="AB4" i="6"/>
  <c r="Z62" i="6"/>
  <c r="F23" i="6"/>
  <c r="F81" i="6" s="1"/>
  <c r="H111" i="2"/>
  <c r="G36" i="4" s="1"/>
  <c r="G59" i="2"/>
  <c r="G111" i="2" s="1"/>
  <c r="L23" i="6"/>
  <c r="N23" i="6"/>
  <c r="L81" i="6" s="1"/>
  <c r="U23" i="6"/>
  <c r="S81" i="6" s="1"/>
  <c r="Z23" i="6"/>
  <c r="X81" i="6"/>
  <c r="AB23" i="6"/>
  <c r="Z81" i="6"/>
  <c r="F5" i="6"/>
  <c r="F63" i="6" s="1"/>
  <c r="L5" i="6"/>
  <c r="N5" i="6"/>
  <c r="L63" i="6"/>
  <c r="U5" i="6"/>
  <c r="S63" i="6"/>
  <c r="X5" i="6"/>
  <c r="V63" i="6"/>
  <c r="Z5" i="6"/>
  <c r="X63" i="6"/>
  <c r="AB5" i="6"/>
  <c r="Z63" i="6"/>
  <c r="F6" i="6"/>
  <c r="F64" i="6"/>
  <c r="L6" i="6"/>
  <c r="N6" i="6"/>
  <c r="L64" i="6" s="1"/>
  <c r="U6" i="6"/>
  <c r="S64" i="6" s="1"/>
  <c r="X6" i="6"/>
  <c r="V64" i="6"/>
  <c r="Z6" i="6"/>
  <c r="X64" i="6"/>
  <c r="AB6" i="6"/>
  <c r="Z64" i="6"/>
  <c r="F7" i="6"/>
  <c r="F65" i="6" s="1"/>
  <c r="L7" i="6"/>
  <c r="N7" i="6"/>
  <c r="L65" i="6"/>
  <c r="U7" i="6"/>
  <c r="S65" i="6"/>
  <c r="X7" i="6"/>
  <c r="V65" i="6"/>
  <c r="Z7" i="6"/>
  <c r="X65" i="6"/>
  <c r="AB7" i="6"/>
  <c r="Z65" i="6"/>
  <c r="F8" i="6"/>
  <c r="F66" i="6"/>
  <c r="L8" i="6"/>
  <c r="N8" i="6"/>
  <c r="L66" i="6" s="1"/>
  <c r="U8" i="6"/>
  <c r="S66" i="6" s="1"/>
  <c r="X8" i="6"/>
  <c r="V66" i="6"/>
  <c r="Z8" i="6"/>
  <c r="X66" i="6"/>
  <c r="AB8" i="6"/>
  <c r="Z66" i="6"/>
  <c r="X2" i="6"/>
  <c r="Z2" i="6"/>
  <c r="AB2" i="6"/>
  <c r="F10" i="6"/>
  <c r="F68" i="6"/>
  <c r="L10" i="6"/>
  <c r="N10" i="6"/>
  <c r="L68" i="6" s="1"/>
  <c r="U10" i="6"/>
  <c r="S68" i="6" s="1"/>
  <c r="X10" i="6"/>
  <c r="V68" i="6"/>
  <c r="Z10" i="6"/>
  <c r="X68" i="6"/>
  <c r="AB10" i="6"/>
  <c r="Z68" i="6"/>
  <c r="X12" i="6"/>
  <c r="Z12" i="6"/>
  <c r="AB12" i="6"/>
  <c r="F13" i="6"/>
  <c r="F71" i="6"/>
  <c r="L13" i="6"/>
  <c r="N13" i="6"/>
  <c r="L71" i="6" s="1"/>
  <c r="U13" i="6"/>
  <c r="S71" i="6" s="1"/>
  <c r="Z13" i="6"/>
  <c r="X71" i="6"/>
  <c r="AB13" i="6"/>
  <c r="Y14" i="6"/>
  <c r="W72" i="6"/>
  <c r="AB14" i="6"/>
  <c r="Z72" i="6"/>
  <c r="F37" i="6"/>
  <c r="F95" i="6"/>
  <c r="L37" i="6"/>
  <c r="N37" i="6"/>
  <c r="L95" i="6" s="1"/>
  <c r="U37" i="6"/>
  <c r="S95" i="6" s="1"/>
  <c r="X37" i="6"/>
  <c r="V95" i="6"/>
  <c r="Z37" i="6"/>
  <c r="X95" i="6"/>
  <c r="AB37" i="6"/>
  <c r="Z95" i="6"/>
  <c r="F15" i="6"/>
  <c r="F73" i="6" s="1"/>
  <c r="L15" i="6"/>
  <c r="N15" i="6"/>
  <c r="L73" i="6"/>
  <c r="U15" i="6"/>
  <c r="S73" i="6"/>
  <c r="X15" i="6"/>
  <c r="V73" i="6"/>
  <c r="Z15" i="6"/>
  <c r="X73" i="6"/>
  <c r="AB15" i="6"/>
  <c r="Z73" i="6"/>
  <c r="X17" i="6"/>
  <c r="Z17" i="6"/>
  <c r="AB17" i="6"/>
  <c r="F18" i="6"/>
  <c r="F76" i="6" s="1"/>
  <c r="L18" i="6"/>
  <c r="N18" i="6"/>
  <c r="L76" i="6"/>
  <c r="U18" i="6"/>
  <c r="S76" i="6"/>
  <c r="X18" i="6"/>
  <c r="V76" i="6"/>
  <c r="Z18" i="6"/>
  <c r="X76" i="6"/>
  <c r="AB18" i="6"/>
  <c r="Z76" i="6"/>
  <c r="F21" i="6"/>
  <c r="F79" i="6"/>
  <c r="L21" i="6"/>
  <c r="N21" i="6"/>
  <c r="L79" i="6" s="1"/>
  <c r="U21" i="6"/>
  <c r="S79" i="6" s="1"/>
  <c r="X21" i="6"/>
  <c r="V79" i="6"/>
  <c r="Z21" i="6"/>
  <c r="X79" i="6"/>
  <c r="AB21" i="6"/>
  <c r="Z79" i="6"/>
  <c r="F22" i="6"/>
  <c r="F80" i="6" s="1"/>
  <c r="L22" i="6"/>
  <c r="N22" i="6"/>
  <c r="L80" i="6"/>
  <c r="U22" i="6"/>
  <c r="S80" i="6"/>
  <c r="X22" i="6"/>
  <c r="V80" i="6"/>
  <c r="Z22" i="6"/>
  <c r="X80" i="6"/>
  <c r="AB22" i="6"/>
  <c r="Z80" i="6"/>
  <c r="F25" i="6"/>
  <c r="F83" i="6"/>
  <c r="L25" i="6"/>
  <c r="N25" i="6"/>
  <c r="L83" i="6" s="1"/>
  <c r="U25" i="6"/>
  <c r="S83" i="6" s="1"/>
  <c r="X25" i="6"/>
  <c r="V83" i="6"/>
  <c r="Z25" i="6"/>
  <c r="X83" i="6"/>
  <c r="AB25" i="6"/>
  <c r="Z83" i="6"/>
  <c r="F27" i="6"/>
  <c r="F85" i="6" s="1"/>
  <c r="L27" i="6"/>
  <c r="N27" i="6"/>
  <c r="L85" i="6"/>
  <c r="U27" i="6"/>
  <c r="S85" i="6"/>
  <c r="X27" i="6"/>
  <c r="V85" i="6"/>
  <c r="Z27" i="6"/>
  <c r="X85" i="6"/>
  <c r="AB27" i="6"/>
  <c r="Z85" i="6"/>
  <c r="F29" i="6"/>
  <c r="F87" i="6"/>
  <c r="L29" i="6"/>
  <c r="N29" i="6"/>
  <c r="L87" i="6" s="1"/>
  <c r="U29" i="6"/>
  <c r="S87" i="6" s="1"/>
  <c r="X29" i="6"/>
  <c r="V87" i="6"/>
  <c r="Z29" i="6"/>
  <c r="X87" i="6"/>
  <c r="AB29" i="6"/>
  <c r="Z87" i="6"/>
  <c r="F30" i="6"/>
  <c r="F88" i="6" s="1"/>
  <c r="L30" i="6"/>
  <c r="N30" i="6"/>
  <c r="L88" i="6"/>
  <c r="U30" i="6"/>
  <c r="S88" i="6"/>
  <c r="X30" i="6"/>
  <c r="V88" i="6"/>
  <c r="Z30" i="6"/>
  <c r="X88" i="6"/>
  <c r="AB30" i="6"/>
  <c r="Z88" i="6"/>
  <c r="F34" i="6"/>
  <c r="F92" i="6"/>
  <c r="L34" i="6"/>
  <c r="N34" i="6"/>
  <c r="L92" i="6" s="1"/>
  <c r="U34" i="6"/>
  <c r="S92" i="6" s="1"/>
  <c r="X34" i="6"/>
  <c r="V92" i="6"/>
  <c r="Z34" i="6"/>
  <c r="X92" i="6"/>
  <c r="AB34" i="6"/>
  <c r="Z92" i="6"/>
  <c r="F35" i="6"/>
  <c r="F93" i="6" s="1"/>
  <c r="L35" i="6"/>
  <c r="N35" i="6"/>
  <c r="L93" i="6"/>
  <c r="U35" i="6"/>
  <c r="S93" i="6"/>
  <c r="X35" i="6"/>
  <c r="V93" i="6"/>
  <c r="Z35" i="6"/>
  <c r="X93" i="6"/>
  <c r="AB35" i="6"/>
  <c r="Z93" i="6"/>
  <c r="F26" i="6"/>
  <c r="F84" i="6"/>
  <c r="L26" i="6"/>
  <c r="N26" i="6"/>
  <c r="L84" i="6" s="1"/>
  <c r="U26" i="6"/>
  <c r="S84" i="6" s="1"/>
  <c r="X26" i="6"/>
  <c r="V84" i="6"/>
  <c r="Z26" i="6"/>
  <c r="X84" i="6"/>
  <c r="AB26" i="6"/>
  <c r="Z84" i="6"/>
  <c r="F40" i="6"/>
  <c r="F98" i="6" s="1"/>
  <c r="L40" i="6"/>
  <c r="N40" i="6"/>
  <c r="L98" i="6"/>
  <c r="U40" i="6"/>
  <c r="S98" i="6"/>
  <c r="X40" i="6"/>
  <c r="V98" i="6"/>
  <c r="Z40" i="6"/>
  <c r="X98" i="6"/>
  <c r="AB40" i="6"/>
  <c r="Z98" i="6"/>
  <c r="X19" i="6"/>
  <c r="V77" i="6"/>
  <c r="Z19" i="6"/>
  <c r="X77" i="6"/>
  <c r="AB19" i="6"/>
  <c r="Z77" i="6"/>
  <c r="F20" i="6"/>
  <c r="F78" i="6"/>
  <c r="L20" i="6"/>
  <c r="N20" i="6"/>
  <c r="L78" i="6" s="1"/>
  <c r="U20" i="6"/>
  <c r="S78" i="6" s="1"/>
  <c r="X20" i="6"/>
  <c r="V78" i="6"/>
  <c r="Z20" i="6"/>
  <c r="X78" i="6"/>
  <c r="AB20" i="6"/>
  <c r="Z78" i="6"/>
  <c r="F24" i="6"/>
  <c r="F82" i="6" s="1"/>
  <c r="L24" i="6"/>
  <c r="N24" i="6"/>
  <c r="L82" i="6"/>
  <c r="U24" i="6"/>
  <c r="S82" i="6"/>
  <c r="X24" i="6"/>
  <c r="V82" i="6"/>
  <c r="Z24" i="6"/>
  <c r="X82" i="6"/>
  <c r="AB24" i="6"/>
  <c r="Z82" i="6"/>
  <c r="F28" i="6"/>
  <c r="F86" i="6"/>
  <c r="L28" i="6"/>
  <c r="N28" i="6"/>
  <c r="L86" i="6" s="1"/>
  <c r="U28" i="6"/>
  <c r="S86" i="6" s="1"/>
  <c r="X28" i="6"/>
  <c r="V86" i="6"/>
  <c r="Z28" i="6"/>
  <c r="X86" i="6"/>
  <c r="AB28" i="6"/>
  <c r="Z86" i="6"/>
  <c r="F32" i="6"/>
  <c r="F90" i="6" s="1"/>
  <c r="L32" i="6"/>
  <c r="N32" i="6"/>
  <c r="L90" i="6"/>
  <c r="U32" i="6"/>
  <c r="S90" i="6"/>
  <c r="X32" i="6"/>
  <c r="V90" i="6"/>
  <c r="Z32" i="6"/>
  <c r="X90" i="6"/>
  <c r="AB32" i="6"/>
  <c r="Z90" i="6"/>
  <c r="F33" i="6"/>
  <c r="F91" i="6"/>
  <c r="L33" i="6"/>
  <c r="N33" i="6"/>
  <c r="L91" i="6" s="1"/>
  <c r="U33" i="6"/>
  <c r="S91" i="6" s="1"/>
  <c r="X33" i="6"/>
  <c r="V91" i="6"/>
  <c r="Z33" i="6"/>
  <c r="X91" i="6"/>
  <c r="AB33" i="6"/>
  <c r="Z91" i="6"/>
  <c r="F36" i="6"/>
  <c r="F94" i="6" s="1"/>
  <c r="L36" i="6"/>
  <c r="N36" i="6"/>
  <c r="L94" i="6"/>
  <c r="U36" i="6"/>
  <c r="S94" i="6"/>
  <c r="X36" i="6"/>
  <c r="V94" i="6"/>
  <c r="Z36" i="6"/>
  <c r="X94" i="6"/>
  <c r="AB36" i="6"/>
  <c r="Z94" i="6"/>
  <c r="F38" i="6"/>
  <c r="F96" i="6"/>
  <c r="L38" i="6"/>
  <c r="N38" i="6"/>
  <c r="L96" i="6" s="1"/>
  <c r="U38" i="6"/>
  <c r="S96" i="6" s="1"/>
  <c r="X38" i="6"/>
  <c r="V96" i="6"/>
  <c r="Z38" i="6"/>
  <c r="X96" i="6"/>
  <c r="AB38" i="6"/>
  <c r="Z96" i="6"/>
  <c r="F39" i="6"/>
  <c r="F97" i="6" s="1"/>
  <c r="L39" i="6"/>
  <c r="N39" i="6"/>
  <c r="L97" i="6"/>
  <c r="U39" i="6"/>
  <c r="S97" i="6"/>
  <c r="X39" i="6"/>
  <c r="V97" i="6"/>
  <c r="Z39" i="6"/>
  <c r="X97" i="6"/>
  <c r="AB39" i="6"/>
  <c r="Z97" i="6"/>
  <c r="F42" i="6"/>
  <c r="L42" i="6"/>
  <c r="N42" i="6"/>
  <c r="U42" i="6"/>
  <c r="X42" i="6"/>
  <c r="Z42" i="6"/>
  <c r="AB42" i="6"/>
  <c r="F43" i="6"/>
  <c r="F101" i="6" s="1"/>
  <c r="L43" i="6"/>
  <c r="N43" i="6"/>
  <c r="L101" i="6"/>
  <c r="U43" i="6"/>
  <c r="S101" i="6"/>
  <c r="X43" i="6"/>
  <c r="V101" i="6"/>
  <c r="Z43" i="6"/>
  <c r="X101" i="6"/>
  <c r="AB43" i="6"/>
  <c r="Z101" i="6"/>
  <c r="L45" i="6"/>
  <c r="N45" i="6"/>
  <c r="L103" i="6" s="1"/>
  <c r="U45" i="6"/>
  <c r="S103" i="6" s="1"/>
  <c r="X45" i="6"/>
  <c r="V103" i="6"/>
  <c r="Z45" i="6"/>
  <c r="X103" i="6"/>
  <c r="AB45" i="6"/>
  <c r="Z103" i="6"/>
  <c r="F46" i="6"/>
  <c r="F104" i="6" s="1"/>
  <c r="L46" i="6"/>
  <c r="N46" i="6"/>
  <c r="L104" i="6"/>
  <c r="U46" i="6"/>
  <c r="S104" i="6"/>
  <c r="X46" i="6"/>
  <c r="V104" i="6"/>
  <c r="Z46" i="6"/>
  <c r="X104" i="6"/>
  <c r="AB46" i="6"/>
  <c r="Z104" i="6"/>
  <c r="L47" i="6"/>
  <c r="N47" i="6"/>
  <c r="L105" i="6" s="1"/>
  <c r="U47" i="6"/>
  <c r="S105" i="6" s="1"/>
  <c r="X47" i="6"/>
  <c r="V105" i="6"/>
  <c r="Z47" i="6"/>
  <c r="X105" i="6"/>
  <c r="AB47" i="6"/>
  <c r="Z105" i="6"/>
  <c r="F44" i="6"/>
  <c r="F102" i="6" s="1"/>
  <c r="L44" i="6"/>
  <c r="N44" i="6"/>
  <c r="L102" i="6"/>
  <c r="U44" i="6"/>
  <c r="S102" i="6"/>
  <c r="X44" i="6"/>
  <c r="V102" i="6"/>
  <c r="Z44" i="6"/>
  <c r="X102" i="6"/>
  <c r="AB44" i="6"/>
  <c r="Z102" i="6"/>
  <c r="D67" i="1"/>
  <c r="D5" i="4"/>
  <c r="D68" i="1"/>
  <c r="D6" i="4"/>
  <c r="D69" i="1"/>
  <c r="D7" i="4"/>
  <c r="D71" i="1"/>
  <c r="D9" i="4"/>
  <c r="D73" i="1"/>
  <c r="D11" i="4"/>
  <c r="D74" i="1"/>
  <c r="D12" i="4"/>
  <c r="D75" i="1"/>
  <c r="D13" i="4"/>
  <c r="Q112" i="1"/>
  <c r="U112" i="1"/>
  <c r="AA112" i="1"/>
  <c r="D80" i="1"/>
  <c r="D18" i="4" s="1"/>
  <c r="L113" i="1"/>
  <c r="Q113" i="1"/>
  <c r="AA113" i="1"/>
  <c r="D82" i="1"/>
  <c r="D20" i="4"/>
  <c r="Q115" i="1"/>
  <c r="U115" i="1"/>
  <c r="AA115" i="1"/>
  <c r="D83" i="1"/>
  <c r="D21" i="4" s="1"/>
  <c r="L116" i="1"/>
  <c r="Q116" i="1"/>
  <c r="AA116" i="1"/>
  <c r="D85" i="1"/>
  <c r="D23" i="4"/>
  <c r="Q118" i="1"/>
  <c r="U118" i="1"/>
  <c r="AA118" i="1"/>
  <c r="H55" i="1"/>
  <c r="H87" i="1"/>
  <c r="H25" i="4"/>
  <c r="J55" i="1"/>
  <c r="J87" i="1"/>
  <c r="J25" i="4"/>
  <c r="L55" i="1"/>
  <c r="L87" i="1"/>
  <c r="L25" i="4"/>
  <c r="Q120" i="1"/>
  <c r="U120" i="1"/>
  <c r="AA120" i="1"/>
  <c r="F58" i="1"/>
  <c r="H58" i="1"/>
  <c r="J58" i="1"/>
  <c r="L58" i="1"/>
  <c r="G59" i="1"/>
  <c r="K59" i="1"/>
  <c r="S59" i="1"/>
  <c r="S90" i="1"/>
  <c r="S28" i="4"/>
  <c r="F108" i="2"/>
  <c r="D109" i="2"/>
  <c r="C34" i="4" s="1"/>
  <c r="G3" i="6"/>
  <c r="G61" i="6" s="1"/>
  <c r="J3" i="6"/>
  <c r="J61" i="6" s="1"/>
  <c r="M3" i="6"/>
  <c r="K3" i="6"/>
  <c r="P3" i="6"/>
  <c r="N61" i="6" s="1"/>
  <c r="V3" i="6"/>
  <c r="T61" i="6" s="1"/>
  <c r="W3" i="6"/>
  <c r="U61" i="6" s="1"/>
  <c r="Y3" i="6"/>
  <c r="W61" i="6"/>
  <c r="AA3" i="6"/>
  <c r="Y61" i="6" s="1"/>
  <c r="D110" i="2"/>
  <c r="C35" i="4" s="1"/>
  <c r="G4" i="6"/>
  <c r="G62" i="6" s="1"/>
  <c r="J4" i="6"/>
  <c r="J62" i="6" s="1"/>
  <c r="M4" i="6"/>
  <c r="K4" i="6"/>
  <c r="P4" i="6"/>
  <c r="N62" i="6" s="1"/>
  <c r="V4" i="6"/>
  <c r="T62" i="6" s="1"/>
  <c r="W4" i="6"/>
  <c r="U62" i="6" s="1"/>
  <c r="Y4" i="6"/>
  <c r="W62" i="6"/>
  <c r="AA4" i="6"/>
  <c r="Y62" i="6" s="1"/>
  <c r="D111" i="2"/>
  <c r="C36" i="4" s="1"/>
  <c r="G23" i="6"/>
  <c r="G81" i="6" s="1"/>
  <c r="J23" i="6"/>
  <c r="J81" i="6" s="1"/>
  <c r="M23" i="6"/>
  <c r="K23" i="6"/>
  <c r="P23" i="6"/>
  <c r="V23" i="6"/>
  <c r="T81" i="6"/>
  <c r="W23" i="6"/>
  <c r="U81" i="6"/>
  <c r="Y23" i="6"/>
  <c r="W81" i="6"/>
  <c r="AA23" i="6"/>
  <c r="Y81" i="6"/>
  <c r="G5" i="6"/>
  <c r="G63" i="6"/>
  <c r="J5" i="6"/>
  <c r="J63" i="6"/>
  <c r="M5" i="6"/>
  <c r="K5" i="6"/>
  <c r="P5" i="6"/>
  <c r="N63" i="6"/>
  <c r="V5" i="6"/>
  <c r="T63" i="6"/>
  <c r="W5" i="6"/>
  <c r="U63" i="6"/>
  <c r="Y5" i="6"/>
  <c r="W63" i="6"/>
  <c r="AA5" i="6"/>
  <c r="Y63" i="6"/>
  <c r="G6" i="6"/>
  <c r="G64" i="6"/>
  <c r="J6" i="6"/>
  <c r="J64" i="6"/>
  <c r="M6" i="6"/>
  <c r="K6" i="6"/>
  <c r="P6" i="6"/>
  <c r="N64" i="6"/>
  <c r="V6" i="6"/>
  <c r="T64" i="6"/>
  <c r="W6" i="6"/>
  <c r="U64" i="6"/>
  <c r="Y6" i="6"/>
  <c r="W64" i="6"/>
  <c r="AA6" i="6"/>
  <c r="Y64" i="6"/>
  <c r="G7" i="6"/>
  <c r="G65" i="6"/>
  <c r="J7" i="6"/>
  <c r="J65" i="6"/>
  <c r="M7" i="6"/>
  <c r="K7" i="6"/>
  <c r="P7" i="6"/>
  <c r="N65" i="6"/>
  <c r="V7" i="6"/>
  <c r="T65" i="6"/>
  <c r="W7" i="6"/>
  <c r="U65" i="6"/>
  <c r="Y7" i="6"/>
  <c r="W65" i="6"/>
  <c r="AA7" i="6"/>
  <c r="Y65" i="6"/>
  <c r="G8" i="6"/>
  <c r="G66" i="6"/>
  <c r="J8" i="6"/>
  <c r="J66" i="6"/>
  <c r="M8" i="6"/>
  <c r="K8" i="6"/>
  <c r="P8" i="6"/>
  <c r="N66" i="6"/>
  <c r="V8" i="6"/>
  <c r="T66" i="6"/>
  <c r="W8" i="6"/>
  <c r="U66" i="6"/>
  <c r="Y8" i="6"/>
  <c r="W66" i="6"/>
  <c r="AA8" i="6"/>
  <c r="Y66" i="6"/>
  <c r="Y2" i="6"/>
  <c r="AA2" i="6"/>
  <c r="G10" i="6"/>
  <c r="G68" i="6"/>
  <c r="J10" i="6"/>
  <c r="J68" i="6"/>
  <c r="M10" i="6"/>
  <c r="K10" i="6"/>
  <c r="P10" i="6"/>
  <c r="N68" i="6"/>
  <c r="V10" i="6"/>
  <c r="T68" i="6"/>
  <c r="W10" i="6"/>
  <c r="U68" i="6"/>
  <c r="Y10" i="6"/>
  <c r="W68" i="6"/>
  <c r="AA10" i="6"/>
  <c r="Y68" i="6"/>
  <c r="Y12" i="6"/>
  <c r="AA12" i="6"/>
  <c r="G13" i="6"/>
  <c r="G71" i="6"/>
  <c r="J13" i="6"/>
  <c r="J71" i="6"/>
  <c r="M13" i="6"/>
  <c r="K13" i="6"/>
  <c r="P13" i="6"/>
  <c r="N71" i="6"/>
  <c r="V13" i="6"/>
  <c r="T71" i="6"/>
  <c r="W13" i="6"/>
  <c r="U71" i="6"/>
  <c r="Y13" i="6"/>
  <c r="W71" i="6"/>
  <c r="AA13" i="6"/>
  <c r="Y71" i="6"/>
  <c r="G37" i="6"/>
  <c r="G95" i="6"/>
  <c r="J37" i="6"/>
  <c r="J95" i="6"/>
  <c r="M37" i="6"/>
  <c r="K37" i="6"/>
  <c r="P37" i="6"/>
  <c r="V37" i="6"/>
  <c r="T95" i="6" s="1"/>
  <c r="W37" i="6"/>
  <c r="U95" i="6" s="1"/>
  <c r="Y37" i="6"/>
  <c r="W95" i="6"/>
  <c r="AA37" i="6"/>
  <c r="Y95" i="6" s="1"/>
  <c r="G15" i="6"/>
  <c r="G73" i="6" s="1"/>
  <c r="J15" i="6"/>
  <c r="J73" i="6" s="1"/>
  <c r="M15" i="6"/>
  <c r="K15" i="6"/>
  <c r="P15" i="6"/>
  <c r="N73" i="6" s="1"/>
  <c r="V15" i="6"/>
  <c r="T73" i="6" s="1"/>
  <c r="W15" i="6"/>
  <c r="U73" i="6" s="1"/>
  <c r="Y15" i="6"/>
  <c r="W73" i="6"/>
  <c r="AA15" i="6"/>
  <c r="Y73" i="6" s="1"/>
  <c r="Y17" i="6"/>
  <c r="AA17" i="6"/>
  <c r="G18" i="6"/>
  <c r="G76" i="6" s="1"/>
  <c r="J18" i="6"/>
  <c r="J76" i="6" s="1"/>
  <c r="M18" i="6"/>
  <c r="K18" i="6"/>
  <c r="P18" i="6"/>
  <c r="V18" i="6"/>
  <c r="T76" i="6"/>
  <c r="W18" i="6"/>
  <c r="U76" i="6"/>
  <c r="Y18" i="6"/>
  <c r="W76" i="6"/>
  <c r="AA18" i="6"/>
  <c r="Y76" i="6"/>
  <c r="G21" i="6"/>
  <c r="G79" i="6"/>
  <c r="J21" i="6"/>
  <c r="J79" i="6"/>
  <c r="M21" i="6"/>
  <c r="K21" i="6"/>
  <c r="P21" i="6"/>
  <c r="V21" i="6"/>
  <c r="T79" i="6" s="1"/>
  <c r="W21" i="6"/>
  <c r="U79" i="6" s="1"/>
  <c r="Y21" i="6"/>
  <c r="W79" i="6"/>
  <c r="AA21" i="6"/>
  <c r="Y79" i="6" s="1"/>
  <c r="G22" i="6"/>
  <c r="G80" i="6" s="1"/>
  <c r="M22" i="6"/>
  <c r="K22" i="6"/>
  <c r="P22" i="6"/>
  <c r="V22" i="6"/>
  <c r="T80" i="6"/>
  <c r="W22" i="6"/>
  <c r="U80" i="6"/>
  <c r="Y22" i="6"/>
  <c r="W80" i="6"/>
  <c r="AA22" i="6"/>
  <c r="Y80" i="6"/>
  <c r="G25" i="6"/>
  <c r="G83" i="6"/>
  <c r="M25" i="6"/>
  <c r="K25" i="6"/>
  <c r="P25" i="6"/>
  <c r="V25" i="6"/>
  <c r="T83" i="6" s="1"/>
  <c r="W25" i="6"/>
  <c r="U83" i="6" s="1"/>
  <c r="Y25" i="6"/>
  <c r="W83" i="6"/>
  <c r="AA25" i="6"/>
  <c r="Y83" i="6" s="1"/>
  <c r="G27" i="6"/>
  <c r="G85" i="6" s="1"/>
  <c r="M27" i="6"/>
  <c r="K27" i="6"/>
  <c r="P27" i="6"/>
  <c r="V27" i="6"/>
  <c r="T85" i="6"/>
  <c r="W27" i="6"/>
  <c r="U85" i="6"/>
  <c r="Y27" i="6"/>
  <c r="W85" i="6"/>
  <c r="AA27" i="6"/>
  <c r="Y85" i="6"/>
  <c r="G29" i="6"/>
  <c r="G87" i="6"/>
  <c r="M29" i="6"/>
  <c r="K29" i="6"/>
  <c r="P29" i="6"/>
  <c r="V29" i="6"/>
  <c r="T87" i="6" s="1"/>
  <c r="W29" i="6"/>
  <c r="U87" i="6" s="1"/>
  <c r="Y29" i="6"/>
  <c r="W87" i="6"/>
  <c r="AA29" i="6"/>
  <c r="Y87" i="6" s="1"/>
  <c r="G30" i="6"/>
  <c r="G88" i="6" s="1"/>
  <c r="M30" i="6"/>
  <c r="K30" i="6"/>
  <c r="P30" i="6"/>
  <c r="V30" i="6"/>
  <c r="T88" i="6"/>
  <c r="W30" i="6"/>
  <c r="U88" i="6"/>
  <c r="Y30" i="6"/>
  <c r="W88" i="6"/>
  <c r="AA30" i="6"/>
  <c r="Y88" i="6"/>
  <c r="G34" i="6"/>
  <c r="G92" i="6"/>
  <c r="M34" i="6"/>
  <c r="K34" i="6"/>
  <c r="P34" i="6"/>
  <c r="V34" i="6"/>
  <c r="T92" i="6" s="1"/>
  <c r="W34" i="6"/>
  <c r="U92" i="6" s="1"/>
  <c r="Y34" i="6"/>
  <c r="W92" i="6"/>
  <c r="AA34" i="6"/>
  <c r="Y92" i="6" s="1"/>
  <c r="G35" i="6"/>
  <c r="G93" i="6" s="1"/>
  <c r="M35" i="6"/>
  <c r="K35" i="6"/>
  <c r="P35" i="6"/>
  <c r="V35" i="6"/>
  <c r="T93" i="6"/>
  <c r="W35" i="6"/>
  <c r="U93" i="6"/>
  <c r="Y35" i="6"/>
  <c r="W93" i="6"/>
  <c r="AA35" i="6"/>
  <c r="Y93" i="6"/>
  <c r="M31" i="6"/>
  <c r="K31" i="6"/>
  <c r="G26" i="6"/>
  <c r="G84" i="6"/>
  <c r="J26" i="6"/>
  <c r="J84" i="6"/>
  <c r="M26" i="6"/>
  <c r="K26" i="6"/>
  <c r="P26" i="6"/>
  <c r="V26" i="6"/>
  <c r="T84" i="6" s="1"/>
  <c r="W26" i="6"/>
  <c r="U84" i="6" s="1"/>
  <c r="Y26" i="6"/>
  <c r="W84" i="6"/>
  <c r="AA26" i="6"/>
  <c r="Y84" i="6" s="1"/>
  <c r="G40" i="6"/>
  <c r="G98" i="6" s="1"/>
  <c r="J40" i="6"/>
  <c r="J98" i="6" s="1"/>
  <c r="M40" i="6"/>
  <c r="K40" i="6"/>
  <c r="P40" i="6"/>
  <c r="V40" i="6"/>
  <c r="T98" i="6"/>
  <c r="W40" i="6"/>
  <c r="U98" i="6"/>
  <c r="Y40" i="6"/>
  <c r="W98" i="6"/>
  <c r="AA40" i="6"/>
  <c r="Y98" i="6"/>
  <c r="Y19" i="6"/>
  <c r="W77" i="6"/>
  <c r="AA19" i="6"/>
  <c r="Y77" i="6"/>
  <c r="G20" i="6"/>
  <c r="G78" i="6"/>
  <c r="J20" i="6"/>
  <c r="J78" i="6"/>
  <c r="M20" i="6"/>
  <c r="K20" i="6"/>
  <c r="P20" i="6"/>
  <c r="V20" i="6"/>
  <c r="T78" i="6" s="1"/>
  <c r="W20" i="6"/>
  <c r="U78" i="6" s="1"/>
  <c r="Y20" i="6"/>
  <c r="W78" i="6"/>
  <c r="AA20" i="6"/>
  <c r="Y78" i="6" s="1"/>
  <c r="G24" i="6"/>
  <c r="G82" i="6" s="1"/>
  <c r="J24" i="6"/>
  <c r="J82" i="6" s="1"/>
  <c r="M24" i="6"/>
  <c r="K24" i="6"/>
  <c r="P24" i="6"/>
  <c r="V24" i="6"/>
  <c r="T82" i="6"/>
  <c r="W24" i="6"/>
  <c r="U82" i="6"/>
  <c r="Y24" i="6"/>
  <c r="W82" i="6"/>
  <c r="AA24" i="6"/>
  <c r="Y82" i="6"/>
  <c r="G28" i="6"/>
  <c r="G86" i="6"/>
  <c r="J28" i="6"/>
  <c r="J86" i="6"/>
  <c r="M28" i="6"/>
  <c r="K28" i="6"/>
  <c r="P28" i="6"/>
  <c r="V28" i="6"/>
  <c r="T86" i="6" s="1"/>
  <c r="W28" i="6"/>
  <c r="U86" i="6" s="1"/>
  <c r="Y28" i="6"/>
  <c r="W86" i="6"/>
  <c r="AA28" i="6"/>
  <c r="Y86" i="6" s="1"/>
  <c r="G32" i="6"/>
  <c r="G90" i="6" s="1"/>
  <c r="J32" i="6"/>
  <c r="J90" i="6" s="1"/>
  <c r="M32" i="6"/>
  <c r="K32" i="6"/>
  <c r="P32" i="6"/>
  <c r="V32" i="6"/>
  <c r="T90" i="6"/>
  <c r="W32" i="6"/>
  <c r="U90" i="6"/>
  <c r="Y32" i="6"/>
  <c r="W90" i="6"/>
  <c r="AA32" i="6"/>
  <c r="Y90" i="6"/>
  <c r="G33" i="6"/>
  <c r="G91" i="6"/>
  <c r="J33" i="6"/>
  <c r="J91" i="6"/>
  <c r="M33" i="6"/>
  <c r="K33" i="6"/>
  <c r="P33" i="6"/>
  <c r="V33" i="6"/>
  <c r="T91" i="6" s="1"/>
  <c r="W33" i="6"/>
  <c r="U91" i="6" s="1"/>
  <c r="Y33" i="6"/>
  <c r="W91" i="6"/>
  <c r="AA33" i="6"/>
  <c r="Y91" i="6" s="1"/>
  <c r="G36" i="6"/>
  <c r="G94" i="6" s="1"/>
  <c r="J36" i="6"/>
  <c r="J94" i="6" s="1"/>
  <c r="M36" i="6"/>
  <c r="K36" i="6"/>
  <c r="P36" i="6"/>
  <c r="V36" i="6"/>
  <c r="T94" i="6"/>
  <c r="W36" i="6"/>
  <c r="U94" i="6"/>
  <c r="Y36" i="6"/>
  <c r="W94" i="6"/>
  <c r="AA36" i="6"/>
  <c r="Y94" i="6"/>
  <c r="G38" i="6"/>
  <c r="G96" i="6"/>
  <c r="J38" i="6"/>
  <c r="J96" i="6"/>
  <c r="M38" i="6"/>
  <c r="K38" i="6"/>
  <c r="P38" i="6"/>
  <c r="V38" i="6"/>
  <c r="T96" i="6" s="1"/>
  <c r="W38" i="6"/>
  <c r="U96" i="6" s="1"/>
  <c r="Y38" i="6"/>
  <c r="W96" i="6"/>
  <c r="AA38" i="6"/>
  <c r="Y96" i="6" s="1"/>
  <c r="G39" i="6"/>
  <c r="G97" i="6" s="1"/>
  <c r="J39" i="6"/>
  <c r="J97" i="6" s="1"/>
  <c r="M39" i="6"/>
  <c r="K39" i="6"/>
  <c r="P39" i="6"/>
  <c r="V39" i="6"/>
  <c r="T97" i="6"/>
  <c r="W39" i="6"/>
  <c r="U97" i="6"/>
  <c r="Y39" i="6"/>
  <c r="W97" i="6"/>
  <c r="AA39" i="6"/>
  <c r="Y97" i="6"/>
  <c r="G42" i="6"/>
  <c r="J42" i="6"/>
  <c r="M42" i="6"/>
  <c r="K42" i="6"/>
  <c r="P42" i="6"/>
  <c r="V42" i="6"/>
  <c r="W42" i="6"/>
  <c r="Y42" i="6"/>
  <c r="AA42" i="6"/>
  <c r="G43" i="6"/>
  <c r="G101" i="6" s="1"/>
  <c r="J43" i="6"/>
  <c r="J101" i="6" s="1"/>
  <c r="M43" i="6"/>
  <c r="K43" i="6"/>
  <c r="P43" i="6"/>
  <c r="V43" i="6"/>
  <c r="T101" i="6"/>
  <c r="W43" i="6"/>
  <c r="U101" i="6"/>
  <c r="Y43" i="6"/>
  <c r="W101" i="6"/>
  <c r="AA43" i="6"/>
  <c r="Y101" i="6"/>
  <c r="G45" i="6"/>
  <c r="G103" i="6"/>
  <c r="J45" i="6"/>
  <c r="J103" i="6"/>
  <c r="M45" i="6"/>
  <c r="K45" i="6"/>
  <c r="P45" i="6"/>
  <c r="V45" i="6"/>
  <c r="T103" i="6" s="1"/>
  <c r="W45" i="6"/>
  <c r="U103" i="6" s="1"/>
  <c r="Y45" i="6"/>
  <c r="W103" i="6"/>
  <c r="AA45" i="6"/>
  <c r="Y103" i="6" s="1"/>
  <c r="G46" i="6"/>
  <c r="G104" i="6" s="1"/>
  <c r="J46" i="6"/>
  <c r="J104" i="6" s="1"/>
  <c r="M46" i="6"/>
  <c r="K46" i="6"/>
  <c r="P46" i="6"/>
  <c r="V46" i="6"/>
  <c r="T104" i="6"/>
  <c r="W46" i="6"/>
  <c r="U104" i="6"/>
  <c r="Y46" i="6"/>
  <c r="W104" i="6"/>
  <c r="AA46" i="6"/>
  <c r="Y104" i="6"/>
  <c r="G47" i="6"/>
  <c r="G105" i="6"/>
  <c r="J47" i="6"/>
  <c r="J105" i="6"/>
  <c r="M47" i="6"/>
  <c r="K47" i="6"/>
  <c r="P47" i="6"/>
  <c r="V47" i="6"/>
  <c r="T105" i="6" s="1"/>
  <c r="W47" i="6"/>
  <c r="U105" i="6" s="1"/>
  <c r="Y47" i="6"/>
  <c r="W105" i="6"/>
  <c r="AA47" i="6"/>
  <c r="Y105" i="6" s="1"/>
  <c r="G44" i="6"/>
  <c r="G102" i="6" s="1"/>
  <c r="J44" i="6"/>
  <c r="J102" i="6" s="1"/>
  <c r="M44" i="6"/>
  <c r="K44" i="6"/>
  <c r="P44" i="6"/>
  <c r="V44" i="6"/>
  <c r="T102" i="6"/>
  <c r="Y44" i="6"/>
  <c r="W102" i="6"/>
  <c r="AA44" i="6"/>
  <c r="Y102" i="6"/>
  <c r="G60" i="2"/>
  <c r="G112" i="2"/>
  <c r="F37" i="4" s="1"/>
  <c r="G61" i="2"/>
  <c r="G113" i="2" s="1"/>
  <c r="G62" i="2"/>
  <c r="G114" i="2"/>
  <c r="F39" i="4" s="1"/>
  <c r="G63" i="2"/>
  <c r="G115" i="2" s="1"/>
  <c r="G64" i="2"/>
  <c r="G116" i="2"/>
  <c r="F41" i="4" s="1"/>
  <c r="G65" i="2"/>
  <c r="G117" i="2" s="1"/>
  <c r="G67" i="2"/>
  <c r="G68" i="2"/>
  <c r="G120" i="2" s="1"/>
  <c r="G70" i="2"/>
  <c r="G122" i="2"/>
  <c r="F47" i="4" s="1"/>
  <c r="G71" i="2"/>
  <c r="G123" i="2" s="1"/>
  <c r="F48" i="4" s="1"/>
  <c r="G73" i="2"/>
  <c r="G74" i="2"/>
  <c r="G126" i="2" s="1"/>
  <c r="G75" i="2"/>
  <c r="G127" i="2"/>
  <c r="F52" i="4" s="1"/>
  <c r="G76" i="2"/>
  <c r="G128" i="2" s="1"/>
  <c r="G77" i="2"/>
  <c r="G129" i="2"/>
  <c r="F54" i="4" s="1"/>
  <c r="G78" i="2"/>
  <c r="G130" i="2" s="1"/>
  <c r="G79" i="2"/>
  <c r="G131" i="2"/>
  <c r="F56" i="4" s="1"/>
  <c r="G80" i="2"/>
  <c r="G132" i="2" s="1"/>
  <c r="G81" i="2"/>
  <c r="G133" i="2"/>
  <c r="F58" i="4" s="1"/>
  <c r="G82" i="2"/>
  <c r="G134" i="2" s="1"/>
  <c r="G83" i="2"/>
  <c r="G135" i="2"/>
  <c r="F60" i="4" s="1"/>
  <c r="G84" i="2"/>
  <c r="G136" i="2" s="1"/>
  <c r="G85" i="2"/>
  <c r="G137" i="2"/>
  <c r="F62" i="4" s="1"/>
  <c r="G87" i="2"/>
  <c r="G88" i="2"/>
  <c r="G140" i="2"/>
  <c r="F65" i="4" s="1"/>
  <c r="G89" i="2"/>
  <c r="G141" i="2" s="1"/>
  <c r="G90" i="2"/>
  <c r="G142" i="2"/>
  <c r="F67" i="4" s="1"/>
  <c r="G91" i="2"/>
  <c r="G143" i="2" s="1"/>
  <c r="G92" i="2"/>
  <c r="G144" i="2"/>
  <c r="F69" i="4" s="1"/>
  <c r="G93" i="2"/>
  <c r="G145" i="2" s="1"/>
  <c r="F70" i="4" s="1"/>
  <c r="G94" i="2"/>
  <c r="G146" i="2"/>
  <c r="F71" i="4" s="1"/>
  <c r="G95" i="2"/>
  <c r="G147" i="2" s="1"/>
  <c r="F72" i="4" s="1"/>
  <c r="G96" i="2"/>
  <c r="G148" i="2"/>
  <c r="F73" i="4" s="1"/>
  <c r="G97" i="2"/>
  <c r="G149" i="2" s="1"/>
  <c r="G98" i="2"/>
  <c r="G150" i="2"/>
  <c r="F75" i="4" s="1"/>
  <c r="G99" i="2"/>
  <c r="G151" i="2" s="1"/>
  <c r="G100" i="2"/>
  <c r="G152" i="2"/>
  <c r="F77" i="4" s="1"/>
  <c r="G101" i="2"/>
  <c r="G153" i="2" s="1"/>
  <c r="G102" i="2"/>
  <c r="G154" i="2"/>
  <c r="F79" i="4" s="1"/>
  <c r="E51" i="3"/>
  <c r="R60" i="6"/>
  <c r="T11" i="6"/>
  <c r="D67" i="6"/>
  <c r="F67" i="6"/>
  <c r="F31" i="6"/>
  <c r="F89" i="6"/>
  <c r="H67" i="6"/>
  <c r="J67" i="6"/>
  <c r="L67" i="6"/>
  <c r="N31" i="6"/>
  <c r="L89" i="6" s="1"/>
  <c r="N67" i="6"/>
  <c r="P31" i="6"/>
  <c r="P67" i="6"/>
  <c r="R67" i="6"/>
  <c r="T31" i="6"/>
  <c r="R89" i="6"/>
  <c r="T67" i="6"/>
  <c r="V31" i="6"/>
  <c r="T89" i="6"/>
  <c r="V67" i="6"/>
  <c r="X31" i="6"/>
  <c r="V89" i="6"/>
  <c r="X67" i="6"/>
  <c r="Z31" i="6"/>
  <c r="X89" i="6"/>
  <c r="Z67" i="6"/>
  <c r="AB31" i="6"/>
  <c r="Z89" i="6"/>
  <c r="T16" i="6"/>
  <c r="R74" i="6"/>
  <c r="M75" i="6"/>
  <c r="O41" i="6"/>
  <c r="M99" i="6"/>
  <c r="O75" i="6"/>
  <c r="Q41" i="6"/>
  <c r="O99" i="6"/>
  <c r="E67" i="6"/>
  <c r="G67" i="6"/>
  <c r="G31" i="6"/>
  <c r="G89" i="6" s="1"/>
  <c r="I67" i="6"/>
  <c r="L31" i="6"/>
  <c r="K67" i="6"/>
  <c r="M67" i="6"/>
  <c r="O31" i="6"/>
  <c r="M89" i="6"/>
  <c r="O67" i="6"/>
  <c r="Q31" i="6"/>
  <c r="O89" i="6"/>
  <c r="Q67" i="6"/>
  <c r="S67" i="6"/>
  <c r="U31" i="6"/>
  <c r="S89" i="6"/>
  <c r="U67" i="6"/>
  <c r="W67" i="6"/>
  <c r="Y31" i="6"/>
  <c r="W89" i="6"/>
  <c r="Y67" i="6"/>
  <c r="AA31" i="6"/>
  <c r="Y89" i="6" s="1"/>
  <c r="O11" i="6"/>
  <c r="Q11" i="6"/>
  <c r="O16" i="6"/>
  <c r="M74" i="6"/>
  <c r="Q16" i="6"/>
  <c r="O74" i="6"/>
  <c r="R75" i="6"/>
  <c r="T41" i="6"/>
  <c r="R99" i="6"/>
  <c r="O143" i="6"/>
  <c r="N106" i="6"/>
  <c r="M100" i="6"/>
  <c r="O49" i="6"/>
  <c r="M107" i="6"/>
  <c r="O100" i="6"/>
  <c r="Q49" i="6"/>
  <c r="O107" i="6"/>
  <c r="T49" i="6"/>
  <c r="R107" i="6"/>
  <c r="R46" i="1"/>
  <c r="N46" i="1"/>
  <c r="N78" i="1" s="1"/>
  <c r="N16" i="4" s="1"/>
  <c r="H46" i="1"/>
  <c r="H78" i="1"/>
  <c r="H16" i="4" s="1"/>
  <c r="Q46" i="1"/>
  <c r="Q78" i="1" s="1"/>
  <c r="Q16" i="4" s="1"/>
  <c r="M46" i="1"/>
  <c r="M78" i="1" s="1"/>
  <c r="M16" i="4" s="1"/>
  <c r="P46" i="1"/>
  <c r="P78" i="1"/>
  <c r="P16" i="4" s="1"/>
  <c r="J46" i="1"/>
  <c r="W69" i="2"/>
  <c r="T69" i="2"/>
  <c r="T121" i="2" s="1"/>
  <c r="S46" i="4" s="1"/>
  <c r="T46" i="1"/>
  <c r="T78" i="1" s="1"/>
  <c r="O46" i="1"/>
  <c r="O78" i="1"/>
  <c r="O16" i="4" s="1"/>
  <c r="I46" i="1"/>
  <c r="I78" i="1" s="1"/>
  <c r="I16" i="4" s="1"/>
  <c r="T45" i="1"/>
  <c r="S45" i="1"/>
  <c r="O45" i="1"/>
  <c r="I45" i="1"/>
  <c r="P77" i="1"/>
  <c r="P15" i="4"/>
  <c r="H77" i="1"/>
  <c r="H15" i="4"/>
  <c r="E125" i="2"/>
  <c r="D50" i="4"/>
  <c r="C108" i="1"/>
  <c r="O72" i="2"/>
  <c r="O104" i="2" s="1"/>
  <c r="M14" i="6"/>
  <c r="X72" i="2"/>
  <c r="X104" i="2"/>
  <c r="N65" i="1"/>
  <c r="N3" i="4"/>
  <c r="C112" i="1"/>
  <c r="M77" i="1"/>
  <c r="M15" i="4" s="1"/>
  <c r="W44" i="6"/>
  <c r="U102" i="6" s="1"/>
  <c r="S46" i="6"/>
  <c r="Q104" i="6" s="1"/>
  <c r="E33" i="1"/>
  <c r="E65" i="1" s="1"/>
  <c r="L14" i="6"/>
  <c r="W14" i="6"/>
  <c r="U72" i="6" s="1"/>
  <c r="I72" i="2"/>
  <c r="I104" i="2" s="1"/>
  <c r="B60" i="1"/>
  <c r="S40" i="6"/>
  <c r="Q98" i="6"/>
  <c r="U121" i="2"/>
  <c r="T46" i="4"/>
  <c r="AB124" i="2"/>
  <c r="AA49" i="4"/>
  <c r="P14" i="6"/>
  <c r="N72" i="6"/>
  <c r="Z72" i="2"/>
  <c r="Z104" i="2"/>
  <c r="N14" i="6"/>
  <c r="L72" i="6"/>
  <c r="S72" i="2"/>
  <c r="S104" i="2"/>
  <c r="R120" i="1"/>
  <c r="T25" i="4"/>
  <c r="Q72" i="2"/>
  <c r="Q104" i="2"/>
  <c r="AB138" i="2"/>
  <c r="AA63" i="4"/>
  <c r="S120" i="1"/>
  <c r="V72" i="2"/>
  <c r="V104" i="2" s="1"/>
  <c r="S36" i="6"/>
  <c r="Q94" i="6" s="1"/>
  <c r="R72" i="2"/>
  <c r="R104" i="2" s="1"/>
  <c r="S43" i="6"/>
  <c r="Q101" i="6" s="1"/>
  <c r="S24" i="6"/>
  <c r="Q82" i="6" s="1"/>
  <c r="S15" i="6"/>
  <c r="Q73" i="6" s="1"/>
  <c r="K14" i="6"/>
  <c r="U14" i="6"/>
  <c r="S72" i="6"/>
  <c r="C118" i="1"/>
  <c r="B40" i="1"/>
  <c r="B38" i="1"/>
  <c r="B70" i="1"/>
  <c r="B103" i="1" s="1"/>
  <c r="Y72" i="2"/>
  <c r="Y104" i="2" s="1"/>
  <c r="N72" i="2"/>
  <c r="N104" i="2" s="1"/>
  <c r="B51" i="1"/>
  <c r="B83" i="1" s="1"/>
  <c r="B48" i="1"/>
  <c r="B80" i="1"/>
  <c r="B39" i="1"/>
  <c r="B71" i="1"/>
  <c r="B104" i="1" s="1"/>
  <c r="B35" i="1"/>
  <c r="B67" i="1" s="1"/>
  <c r="G2" i="6"/>
  <c r="G60" i="6"/>
  <c r="E33" i="4"/>
  <c r="N2" i="6"/>
  <c r="L60" i="6" s="1"/>
  <c r="Q33" i="4"/>
  <c r="I43" i="6"/>
  <c r="I101" i="6" s="1"/>
  <c r="K74" i="4"/>
  <c r="I36" i="6"/>
  <c r="I94" i="6"/>
  <c r="K70" i="4"/>
  <c r="I24" i="6"/>
  <c r="I82" i="6" s="1"/>
  <c r="K66" i="4"/>
  <c r="I40" i="6"/>
  <c r="I98" i="6"/>
  <c r="K62" i="4"/>
  <c r="I15" i="6"/>
  <c r="I73" i="6"/>
  <c r="K48" i="4"/>
  <c r="I34" i="6"/>
  <c r="I92" i="6" s="1"/>
  <c r="K58" i="4"/>
  <c r="I25" i="6"/>
  <c r="I83" i="6"/>
  <c r="K54" i="4"/>
  <c r="S22" i="6"/>
  <c r="Q80" i="6" s="1"/>
  <c r="T53" i="4"/>
  <c r="X93" i="1"/>
  <c r="X3" i="4"/>
  <c r="K107" i="1"/>
  <c r="K12" i="4"/>
  <c r="O110" i="1"/>
  <c r="Q15" i="4"/>
  <c r="S115" i="1"/>
  <c r="T20" i="4"/>
  <c r="E108" i="1"/>
  <c r="E13" i="4"/>
  <c r="L107" i="1"/>
  <c r="L12" i="4"/>
  <c r="L101" i="1"/>
  <c r="L6" i="4"/>
  <c r="L108" i="1"/>
  <c r="L13" i="4"/>
  <c r="Q106" i="1"/>
  <c r="R11" i="4"/>
  <c r="E43" i="6"/>
  <c r="E101" i="6"/>
  <c r="C74" i="4"/>
  <c r="E24" i="6"/>
  <c r="E82" i="6" s="1"/>
  <c r="C66" i="4"/>
  <c r="E30" i="6"/>
  <c r="E88" i="6"/>
  <c r="C57" i="4"/>
  <c r="E15" i="6"/>
  <c r="E73" i="6" s="1"/>
  <c r="C48" i="4"/>
  <c r="E5" i="6"/>
  <c r="E63" i="6"/>
  <c r="C37" i="4"/>
  <c r="E38" i="6"/>
  <c r="E96" i="6" s="1"/>
  <c r="C71" i="4"/>
  <c r="E28" i="6"/>
  <c r="E86" i="6"/>
  <c r="C67" i="4"/>
  <c r="C107" i="1"/>
  <c r="C12" i="4"/>
  <c r="C104" i="1"/>
  <c r="C9" i="4"/>
  <c r="I124" i="2"/>
  <c r="H49" i="4"/>
  <c r="H44" i="4"/>
  <c r="W118" i="2"/>
  <c r="V43" i="4" s="1"/>
  <c r="V33" i="4"/>
  <c r="N155" i="2"/>
  <c r="M80" i="4"/>
  <c r="M64" i="4"/>
  <c r="J17" i="6"/>
  <c r="J75" i="6" s="1"/>
  <c r="L50" i="4"/>
  <c r="J138" i="2"/>
  <c r="I63" i="4"/>
  <c r="I50" i="4"/>
  <c r="H138" i="2"/>
  <c r="G63" i="4" s="1"/>
  <c r="G50" i="4"/>
  <c r="J124" i="2"/>
  <c r="I49" i="4"/>
  <c r="I44" i="4"/>
  <c r="F12" i="6"/>
  <c r="F70" i="6" s="1"/>
  <c r="D44" i="4"/>
  <c r="E118" i="2"/>
  <c r="D43" i="4"/>
  <c r="D33" i="4"/>
  <c r="F45" i="6"/>
  <c r="F103" i="6" s="1"/>
  <c r="D76" i="4"/>
  <c r="R45" i="6"/>
  <c r="P103" i="6"/>
  <c r="S76" i="4"/>
  <c r="R38" i="6"/>
  <c r="P96" i="6" s="1"/>
  <c r="S71" i="4"/>
  <c r="R33" i="6"/>
  <c r="P91" i="6"/>
  <c r="S69" i="4"/>
  <c r="R28" i="6"/>
  <c r="P86" i="6" s="1"/>
  <c r="O181" i="6" s="1"/>
  <c r="S67" i="4"/>
  <c r="R20" i="6"/>
  <c r="P78" i="6" s="1"/>
  <c r="O173" i="6" s="1"/>
  <c r="S65" i="4"/>
  <c r="S10" i="6"/>
  <c r="Q68" i="6" s="1"/>
  <c r="T42" i="4"/>
  <c r="S8" i="6"/>
  <c r="Q66" i="6"/>
  <c r="T40" i="4"/>
  <c r="S6" i="6"/>
  <c r="Q64" i="6" s="1"/>
  <c r="T38" i="4"/>
  <c r="S23" i="6"/>
  <c r="Q81" i="6"/>
  <c r="T36" i="4"/>
  <c r="S3" i="6"/>
  <c r="Q61" i="6" s="1"/>
  <c r="T34" i="4"/>
  <c r="R27" i="6"/>
  <c r="P85" i="6"/>
  <c r="O180" i="6" s="1"/>
  <c r="S55" i="4"/>
  <c r="AA118" i="2"/>
  <c r="Z43" i="4"/>
  <c r="Z36" i="4"/>
  <c r="B47" i="1"/>
  <c r="B79" i="1" s="1"/>
  <c r="B17" i="4" s="1"/>
  <c r="B42" i="1"/>
  <c r="B74" i="1" s="1"/>
  <c r="B12" i="4" s="1"/>
  <c r="U2" i="6"/>
  <c r="U11" i="6"/>
  <c r="U33" i="4"/>
  <c r="L2" i="6"/>
  <c r="L11" i="6" s="1"/>
  <c r="O33" i="4"/>
  <c r="I38" i="6"/>
  <c r="I96" i="6"/>
  <c r="K71" i="4"/>
  <c r="I28" i="6"/>
  <c r="I86" i="6" s="1"/>
  <c r="K67" i="4"/>
  <c r="R26" i="6"/>
  <c r="P84" i="6"/>
  <c r="O179" i="6" s="1"/>
  <c r="S61" i="4"/>
  <c r="I31" i="6"/>
  <c r="I89" i="6" s="1"/>
  <c r="K60" i="4"/>
  <c r="I29" i="6"/>
  <c r="I87" i="6"/>
  <c r="K56" i="4"/>
  <c r="F34" i="1"/>
  <c r="F66" i="1" s="1"/>
  <c r="C116" i="1"/>
  <c r="C21" i="4"/>
  <c r="U113" i="1"/>
  <c r="AA18" i="4"/>
  <c r="L104" i="1"/>
  <c r="L9" i="4"/>
  <c r="E103" i="1"/>
  <c r="E8" i="4"/>
  <c r="N102" i="1"/>
  <c r="O7" i="4"/>
  <c r="E100" i="1"/>
  <c r="E5" i="4"/>
  <c r="Q110" i="1"/>
  <c r="R15" i="4"/>
  <c r="S101" i="1"/>
  <c r="T6" i="4"/>
  <c r="Q100" i="1"/>
  <c r="R5" i="4"/>
  <c r="Q108" i="1"/>
  <c r="R13" i="4"/>
  <c r="E45" i="6"/>
  <c r="E103" i="6"/>
  <c r="C76" i="4"/>
  <c r="E39" i="6"/>
  <c r="E97" i="6" s="1"/>
  <c r="C72" i="4"/>
  <c r="E32" i="6"/>
  <c r="E90" i="6"/>
  <c r="C68" i="4"/>
  <c r="E18" i="6"/>
  <c r="E76" i="6" s="1"/>
  <c r="C51" i="4"/>
  <c r="S104" i="1"/>
  <c r="T9" i="4"/>
  <c r="E42" i="6"/>
  <c r="E100" i="6"/>
  <c r="C73" i="4"/>
  <c r="E20" i="6"/>
  <c r="E78" i="6" s="1"/>
  <c r="C65" i="4"/>
  <c r="E29" i="6"/>
  <c r="E87" i="6"/>
  <c r="C56" i="4"/>
  <c r="E21" i="6"/>
  <c r="E79" i="6" s="1"/>
  <c r="C52" i="4"/>
  <c r="E37" i="6"/>
  <c r="E95" i="6"/>
  <c r="C47" i="4"/>
  <c r="E6" i="6"/>
  <c r="E64" i="6" s="1"/>
  <c r="C38" i="4"/>
  <c r="M118" i="2"/>
  <c r="L43" i="4"/>
  <c r="L33" i="4"/>
  <c r="C106" i="1"/>
  <c r="C11" i="4"/>
  <c r="S103" i="1"/>
  <c r="T8" i="4"/>
  <c r="AB93" i="1"/>
  <c r="AB3" i="4"/>
  <c r="J155" i="2"/>
  <c r="I80" i="4" s="1"/>
  <c r="I64" i="4"/>
  <c r="H155" i="2"/>
  <c r="G80" i="4"/>
  <c r="G64" i="4"/>
  <c r="N138" i="2"/>
  <c r="M63" i="4" s="1"/>
  <c r="M50" i="4"/>
  <c r="Y124" i="2"/>
  <c r="X49" i="4"/>
  <c r="X44" i="4"/>
  <c r="N124" i="2"/>
  <c r="M49" i="4" s="1"/>
  <c r="M44" i="4"/>
  <c r="F47" i="6"/>
  <c r="F105" i="6"/>
  <c r="D78" i="4"/>
  <c r="S39" i="6"/>
  <c r="Q97" i="6" s="1"/>
  <c r="T72" i="4"/>
  <c r="S32" i="6"/>
  <c r="Q90" i="6"/>
  <c r="T68" i="4"/>
  <c r="R25" i="6"/>
  <c r="P83" i="6"/>
  <c r="O178" i="6" s="1"/>
  <c r="S54" i="4"/>
  <c r="S21" i="6"/>
  <c r="Q79" i="6"/>
  <c r="T52" i="4"/>
  <c r="S7" i="6"/>
  <c r="Q65" i="6" s="1"/>
  <c r="T39" i="4"/>
  <c r="S5" i="6"/>
  <c r="Q63" i="6"/>
  <c r="T37" i="4"/>
  <c r="R10" i="6"/>
  <c r="P68" i="6" s="1"/>
  <c r="O163" i="6" s="1"/>
  <c r="S42" i="4"/>
  <c r="R30" i="6"/>
  <c r="P88" i="6" s="1"/>
  <c r="O183" i="6" s="1"/>
  <c r="S57" i="4"/>
  <c r="R22" i="6"/>
  <c r="P80" i="6" s="1"/>
  <c r="O175" i="6" s="1"/>
  <c r="S53" i="4"/>
  <c r="R35" i="6"/>
  <c r="P93" i="6" s="1"/>
  <c r="S59" i="4"/>
  <c r="B53" i="1"/>
  <c r="B50" i="1"/>
  <c r="B82" i="1" s="1"/>
  <c r="B115" i="1" s="1"/>
  <c r="B37" i="1"/>
  <c r="B43" i="1"/>
  <c r="B75" i="1"/>
  <c r="B13" i="4" s="1"/>
  <c r="B36" i="1"/>
  <c r="B68" i="1" s="1"/>
  <c r="B101" i="1" s="1"/>
  <c r="S4" i="6"/>
  <c r="Q62" i="6"/>
  <c r="AB72" i="2"/>
  <c r="AB104" i="2"/>
  <c r="P72" i="2"/>
  <c r="P104" i="2"/>
  <c r="J72" i="2"/>
  <c r="J104" i="2"/>
  <c r="G69" i="2"/>
  <c r="K121" i="2"/>
  <c r="J46" i="4" s="1"/>
  <c r="W31" i="6"/>
  <c r="U89" i="6" s="1"/>
  <c r="S31" i="6"/>
  <c r="Q89" i="6" s="1"/>
  <c r="C73" i="2"/>
  <c r="C67" i="2"/>
  <c r="S44" i="6"/>
  <c r="Q102" i="6" s="1"/>
  <c r="S45" i="6"/>
  <c r="Q103" i="6" s="1"/>
  <c r="S13" i="6"/>
  <c r="Q71" i="6" s="1"/>
  <c r="AA72" i="2"/>
  <c r="AA104" i="2" s="1"/>
  <c r="AA121" i="2"/>
  <c r="AB155" i="2"/>
  <c r="C68" i="2"/>
  <c r="F67" i="1"/>
  <c r="F5" i="4"/>
  <c r="AC72" i="2"/>
  <c r="AC121" i="2"/>
  <c r="C99" i="2"/>
  <c r="C71" i="2"/>
  <c r="S47" i="6"/>
  <c r="Q105" i="6" s="1"/>
  <c r="S42" i="6"/>
  <c r="Q100" i="6" s="1"/>
  <c r="S38" i="6"/>
  <c r="Q96" i="6" s="1"/>
  <c r="S33" i="6"/>
  <c r="Q91" i="6" s="1"/>
  <c r="S28" i="6"/>
  <c r="Q86" i="6" s="1"/>
  <c r="S20" i="6"/>
  <c r="Q78" i="6" s="1"/>
  <c r="S26" i="6"/>
  <c r="Q84" i="6" s="1"/>
  <c r="S18" i="6"/>
  <c r="Q76" i="6" s="1"/>
  <c r="S37" i="6"/>
  <c r="Q95" i="6" s="1"/>
  <c r="U118" i="2"/>
  <c r="T43" i="4" s="1"/>
  <c r="C56" i="2"/>
  <c r="T66" i="2"/>
  <c r="L46" i="1"/>
  <c r="C77" i="1"/>
  <c r="L45" i="1"/>
  <c r="I66" i="1"/>
  <c r="I4" i="4"/>
  <c r="I33" i="1"/>
  <c r="W138" i="2"/>
  <c r="V63" i="4" s="1"/>
  <c r="J12" i="6"/>
  <c r="J70" i="6" s="1"/>
  <c r="Q118" i="2"/>
  <c r="P43" i="4" s="1"/>
  <c r="E77" i="1"/>
  <c r="E15" i="4" s="1"/>
  <c r="G45" i="1"/>
  <c r="Z44" i="1"/>
  <c r="Z78" i="1"/>
  <c r="Z16" i="4" s="1"/>
  <c r="E103" i="2"/>
  <c r="R101" i="1"/>
  <c r="AA68" i="1"/>
  <c r="AA6" i="4" s="1"/>
  <c r="Y155" i="2"/>
  <c r="X80" i="4" s="1"/>
  <c r="E46" i="6"/>
  <c r="E104" i="6" s="1"/>
  <c r="O155" i="2"/>
  <c r="N80" i="4" s="1"/>
  <c r="I155" i="2"/>
  <c r="H80" i="4" s="1"/>
  <c r="K138" i="2"/>
  <c r="J63" i="4" s="1"/>
  <c r="W155" i="2"/>
  <c r="V80" i="4" s="1"/>
  <c r="P19" i="6"/>
  <c r="O114" i="6" s="1"/>
  <c r="G19" i="6"/>
  <c r="G77" i="6" s="1"/>
  <c r="Q138" i="2"/>
  <c r="P63" i="4" s="1"/>
  <c r="Q124" i="2"/>
  <c r="P49" i="4" s="1"/>
  <c r="P2" i="6"/>
  <c r="N60" i="6" s="1"/>
  <c r="K2" i="6"/>
  <c r="K11" i="6" s="1"/>
  <c r="K69" i="6" s="1"/>
  <c r="M2" i="6"/>
  <c r="M11" i="6" s="1"/>
  <c r="Z155" i="2"/>
  <c r="Y80" i="4" s="1"/>
  <c r="U17" i="6"/>
  <c r="S75" i="6" s="1"/>
  <c r="Z124" i="2"/>
  <c r="Y49" i="4" s="1"/>
  <c r="S106" i="1"/>
  <c r="V19" i="6"/>
  <c r="T77" i="6"/>
  <c r="S155" i="2"/>
  <c r="R80" i="4"/>
  <c r="M19" i="6"/>
  <c r="K155" i="2"/>
  <c r="J80" i="4" s="1"/>
  <c r="F155" i="2"/>
  <c r="S17" i="6"/>
  <c r="Q75" i="6"/>
  <c r="F138" i="2"/>
  <c r="E63" i="4"/>
  <c r="W12" i="6"/>
  <c r="S12" i="6"/>
  <c r="K118" i="2"/>
  <c r="J43" i="4"/>
  <c r="V155" i="2"/>
  <c r="U80" i="4"/>
  <c r="L19" i="6"/>
  <c r="X138" i="2"/>
  <c r="W63" i="4" s="1"/>
  <c r="P138" i="2"/>
  <c r="O63" i="4" s="1"/>
  <c r="V124" i="2"/>
  <c r="U49" i="4" s="1"/>
  <c r="L12" i="6"/>
  <c r="K84" i="6"/>
  <c r="Y138" i="2"/>
  <c r="X63" i="4" s="1"/>
  <c r="V17" i="6"/>
  <c r="T75" i="6" s="1"/>
  <c r="K17" i="6"/>
  <c r="I138" i="2"/>
  <c r="H63" i="4"/>
  <c r="G17" i="6"/>
  <c r="G75" i="6"/>
  <c r="K12" i="6"/>
  <c r="Y118" i="2"/>
  <c r="X43" i="4" s="1"/>
  <c r="S118" i="2"/>
  <c r="R43" i="4" s="1"/>
  <c r="O118" i="2"/>
  <c r="N43" i="4" s="1"/>
  <c r="I118" i="2"/>
  <c r="H43" i="4" s="1"/>
  <c r="X155" i="2"/>
  <c r="W80" i="4" s="1"/>
  <c r="U19" i="6"/>
  <c r="S77" i="6" s="1"/>
  <c r="P155" i="2"/>
  <c r="O80" i="4" s="1"/>
  <c r="Z138" i="2"/>
  <c r="Y63" i="4" s="1"/>
  <c r="V138" i="2"/>
  <c r="U63" i="4" s="1"/>
  <c r="L17" i="6"/>
  <c r="X124" i="2"/>
  <c r="W49" i="4"/>
  <c r="U12" i="6"/>
  <c r="P124" i="2"/>
  <c r="O49" i="4" s="1"/>
  <c r="J25" i="6"/>
  <c r="J83" i="6" s="1"/>
  <c r="E19" i="6"/>
  <c r="E77" i="6" s="1"/>
  <c r="K19" i="6"/>
  <c r="Q155" i="2"/>
  <c r="P80" i="4"/>
  <c r="J19" i="6"/>
  <c r="J77" i="6"/>
  <c r="M155" i="2"/>
  <c r="L80" i="4"/>
  <c r="F19" i="6"/>
  <c r="F77" i="6"/>
  <c r="E155" i="2"/>
  <c r="D80" i="4"/>
  <c r="W17" i="6"/>
  <c r="U75" i="6"/>
  <c r="N17" i="6"/>
  <c r="L75" i="6"/>
  <c r="R138" i="2"/>
  <c r="Q63" i="4"/>
  <c r="V12" i="6"/>
  <c r="T70" i="6"/>
  <c r="N12" i="6"/>
  <c r="L70" i="6"/>
  <c r="R124" i="2"/>
  <c r="Q49" i="4"/>
  <c r="G12" i="6"/>
  <c r="W2" i="6"/>
  <c r="W11" i="6" s="1"/>
  <c r="V2" i="6"/>
  <c r="V11" i="6" s="1"/>
  <c r="S19" i="6"/>
  <c r="Q77" i="6" s="1"/>
  <c r="U155" i="2"/>
  <c r="T80" i="4" s="1"/>
  <c r="N19" i="6"/>
  <c r="L77" i="6" s="1"/>
  <c r="R155" i="2"/>
  <c r="Q80" i="4" s="1"/>
  <c r="P17" i="6"/>
  <c r="N75" i="6" s="1"/>
  <c r="S138" i="2"/>
  <c r="R63" i="4" s="1"/>
  <c r="M17" i="6"/>
  <c r="O138" i="2"/>
  <c r="N63" i="4"/>
  <c r="P12" i="6"/>
  <c r="N70" i="6"/>
  <c r="S124" i="2"/>
  <c r="R49" i="4"/>
  <c r="M12" i="6"/>
  <c r="M16" i="6"/>
  <c r="O124" i="2"/>
  <c r="N49" i="4"/>
  <c r="F2" i="6"/>
  <c r="F11" i="6"/>
  <c r="S27" i="6"/>
  <c r="Q85" i="6"/>
  <c r="K85" i="6"/>
  <c r="U116" i="1"/>
  <c r="G86" i="2"/>
  <c r="G119" i="2"/>
  <c r="F44" i="4" s="1"/>
  <c r="T139" i="2"/>
  <c r="T103" i="2"/>
  <c r="T125" i="2"/>
  <c r="S50" i="4" s="1"/>
  <c r="T86" i="2"/>
  <c r="L119" i="2"/>
  <c r="K44" i="4"/>
  <c r="G108" i="2"/>
  <c r="F33" i="4"/>
  <c r="G66" i="2"/>
  <c r="G139" i="2"/>
  <c r="G103" i="2"/>
  <c r="L139" i="2"/>
  <c r="K64" i="4" s="1"/>
  <c r="L103" i="2"/>
  <c r="L125" i="2"/>
  <c r="K50" i="4"/>
  <c r="L86" i="2"/>
  <c r="T119" i="2"/>
  <c r="S44" i="4" s="1"/>
  <c r="L108" i="2"/>
  <c r="K33" i="4" s="1"/>
  <c r="L66" i="2"/>
  <c r="U104" i="2"/>
  <c r="K104" i="2"/>
  <c r="J30" i="6"/>
  <c r="J88" i="6"/>
  <c r="E27" i="6"/>
  <c r="E85" i="6"/>
  <c r="E35" i="6"/>
  <c r="E93" i="6" s="1"/>
  <c r="E8" i="6"/>
  <c r="E66" i="6" s="1"/>
  <c r="J31" i="6"/>
  <c r="J89" i="6" s="1"/>
  <c r="C146" i="2"/>
  <c r="K98" i="6"/>
  <c r="K93" i="6"/>
  <c r="E10" i="6"/>
  <c r="E68" i="6" s="1"/>
  <c r="S2" i="6"/>
  <c r="J2" i="6"/>
  <c r="J11" i="6"/>
  <c r="K61" i="6"/>
  <c r="L118" i="1"/>
  <c r="Q101" i="1"/>
  <c r="P66" i="1"/>
  <c r="P4" i="4"/>
  <c r="E33" i="6"/>
  <c r="E91" i="6"/>
  <c r="J35" i="6"/>
  <c r="J93" i="6"/>
  <c r="S34" i="6"/>
  <c r="Q92" i="6"/>
  <c r="S29" i="6"/>
  <c r="Q87" i="6"/>
  <c r="K87" i="6"/>
  <c r="J27" i="6"/>
  <c r="J85" i="6" s="1"/>
  <c r="S25" i="6"/>
  <c r="Q83" i="6" s="1"/>
  <c r="J22" i="6"/>
  <c r="J80" i="6" s="1"/>
  <c r="L115" i="1"/>
  <c r="I39" i="6"/>
  <c r="I97" i="6"/>
  <c r="I32" i="6"/>
  <c r="I90" i="6"/>
  <c r="I18" i="6"/>
  <c r="I76" i="6"/>
  <c r="I6" i="6"/>
  <c r="I64" i="6"/>
  <c r="E47" i="6"/>
  <c r="E105" i="6"/>
  <c r="E36" i="6"/>
  <c r="E94" i="6"/>
  <c r="E26" i="6"/>
  <c r="E84" i="6"/>
  <c r="S30" i="6"/>
  <c r="Q88" i="6"/>
  <c r="K88" i="6"/>
  <c r="E31" i="6"/>
  <c r="E89" i="6" s="1"/>
  <c r="C131" i="2"/>
  <c r="S35" i="6"/>
  <c r="Q93" i="6" s="1"/>
  <c r="J34" i="6"/>
  <c r="J92" i="6" s="1"/>
  <c r="J29" i="6"/>
  <c r="J87" i="6" s="1"/>
  <c r="K83" i="6"/>
  <c r="E22" i="6"/>
  <c r="E80" i="6"/>
  <c r="K64" i="6"/>
  <c r="I46" i="6"/>
  <c r="I104" i="6" s="1"/>
  <c r="R43" i="6"/>
  <c r="P101" i="6" s="1"/>
  <c r="R42" i="6"/>
  <c r="P100" i="6" s="1"/>
  <c r="O103" i="1"/>
  <c r="U102" i="1"/>
  <c r="Q107" i="1"/>
  <c r="N104" i="1"/>
  <c r="L103" i="1"/>
  <c r="N103" i="1"/>
  <c r="R33" i="1"/>
  <c r="R65" i="1" s="1"/>
  <c r="R66" i="1"/>
  <c r="R118" i="1"/>
  <c r="R112" i="1"/>
  <c r="L100" i="1"/>
  <c r="E12" i="6"/>
  <c r="E70" i="6"/>
  <c r="E7" i="6"/>
  <c r="E65" i="6"/>
  <c r="E44" i="6"/>
  <c r="E102" i="6"/>
  <c r="E25" i="6"/>
  <c r="E83" i="6"/>
  <c r="S108" i="1"/>
  <c r="R108" i="1"/>
  <c r="C137" i="2"/>
  <c r="D40" i="6"/>
  <c r="D98" i="6" s="1"/>
  <c r="C129" i="2"/>
  <c r="D155" i="2"/>
  <c r="C80" i="4" s="1"/>
  <c r="E40" i="6"/>
  <c r="E98" i="6" s="1"/>
  <c r="K92" i="6"/>
  <c r="E34" i="6"/>
  <c r="E92" i="6"/>
  <c r="S118" i="1"/>
  <c r="S112" i="1"/>
  <c r="C102" i="1"/>
  <c r="R13" i="6"/>
  <c r="P71" i="6" s="1"/>
  <c r="O166" i="6" s="1"/>
  <c r="L112" i="1"/>
  <c r="Q103" i="1"/>
  <c r="C142" i="2"/>
  <c r="K102" i="6"/>
  <c r="K105" i="6"/>
  <c r="K104" i="6"/>
  <c r="K103" i="6"/>
  <c r="K95" i="6"/>
  <c r="K68" i="6"/>
  <c r="K66" i="6"/>
  <c r="K81" i="6"/>
  <c r="AA77" i="1"/>
  <c r="AA15" i="4" s="1"/>
  <c r="AA44" i="1"/>
  <c r="AB44" i="1"/>
  <c r="I8" i="6"/>
  <c r="I66" i="6" s="1"/>
  <c r="U107" i="1"/>
  <c r="C103" i="1"/>
  <c r="G66" i="1"/>
  <c r="G4" i="4" s="1"/>
  <c r="X44" i="1"/>
  <c r="X77" i="1"/>
  <c r="X15" i="4"/>
  <c r="Y44" i="1"/>
  <c r="I10" i="6"/>
  <c r="I68" i="6" s="1"/>
  <c r="N107" i="1"/>
  <c r="R104" i="1"/>
  <c r="S102" i="1"/>
  <c r="E104" i="1"/>
  <c r="O100" i="1"/>
  <c r="U44" i="1"/>
  <c r="V44" i="1"/>
  <c r="W44" i="1"/>
  <c r="R106" i="1"/>
  <c r="Q104" i="1"/>
  <c r="R102" i="1"/>
  <c r="U100" i="1"/>
  <c r="Q66" i="1"/>
  <c r="Q4" i="4"/>
  <c r="E66" i="1"/>
  <c r="U78" i="1"/>
  <c r="U16" i="4" s="1"/>
  <c r="E2" i="6"/>
  <c r="E60" i="6" s="1"/>
  <c r="D72" i="2"/>
  <c r="D104" i="2" s="1"/>
  <c r="C46" i="1"/>
  <c r="C78" i="1" s="1"/>
  <c r="C16" i="4" s="1"/>
  <c r="R32" i="6"/>
  <c r="P90" i="6"/>
  <c r="R24" i="6"/>
  <c r="P82" i="6"/>
  <c r="O177" i="6" s="1"/>
  <c r="R40" i="6"/>
  <c r="P98" i="6" s="1"/>
  <c r="I35" i="6"/>
  <c r="I93" i="6" s="1"/>
  <c r="R29" i="6"/>
  <c r="P87" i="6" s="1"/>
  <c r="O182" i="6" s="1"/>
  <c r="I27" i="6"/>
  <c r="I85" i="6"/>
  <c r="R37" i="6"/>
  <c r="P95" i="6" s="1"/>
  <c r="R6" i="6"/>
  <c r="P64" i="6" s="1"/>
  <c r="O159" i="6" s="1"/>
  <c r="I4" i="6"/>
  <c r="I62" i="6"/>
  <c r="Q65" i="1"/>
  <c r="Q3" i="4"/>
  <c r="R116" i="1"/>
  <c r="S116" i="1"/>
  <c r="R113" i="1"/>
  <c r="S113" i="1"/>
  <c r="F83" i="1"/>
  <c r="F80" i="1"/>
  <c r="F18" i="4" s="1"/>
  <c r="M138" i="2"/>
  <c r="L63" i="4" s="1"/>
  <c r="U138" i="2"/>
  <c r="T63" i="4" s="1"/>
  <c r="R115" i="1"/>
  <c r="O102" i="1"/>
  <c r="N100" i="1"/>
  <c r="N108" i="1"/>
  <c r="S107" i="1"/>
  <c r="E17" i="6"/>
  <c r="E75" i="6" s="1"/>
  <c r="D138" i="2"/>
  <c r="C63" i="4" s="1"/>
  <c r="R103" i="1"/>
  <c r="K73" i="6"/>
  <c r="K71" i="6"/>
  <c r="K62" i="6"/>
  <c r="J33" i="1"/>
  <c r="S100" i="1"/>
  <c r="R2" i="6"/>
  <c r="P60" i="6" s="1"/>
  <c r="O155" i="6" s="1"/>
  <c r="M65" i="1"/>
  <c r="M3" i="4"/>
  <c r="C101" i="2"/>
  <c r="C97" i="2"/>
  <c r="C95" i="2"/>
  <c r="C93" i="2"/>
  <c r="C91" i="2"/>
  <c r="C89" i="2"/>
  <c r="C87" i="2"/>
  <c r="C84" i="2"/>
  <c r="C82" i="2"/>
  <c r="C80" i="2"/>
  <c r="C78" i="2"/>
  <c r="C76" i="2"/>
  <c r="C74" i="2"/>
  <c r="C64" i="2"/>
  <c r="C62" i="2"/>
  <c r="C60" i="2"/>
  <c r="C58" i="2"/>
  <c r="C57" i="2"/>
  <c r="T66" i="1"/>
  <c r="T4" i="4"/>
  <c r="C33" i="1"/>
  <c r="C65" i="1" s="1"/>
  <c r="K34" i="1"/>
  <c r="C102" i="2"/>
  <c r="C100" i="2"/>
  <c r="C98" i="2"/>
  <c r="C96" i="2"/>
  <c r="C94" i="2"/>
  <c r="C92" i="2"/>
  <c r="C90" i="2"/>
  <c r="C88" i="2"/>
  <c r="C85" i="2"/>
  <c r="C83" i="2"/>
  <c r="C81" i="2"/>
  <c r="C79" i="2"/>
  <c r="C77" i="2"/>
  <c r="C75" i="2"/>
  <c r="C70" i="2"/>
  <c r="C65" i="2"/>
  <c r="C63" i="2"/>
  <c r="C61" i="2"/>
  <c r="C59" i="2"/>
  <c r="K80" i="6"/>
  <c r="K79" i="6"/>
  <c r="K76" i="6"/>
  <c r="K65" i="6"/>
  <c r="K63" i="6"/>
  <c r="R8" i="6"/>
  <c r="P66" i="6"/>
  <c r="O161" i="6" s="1"/>
  <c r="R23" i="6"/>
  <c r="P81" i="6"/>
  <c r="O176" i="6" s="1"/>
  <c r="R3" i="6"/>
  <c r="P61" i="6"/>
  <c r="O156" i="6" s="1"/>
  <c r="W65" i="1"/>
  <c r="D70" i="1"/>
  <c r="D8" i="4" s="1"/>
  <c r="D79" i="1"/>
  <c r="D17" i="4" s="1"/>
  <c r="V108" i="1"/>
  <c r="AA98" i="1"/>
  <c r="N111" i="1"/>
  <c r="N101" i="1"/>
  <c r="R107" i="1"/>
  <c r="C101" i="1"/>
  <c r="C66" i="1"/>
  <c r="C4" i="4"/>
  <c r="T33" i="1"/>
  <c r="C100" i="1"/>
  <c r="F70" i="1"/>
  <c r="X23" i="6"/>
  <c r="V81" i="6"/>
  <c r="I13" i="6"/>
  <c r="I71" i="6" s="1"/>
  <c r="C113" i="1"/>
  <c r="X3" i="6"/>
  <c r="V61" i="6"/>
  <c r="V101" i="1"/>
  <c r="H31" i="6"/>
  <c r="H89" i="6" s="1"/>
  <c r="R100" i="1"/>
  <c r="V93" i="1"/>
  <c r="H66" i="1"/>
  <c r="H4" i="4" s="1"/>
  <c r="H65" i="1"/>
  <c r="H3" i="4" s="1"/>
  <c r="K85" i="1"/>
  <c r="K79" i="1"/>
  <c r="K17" i="4"/>
  <c r="K71" i="1"/>
  <c r="K9" i="4"/>
  <c r="S69" i="1"/>
  <c r="S7" i="4"/>
  <c r="U66" i="1"/>
  <c r="U4" i="4"/>
  <c r="S85" i="1"/>
  <c r="S23" i="4"/>
  <c r="S79" i="1"/>
  <c r="S17" i="4"/>
  <c r="V116" i="1"/>
  <c r="F108" i="1"/>
  <c r="K116" i="1"/>
  <c r="V113" i="1"/>
  <c r="K102" i="1"/>
  <c r="N66" i="1"/>
  <c r="N4" i="4"/>
  <c r="V115" i="1"/>
  <c r="V118" i="1"/>
  <c r="K115" i="1"/>
  <c r="V112" i="1"/>
  <c r="V100" i="1"/>
  <c r="S67" i="1"/>
  <c r="S5" i="4" s="1"/>
  <c r="F112" i="1"/>
  <c r="V110" i="1"/>
  <c r="F102" i="1"/>
  <c r="AA114" i="1"/>
  <c r="K101" i="6"/>
  <c r="K97" i="6"/>
  <c r="K96" i="6"/>
  <c r="K94" i="6"/>
  <c r="K91" i="6"/>
  <c r="K90" i="6"/>
  <c r="K86" i="6"/>
  <c r="K82" i="6"/>
  <c r="K78" i="6"/>
  <c r="F71" i="1"/>
  <c r="F9" i="4"/>
  <c r="M66" i="1"/>
  <c r="M4" i="4"/>
  <c r="K68" i="1"/>
  <c r="K6" i="4"/>
  <c r="L120" i="1"/>
  <c r="O126" i="6"/>
  <c r="N89" i="6"/>
  <c r="H72" i="2"/>
  <c r="H104" i="2" s="1"/>
  <c r="G46" i="1"/>
  <c r="H44" i="6"/>
  <c r="H102" i="6"/>
  <c r="H46" i="6"/>
  <c r="H104" i="6"/>
  <c r="H42" i="6"/>
  <c r="H38" i="6"/>
  <c r="H96" i="6" s="1"/>
  <c r="H33" i="6"/>
  <c r="H91" i="6" s="1"/>
  <c r="H28" i="6"/>
  <c r="H86" i="6" s="1"/>
  <c r="H37" i="6"/>
  <c r="H95" i="6" s="1"/>
  <c r="H5" i="6"/>
  <c r="H63" i="6" s="1"/>
  <c r="O130" i="6"/>
  <c r="N93" i="6"/>
  <c r="O125" i="6"/>
  <c r="N88" i="6"/>
  <c r="O124" i="6"/>
  <c r="N87" i="6"/>
  <c r="O122" i="6"/>
  <c r="N85" i="6"/>
  <c r="O120" i="6"/>
  <c r="N83" i="6"/>
  <c r="O117" i="6"/>
  <c r="N80" i="6"/>
  <c r="O116" i="6"/>
  <c r="N79" i="6"/>
  <c r="O113" i="6"/>
  <c r="N76" i="6"/>
  <c r="W75" i="6"/>
  <c r="Y41" i="6"/>
  <c r="W99" i="6"/>
  <c r="Y70" i="6"/>
  <c r="Y60" i="6"/>
  <c r="AA11" i="6"/>
  <c r="W60" i="6"/>
  <c r="Y11" i="6"/>
  <c r="O118" i="6"/>
  <c r="N81" i="6"/>
  <c r="E23" i="6"/>
  <c r="E81" i="6" s="1"/>
  <c r="E4" i="6"/>
  <c r="E62" i="6" s="1"/>
  <c r="E3" i="6"/>
  <c r="E61" i="6" s="1"/>
  <c r="F118" i="2"/>
  <c r="E43" i="4" s="1"/>
  <c r="E120" i="1"/>
  <c r="G90" i="1"/>
  <c r="G28" i="4"/>
  <c r="F59" i="1"/>
  <c r="F90" i="1"/>
  <c r="F28" i="4"/>
  <c r="F118" i="1"/>
  <c r="D115" i="1"/>
  <c r="D113" i="1"/>
  <c r="D110" i="1"/>
  <c r="D108" i="1"/>
  <c r="D106" i="1"/>
  <c r="D101" i="1"/>
  <c r="D66" i="1"/>
  <c r="D4" i="4"/>
  <c r="Z100" i="6"/>
  <c r="AB49" i="6"/>
  <c r="Z107" i="6"/>
  <c r="X100" i="6"/>
  <c r="Z49" i="6"/>
  <c r="X107" i="6"/>
  <c r="V100" i="6"/>
  <c r="X49" i="6"/>
  <c r="V107" i="6"/>
  <c r="S100" i="6"/>
  <c r="U49" i="6"/>
  <c r="S107" i="6"/>
  <c r="L100" i="6"/>
  <c r="N49" i="6"/>
  <c r="L107" i="6" s="1"/>
  <c r="L49" i="6"/>
  <c r="X75" i="6"/>
  <c r="Z41" i="6"/>
  <c r="X99" i="6"/>
  <c r="X70" i="6"/>
  <c r="J118" i="2"/>
  <c r="I43" i="4"/>
  <c r="N120" i="1"/>
  <c r="L33" i="1"/>
  <c r="F41" i="1"/>
  <c r="S87" i="1"/>
  <c r="S25" i="4"/>
  <c r="J73" i="1"/>
  <c r="J11" i="4" s="1"/>
  <c r="E106" i="1"/>
  <c r="O50" i="6"/>
  <c r="M108" i="6"/>
  <c r="M69" i="6"/>
  <c r="R69" i="6"/>
  <c r="T50" i="6"/>
  <c r="R108" i="6"/>
  <c r="H39" i="6"/>
  <c r="H97" i="6" s="1"/>
  <c r="H32" i="6"/>
  <c r="H90" i="6" s="1"/>
  <c r="H20" i="6"/>
  <c r="H78" i="6" s="1"/>
  <c r="H15" i="6"/>
  <c r="H73" i="6" s="1"/>
  <c r="H10" i="6"/>
  <c r="H68" i="6" s="1"/>
  <c r="H7" i="6"/>
  <c r="H65" i="6" s="1"/>
  <c r="H6" i="6"/>
  <c r="H64" i="6" s="1"/>
  <c r="O135" i="6"/>
  <c r="N98" i="6"/>
  <c r="O121" i="6"/>
  <c r="N84" i="6"/>
  <c r="K89" i="6"/>
  <c r="O129" i="6"/>
  <c r="N92" i="6"/>
  <c r="O69" i="6"/>
  <c r="Q50" i="6"/>
  <c r="O108" i="6"/>
  <c r="O162" i="6"/>
  <c r="E72" i="2"/>
  <c r="D46" i="1"/>
  <c r="H40" i="6"/>
  <c r="H98" i="6"/>
  <c r="H34" i="6"/>
  <c r="H92" i="6"/>
  <c r="H29" i="6"/>
  <c r="H87" i="6"/>
  <c r="H25" i="6"/>
  <c r="H83" i="6"/>
  <c r="H21" i="6"/>
  <c r="H79" i="6"/>
  <c r="G125" i="2"/>
  <c r="F50" i="4"/>
  <c r="O139" i="6"/>
  <c r="N102" i="6"/>
  <c r="O142" i="6"/>
  <c r="N105" i="6"/>
  <c r="O141" i="6"/>
  <c r="N104" i="6"/>
  <c r="O140" i="6"/>
  <c r="N103" i="6"/>
  <c r="O138" i="6"/>
  <c r="N101" i="6"/>
  <c r="Y100" i="6"/>
  <c r="AA49" i="6"/>
  <c r="Y107" i="6" s="1"/>
  <c r="W100" i="6"/>
  <c r="Y49" i="6"/>
  <c r="W107" i="6"/>
  <c r="U100" i="6"/>
  <c r="T100" i="6"/>
  <c r="V49" i="6"/>
  <c r="T107" i="6"/>
  <c r="O137" i="6"/>
  <c r="N100" i="6"/>
  <c r="P49" i="6"/>
  <c r="K100" i="6"/>
  <c r="K49" i="6"/>
  <c r="M49" i="6"/>
  <c r="J100" i="6"/>
  <c r="J49" i="6"/>
  <c r="J107" i="6" s="1"/>
  <c r="G100" i="6"/>
  <c r="G49" i="6"/>
  <c r="G107" i="6"/>
  <c r="O134" i="6"/>
  <c r="N97" i="6"/>
  <c r="O133" i="6"/>
  <c r="N96" i="6"/>
  <c r="O131" i="6"/>
  <c r="N94" i="6"/>
  <c r="O128" i="6"/>
  <c r="N91" i="6"/>
  <c r="O127" i="6"/>
  <c r="N90" i="6"/>
  <c r="O123" i="6"/>
  <c r="N86" i="6"/>
  <c r="O119" i="6"/>
  <c r="N82" i="6"/>
  <c r="O115" i="6"/>
  <c r="N78" i="6"/>
  <c r="Y75" i="6"/>
  <c r="AA41" i="6"/>
  <c r="Y99" i="6" s="1"/>
  <c r="O132" i="6"/>
  <c r="N95" i="6"/>
  <c r="W70" i="6"/>
  <c r="Y16" i="6"/>
  <c r="W74" i="6"/>
  <c r="D118" i="2"/>
  <c r="C43" i="4"/>
  <c r="K90" i="1"/>
  <c r="K28" i="4"/>
  <c r="F29" i="1"/>
  <c r="K58" i="1"/>
  <c r="K55" i="1"/>
  <c r="D118" i="1"/>
  <c r="D116" i="1"/>
  <c r="F115" i="1"/>
  <c r="D107" i="1"/>
  <c r="D104" i="1"/>
  <c r="D102" i="1"/>
  <c r="D100" i="1"/>
  <c r="F100" i="6"/>
  <c r="Z75" i="6"/>
  <c r="AB41" i="6"/>
  <c r="Z99" i="6"/>
  <c r="V75" i="6"/>
  <c r="X41" i="6"/>
  <c r="V99" i="6"/>
  <c r="E71" i="6"/>
  <c r="Z71" i="6"/>
  <c r="Z70" i="6"/>
  <c r="AB16" i="6"/>
  <c r="Z74" i="6"/>
  <c r="V70" i="6"/>
  <c r="Z60" i="6"/>
  <c r="AB11" i="6"/>
  <c r="X60" i="6"/>
  <c r="Z11" i="6"/>
  <c r="V60" i="6"/>
  <c r="X11" i="6"/>
  <c r="Z118" i="2"/>
  <c r="Y43" i="4" s="1"/>
  <c r="X118" i="2"/>
  <c r="W43" i="4" s="1"/>
  <c r="V118" i="2"/>
  <c r="U43" i="4" s="1"/>
  <c r="R118" i="2"/>
  <c r="Q43" i="4" s="1"/>
  <c r="P118" i="2"/>
  <c r="O43" i="4" s="1"/>
  <c r="N118" i="2"/>
  <c r="M43" i="4" s="1"/>
  <c r="H118" i="2"/>
  <c r="G43" i="4" s="1"/>
  <c r="V120" i="1"/>
  <c r="F55" i="1"/>
  <c r="F87" i="1"/>
  <c r="F25" i="4"/>
  <c r="E289" i="3"/>
  <c r="O41" i="1"/>
  <c r="L73" i="1"/>
  <c r="L11" i="4" s="1"/>
  <c r="I73" i="1"/>
  <c r="I11" i="4" s="1"/>
  <c r="N44" i="1"/>
  <c r="N76" i="1" s="1"/>
  <c r="N14" i="4"/>
  <c r="E138" i="2"/>
  <c r="D63" i="4"/>
  <c r="S46" i="1"/>
  <c r="S78" i="1"/>
  <c r="S16" i="4" s="1"/>
  <c r="H44" i="1"/>
  <c r="O44" i="1"/>
  <c r="O76" i="1"/>
  <c r="O14" i="4" s="1"/>
  <c r="O77" i="1"/>
  <c r="N110" i="1" s="1"/>
  <c r="R78" i="1"/>
  <c r="R44" i="1"/>
  <c r="T44" i="1"/>
  <c r="T76" i="1" s="1"/>
  <c r="T14" i="4"/>
  <c r="T77" i="1"/>
  <c r="W121" i="2"/>
  <c r="V14" i="6" s="1"/>
  <c r="W72" i="2"/>
  <c r="W104" i="2"/>
  <c r="O111" i="1"/>
  <c r="J78" i="1"/>
  <c r="J16" i="4"/>
  <c r="J44" i="1"/>
  <c r="J76" i="1"/>
  <c r="J14" i="4" s="1"/>
  <c r="P44" i="1"/>
  <c r="P49" i="1" s="1"/>
  <c r="Q44" i="1"/>
  <c r="I77" i="1"/>
  <c r="I15" i="4" s="1"/>
  <c r="I44" i="1"/>
  <c r="I76" i="1" s="1"/>
  <c r="I14" i="4"/>
  <c r="M44" i="1"/>
  <c r="F17" i="6"/>
  <c r="F75" i="6" s="1"/>
  <c r="W49" i="6"/>
  <c r="U107" i="6" s="1"/>
  <c r="N49" i="1"/>
  <c r="N81" i="1" s="1"/>
  <c r="N19" i="4" s="1"/>
  <c r="G11" i="6"/>
  <c r="G69" i="6"/>
  <c r="W16" i="6"/>
  <c r="U74" i="6"/>
  <c r="N93" i="1"/>
  <c r="L16" i="6"/>
  <c r="K72" i="6"/>
  <c r="U124" i="2"/>
  <c r="T49" i="4" s="1"/>
  <c r="E80" i="4"/>
  <c r="S14" i="6"/>
  <c r="Q72" i="6"/>
  <c r="N11" i="6"/>
  <c r="L69" i="6"/>
  <c r="K16" i="6"/>
  <c r="U16" i="6"/>
  <c r="S74" i="6" s="1"/>
  <c r="F100" i="1"/>
  <c r="S60" i="6"/>
  <c r="F49" i="6"/>
  <c r="F107" i="6" s="1"/>
  <c r="S49" i="6"/>
  <c r="Q107" i="6" s="1"/>
  <c r="S11" i="6"/>
  <c r="Q69" i="6"/>
  <c r="K118" i="1"/>
  <c r="K23" i="4"/>
  <c r="F103" i="1"/>
  <c r="F8" i="4"/>
  <c r="W93" i="1"/>
  <c r="W3" i="4"/>
  <c r="F116" i="1"/>
  <c r="F21" i="4"/>
  <c r="E99" i="1"/>
  <c r="E4" i="4"/>
  <c r="R19" i="6"/>
  <c r="P77" i="6"/>
  <c r="O172" i="6" s="1"/>
  <c r="S64" i="4"/>
  <c r="E104" i="2"/>
  <c r="C110" i="1"/>
  <c r="C15" i="4"/>
  <c r="R14" i="6"/>
  <c r="P72" i="6" s="1"/>
  <c r="O167" i="6" s="1"/>
  <c r="AA124" i="2"/>
  <c r="Z46" i="4"/>
  <c r="Q99" i="1"/>
  <c r="R4" i="4"/>
  <c r="H19" i="6"/>
  <c r="H77" i="6" s="1"/>
  <c r="F64" i="4"/>
  <c r="AC124" i="2"/>
  <c r="AB46" i="4"/>
  <c r="AA80" i="4"/>
  <c r="F33" i="1"/>
  <c r="F65" i="1"/>
  <c r="F3" i="4" s="1"/>
  <c r="K124" i="2"/>
  <c r="J49" i="4" s="1"/>
  <c r="E110" i="1"/>
  <c r="K104" i="1"/>
  <c r="L77" i="1"/>
  <c r="L15" i="4" s="1"/>
  <c r="K45" i="1"/>
  <c r="B45" i="1" s="1"/>
  <c r="B77" i="1" s="1"/>
  <c r="L44" i="1"/>
  <c r="L76" i="1"/>
  <c r="L14" i="4" s="1"/>
  <c r="M121" i="2"/>
  <c r="L46" i="4" s="1"/>
  <c r="M72" i="2"/>
  <c r="M104" i="2" s="1"/>
  <c r="L69" i="2"/>
  <c r="C69" i="2" s="1"/>
  <c r="K46" i="1"/>
  <c r="K78" i="1" s="1"/>
  <c r="K111" i="1" s="1"/>
  <c r="L78" i="1"/>
  <c r="L16" i="4" s="1"/>
  <c r="G77" i="1"/>
  <c r="G15" i="4" s="1"/>
  <c r="F45" i="1"/>
  <c r="F77" i="1" s="1"/>
  <c r="F15" i="4"/>
  <c r="T72" i="2"/>
  <c r="T104" i="2"/>
  <c r="Z76" i="1"/>
  <c r="Z14" i="4" s="1"/>
  <c r="T60" i="6"/>
  <c r="C125" i="2"/>
  <c r="H2" i="6"/>
  <c r="R17" i="6"/>
  <c r="P75" i="6" s="1"/>
  <c r="O170" i="6"/>
  <c r="P16" i="6"/>
  <c r="N74" i="6"/>
  <c r="N77" i="6"/>
  <c r="N16" i="6"/>
  <c r="L74" i="6" s="1"/>
  <c r="P11" i="6"/>
  <c r="N69" i="6" s="1"/>
  <c r="U70" i="6"/>
  <c r="P41" i="6"/>
  <c r="O136" i="6"/>
  <c r="U101" i="1"/>
  <c r="K75" i="6"/>
  <c r="G70" i="6"/>
  <c r="W41" i="6"/>
  <c r="U99" i="6" s="1"/>
  <c r="O112" i="6"/>
  <c r="Q156" i="2"/>
  <c r="P81" i="4"/>
  <c r="S77" i="1"/>
  <c r="S15" i="4" s="1"/>
  <c r="L41" i="6"/>
  <c r="S70" i="6"/>
  <c r="U41" i="6"/>
  <c r="S99" i="6" s="1"/>
  <c r="K70" i="6"/>
  <c r="V41" i="6"/>
  <c r="T99" i="6"/>
  <c r="I156" i="2"/>
  <c r="H81" i="4"/>
  <c r="F60" i="6"/>
  <c r="K60" i="6"/>
  <c r="U60" i="6"/>
  <c r="Q70" i="6"/>
  <c r="G41" i="6"/>
  <c r="G99" i="6"/>
  <c r="O156" i="2"/>
  <c r="N81" i="4" s="1"/>
  <c r="R12" i="6"/>
  <c r="P70" i="6" s="1"/>
  <c r="O165" i="6"/>
  <c r="S156" i="2"/>
  <c r="R81" i="4"/>
  <c r="M41" i="6"/>
  <c r="M50" i="6"/>
  <c r="K77" i="6"/>
  <c r="N41" i="6"/>
  <c r="L99" i="6" s="1"/>
  <c r="K41" i="6"/>
  <c r="I65" i="1"/>
  <c r="D103" i="1"/>
  <c r="Q60" i="6"/>
  <c r="B62" i="4"/>
  <c r="T124" i="2"/>
  <c r="S49" i="4" s="1"/>
  <c r="Y156" i="2"/>
  <c r="X81" i="4" s="1"/>
  <c r="I12" i="6"/>
  <c r="I70" i="6" s="1"/>
  <c r="C139" i="2"/>
  <c r="D19" i="6" s="1"/>
  <c r="D77" i="6"/>
  <c r="S99" i="1"/>
  <c r="J60" i="6"/>
  <c r="T155" i="2"/>
  <c r="S80" i="4" s="1"/>
  <c r="C108" i="2"/>
  <c r="B33" i="4" s="1"/>
  <c r="L138" i="2"/>
  <c r="K63" i="4" s="1"/>
  <c r="I19" i="6"/>
  <c r="I77" i="6" s="1"/>
  <c r="I17" i="6"/>
  <c r="I75" i="6" s="1"/>
  <c r="C119" i="2"/>
  <c r="D12" i="6" s="1"/>
  <c r="D70" i="6" s="1"/>
  <c r="F113" i="1"/>
  <c r="H12" i="6"/>
  <c r="H70" i="6" s="1"/>
  <c r="I2" i="6"/>
  <c r="I60" i="6" s="1"/>
  <c r="N99" i="1"/>
  <c r="C66" i="2"/>
  <c r="B20" i="4"/>
  <c r="J41" i="6"/>
  <c r="J99" i="6" s="1"/>
  <c r="S41" i="6"/>
  <c r="Q99" i="6" s="1"/>
  <c r="E49" i="6"/>
  <c r="E107" i="6" s="1"/>
  <c r="D112" i="1"/>
  <c r="Q98" i="1"/>
  <c r="AB49" i="1"/>
  <c r="AB52" i="1" s="1"/>
  <c r="AB76" i="1"/>
  <c r="AB14" i="4"/>
  <c r="B59" i="1"/>
  <c r="B90" i="1"/>
  <c r="B28" i="4"/>
  <c r="E123" i="1"/>
  <c r="B18" i="4"/>
  <c r="B113" i="1"/>
  <c r="R99" i="1"/>
  <c r="AA76" i="1"/>
  <c r="AA14" i="4"/>
  <c r="Y76" i="1"/>
  <c r="Y14" i="4" s="1"/>
  <c r="X49" i="1"/>
  <c r="X52" i="1" s="1"/>
  <c r="X54" i="1"/>
  <c r="X56" i="1" s="1"/>
  <c r="X76" i="1"/>
  <c r="X14" i="4" s="1"/>
  <c r="AA14" i="6"/>
  <c r="Y72" i="6" s="1"/>
  <c r="U110" i="1"/>
  <c r="D121" i="2"/>
  <c r="C46" i="4" s="1"/>
  <c r="O99" i="1"/>
  <c r="W49" i="1"/>
  <c r="W76" i="1"/>
  <c r="W14" i="4" s="1"/>
  <c r="U76" i="1"/>
  <c r="U14" i="4"/>
  <c r="C44" i="1"/>
  <c r="C76" i="1"/>
  <c r="C14" i="4" s="1"/>
  <c r="V49" i="1"/>
  <c r="V76" i="1"/>
  <c r="V14" i="4"/>
  <c r="B112" i="1"/>
  <c r="J65" i="1"/>
  <c r="J3" i="4" s="1"/>
  <c r="E98" i="1"/>
  <c r="M93" i="1"/>
  <c r="C99" i="1"/>
  <c r="O98" i="1"/>
  <c r="Q93" i="1"/>
  <c r="B8" i="4"/>
  <c r="T65" i="1"/>
  <c r="C86" i="2"/>
  <c r="C104" i="2" s="1"/>
  <c r="K66" i="1"/>
  <c r="K4" i="4"/>
  <c r="C103" i="2"/>
  <c r="J156" i="2"/>
  <c r="I81" i="4" s="1"/>
  <c r="N156" i="2"/>
  <c r="M81" i="4" s="1"/>
  <c r="Z156" i="2"/>
  <c r="Y81" i="4" s="1"/>
  <c r="K107" i="6"/>
  <c r="P156" i="2"/>
  <c r="O81" i="4" s="1"/>
  <c r="R156" i="2"/>
  <c r="Q81" i="4" s="1"/>
  <c r="X156" i="2"/>
  <c r="W81" i="4" s="1"/>
  <c r="E41" i="6"/>
  <c r="E99" i="6"/>
  <c r="B107" i="1"/>
  <c r="K112" i="1"/>
  <c r="AA99" i="1"/>
  <c r="B108" i="1"/>
  <c r="B9" i="4"/>
  <c r="B6" i="4"/>
  <c r="H93" i="1"/>
  <c r="AA109" i="1"/>
  <c r="N52" i="1"/>
  <c r="N54" i="1" s="1"/>
  <c r="E11" i="6"/>
  <c r="E69" i="6"/>
  <c r="F104" i="1"/>
  <c r="K101" i="1"/>
  <c r="L106" i="1"/>
  <c r="O33" i="1"/>
  <c r="O73" i="1"/>
  <c r="O11" i="4" s="1"/>
  <c r="F120" i="1"/>
  <c r="S69" i="6"/>
  <c r="V69" i="6"/>
  <c r="X69" i="6"/>
  <c r="Z69" i="6"/>
  <c r="AB50" i="6"/>
  <c r="Z108" i="6"/>
  <c r="D29" i="6"/>
  <c r="D87" i="6" s="1"/>
  <c r="B56" i="4"/>
  <c r="K87" i="1"/>
  <c r="K25" i="4"/>
  <c r="V123" i="1"/>
  <c r="E121" i="2"/>
  <c r="D46" i="4" s="1"/>
  <c r="L65" i="1"/>
  <c r="L3" i="4" s="1"/>
  <c r="F69" i="6"/>
  <c r="D99" i="1"/>
  <c r="F123" i="1"/>
  <c r="J69" i="6"/>
  <c r="F46" i="1"/>
  <c r="G44" i="1"/>
  <c r="G78" i="1"/>
  <c r="G16" i="4"/>
  <c r="D25" i="6"/>
  <c r="D83" i="6"/>
  <c r="B54" i="4"/>
  <c r="D28" i="6"/>
  <c r="D86" i="6"/>
  <c r="B67" i="4"/>
  <c r="D38" i="6"/>
  <c r="D96" i="6" s="1"/>
  <c r="B71" i="4"/>
  <c r="D58" i="1"/>
  <c r="D55" i="1"/>
  <c r="B55" i="1"/>
  <c r="K123" i="1"/>
  <c r="AA123" i="1"/>
  <c r="O144" i="6"/>
  <c r="N107" i="6"/>
  <c r="H17" i="6"/>
  <c r="B69" i="1"/>
  <c r="B102" i="1" s="1"/>
  <c r="F73" i="1"/>
  <c r="F11" i="4"/>
  <c r="K41" i="1"/>
  <c r="T69" i="6"/>
  <c r="U69" i="6"/>
  <c r="W69" i="6"/>
  <c r="Y50" i="6"/>
  <c r="W108" i="6"/>
  <c r="Y69" i="6"/>
  <c r="H100" i="6"/>
  <c r="H121" i="2"/>
  <c r="G46" i="4"/>
  <c r="S44" i="1"/>
  <c r="S76" i="1"/>
  <c r="S14" i="4" s="1"/>
  <c r="S109" i="1"/>
  <c r="R109" i="1"/>
  <c r="H76" i="1"/>
  <c r="H14" i="4" s="1"/>
  <c r="H49" i="1"/>
  <c r="T49" i="1"/>
  <c r="J49" i="1"/>
  <c r="M76" i="1"/>
  <c r="M14" i="4" s="1"/>
  <c r="M49" i="1"/>
  <c r="M52" i="1" s="1"/>
  <c r="I49" i="1"/>
  <c r="P76" i="1"/>
  <c r="P14" i="4" s="1"/>
  <c r="V46" i="4"/>
  <c r="W124" i="2"/>
  <c r="V49" i="4" s="1"/>
  <c r="Q111" i="1"/>
  <c r="R16" i="4"/>
  <c r="T15" i="4"/>
  <c r="S110" i="1"/>
  <c r="R110" i="1"/>
  <c r="O15" i="4"/>
  <c r="Q76" i="1"/>
  <c r="Q14" i="4" s="1"/>
  <c r="Q49" i="1"/>
  <c r="F41" i="6"/>
  <c r="F99" i="6" s="1"/>
  <c r="K74" i="6"/>
  <c r="L50" i="6"/>
  <c r="U156" i="2"/>
  <c r="T81" i="4" s="1"/>
  <c r="B46" i="1"/>
  <c r="S16" i="6"/>
  <c r="Q74" i="6"/>
  <c r="K16" i="4"/>
  <c r="B41" i="1"/>
  <c r="B57" i="1"/>
  <c r="Z49" i="4"/>
  <c r="S98" i="1"/>
  <c r="T3" i="4"/>
  <c r="I93" i="1"/>
  <c r="I3" i="4"/>
  <c r="AB49" i="4"/>
  <c r="L49" i="1"/>
  <c r="L52" i="1"/>
  <c r="L54" i="1" s="1"/>
  <c r="L111" i="1"/>
  <c r="L121" i="2"/>
  <c r="K46" i="4" s="1"/>
  <c r="L72" i="2"/>
  <c r="L104" i="2" s="1"/>
  <c r="J14" i="6"/>
  <c r="J72" i="6" s="1"/>
  <c r="M124" i="2"/>
  <c r="L49" i="4"/>
  <c r="L109" i="1"/>
  <c r="L110" i="1"/>
  <c r="F110" i="1"/>
  <c r="F121" i="2"/>
  <c r="E46" i="4" s="1"/>
  <c r="F72" i="2"/>
  <c r="F104" i="2" s="1"/>
  <c r="E78" i="1"/>
  <c r="E16" i="4" s="1"/>
  <c r="E44" i="1"/>
  <c r="E76" i="1" s="1"/>
  <c r="K99" i="6"/>
  <c r="H60" i="6"/>
  <c r="N99" i="6"/>
  <c r="B64" i="4"/>
  <c r="B123" i="1"/>
  <c r="J158" i="2"/>
  <c r="O158" i="2"/>
  <c r="I158" i="2"/>
  <c r="Q158" i="2"/>
  <c r="W50" i="6"/>
  <c r="U108" i="6" s="1"/>
  <c r="S158" i="2"/>
  <c r="K50" i="6"/>
  <c r="K108" i="6" s="1"/>
  <c r="J93" i="1"/>
  <c r="G121" i="2"/>
  <c r="H14" i="6" s="1"/>
  <c r="H72" i="6" s="1"/>
  <c r="G72" i="2"/>
  <c r="G104" i="2"/>
  <c r="AB81" i="1"/>
  <c r="AB19" i="4" s="1"/>
  <c r="X81" i="1"/>
  <c r="X19" i="4" s="1"/>
  <c r="T93" i="1"/>
  <c r="R98" i="1"/>
  <c r="U109" i="1"/>
  <c r="AA16" i="6"/>
  <c r="AA50" i="6" s="1"/>
  <c r="Y108" i="6" s="1"/>
  <c r="C109" i="1"/>
  <c r="C49" i="1"/>
  <c r="V52" i="1"/>
  <c r="V84" i="1" s="1"/>
  <c r="V22" i="4" s="1"/>
  <c r="V81" i="1"/>
  <c r="V19" i="4"/>
  <c r="W52" i="1"/>
  <c r="W81" i="1"/>
  <c r="W19" i="4" s="1"/>
  <c r="D124" i="2"/>
  <c r="C49" i="4" s="1"/>
  <c r="E14" i="6"/>
  <c r="E72" i="6" s="1"/>
  <c r="K99" i="1"/>
  <c r="K33" i="1"/>
  <c r="C72" i="2"/>
  <c r="X84" i="1"/>
  <c r="X22" i="4" s="1"/>
  <c r="N84" i="1"/>
  <c r="N22" i="4" s="1"/>
  <c r="AA117" i="1"/>
  <c r="C57" i="1"/>
  <c r="B87" i="1"/>
  <c r="V102" i="1"/>
  <c r="D17" i="6"/>
  <c r="D75" i="6" s="1"/>
  <c r="B50" i="4"/>
  <c r="D87" i="1"/>
  <c r="D25" i="4"/>
  <c r="F78" i="1"/>
  <c r="F16" i="4" s="1"/>
  <c r="F44" i="1"/>
  <c r="F76" i="1" s="1"/>
  <c r="L93" i="1"/>
  <c r="F14" i="6"/>
  <c r="E124" i="2"/>
  <c r="X158" i="2"/>
  <c r="R158" i="2"/>
  <c r="O49" i="1"/>
  <c r="O52" i="1" s="1"/>
  <c r="O65" i="1"/>
  <c r="O3" i="4"/>
  <c r="H124" i="2"/>
  <c r="P158" i="2"/>
  <c r="K73" i="1"/>
  <c r="K11" i="4"/>
  <c r="F106" i="1"/>
  <c r="B7" i="4"/>
  <c r="H75" i="6"/>
  <c r="G76" i="1"/>
  <c r="G14" i="4" s="1"/>
  <c r="G49" i="1"/>
  <c r="G81" i="1" s="1"/>
  <c r="G19" i="4" s="1"/>
  <c r="K120" i="1"/>
  <c r="Z158" i="2"/>
  <c r="N158" i="2"/>
  <c r="H81" i="1"/>
  <c r="H19" i="4" s="1"/>
  <c r="H52" i="1"/>
  <c r="H54" i="1" s="1"/>
  <c r="J52" i="1"/>
  <c r="J81" i="1"/>
  <c r="J19" i="4" s="1"/>
  <c r="T52" i="1"/>
  <c r="T81" i="1"/>
  <c r="S114" i="1" s="1"/>
  <c r="Q52" i="1"/>
  <c r="Q81" i="1"/>
  <c r="Q19" i="4" s="1"/>
  <c r="I52" i="1"/>
  <c r="I81" i="1"/>
  <c r="I19" i="4"/>
  <c r="O109" i="1"/>
  <c r="W156" i="2"/>
  <c r="V81" i="4" s="1"/>
  <c r="N109" i="1"/>
  <c r="M81" i="1"/>
  <c r="M19" i="4" s="1"/>
  <c r="U158" i="2"/>
  <c r="E156" i="2"/>
  <c r="D49" i="4"/>
  <c r="G49" i="4"/>
  <c r="L81" i="1"/>
  <c r="L19" i="4" s="1"/>
  <c r="J16" i="6"/>
  <c r="M156" i="2"/>
  <c r="L81" i="4" s="1"/>
  <c r="I14" i="6"/>
  <c r="E111" i="1"/>
  <c r="F124" i="2"/>
  <c r="C121" i="2"/>
  <c r="Y74" i="6"/>
  <c r="C81" i="1"/>
  <c r="C19" i="4" s="1"/>
  <c r="C52" i="1"/>
  <c r="E16" i="6"/>
  <c r="W54" i="1"/>
  <c r="W84" i="1"/>
  <c r="W22" i="4"/>
  <c r="V54" i="1"/>
  <c r="X88" i="1"/>
  <c r="X26" i="4" s="1"/>
  <c r="X29" i="4" s="1"/>
  <c r="AA119" i="1"/>
  <c r="AA121" i="1"/>
  <c r="L84" i="1"/>
  <c r="L22" i="4" s="1"/>
  <c r="X14" i="6"/>
  <c r="K65" i="1"/>
  <c r="K3" i="4" s="1"/>
  <c r="B73" i="1"/>
  <c r="F72" i="6"/>
  <c r="F16" i="6"/>
  <c r="D120" i="1"/>
  <c r="V99" i="1"/>
  <c r="G52" i="1"/>
  <c r="Z14" i="6"/>
  <c r="K106" i="1"/>
  <c r="O81" i="1"/>
  <c r="O19" i="4" s="1"/>
  <c r="F98" i="1"/>
  <c r="F93" i="1"/>
  <c r="B25" i="4"/>
  <c r="B120" i="1"/>
  <c r="K29" i="1"/>
  <c r="O93" i="1"/>
  <c r="N98" i="1"/>
  <c r="F49" i="1"/>
  <c r="H84" i="1"/>
  <c r="H22" i="4" s="1"/>
  <c r="T19" i="4"/>
  <c r="R114" i="1"/>
  <c r="J54" i="1"/>
  <c r="J84" i="1"/>
  <c r="J22" i="4"/>
  <c r="W158" i="2"/>
  <c r="O114" i="1"/>
  <c r="I54" i="1"/>
  <c r="I84" i="1"/>
  <c r="I22" i="4" s="1"/>
  <c r="Q54" i="1"/>
  <c r="Q84" i="1"/>
  <c r="E49" i="4"/>
  <c r="F156" i="2"/>
  <c r="E81" i="4"/>
  <c r="L114" i="1"/>
  <c r="D81" i="4"/>
  <c r="M158" i="2"/>
  <c r="J74" i="6"/>
  <c r="J50" i="6"/>
  <c r="J108" i="6" s="1"/>
  <c r="I72" i="6"/>
  <c r="I16" i="6"/>
  <c r="V56" i="1"/>
  <c r="V88" i="1" s="1"/>
  <c r="V86" i="1"/>
  <c r="V24" i="4" s="1"/>
  <c r="W56" i="1"/>
  <c r="W88" i="1" s="1"/>
  <c r="W86" i="1"/>
  <c r="W24" i="4" s="1"/>
  <c r="C114" i="1"/>
  <c r="E74" i="6"/>
  <c r="E50" i="6"/>
  <c r="E108" i="6" s="1"/>
  <c r="C84" i="1"/>
  <c r="C22" i="4" s="1"/>
  <c r="C54" i="1"/>
  <c r="X91" i="1"/>
  <c r="X94" i="1"/>
  <c r="AA124" i="1"/>
  <c r="X72" i="6"/>
  <c r="Z16" i="6"/>
  <c r="G54" i="1"/>
  <c r="G84" i="1"/>
  <c r="G22" i="4"/>
  <c r="B11" i="4"/>
  <c r="B106" i="1"/>
  <c r="F52" i="1"/>
  <c r="F81" i="1"/>
  <c r="F19" i="4" s="1"/>
  <c r="V111" i="1"/>
  <c r="V109" i="1"/>
  <c r="F74" i="6"/>
  <c r="F50" i="6"/>
  <c r="F108" i="6"/>
  <c r="K98" i="1"/>
  <c r="K93" i="1"/>
  <c r="D14" i="6"/>
  <c r="D72" i="6" s="1"/>
  <c r="B46" i="4"/>
  <c r="L117" i="1"/>
  <c r="V98" i="1"/>
  <c r="B78" i="1"/>
  <c r="V72" i="6"/>
  <c r="X16" i="6"/>
  <c r="J86" i="1"/>
  <c r="J24" i="4"/>
  <c r="J56" i="1"/>
  <c r="J88" i="1"/>
  <c r="J26" i="4" s="1"/>
  <c r="J29" i="4" s="1"/>
  <c r="I56" i="1"/>
  <c r="I88" i="1" s="1"/>
  <c r="I86" i="1"/>
  <c r="I24" i="4" s="1"/>
  <c r="Q22" i="4"/>
  <c r="O117" i="1"/>
  <c r="Q56" i="1"/>
  <c r="Q88" i="1" s="1"/>
  <c r="Q86" i="1"/>
  <c r="O119" i="1" s="1"/>
  <c r="I74" i="6"/>
  <c r="F158" i="2"/>
  <c r="C56" i="1"/>
  <c r="C88" i="1" s="1"/>
  <c r="C86" i="1"/>
  <c r="C24" i="4" s="1"/>
  <c r="C117" i="1"/>
  <c r="F54" i="1"/>
  <c r="F84" i="1"/>
  <c r="F22" i="4" s="1"/>
  <c r="X74" i="6"/>
  <c r="Z50" i="6"/>
  <c r="X108" i="6"/>
  <c r="V74" i="6"/>
  <c r="X50" i="6"/>
  <c r="V108" i="6"/>
  <c r="B16" i="4"/>
  <c r="B111" i="1"/>
  <c r="F114" i="1"/>
  <c r="G56" i="1"/>
  <c r="G88" i="1" s="1"/>
  <c r="G86" i="1"/>
  <c r="G24" i="4" s="1"/>
  <c r="Q24" i="4"/>
  <c r="V114" i="1"/>
  <c r="F56" i="1"/>
  <c r="F86" i="1"/>
  <c r="F24" i="4"/>
  <c r="F88" i="1"/>
  <c r="F26" i="4" s="1"/>
  <c r="F29" i="4" s="1"/>
  <c r="V117" i="1"/>
  <c r="F119" i="1"/>
  <c r="B85" i="1"/>
  <c r="B23" i="4" s="1"/>
  <c r="F91" i="1"/>
  <c r="F94" i="1" s="1"/>
  <c r="F121" i="1"/>
  <c r="B118" i="1"/>
  <c r="V119" i="1"/>
  <c r="V121" i="1"/>
  <c r="V124" i="1"/>
  <c r="C159" i="3"/>
  <c r="E159" i="3"/>
  <c r="E105" i="3"/>
  <c r="C167" i="3"/>
  <c r="E221" i="3"/>
  <c r="E167" i="3"/>
  <c r="C26" i="4" l="1"/>
  <c r="C29" i="4" s="1"/>
  <c r="C121" i="1"/>
  <c r="C91" i="1"/>
  <c r="I26" i="4"/>
  <c r="I29" i="4" s="1"/>
  <c r="I91" i="1"/>
  <c r="I94" i="1" s="1"/>
  <c r="W91" i="1"/>
  <c r="W94" i="1" s="1"/>
  <c r="W26" i="4"/>
  <c r="W29" i="4" s="1"/>
  <c r="V91" i="1"/>
  <c r="V94" i="1" s="1"/>
  <c r="V26" i="4"/>
  <c r="V29" i="4" s="1"/>
  <c r="H86" i="1"/>
  <c r="H24" i="4" s="1"/>
  <c r="H56" i="1"/>
  <c r="H88" i="1" s="1"/>
  <c r="O54" i="1"/>
  <c r="O84" i="1"/>
  <c r="F14" i="4"/>
  <c r="F109" i="1"/>
  <c r="E14" i="4"/>
  <c r="E109" i="1"/>
  <c r="AB84" i="1"/>
  <c r="AB22" i="4" s="1"/>
  <c r="AB54" i="1"/>
  <c r="G26" i="4"/>
  <c r="G29" i="4" s="1"/>
  <c r="G91" i="1"/>
  <c r="G94" i="1" s="1"/>
  <c r="O121" i="1"/>
  <c r="Q26" i="4"/>
  <c r="Q29" i="4" s="1"/>
  <c r="Q91" i="1"/>
  <c r="L56" i="1"/>
  <c r="L88" i="1" s="1"/>
  <c r="L86" i="1"/>
  <c r="M54" i="1"/>
  <c r="M84" i="1"/>
  <c r="M22" i="4" s="1"/>
  <c r="N56" i="1"/>
  <c r="N88" i="1" s="1"/>
  <c r="N86" i="1"/>
  <c r="N24" i="4" s="1"/>
  <c r="B110" i="1"/>
  <c r="B15" i="4"/>
  <c r="P52" i="1"/>
  <c r="P81" i="1"/>
  <c r="V16" i="6"/>
  <c r="T72" i="6"/>
  <c r="F124" i="1"/>
  <c r="F117" i="1"/>
  <c r="C119" i="1"/>
  <c r="J91" i="1"/>
  <c r="J94" i="1" s="1"/>
  <c r="R76" i="1"/>
  <c r="R49" i="1"/>
  <c r="C3" i="4"/>
  <c r="C93" i="1"/>
  <c r="C98" i="1"/>
  <c r="R3" i="4"/>
  <c r="R93" i="1"/>
  <c r="F4" i="4"/>
  <c r="F99" i="1"/>
  <c r="B116" i="1"/>
  <c r="B21" i="4"/>
  <c r="T16" i="4"/>
  <c r="S111" i="1"/>
  <c r="R111" i="1"/>
  <c r="F78" i="4"/>
  <c r="H47" i="6"/>
  <c r="H105" i="6" s="1"/>
  <c r="F74" i="4"/>
  <c r="C149" i="2"/>
  <c r="F66" i="4"/>
  <c r="C141" i="2"/>
  <c r="G155" i="2"/>
  <c r="F61" i="4"/>
  <c r="H26" i="6"/>
  <c r="H84" i="6" s="1"/>
  <c r="F57" i="4"/>
  <c r="H30" i="6"/>
  <c r="H88" i="6" s="1"/>
  <c r="F53" i="4"/>
  <c r="H22" i="6"/>
  <c r="H80" i="6" s="1"/>
  <c r="F45" i="4"/>
  <c r="H13" i="6"/>
  <c r="C120" i="2"/>
  <c r="F42" i="4"/>
  <c r="C117" i="2"/>
  <c r="F38" i="4"/>
  <c r="C113" i="2"/>
  <c r="F36" i="4"/>
  <c r="H23" i="6"/>
  <c r="H81" i="6" s="1"/>
  <c r="F34" i="4"/>
  <c r="H3" i="6"/>
  <c r="K79" i="4"/>
  <c r="C154" i="2"/>
  <c r="I44" i="6"/>
  <c r="I102" i="6" s="1"/>
  <c r="K76" i="4"/>
  <c r="C151" i="2"/>
  <c r="I45" i="6"/>
  <c r="I103" i="6" s="1"/>
  <c r="K69" i="4"/>
  <c r="I33" i="6"/>
  <c r="I91" i="6" s="1"/>
  <c r="C144" i="2"/>
  <c r="K57" i="4"/>
  <c r="C132" i="2"/>
  <c r="I30" i="6"/>
  <c r="I88" i="6" s="1"/>
  <c r="K47" i="4"/>
  <c r="I37" i="6"/>
  <c r="I95" i="6" s="1"/>
  <c r="C122" i="2"/>
  <c r="K41" i="4"/>
  <c r="C116" i="2"/>
  <c r="K37" i="4"/>
  <c r="I5" i="6"/>
  <c r="I63" i="6" s="1"/>
  <c r="C112" i="2"/>
  <c r="K34" i="4"/>
  <c r="C109" i="2"/>
  <c r="I3" i="6"/>
  <c r="L118" i="2"/>
  <c r="K43" i="4" s="1"/>
  <c r="F12" i="4"/>
  <c r="F107" i="1"/>
  <c r="K8" i="4"/>
  <c r="K103" i="1"/>
  <c r="K13" i="4"/>
  <c r="K108" i="1"/>
  <c r="AA33" i="1"/>
  <c r="AA66" i="1"/>
  <c r="S75" i="4"/>
  <c r="C150" i="2"/>
  <c r="B75" i="4" s="1"/>
  <c r="R44" i="6"/>
  <c r="S72" i="4"/>
  <c r="C147" i="2"/>
  <c r="R39" i="6"/>
  <c r="P97" i="6" s="1"/>
  <c r="S70" i="4"/>
  <c r="C145" i="2"/>
  <c r="R36" i="6"/>
  <c r="P94" i="6" s="1"/>
  <c r="S60" i="4"/>
  <c r="R31" i="6"/>
  <c r="P89" i="6" s="1"/>
  <c r="O184" i="6" s="1"/>
  <c r="C135" i="2"/>
  <c r="R34" i="6"/>
  <c r="P92" i="6" s="1"/>
  <c r="S58" i="4"/>
  <c r="C133" i="2"/>
  <c r="T84" i="1"/>
  <c r="T54" i="1"/>
  <c r="F111" i="1"/>
  <c r="X86" i="1"/>
  <c r="X24" i="4" s="1"/>
  <c r="D156" i="2"/>
  <c r="G124" i="2"/>
  <c r="F49" i="4" s="1"/>
  <c r="G14" i="6"/>
  <c r="E49" i="1"/>
  <c r="L124" i="2"/>
  <c r="K49" i="4" s="1"/>
  <c r="F46" i="4"/>
  <c r="H156" i="2"/>
  <c r="S50" i="6"/>
  <c r="Q108" i="6" s="1"/>
  <c r="N106" i="1"/>
  <c r="L98" i="1"/>
  <c r="D49" i="1"/>
  <c r="C111" i="1"/>
  <c r="B44" i="4"/>
  <c r="U50" i="6"/>
  <c r="S108" i="6" s="1"/>
  <c r="P50" i="6"/>
  <c r="Y158" i="2"/>
  <c r="N50" i="6"/>
  <c r="L108" i="6" s="1"/>
  <c r="K44" i="1"/>
  <c r="K77" i="1"/>
  <c r="K156" i="2"/>
  <c r="D93" i="1"/>
  <c r="G138" i="2"/>
  <c r="F63" i="4" s="1"/>
  <c r="V156" i="2"/>
  <c r="T138" i="2"/>
  <c r="G118" i="2"/>
  <c r="F43" i="4" s="1"/>
  <c r="H4" i="6"/>
  <c r="H62" i="6" s="1"/>
  <c r="D44" i="1"/>
  <c r="D76" i="1" s="1"/>
  <c r="D78" i="1"/>
  <c r="H24" i="6"/>
  <c r="H82" i="6" s="1"/>
  <c r="H36" i="6"/>
  <c r="H94" i="6" s="1"/>
  <c r="H43" i="6"/>
  <c r="B5" i="4"/>
  <c r="B100" i="1"/>
  <c r="E3" i="4"/>
  <c r="E93" i="1"/>
  <c r="F76" i="4"/>
  <c r="H45" i="6"/>
  <c r="H103" i="6" s="1"/>
  <c r="F68" i="4"/>
  <c r="C143" i="2"/>
  <c r="F59" i="4"/>
  <c r="H35" i="6"/>
  <c r="H93" i="6" s="1"/>
  <c r="C134" i="2"/>
  <c r="F55" i="4"/>
  <c r="C130" i="2"/>
  <c r="H27" i="6"/>
  <c r="H85" i="6" s="1"/>
  <c r="F51" i="4"/>
  <c r="H18" i="6"/>
  <c r="F40" i="4"/>
  <c r="C115" i="2"/>
  <c r="H8" i="6"/>
  <c r="H66" i="6" s="1"/>
  <c r="C153" i="2"/>
  <c r="I47" i="6"/>
  <c r="I105" i="6" s="1"/>
  <c r="K78" i="4"/>
  <c r="K73" i="4"/>
  <c r="C148" i="2"/>
  <c r="I42" i="6"/>
  <c r="K65" i="4"/>
  <c r="I20" i="6"/>
  <c r="L155" i="2"/>
  <c r="C140" i="2"/>
  <c r="K61" i="4"/>
  <c r="C136" i="2"/>
  <c r="I26" i="6"/>
  <c r="I84" i="6" s="1"/>
  <c r="K53" i="4"/>
  <c r="I22" i="6"/>
  <c r="I80" i="6" s="1"/>
  <c r="C128" i="2"/>
  <c r="I21" i="6"/>
  <c r="I79" i="6" s="1"/>
  <c r="K52" i="4"/>
  <c r="C127" i="2"/>
  <c r="K39" i="4"/>
  <c r="I7" i="6"/>
  <c r="I65" i="6" s="1"/>
  <c r="C114" i="2"/>
  <c r="I23" i="6"/>
  <c r="I81" i="6" s="1"/>
  <c r="K36" i="4"/>
  <c r="C111" i="2"/>
  <c r="F6" i="4"/>
  <c r="F101" i="1"/>
  <c r="K18" i="4"/>
  <c r="K113" i="1"/>
  <c r="K5" i="4"/>
  <c r="K100" i="1"/>
  <c r="AA16" i="4"/>
  <c r="U111" i="1"/>
  <c r="P93" i="1"/>
  <c r="P3" i="4"/>
  <c r="L4" i="4"/>
  <c r="L99" i="1"/>
  <c r="G93" i="1"/>
  <c r="G3" i="4"/>
  <c r="S52" i="4"/>
  <c r="R21" i="6"/>
  <c r="P79" i="6" s="1"/>
  <c r="O174" i="6" s="1"/>
  <c r="S39" i="4"/>
  <c r="R7" i="6"/>
  <c r="P65" i="6" s="1"/>
  <c r="O160" i="6" s="1"/>
  <c r="S37" i="4"/>
  <c r="R5" i="6"/>
  <c r="P63" i="6" s="1"/>
  <c r="O158" i="6" s="1"/>
  <c r="S35" i="4"/>
  <c r="C110" i="2"/>
  <c r="T118" i="2"/>
  <c r="S43" i="4" s="1"/>
  <c r="R4" i="6"/>
  <c r="R47" i="6"/>
  <c r="P105" i="6" s="1"/>
  <c r="S78" i="4"/>
  <c r="R46" i="6"/>
  <c r="P104" i="6" s="1"/>
  <c r="S77" i="4"/>
  <c r="C152" i="2"/>
  <c r="S51" i="4"/>
  <c r="R18" i="6"/>
  <c r="C126" i="2"/>
  <c r="R15" i="6"/>
  <c r="P73" i="6" s="1"/>
  <c r="O168" i="6" s="1"/>
  <c r="C123" i="2"/>
  <c r="S48" i="4"/>
  <c r="AA34" i="4"/>
  <c r="AB118" i="2"/>
  <c r="Y33" i="1"/>
  <c r="U33" i="1"/>
  <c r="AC103" i="2"/>
  <c r="AC86" i="2"/>
  <c r="AC118" i="2"/>
  <c r="AB43" i="4" s="1"/>
  <c r="AC138" i="2"/>
  <c r="AB63" i="4" s="1"/>
  <c r="AC155" i="2"/>
  <c r="Z67" i="1"/>
  <c r="Z5" i="4" s="1"/>
  <c r="Z34" i="1"/>
  <c r="Z64" i="4"/>
  <c r="AA155" i="2"/>
  <c r="Z80" i="4" l="1"/>
  <c r="AA156" i="2"/>
  <c r="Z33" i="1"/>
  <c r="Z66" i="1"/>
  <c r="Z4" i="4" s="1"/>
  <c r="AB80" i="4"/>
  <c r="AC156" i="2"/>
  <c r="AC104" i="2"/>
  <c r="Y49" i="1"/>
  <c r="Y65" i="1"/>
  <c r="B48" i="4"/>
  <c r="D15" i="6"/>
  <c r="D73" i="6" s="1"/>
  <c r="D18" i="6"/>
  <c r="B51" i="4"/>
  <c r="C138" i="2"/>
  <c r="B63" i="4" s="1"/>
  <c r="P62" i="6"/>
  <c r="O157" i="6" s="1"/>
  <c r="R11" i="6"/>
  <c r="D4" i="6"/>
  <c r="D62" i="6" s="1"/>
  <c r="B35" i="4"/>
  <c r="S34" i="1"/>
  <c r="B39" i="4"/>
  <c r="D7" i="6"/>
  <c r="D65" i="6" s="1"/>
  <c r="D22" i="6"/>
  <c r="D80" i="6" s="1"/>
  <c r="B53" i="4"/>
  <c r="D26" i="6"/>
  <c r="D84" i="6" s="1"/>
  <c r="B61" i="4"/>
  <c r="B65" i="4"/>
  <c r="D20" i="6"/>
  <c r="D78" i="6" s="1"/>
  <c r="C155" i="2"/>
  <c r="I78" i="6"/>
  <c r="I41" i="6"/>
  <c r="I99" i="6" s="1"/>
  <c r="I100" i="6"/>
  <c r="I49" i="6"/>
  <c r="I107" i="6" s="1"/>
  <c r="D27" i="6"/>
  <c r="D85" i="6" s="1"/>
  <c r="B55" i="4"/>
  <c r="D35" i="6"/>
  <c r="D93" i="6" s="1"/>
  <c r="B59" i="4"/>
  <c r="D16" i="4"/>
  <c r="D111" i="1"/>
  <c r="S63" i="4"/>
  <c r="T156" i="2"/>
  <c r="J81" i="4"/>
  <c r="K158" i="2"/>
  <c r="K76" i="1"/>
  <c r="B44" i="1"/>
  <c r="B76" i="1" s="1"/>
  <c r="D52" i="1"/>
  <c r="D81" i="1"/>
  <c r="G81" i="4"/>
  <c r="H158" i="2"/>
  <c r="G72" i="6"/>
  <c r="G16" i="6"/>
  <c r="T56" i="1"/>
  <c r="T86" i="1"/>
  <c r="D34" i="6"/>
  <c r="D92" i="6" s="1"/>
  <c r="B58" i="4"/>
  <c r="B72" i="4"/>
  <c r="D39" i="6"/>
  <c r="D97" i="6" s="1"/>
  <c r="P102" i="6"/>
  <c r="R49" i="6"/>
  <c r="P107" i="6" s="1"/>
  <c r="AA65" i="1"/>
  <c r="AA49" i="1"/>
  <c r="I61" i="6"/>
  <c r="I11" i="6"/>
  <c r="B41" i="4"/>
  <c r="D2" i="6"/>
  <c r="B47" i="4"/>
  <c r="D37" i="6"/>
  <c r="D95" i="6" s="1"/>
  <c r="B57" i="4"/>
  <c r="D30" i="6"/>
  <c r="D88" i="6" s="1"/>
  <c r="D33" i="6"/>
  <c r="D91" i="6" s="1"/>
  <c r="B69" i="4"/>
  <c r="D45" i="6"/>
  <c r="D103" i="6" s="1"/>
  <c r="B76" i="4"/>
  <c r="H71" i="6"/>
  <c r="H16" i="6"/>
  <c r="H74" i="6" s="1"/>
  <c r="F80" i="4"/>
  <c r="G156" i="2"/>
  <c r="Q109" i="1"/>
  <c r="R14" i="4"/>
  <c r="T74" i="6"/>
  <c r="V50" i="6"/>
  <c r="T108" i="6" s="1"/>
  <c r="P84" i="1"/>
  <c r="P22" i="4" s="1"/>
  <c r="P54" i="1"/>
  <c r="N26" i="4"/>
  <c r="N29" i="4" s="1"/>
  <c r="N91" i="1"/>
  <c r="N94" i="1" s="1"/>
  <c r="M86" i="1"/>
  <c r="M24" i="4" s="1"/>
  <c r="M56" i="1"/>
  <c r="M88" i="1" s="1"/>
  <c r="L26" i="4"/>
  <c r="L29" i="4" s="1"/>
  <c r="L91" i="1"/>
  <c r="L121" i="1"/>
  <c r="E158" i="2"/>
  <c r="AB56" i="1"/>
  <c r="AB88" i="1" s="1"/>
  <c r="AB86" i="1"/>
  <c r="AB24" i="4" s="1"/>
  <c r="O22" i="4"/>
  <c r="H26" i="4"/>
  <c r="H29" i="4" s="1"/>
  <c r="H91" i="1"/>
  <c r="H94" i="1" s="1"/>
  <c r="K49" i="1"/>
  <c r="U65" i="1"/>
  <c r="U49" i="1"/>
  <c r="AB156" i="2"/>
  <c r="AA43" i="4"/>
  <c r="P76" i="6"/>
  <c r="O171" i="6" s="1"/>
  <c r="R41" i="6"/>
  <c r="P99" i="6" s="1"/>
  <c r="D46" i="6"/>
  <c r="D104" i="6" s="1"/>
  <c r="B77" i="4"/>
  <c r="D23" i="6"/>
  <c r="D81" i="6" s="1"/>
  <c r="B36" i="4"/>
  <c r="D21" i="6"/>
  <c r="D79" i="6" s="1"/>
  <c r="B52" i="4"/>
  <c r="K80" i="4"/>
  <c r="L156" i="2"/>
  <c r="B73" i="4"/>
  <c r="D42" i="6"/>
  <c r="B78" i="4"/>
  <c r="D47" i="6"/>
  <c r="D105" i="6" s="1"/>
  <c r="D8" i="6"/>
  <c r="D66" i="6" s="1"/>
  <c r="B40" i="4"/>
  <c r="H76" i="6"/>
  <c r="H41" i="6"/>
  <c r="H99" i="6" s="1"/>
  <c r="B68" i="4"/>
  <c r="D32" i="6"/>
  <c r="D90" i="6" s="1"/>
  <c r="H101" i="6"/>
  <c r="H49" i="6"/>
  <c r="H107" i="6" s="1"/>
  <c r="D109" i="1"/>
  <c r="D14" i="4"/>
  <c r="U81" i="4"/>
  <c r="V158" i="2"/>
  <c r="K15" i="4"/>
  <c r="K110" i="1"/>
  <c r="O145" i="6"/>
  <c r="N108" i="6"/>
  <c r="R16" i="6"/>
  <c r="P74" i="6" s="1"/>
  <c r="O169" i="6" s="1"/>
  <c r="E81" i="1"/>
  <c r="E52" i="1"/>
  <c r="C124" i="2"/>
  <c r="B49" i="4" s="1"/>
  <c r="C81" i="4"/>
  <c r="D158" i="2"/>
  <c r="T22" i="4"/>
  <c r="S117" i="1"/>
  <c r="R117" i="1"/>
  <c r="B60" i="4"/>
  <c r="D31" i="6"/>
  <c r="D89" i="6" s="1"/>
  <c r="D36" i="6"/>
  <c r="D94" i="6" s="1"/>
  <c r="B70" i="4"/>
  <c r="AA4" i="4"/>
  <c r="U99" i="1"/>
  <c r="D3" i="6"/>
  <c r="D61" i="6" s="1"/>
  <c r="C118" i="2"/>
  <c r="B43" i="4" s="1"/>
  <c r="B34" i="4"/>
  <c r="B37" i="4"/>
  <c r="D5" i="6"/>
  <c r="D63" i="6" s="1"/>
  <c r="D44" i="6"/>
  <c r="D102" i="6" s="1"/>
  <c r="B79" i="4"/>
  <c r="H61" i="6"/>
  <c r="H11" i="6"/>
  <c r="D6" i="6"/>
  <c r="D64" i="6" s="1"/>
  <c r="B38" i="4"/>
  <c r="D10" i="6"/>
  <c r="D68" i="6" s="1"/>
  <c r="B42" i="4"/>
  <c r="D13" i="6"/>
  <c r="B45" i="4"/>
  <c r="B66" i="4"/>
  <c r="D24" i="6"/>
  <c r="D82" i="6" s="1"/>
  <c r="B74" i="4"/>
  <c r="D43" i="6"/>
  <c r="D101" i="6" s="1"/>
  <c r="R81" i="1"/>
  <c r="R52" i="1"/>
  <c r="P19" i="4"/>
  <c r="N114" i="1"/>
  <c r="L24" i="4"/>
  <c r="L119" i="1"/>
  <c r="Q94" i="1"/>
  <c r="O124" i="1"/>
  <c r="O56" i="1"/>
  <c r="O88" i="1" s="1"/>
  <c r="O86" i="1"/>
  <c r="C94" i="1"/>
  <c r="C124" i="1"/>
  <c r="O24" i="4" l="1"/>
  <c r="R54" i="1"/>
  <c r="R84" i="1"/>
  <c r="H69" i="6"/>
  <c r="H50" i="6"/>
  <c r="H108" i="6" s="1"/>
  <c r="E114" i="1"/>
  <c r="E19" i="4"/>
  <c r="D100" i="6"/>
  <c r="D49" i="6"/>
  <c r="D107" i="6" s="1"/>
  <c r="K81" i="4"/>
  <c r="L158" i="2"/>
  <c r="U81" i="1"/>
  <c r="U19" i="4" s="1"/>
  <c r="U52" i="1"/>
  <c r="K52" i="1"/>
  <c r="K81" i="1"/>
  <c r="AB91" i="1"/>
  <c r="AB94" i="1" s="1"/>
  <c r="AB26" i="4"/>
  <c r="AB29" i="4" s="1"/>
  <c r="AA3" i="4"/>
  <c r="U98" i="1"/>
  <c r="AA93" i="1"/>
  <c r="T88" i="1"/>
  <c r="G74" i="6"/>
  <c r="G50" i="6"/>
  <c r="G108" i="6" s="1"/>
  <c r="D19" i="4"/>
  <c r="D114" i="1"/>
  <c r="B109" i="1"/>
  <c r="B14" i="4"/>
  <c r="S81" i="4"/>
  <c r="T158" i="2"/>
  <c r="B80" i="4"/>
  <c r="C156" i="2"/>
  <c r="P69" i="6"/>
  <c r="O164" i="6" s="1"/>
  <c r="R50" i="6"/>
  <c r="P108" i="6" s="1"/>
  <c r="D76" i="6"/>
  <c r="D41" i="6"/>
  <c r="D99" i="6" s="1"/>
  <c r="Y52" i="1"/>
  <c r="Y81" i="1"/>
  <c r="Y19" i="4" s="1"/>
  <c r="AC158" i="2"/>
  <c r="AB81" i="4"/>
  <c r="AA158" i="2"/>
  <c r="Z81" i="4"/>
  <c r="O91" i="1"/>
  <c r="O26" i="4"/>
  <c r="O29" i="4" s="1"/>
  <c r="R19" i="4"/>
  <c r="Q114" i="1"/>
  <c r="D71" i="6"/>
  <c r="D16" i="6"/>
  <c r="D74" i="6" s="1"/>
  <c r="E84" i="1"/>
  <c r="E54" i="1"/>
  <c r="AB158" i="2"/>
  <c r="AA81" i="4"/>
  <c r="U63" i="1"/>
  <c r="U3" i="4"/>
  <c r="U93" i="1"/>
  <c r="N117" i="1"/>
  <c r="L124" i="1"/>
  <c r="L94" i="1"/>
  <c r="M26" i="4"/>
  <c r="M29" i="4" s="1"/>
  <c r="M91" i="1"/>
  <c r="M94" i="1" s="1"/>
  <c r="P56" i="1"/>
  <c r="P88" i="1" s="1"/>
  <c r="N121" i="1" s="1"/>
  <c r="P86" i="1"/>
  <c r="P24" i="4" s="1"/>
  <c r="F81" i="4"/>
  <c r="G158" i="2"/>
  <c r="D60" i="6"/>
  <c r="D11" i="6"/>
  <c r="I69" i="6"/>
  <c r="I50" i="6"/>
  <c r="I108" i="6" s="1"/>
  <c r="AA81" i="1"/>
  <c r="AA52" i="1"/>
  <c r="T24" i="4"/>
  <c r="R119" i="1"/>
  <c r="S119" i="1"/>
  <c r="D84" i="1"/>
  <c r="D54" i="1"/>
  <c r="K14" i="4"/>
  <c r="K109" i="1"/>
  <c r="S66" i="1"/>
  <c r="S4" i="4" s="1"/>
  <c r="S33" i="1"/>
  <c r="S65" i="1" s="1"/>
  <c r="B34" i="1"/>
  <c r="Y3" i="4"/>
  <c r="Y93" i="1"/>
  <c r="Z65" i="1"/>
  <c r="Z49" i="1"/>
  <c r="Z93" i="1" l="1"/>
  <c r="Z3" i="4"/>
  <c r="Z52" i="1"/>
  <c r="Z81" i="1"/>
  <c r="Z19" i="4" s="1"/>
  <c r="B66" i="1"/>
  <c r="B33" i="1"/>
  <c r="B65" i="1" s="1"/>
  <c r="D117" i="1"/>
  <c r="D22" i="4"/>
  <c r="AA54" i="1"/>
  <c r="AA84" i="1"/>
  <c r="D69" i="6"/>
  <c r="D50" i="6"/>
  <c r="D108" i="6" s="1"/>
  <c r="E86" i="1"/>
  <c r="E56" i="1"/>
  <c r="E88" i="1" s="1"/>
  <c r="O94" i="1"/>
  <c r="Y84" i="1"/>
  <c r="Y22" i="4" s="1"/>
  <c r="Y54" i="1"/>
  <c r="K19" i="4"/>
  <c r="K114" i="1"/>
  <c r="K54" i="1"/>
  <c r="K84" i="1"/>
  <c r="S49" i="1"/>
  <c r="R22" i="4"/>
  <c r="Q117" i="1"/>
  <c r="N119" i="1"/>
  <c r="S3" i="4"/>
  <c r="S93" i="1"/>
  <c r="D86" i="1"/>
  <c r="D56" i="1"/>
  <c r="D88" i="1" s="1"/>
  <c r="U114" i="1"/>
  <c r="AA19" i="4"/>
  <c r="P26" i="4"/>
  <c r="P29" i="4" s="1"/>
  <c r="P91" i="1"/>
  <c r="P94" i="1" s="1"/>
  <c r="E22" i="4"/>
  <c r="E117" i="1"/>
  <c r="B81" i="4"/>
  <c r="C158" i="2"/>
  <c r="S121" i="1"/>
  <c r="T91" i="1"/>
  <c r="T26" i="4"/>
  <c r="T29" i="4" s="1"/>
  <c r="R121" i="1"/>
  <c r="U54" i="1"/>
  <c r="U84" i="1"/>
  <c r="U22" i="4" s="1"/>
  <c r="S52" i="1"/>
  <c r="S84" i="1" s="1"/>
  <c r="S22" i="4" s="1"/>
  <c r="R86" i="1"/>
  <c r="R56" i="1"/>
  <c r="R88" i="1" s="1"/>
  <c r="R26" i="4" l="1"/>
  <c r="R29" i="4" s="1"/>
  <c r="R91" i="1"/>
  <c r="Q121" i="1"/>
  <c r="U56" i="1"/>
  <c r="U86" i="1"/>
  <c r="U24" i="4" s="1"/>
  <c r="D24" i="4"/>
  <c r="D119" i="1"/>
  <c r="S81" i="1"/>
  <c r="S19" i="4" s="1"/>
  <c r="B49" i="1"/>
  <c r="B81" i="1" s="1"/>
  <c r="B52" i="1"/>
  <c r="B84" i="1" s="1"/>
  <c r="Y56" i="1"/>
  <c r="Y88" i="1" s="1"/>
  <c r="Y86" i="1"/>
  <c r="Y24" i="4" s="1"/>
  <c r="N124" i="1"/>
  <c r="E26" i="4"/>
  <c r="E29" i="4" s="1"/>
  <c r="E121" i="1"/>
  <c r="E91" i="1"/>
  <c r="AA22" i="4"/>
  <c r="U117" i="1"/>
  <c r="B98" i="1"/>
  <c r="B3" i="4"/>
  <c r="B93" i="1"/>
  <c r="R24" i="4"/>
  <c r="Q119" i="1"/>
  <c r="S124" i="1"/>
  <c r="T94" i="1"/>
  <c r="R124" i="1"/>
  <c r="D121" i="1"/>
  <c r="D26" i="4"/>
  <c r="D29" i="4" s="1"/>
  <c r="D91" i="1"/>
  <c r="K22" i="4"/>
  <c r="K117" i="1"/>
  <c r="K56" i="1"/>
  <c r="K86" i="1"/>
  <c r="E24" i="4"/>
  <c r="E119" i="1"/>
  <c r="AA56" i="1"/>
  <c r="AA88" i="1" s="1"/>
  <c r="AA86" i="1"/>
  <c r="B4" i="4"/>
  <c r="B99" i="1"/>
  <c r="Z84" i="1"/>
  <c r="Z22" i="4" s="1"/>
  <c r="Z54" i="1"/>
  <c r="Z56" i="1" l="1"/>
  <c r="Z88" i="1" s="1"/>
  <c r="Z86" i="1"/>
  <c r="Z24" i="4" s="1"/>
  <c r="U119" i="1"/>
  <c r="AA24" i="4"/>
  <c r="K24" i="4"/>
  <c r="K119" i="1"/>
  <c r="AA26" i="4"/>
  <c r="AA29" i="4" s="1"/>
  <c r="AA91" i="1"/>
  <c r="U121" i="1"/>
  <c r="K88" i="1"/>
  <c r="D94" i="1"/>
  <c r="D124" i="1"/>
  <c r="Y26" i="4"/>
  <c r="Y29" i="4" s="1"/>
  <c r="Y91" i="1"/>
  <c r="Y94" i="1" s="1"/>
  <c r="B19" i="4"/>
  <c r="B114" i="1"/>
  <c r="S54" i="1"/>
  <c r="U88" i="1"/>
  <c r="S56" i="1"/>
  <c r="S88" i="1" s="1"/>
  <c r="R94" i="1"/>
  <c r="Q124" i="1"/>
  <c r="E94" i="1"/>
  <c r="E124" i="1"/>
  <c r="B22" i="4"/>
  <c r="B117" i="1"/>
  <c r="S26" i="4" l="1"/>
  <c r="S29" i="4" s="1"/>
  <c r="S91" i="1"/>
  <c r="S94" i="1" s="1"/>
  <c r="S86" i="1"/>
  <c r="S24" i="4" s="1"/>
  <c r="B54" i="1"/>
  <c r="B86" i="1" s="1"/>
  <c r="K121" i="1"/>
  <c r="K26" i="4"/>
  <c r="K29" i="4" s="1"/>
  <c r="K91" i="1"/>
  <c r="AA94" i="1"/>
  <c r="U124" i="1"/>
  <c r="U91" i="1"/>
  <c r="U26" i="4"/>
  <c r="U29" i="4" s="1"/>
  <c r="B56" i="1"/>
  <c r="B88" i="1" s="1"/>
  <c r="Z91" i="1"/>
  <c r="Z94" i="1" s="1"/>
  <c r="Z26" i="4"/>
  <c r="Z29" i="4" s="1"/>
  <c r="B26" i="4" l="1"/>
  <c r="B29" i="4" s="1"/>
  <c r="B121" i="1"/>
  <c r="B91" i="1"/>
  <c r="U125" i="1"/>
  <c r="U94" i="1"/>
  <c r="B24" i="4"/>
  <c r="B119" i="1"/>
  <c r="K94" i="1"/>
  <c r="K124" i="1"/>
  <c r="B124" i="1" l="1"/>
  <c r="B94" i="1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  <author xml:space="preserve"> 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:</t>
        </r>
        <r>
          <rPr>
            <sz val="9"/>
            <color indexed="81"/>
            <rFont val="宋体"/>
            <family val="3"/>
            <charset val="134"/>
          </rPr>
          <t xml:space="preserve">
1-4月固定格式，填5-12月发生数，需价税分离</t>
        </r>
      </text>
    </comment>
    <comment ref="I167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90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94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<sst xmlns="http://schemas.openxmlformats.org/spreadsheetml/2006/main" count="2521" uniqueCount="556">
  <si>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</si>
  <si>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</si>
  <si>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</si>
  <si>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</si>
  <si>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</si>
  <si>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</si>
  <si>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</si>
  <si>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资管业务</t>
  </si>
  <si>
    <t>资产管理部</t>
  </si>
  <si>
    <t>权益产品投资部</t>
  </si>
  <si>
    <t>固收产品投资部</t>
  </si>
  <si>
    <t>量化产品投资部</t>
  </si>
  <si>
    <t>深分公司合计</t>
  </si>
  <si>
    <t>固定收益投资部</t>
  </si>
  <si>
    <t>固定收益市场部</t>
  </si>
  <si>
    <t>投顾业务部</t>
  </si>
  <si>
    <t>证券投资部</t>
  </si>
  <si>
    <t>做市业务部</t>
  </si>
  <si>
    <t>金融衍生品投资部</t>
  </si>
  <si>
    <t>深圳管理部</t>
  </si>
  <si>
    <t>投资银行合计</t>
  </si>
  <si>
    <t>投资银行三部</t>
  </si>
  <si>
    <t>投资银行一部</t>
  </si>
  <si>
    <t>投资银行二部</t>
  </si>
  <si>
    <t>投资银行四部</t>
  </si>
  <si>
    <t>投资银行北京一部</t>
  </si>
  <si>
    <t>投资银行北京二部</t>
  </si>
  <si>
    <t>投资银行管理部</t>
  </si>
  <si>
    <t>浙江分公司小计</t>
  </si>
  <si>
    <t>浙分总部</t>
  </si>
  <si>
    <t>综合业务部</t>
  </si>
  <si>
    <t>网络金融部</t>
  </si>
  <si>
    <t>广东分公司</t>
  </si>
  <si>
    <t>运营支持部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</si>
  <si>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</si>
  <si>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</si>
  <si>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</si>
  <si>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</si>
  <si>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</si>
  <si>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</si>
  <si>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</si>
  <si>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</si>
  <si>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</si>
  <si>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</si>
  <si>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</si>
  <si>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</si>
  <si>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</si>
  <si>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</si>
  <si>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</si>
  <si>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</si>
  <si>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</si>
  <si>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</si>
  <si>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</si>
  <si>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</si>
  <si>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</si>
  <si>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</si>
  <si>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</si>
  <si>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</si>
  <si>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</si>
  <si>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</si>
  <si>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</si>
  <si>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日均规模</t>
  </si>
  <si>
    <t>日均规模（万元）</t>
  </si>
  <si>
    <t>考核利润表</t>
  </si>
  <si>
    <t>调整后</t>
  </si>
  <si>
    <t>部门考核利润</t>
  </si>
  <si>
    <t>营业收入</t>
  </si>
  <si>
    <t>固定收益部</t>
  </si>
  <si>
    <t>风险管理部</t>
  </si>
  <si>
    <t>中小企业融资部</t>
  </si>
  <si>
    <t>债券融资部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</si>
  <si>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</si>
  <si>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</si>
  <si>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</si>
  <si>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</si>
  <si>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</si>
  <si>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</si>
  <si>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</si>
  <si>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</si>
  <si>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</si>
  <si>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</si>
  <si>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</si>
  <si>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</si>
  <si>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</si>
  <si>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</si>
  <si>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</si>
  <si>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</si>
  <si>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</si>
  <si>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</si>
  <si>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</si>
  <si>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</si>
  <si>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</si>
  <si>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</si>
  <si>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</si>
  <si>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</si>
  <si>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</si>
  <si>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</si>
  <si>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</si>
  <si>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</si>
  <si>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</si>
  <si>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</si>
  <si>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</si>
  <si>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</si>
  <si>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</si>
  <si>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</si>
  <si>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</si>
  <si>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</si>
  <si>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</si>
  <si>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</si>
  <si>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</si>
  <si>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</si>
  <si>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</si>
  <si>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</si>
  <si>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</si>
  <si>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</si>
  <si>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</si>
  <si>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</si>
  <si>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</si>
  <si>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</si>
  <si>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</si>
  <si>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</si>
  <si>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</si>
  <si>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</si>
  <si>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</si>
  <si>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</si>
  <si>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</si>
  <si>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</si>
  <si>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</si>
  <si>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</si>
  <si>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</si>
  <si>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</si>
  <si>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</si>
  <si>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</si>
  <si>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</si>
  <si>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</si>
  <si>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</si>
  <si>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</si>
  <si>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</si>
  <si>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</si>
  <si>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</si>
  <si>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</si>
  <si>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</si>
  <si>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</si>
  <si>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</si>
  <si>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</si>
  <si>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</si>
  <si>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</si>
  <si>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</si>
  <si>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</si>
  <si>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</si>
  <si>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</si>
  <si>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</si>
  <si>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</si>
  <si>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</si>
  <si>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</si>
  <si>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3</t>
  </si>
  <si>
    <t>固收期货</t>
  </si>
  <si>
    <t>通道占用</t>
  </si>
  <si>
    <t>4</t>
  </si>
  <si>
    <t>金衍期货</t>
  </si>
  <si>
    <t>5</t>
  </si>
  <si>
    <t>6</t>
  </si>
  <si>
    <t>固收2921账户基金投资收益</t>
  </si>
  <si>
    <t>7</t>
  </si>
  <si>
    <t>固收2921账户基金浮动盈亏</t>
  </si>
  <si>
    <t>8</t>
  </si>
  <si>
    <t>9</t>
  </si>
  <si>
    <t>已开专票尚未到账预提收入</t>
  </si>
  <si>
    <t>10</t>
  </si>
  <si>
    <t>11</t>
  </si>
  <si>
    <t>12</t>
  </si>
  <si>
    <t>资金运营部委托现金管理收入</t>
  </si>
  <si>
    <t>13</t>
  </si>
  <si>
    <t>固收代持撮合、申购户浮动盈亏调出（不含150218、160303）</t>
  </si>
  <si>
    <t>14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</si>
  <si>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</si>
  <si>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</si>
  <si>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</si>
  <si>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</si>
  <si>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</si>
  <si>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</si>
  <si>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</si>
  <si>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</si>
  <si>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</si>
  <si>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20</t>
  </si>
  <si>
    <t>固收代资金运营部购买基金收入</t>
  </si>
  <si>
    <t>21</t>
  </si>
  <si>
    <t>22</t>
  </si>
  <si>
    <t>月多利5号利息支出</t>
  </si>
  <si>
    <t>23</t>
  </si>
  <si>
    <t>24</t>
  </si>
  <si>
    <t>25</t>
  </si>
  <si>
    <t>珠江6号收入划至曙光营业部</t>
  </si>
  <si>
    <t>BGS0108-20160470.管理费50%、交易费50%、业绩报酬90%归资管，其余归曙光路营业部</t>
  </si>
  <si>
    <t>26</t>
  </si>
  <si>
    <t>三诺生物1号交易费转长沙八一</t>
  </si>
  <si>
    <t>BGS0108-20170248.管理费归资管，交易费归长沙八一营业部</t>
  </si>
  <si>
    <t>27</t>
  </si>
  <si>
    <t>融盈2号业绩报酬调至投资收益</t>
  </si>
  <si>
    <t>28</t>
  </si>
  <si>
    <t>29</t>
  </si>
  <si>
    <t>30</t>
  </si>
  <si>
    <t>31</t>
  </si>
  <si>
    <t>做市业务部推荐做市分成收入（快乐传媒）</t>
  </si>
  <si>
    <t>32</t>
  </si>
  <si>
    <t>33</t>
  </si>
  <si>
    <t>34</t>
  </si>
  <si>
    <t xml:space="preserve"> 投顾业务部期初分账产品公允价值（年初固定调整） </t>
  </si>
  <si>
    <t>35</t>
  </si>
  <si>
    <t>珠江8号收入划投顾部</t>
  </si>
  <si>
    <t>36</t>
  </si>
  <si>
    <t>37</t>
  </si>
  <si>
    <t>珠江10号收入划投顾部</t>
  </si>
  <si>
    <t>38</t>
  </si>
  <si>
    <t>39</t>
  </si>
  <si>
    <t>40</t>
  </si>
  <si>
    <t>运通70号收入划浙分综合业务部</t>
  </si>
  <si>
    <t>BGS0108-20171046，资管每年8万，其余为浙分</t>
  </si>
  <si>
    <t>41</t>
  </si>
  <si>
    <t>运通20号收入划红桂营业部</t>
  </si>
  <si>
    <t>BGS0108-20161346.收入10%归资管，90%归红桂营业部</t>
  </si>
  <si>
    <t>42</t>
  </si>
  <si>
    <t>浦发长春1号收入划长春营业部</t>
  </si>
  <si>
    <t>BGS0108-20170567.前5年资管每季2万，其余为长春营业部</t>
  </si>
  <si>
    <t>43</t>
  </si>
  <si>
    <t>运通22号收入划青岛营业部</t>
  </si>
  <si>
    <t>BGS0108-20170399.资管总共收10万，其余为青岛营业部</t>
  </si>
  <si>
    <t>44</t>
  </si>
  <si>
    <t>45</t>
  </si>
  <si>
    <t>46</t>
  </si>
  <si>
    <t>47</t>
  </si>
  <si>
    <t xml:space="preserve"> 量化委托证投自营投资收益</t>
  </si>
  <si>
    <t>48</t>
  </si>
  <si>
    <t xml:space="preserve"> 量化委托证投自营公允价值变动损益</t>
  </si>
  <si>
    <t>49</t>
  </si>
  <si>
    <t xml:space="preserve"> 量化委托证投自营利息收入</t>
  </si>
  <si>
    <t>50</t>
  </si>
  <si>
    <t xml:space="preserve"> 量化委托证投手续费及佣金收入</t>
  </si>
  <si>
    <t>51</t>
  </si>
  <si>
    <t>52</t>
  </si>
  <si>
    <t>53</t>
  </si>
  <si>
    <t>54</t>
  </si>
  <si>
    <t>55</t>
  </si>
  <si>
    <t>财兴2号第60期管理费收入划永州营业部</t>
  </si>
  <si>
    <t>BGS0108-20170780.资管53%，永州47%</t>
  </si>
  <si>
    <t>56</t>
  </si>
  <si>
    <t>点米1号退还管理费资管和南京各承担一半</t>
  </si>
  <si>
    <t>BGS0108-20171089，退还管理费资管和南京营业部各承担一半</t>
  </si>
  <si>
    <t>宝辰投资投顾费(手签）</t>
  </si>
  <si>
    <t>58</t>
  </si>
  <si>
    <t>三、营业税调整项</t>
  </si>
  <si>
    <t>57</t>
  </si>
  <si>
    <t>房屋印花税</t>
  </si>
  <si>
    <t>四、费用调整项</t>
  </si>
  <si>
    <t>调至惠和</t>
  </si>
  <si>
    <t>运通22号咨询费划青岛营业部</t>
  </si>
  <si>
    <t>BGS0108-20170399.对应收入和费用归青岛营业部</t>
  </si>
  <si>
    <t>总部大宗采购分摊费用转出</t>
  </si>
  <si>
    <t>纸质签字</t>
  </si>
  <si>
    <t>折旧费分摊</t>
  </si>
  <si>
    <t>渠道引流业务广告费调出（2016年应付未付，已考核入2016费用）</t>
  </si>
  <si>
    <t>深分代垫水电费</t>
  </si>
  <si>
    <t>深分代垫惠和物业管理费、租金</t>
  </si>
  <si>
    <t>深分代垫福田营业部租金及管理费（橄榄大厦、地铁大厦）</t>
  </si>
  <si>
    <t>59</t>
  </si>
  <si>
    <t>运营管理部代付经总部费用</t>
  </si>
  <si>
    <t>60</t>
  </si>
  <si>
    <t>61</t>
  </si>
  <si>
    <t>总部营业部代付运营管理部呼叫中心管理费用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</si>
  <si>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</si>
  <si>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</si>
  <si>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</si>
  <si>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</si>
  <si>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</si>
  <si>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</si>
  <si>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</si>
  <si>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</si>
  <si>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>资产管理浮动收益</t>
  </si>
  <si>
    <t>产品浮动盈亏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</si>
  <si>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</si>
  <si>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</si>
  <si>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</si>
  <si>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</si>
  <si>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</si>
  <si>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</si>
  <si>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</si>
  <si>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</si>
  <si>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</si>
  <si>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</si>
  <si>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</si>
  <si>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</si>
  <si>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</si>
  <si>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</si>
  <si>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</si>
  <si>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</si>
  <si>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</si>
  <si>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</si>
  <si>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</si>
  <si>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</si>
  <si>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</si>
  <si>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</si>
  <si>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</si>
  <si>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</si>
  <si>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</si>
  <si>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</si>
  <si>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</si>
  <si>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</si>
  <si>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</si>
  <si>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</si>
  <si>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</si>
  <si>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</si>
  <si>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</si>
  <si>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</si>
  <si>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</si>
  <si>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</si>
  <si>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</si>
  <si>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</si>
  <si>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</si>
  <si>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</si>
  <si>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</si>
  <si>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</si>
  <si>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</si>
  <si>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</si>
  <si>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</si>
  <si>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</si>
  <si>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</si>
  <si>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</si>
  <si>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</si>
  <si>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</si>
  <si>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</si>
  <si>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</si>
  <si>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</si>
  <si>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</si>
  <si>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</si>
  <si>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</si>
  <si>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</si>
  <si>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</si>
  <si>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</si>
  <si>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</si>
  <si>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</si>
  <si>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</si>
  <si>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</si>
  <si>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</si>
  <si>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</si>
  <si>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</si>
  <si>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</si>
  <si>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</si>
  <si>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</si>
  <si>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</si>
  <si>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</si>
  <si>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</si>
  <si>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</si>
  <si>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</si>
  <si>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</si>
  <si>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</si>
  <si>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</si>
  <si>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</si>
  <si>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</si>
  <si>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</si>
  <si>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</si>
  <si>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</si>
  <si>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</si>
  <si>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</si>
  <si>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</si>
  <si>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</si>
  <si>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</si>
  <si>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</si>
  <si>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</si>
  <si>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</si>
  <si>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</si>
  <si>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</si>
  <si>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</si>
  <si>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</si>
  <si>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</si>
  <si>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</si>
  <si>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</si>
  <si>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</si>
  <si>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</si>
  <si>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</si>
  <si>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</si>
  <si>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</si>
  <si>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</si>
  <si>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</si>
  <si>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</si>
  <si>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</si>
  <si>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</si>
  <si>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</si>
  <si>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</si>
  <si>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</si>
  <si>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</si>
  <si>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</si>
  <si>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</si>
  <si>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</si>
  <si>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</si>
  <si>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</si>
  <si>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</si>
  <si>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</si>
  <si>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</si>
  <si>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</si>
  <si>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</si>
  <si>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</si>
  <si>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</si>
  <si>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</si>
  <si>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</si>
  <si>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</si>
  <si>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</si>
  <si>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</si>
  <si>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</si>
  <si>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</si>
  <si>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</si>
  <si>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</si>
  <si>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</si>
  <si>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金融工程部</t>
  </si>
  <si>
    <t>金融衍生品部</t>
  </si>
  <si>
    <t>投资银行管理总部</t>
  </si>
  <si>
    <t>股权融资部</t>
  </si>
  <si>
    <t>浙江管理总部</t>
  </si>
  <si>
    <t>经纪业务总部</t>
  </si>
  <si>
    <t>零售业务部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</si>
  <si>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</si>
  <si>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</si>
  <si>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</si>
  <si>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</si>
  <si>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</si>
  <si>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</si>
  <si>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</si>
  <si>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</si>
  <si>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</si>
  <si>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</si>
  <si>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</si>
  <si>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</si>
  <si>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</si>
  <si>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</si>
  <si>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</si>
  <si>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</si>
  <si>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</si>
  <si>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</si>
  <si>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</si>
  <si>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</si>
  <si>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</si>
  <si>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</si>
  <si>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</si>
  <si>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</si>
  <si>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</si>
  <si>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</si>
  <si>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</si>
  <si>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</si>
  <si>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</si>
  <si>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</si>
  <si>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</si>
  <si>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</si>
  <si>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</si>
  <si>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</si>
  <si>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</si>
  <si>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</si>
  <si>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</si>
  <si>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</si>
  <si>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</si>
  <si>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</si>
  <si>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</si>
  <si>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</si>
  <si>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</si>
  <si>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</si>
  <si>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</si>
  <si>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</si>
  <si>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</si>
  <si>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</si>
  <si>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</si>
  <si>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</si>
  <si>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</si>
  <si>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</si>
  <si>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</si>
  <si>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</si>
  <si>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</si>
  <si>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</si>
  <si>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</si>
  <si>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</si>
  <si>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</si>
  <si>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</si>
  <si>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</si>
  <si>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</si>
  <si>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</si>
  <si>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</si>
  <si>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</si>
  <si>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t>投资银行总部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</si>
  <si>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</si>
  <si>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运营管理部</t>
    <phoneticPr fontId="34" type="noConversion"/>
  </si>
  <si>
    <t>投资银行管理部</t>
    <phoneticPr fontId="34" type="noConversion"/>
  </si>
  <si>
    <t>2017年1-9月费用调整表</t>
    <phoneticPr fontId="34" type="noConversion"/>
  </si>
  <si>
    <t>2017年1-9月</t>
    <phoneticPr fontId="34" type="noConversion"/>
  </si>
  <si>
    <t>金融衍生品部</t>
    <phoneticPr fontId="34" type="noConversion"/>
  </si>
  <si>
    <t>量化期货</t>
    <phoneticPr fontId="34" type="noConversion"/>
  </si>
  <si>
    <t>大宗采购分摊</t>
    <phoneticPr fontId="34" type="noConversion"/>
  </si>
  <si>
    <t>总部大宗采购分摊费用</t>
    <phoneticPr fontId="34" type="noConversion"/>
  </si>
  <si>
    <t>资管调和金量化产品、财富1号2号销售服务费入营业部收入（收入双计）</t>
    <phoneticPr fontId="34" type="noConversion"/>
  </si>
  <si>
    <t>累计IB分成利润</t>
    <phoneticPr fontId="34" type="noConversion"/>
  </si>
  <si>
    <t>1-9月投行协同收入调整（双计）</t>
    <phoneticPr fontId="34" type="noConversion"/>
  </si>
  <si>
    <t>总部代零售采购固定资产一批入营销活动费(纸质签字）</t>
    <phoneticPr fontId="34" type="noConversion"/>
  </si>
  <si>
    <t>运营管理部</t>
  </si>
  <si>
    <t>运营管理部</t>
    <phoneticPr fontId="34" type="noConversion"/>
  </si>
  <si>
    <t>总部大宗采购分摊费用转出</t>
    <phoneticPr fontId="34" type="noConversion"/>
  </si>
  <si>
    <t>大宗采购费用</t>
    <phoneticPr fontId="34" type="noConversion"/>
  </si>
  <si>
    <t>投资银行深圳一部（筹）</t>
  </si>
  <si>
    <t>投资银行深圳一部（筹）</t>
    <phoneticPr fontId="34" type="noConversion"/>
  </si>
  <si>
    <t>投资银行深圳一部（筹）</t>
    <phoneticPr fontId="34" type="noConversion"/>
  </si>
  <si>
    <t>投资银行深圳一部（筹）</t>
    <phoneticPr fontId="34" type="noConversion"/>
  </si>
  <si>
    <t>深圳团队费用</t>
    <phoneticPr fontId="34" type="noConversion"/>
  </si>
  <si>
    <t>深圳团队费用</t>
  </si>
  <si>
    <t>证券投资部</t>
    <phoneticPr fontId="34" type="noConversion"/>
  </si>
  <si>
    <t>往年分销费收回及冲计提2016收入</t>
    <phoneticPr fontId="34" type="noConversion"/>
  </si>
  <si>
    <t>总部大宗采购分摊费用</t>
    <phoneticPr fontId="34" type="noConversion"/>
  </si>
  <si>
    <t>珠江16号收入划投顾部</t>
    <phoneticPr fontId="34" type="noConversion"/>
  </si>
  <si>
    <t>惠丰稳健22号收入50%给投顾部</t>
    <phoneticPr fontId="34" type="noConversion"/>
  </si>
  <si>
    <t>月多利1-6号利息支出,财丰金系列</t>
    <phoneticPr fontId="34" type="noConversion"/>
  </si>
  <si>
    <t>专家咨询费</t>
    <phoneticPr fontId="34" type="noConversion"/>
  </si>
  <si>
    <t>和金量化7号销售费用划营业部（见签字件）</t>
    <phoneticPr fontId="34" type="noConversion"/>
  </si>
  <si>
    <t>和金量化1号销售费用划营业部（见签字件）</t>
    <phoneticPr fontId="34" type="noConversion"/>
  </si>
  <si>
    <t>和金量化10号销售费用划营业部（见签字件及流程BGS0108-20171254）</t>
    <phoneticPr fontId="34" type="noConversion"/>
  </si>
  <si>
    <t>珠池12号销售费用划营业部（见流程BGS0108-20171159）</t>
    <phoneticPr fontId="34" type="noConversion"/>
  </si>
  <si>
    <t>专家费用</t>
    <phoneticPr fontId="34" type="noConversion"/>
  </si>
  <si>
    <t>专家费用</t>
    <phoneticPr fontId="34" type="noConversion"/>
  </si>
  <si>
    <t>总部大宗采购分摊费用</t>
    <phoneticPr fontId="34" type="noConversion"/>
  </si>
  <si>
    <t>深圳红桂路营业部于2017年4月、5月共计收到兴业全球基金佣金</t>
    <phoneticPr fontId="33" type="noConversion"/>
  </si>
  <si>
    <t>新三板挂牌，浙江分公司承做</t>
    <phoneticPr fontId="34" type="noConversion"/>
  </si>
  <si>
    <t>IB为税后，无税金</t>
    <phoneticPr fontId="34" type="noConversion"/>
  </si>
  <si>
    <t>咨讯费</t>
    <phoneticPr fontId="34" type="noConversion"/>
  </si>
  <si>
    <t>业务招待费</t>
    <phoneticPr fontId="34" type="noConversion"/>
  </si>
  <si>
    <t>经纪业务部</t>
    <phoneticPr fontId="34" type="noConversion"/>
  </si>
  <si>
    <t>营销费双计收入，不考虑税金</t>
    <phoneticPr fontId="34" type="noConversion"/>
  </si>
  <si>
    <t>不考虑税费，已扣除</t>
    <phoneticPr fontId="34" type="noConversion"/>
  </si>
  <si>
    <t>不考虑税费，已扣除</t>
    <phoneticPr fontId="34" type="noConversion"/>
  </si>
  <si>
    <t>补提2016年新三板项目承揽费按比例从中小融调出（100%）</t>
  </si>
  <si>
    <t xml:space="preserve">   2.营业税金及附加</t>
  </si>
  <si>
    <t xml:space="preserve">   3.业务及管理费</t>
  </si>
  <si>
    <t xml:space="preserve"> 慧丰稳健22号</t>
    <phoneticPr fontId="34" type="noConversion"/>
  </si>
  <si>
    <t>桑植农商行投顾费营业部与投顾50%</t>
    <phoneticPr fontId="34" type="noConversion"/>
  </si>
  <si>
    <t>运通16号收入每年56万（含税），第一年给资管18万，后两年全给投行一部</t>
    <phoneticPr fontId="34" type="noConversion"/>
  </si>
  <si>
    <t>62</t>
  </si>
  <si>
    <t>和畅量化1号销售费用划营业部（见签字件）</t>
    <phoneticPr fontId="34" type="noConversion"/>
  </si>
  <si>
    <t>财富3号销售费用划营业部（见签字件）</t>
    <phoneticPr fontId="34" type="noConversion"/>
  </si>
  <si>
    <t>财富1号2-10期销售费用划营业部（见签字件）</t>
    <phoneticPr fontId="34" type="noConversion"/>
  </si>
  <si>
    <t>财富2号销售费用划营业部（见签字件）</t>
    <phoneticPr fontId="34" type="noConversion"/>
  </si>
  <si>
    <t>R-014协议回购产品首期录入错误</t>
    <phoneticPr fontId="34" type="noConversion"/>
  </si>
  <si>
    <t>承做费从业务部门调到总部</t>
    <phoneticPr fontId="34" type="noConversion"/>
  </si>
  <si>
    <t>部门费用分摊</t>
    <phoneticPr fontId="34" type="noConversion"/>
  </si>
  <si>
    <t>保代津贴从投行二部调入投行管理部</t>
    <phoneticPr fontId="34" type="noConversion"/>
  </si>
  <si>
    <t>债券受托管理费调整至业务部门</t>
    <phoneticPr fontId="34" type="noConversion"/>
  </si>
  <si>
    <t>2017年1-10月利润调整表</t>
    <phoneticPr fontId="34" type="noConversion"/>
  </si>
  <si>
    <t>场外期权费</t>
    <phoneticPr fontId="34" type="noConversion"/>
  </si>
  <si>
    <t>和金量化11号销售费用（先考核一个季度的费用，见签字件）</t>
    <phoneticPr fontId="34" type="noConversion"/>
  </si>
  <si>
    <t>财富1号3-11期陆金所、京东销售费用</t>
    <phoneticPr fontId="34" type="noConversion"/>
  </si>
  <si>
    <t>华润睿致投顾给来50%</t>
  </si>
  <si>
    <t>融券浮动收益</t>
    <phoneticPr fontId="34" type="noConversion"/>
  </si>
  <si>
    <t>省政府专项债收入调至经纪业务线（BGS0108-20171281）</t>
    <phoneticPr fontId="34" type="noConversion"/>
  </si>
  <si>
    <t>省政府专项债收入调至经纪业务线（BGS0108-20171281）增加8万收入和7.1万费用</t>
    <phoneticPr fontId="34" type="noConversion"/>
  </si>
  <si>
    <t>全年预计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</si>
</sst>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0.00_ "/>
    <numFmt numFmtId="178" formatCode="0_ "/>
    <numFmt numFmtId="179" formatCode="_ * #,##0.0000_ ;_ * \-#,##0.0000_ ;_ * &quot;-&quot;_ ;_ @_ "/>
    <numFmt numFmtId="180" formatCode="0_);[Red]\(0\)"/>
    <numFmt numFmtId="181" formatCode="_-* #,##0.00_-;\-* #,##0.00_-;_-* &quot;-&quot;??_-;_-@_-"/>
    <numFmt numFmtId="182" formatCode="#,##0.00_ "/>
    <numFmt numFmtId="183" formatCode="0.00_);[Red]\(0.00\)"/>
    <numFmt numFmtId="184" formatCode="_-* #,##0.0_-;\-* #,##0.0_-;_-* &quot;-&quot;??_-;_-@_-"/>
    <numFmt numFmtId="185" formatCode="0.0%"/>
  </numFmts>
  <fonts count="38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C00000"/>
      <name val="Times New Roman"/>
      <family val="1"/>
    </font>
    <font>
      <sz val="12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4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name val="仿宋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89013336588644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7985778374584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8168889431442"/>
        <bgColor rgb="FF000000"/>
      </patternFill>
    </fill>
  </fills>
  <borders count="39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/>
      <right style="dotted">
        <color rgb="FF0000FF"/>
      </right>
      <top style="dotted">
        <color rgb="FF0000FF"/>
      </top>
      <bottom style="medium">
        <color rgb="FF0000FF"/>
      </bottom>
      <diagonal/>
    </border>
  </borders>
  <cellStyleXfs count="4">
    <xf numFmtId="0" fontId="0" fillId="0" borderId="0">
      <alignment vertical="center"/>
    </xf>
    <xf numFmtId="18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/>
  </cellStyleXfs>
  <cellXfs count="284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8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>
      <alignment horizontal="left" vertical="center"/>
    </xf>
    <xf numFmtId="41" fontId="7" fillId="2" borderId="8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 applyProtection="1">
      <alignment horizontal="left" vertical="center"/>
    </xf>
    <xf numFmtId="41" fontId="8" fillId="2" borderId="1" xfId="3" applyNumberFormat="1" applyFont="1" applyFill="1" applyBorder="1" applyAlignment="1">
      <alignment horizontal="center" vertical="center"/>
    </xf>
    <xf numFmtId="41" fontId="8" fillId="2" borderId="2" xfId="3" applyNumberFormat="1" applyFont="1" applyFill="1" applyBorder="1" applyAlignment="1">
      <alignment horizontal="center" vertical="center"/>
    </xf>
    <xf numFmtId="178" fontId="8" fillId="2" borderId="1" xfId="3" applyNumberFormat="1" applyFont="1" applyFill="1" applyBorder="1" applyAlignment="1" applyProtection="1">
      <alignment horizontal="center" vertical="center"/>
      <protection locked="0"/>
    </xf>
    <xf numFmtId="58" fontId="9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8" fontId="3" fillId="4" borderId="1" xfId="3" applyNumberFormat="1" applyFont="1" applyFill="1" applyBorder="1" applyAlignment="1" applyProtection="1">
      <alignment horizontal="center" vertical="center"/>
      <protection locked="0"/>
    </xf>
    <xf numFmtId="178" fontId="8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7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8" fontId="10" fillId="5" borderId="0" xfId="0" applyNumberFormat="1" applyFont="1" applyFill="1" applyAlignment="1" applyProtection="1">
      <alignment horizontal="center" vertical="center"/>
      <protection locked="0"/>
    </xf>
    <xf numFmtId="178" fontId="6" fillId="6" borderId="4" xfId="2" applyNumberFormat="1" applyFont="1" applyFill="1" applyBorder="1" applyAlignment="1" applyProtection="1">
      <alignment horizontal="center" wrapText="1"/>
      <protection hidden="1"/>
    </xf>
    <xf numFmtId="178" fontId="11" fillId="3" borderId="12" xfId="0" applyNumberFormat="1" applyFont="1" applyFill="1" applyBorder="1" applyAlignment="1" applyProtection="1">
      <alignment horizontal="center"/>
      <protection hidden="1"/>
    </xf>
    <xf numFmtId="178" fontId="5" fillId="3" borderId="12" xfId="0" applyNumberFormat="1" applyFont="1" applyFill="1" applyBorder="1" applyAlignment="1" applyProtection="1">
      <alignment horizontal="center"/>
      <protection hidden="1"/>
    </xf>
    <xf numFmtId="178" fontId="12" fillId="0" borderId="13" xfId="0" applyNumberFormat="1" applyFont="1" applyBorder="1" applyAlignment="1" applyProtection="1">
      <alignment horizontal="center" vertical="center"/>
      <protection hidden="1"/>
    </xf>
    <xf numFmtId="178" fontId="13" fillId="6" borderId="12" xfId="0" applyNumberFormat="1" applyFont="1" applyFill="1" applyBorder="1" applyAlignment="1" applyProtection="1">
      <alignment horizontal="center"/>
      <protection hidden="1"/>
    </xf>
    <xf numFmtId="178" fontId="14" fillId="6" borderId="12" xfId="0" applyNumberFormat="1" applyFont="1" applyFill="1" applyBorder="1" applyAlignment="1" applyProtection="1">
      <alignment horizontal="center"/>
      <protection hidden="1"/>
    </xf>
    <xf numFmtId="178" fontId="13" fillId="7" borderId="3" xfId="0" applyNumberFormat="1" applyFont="1" applyFill="1" applyBorder="1" applyAlignment="1" applyProtection="1">
      <alignment horizontal="center"/>
      <protection hidden="1"/>
    </xf>
    <xf numFmtId="178" fontId="14" fillId="7" borderId="3" xfId="0" applyNumberFormat="1" applyFont="1" applyFill="1" applyBorder="1" applyAlignment="1" applyProtection="1">
      <alignment horizontal="center"/>
      <protection hidden="1"/>
    </xf>
    <xf numFmtId="178" fontId="13" fillId="2" borderId="14" xfId="0" applyNumberFormat="1" applyFont="1" applyFill="1" applyBorder="1" applyAlignment="1" applyProtection="1">
      <alignment horizontal="center"/>
      <protection hidden="1"/>
    </xf>
    <xf numFmtId="178" fontId="14" fillId="2" borderId="14" xfId="0" applyNumberFormat="1" applyFont="1" applyFill="1" applyBorder="1" applyAlignment="1" applyProtection="1">
      <alignment horizontal="center"/>
      <protection hidden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Font="1" applyAlignment="1" applyProtection="1">
      <alignment horizontal="center" vertical="center"/>
      <protection locked="0"/>
    </xf>
    <xf numFmtId="178" fontId="13" fillId="6" borderId="12" xfId="0" applyNumberFormat="1" applyFont="1" applyFill="1" applyBorder="1" applyAlignment="1" applyProtection="1">
      <alignment horizontal="center"/>
      <protection locked="0"/>
    </xf>
    <xf numFmtId="178" fontId="14" fillId="6" borderId="12" xfId="0" applyNumberFormat="1" applyFont="1" applyFill="1" applyBorder="1" applyAlignment="1" applyProtection="1">
      <alignment horizontal="center"/>
      <protection locked="0"/>
    </xf>
    <xf numFmtId="178" fontId="13" fillId="2" borderId="14" xfId="0" applyNumberFormat="1" applyFont="1" applyFill="1" applyBorder="1" applyAlignment="1" applyProtection="1">
      <alignment horizontal="center"/>
      <protection locked="0"/>
    </xf>
    <xf numFmtId="178" fontId="14" fillId="2" borderId="14" xfId="0" applyNumberFormat="1" applyFont="1" applyFill="1" applyBorder="1" applyAlignment="1" applyProtection="1">
      <alignment horizontal="center"/>
      <protection locked="0"/>
    </xf>
    <xf numFmtId="41" fontId="15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3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82" fontId="12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5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16" fillId="7" borderId="0" xfId="0" applyFont="1" applyFill="1" applyProtection="1">
      <alignment vertical="center"/>
      <protection locked="0"/>
    </xf>
    <xf numFmtId="49" fontId="16" fillId="0" borderId="0" xfId="0" applyNumberFormat="1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49" fontId="16" fillId="7" borderId="0" xfId="0" applyNumberFormat="1" applyFont="1" applyFill="1" applyAlignme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20" fillId="7" borderId="0" xfId="0" applyNumberFormat="1" applyFont="1" applyFill="1" applyAlignment="1" applyProtection="1">
      <alignment vertical="center"/>
      <protection locked="0"/>
    </xf>
    <xf numFmtId="49" fontId="21" fillId="7" borderId="0" xfId="0" applyNumberFormat="1" applyFont="1" applyFill="1" applyAlignment="1" applyProtection="1">
      <alignment vertical="center"/>
      <protection locked="0"/>
    </xf>
    <xf numFmtId="49" fontId="16" fillId="7" borderId="0" xfId="0" applyNumberFormat="1" applyFont="1" applyFill="1" applyProtection="1">
      <alignment vertical="center"/>
      <protection locked="0"/>
    </xf>
    <xf numFmtId="49" fontId="18" fillId="7" borderId="0" xfId="0" applyNumberFormat="1" applyFont="1" applyFill="1" applyProtection="1">
      <alignment vertical="center"/>
      <protection locked="0"/>
    </xf>
    <xf numFmtId="43" fontId="16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2" borderId="25" xfId="3" applyNumberFormat="1" applyFont="1" applyFill="1" applyBorder="1" applyAlignment="1" applyProtection="1">
      <alignment horizontal="center" vertical="center"/>
      <protection locked="0"/>
    </xf>
    <xf numFmtId="9" fontId="16" fillId="6" borderId="4" xfId="2" applyFont="1" applyFill="1" applyBorder="1" applyAlignment="1" applyProtection="1">
      <alignment horizontal="left" wrapText="1"/>
      <protection locked="0"/>
    </xf>
    <xf numFmtId="180" fontId="18" fillId="6" borderId="4" xfId="2" applyNumberFormat="1" applyFont="1" applyFill="1" applyBorder="1" applyAlignment="1" applyProtection="1">
      <alignment horizontal="left" wrapText="1"/>
      <protection locked="0"/>
    </xf>
    <xf numFmtId="180" fontId="16" fillId="6" borderId="4" xfId="2" applyNumberFormat="1" applyFont="1" applyFill="1" applyBorder="1" applyAlignment="1" applyProtection="1">
      <alignment horizontal="left" wrapText="1"/>
      <protection locked="0"/>
    </xf>
    <xf numFmtId="180" fontId="16" fillId="6" borderId="9" xfId="2" applyNumberFormat="1" applyFont="1" applyFill="1" applyBorder="1" applyAlignment="1" applyProtection="1">
      <alignment horizontal="left" wrapText="1"/>
      <protection locked="0"/>
    </xf>
    <xf numFmtId="181" fontId="18" fillId="6" borderId="4" xfId="2" applyNumberFormat="1" applyFont="1" applyFill="1" applyBorder="1" applyAlignment="1" applyProtection="1">
      <alignment horizontal="left" wrapText="1"/>
      <protection locked="0"/>
    </xf>
    <xf numFmtId="181" fontId="16" fillId="6" borderId="4" xfId="2" applyNumberFormat="1" applyFont="1" applyFill="1" applyBorder="1" applyAlignment="1" applyProtection="1">
      <alignment horizontal="left" wrapText="1"/>
      <protection locked="0"/>
    </xf>
    <xf numFmtId="49" fontId="16" fillId="7" borderId="4" xfId="1" applyNumberFormat="1" applyFont="1" applyFill="1" applyBorder="1" applyAlignment="1" applyProtection="1">
      <protection locked="0"/>
    </xf>
    <xf numFmtId="181" fontId="16" fillId="7" borderId="4" xfId="1" applyNumberFormat="1" applyFont="1" applyFill="1" applyBorder="1" applyAlignment="1" applyProtection="1">
      <protection locked="0"/>
    </xf>
    <xf numFmtId="181" fontId="18" fillId="11" borderId="27" xfId="0" applyNumberFormat="1" applyFont="1" applyFill="1" applyBorder="1" applyAlignment="1" applyProtection="1">
      <protection locked="0"/>
    </xf>
    <xf numFmtId="183" fontId="16" fillId="7" borderId="0" xfId="0" applyNumberFormat="1" applyFont="1" applyFill="1" applyAlignment="1" applyProtection="1">
      <alignment vertical="center"/>
      <protection locked="0"/>
    </xf>
    <xf numFmtId="181" fontId="18" fillId="10" borderId="4" xfId="1" applyNumberFormat="1" applyFont="1" applyFill="1" applyBorder="1" applyAlignment="1" applyProtection="1">
      <protection locked="0"/>
    </xf>
    <xf numFmtId="181" fontId="16" fillId="7" borderId="4" xfId="1" applyNumberFormat="1" applyFont="1" applyFill="1" applyBorder="1" applyAlignment="1" applyProtection="1"/>
    <xf numFmtId="181" fontId="16" fillId="7" borderId="9" xfId="1" applyNumberFormat="1" applyFont="1" applyFill="1" applyBorder="1" applyAlignment="1" applyProtection="1">
      <protection locked="0"/>
    </xf>
    <xf numFmtId="181" fontId="16" fillId="5" borderId="4" xfId="1" applyNumberFormat="1" applyFont="1" applyFill="1" applyBorder="1" applyAlignment="1" applyProtection="1">
      <protection locked="0"/>
    </xf>
    <xf numFmtId="177" fontId="18" fillId="7" borderId="4" xfId="1" applyNumberFormat="1" applyFont="1" applyFill="1" applyBorder="1" applyAlignment="1" applyProtection="1">
      <protection locked="0"/>
    </xf>
    <xf numFmtId="0" fontId="16" fillId="0" borderId="4" xfId="0" applyFont="1" applyBorder="1" applyProtection="1">
      <alignment vertical="center"/>
      <protection locked="0"/>
    </xf>
    <xf numFmtId="0" fontId="16" fillId="0" borderId="9" xfId="0" applyFont="1" applyBorder="1" applyProtection="1">
      <alignment vertical="center"/>
      <protection locked="0"/>
    </xf>
    <xf numFmtId="181" fontId="16" fillId="13" borderId="9" xfId="1" applyNumberFormat="1" applyFont="1" applyFill="1" applyBorder="1" applyAlignment="1" applyProtection="1"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0" fontId="16" fillId="7" borderId="4" xfId="0" applyFont="1" applyFill="1" applyBorder="1" applyProtection="1">
      <alignment vertical="center"/>
      <protection locked="0"/>
    </xf>
    <xf numFmtId="0" fontId="16" fillId="7" borderId="9" xfId="0" applyFont="1" applyFill="1" applyBorder="1" applyProtection="1">
      <alignment vertical="center"/>
      <protection locked="0"/>
    </xf>
    <xf numFmtId="43" fontId="16" fillId="0" borderId="9" xfId="0" applyNumberFormat="1" applyFont="1" applyBorder="1" applyProtection="1">
      <alignment vertical="center"/>
      <protection locked="0"/>
    </xf>
    <xf numFmtId="181" fontId="16" fillId="13" borderId="4" xfId="1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181" fontId="16" fillId="6" borderId="9" xfId="2" applyNumberFormat="1" applyFont="1" applyFill="1" applyBorder="1" applyAlignment="1" applyProtection="1">
      <alignment horizontal="left" wrapText="1"/>
      <protection locked="0"/>
    </xf>
    <xf numFmtId="49" fontId="16" fillId="13" borderId="4" xfId="1" applyNumberFormat="1" applyFont="1" applyFill="1" applyBorder="1" applyAlignment="1" applyProtection="1">
      <protection locked="0"/>
    </xf>
    <xf numFmtId="181" fontId="18" fillId="13" borderId="4" xfId="1" applyNumberFormat="1" applyFont="1" applyFill="1" applyBorder="1" applyAlignment="1" applyProtection="1">
      <protection locked="0"/>
    </xf>
    <xf numFmtId="0" fontId="16" fillId="2" borderId="31" xfId="0" applyFont="1" applyFill="1" applyBorder="1" applyAlignment="1" applyProtection="1">
      <alignment horizontal="left"/>
      <protection locked="0"/>
    </xf>
    <xf numFmtId="181" fontId="18" fillId="2" borderId="31" xfId="0" applyNumberFormat="1" applyFont="1" applyFill="1" applyBorder="1" applyAlignment="1" applyProtection="1">
      <alignment horizontal="left"/>
      <protection locked="0"/>
    </xf>
    <xf numFmtId="181" fontId="16" fillId="2" borderId="31" xfId="0" applyNumberFormat="1" applyFont="1" applyFill="1" applyBorder="1" applyAlignment="1" applyProtection="1">
      <alignment horizontal="left"/>
      <protection locked="0"/>
    </xf>
    <xf numFmtId="181" fontId="16" fillId="2" borderId="23" xfId="0" applyNumberFormat="1" applyFont="1" applyFill="1" applyBorder="1" applyAlignment="1" applyProtection="1">
      <alignment horizontal="left"/>
      <protection locked="0"/>
    </xf>
    <xf numFmtId="181" fontId="16" fillId="0" borderId="0" xfId="0" applyNumberFormat="1" applyFont="1" applyProtection="1">
      <alignment vertical="center"/>
      <protection locked="0"/>
    </xf>
    <xf numFmtId="9" fontId="16" fillId="7" borderId="4" xfId="2" applyFont="1" applyFill="1" applyBorder="1" applyAlignment="1" applyProtection="1">
      <alignment horizontal="left" wrapText="1"/>
      <protection locked="0"/>
    </xf>
    <xf numFmtId="181" fontId="16" fillId="7" borderId="4" xfId="2" applyNumberFormat="1" applyFont="1" applyFill="1" applyBorder="1" applyAlignment="1" applyProtection="1">
      <alignment horizontal="left" wrapText="1"/>
      <protection locked="0"/>
    </xf>
    <xf numFmtId="181" fontId="16" fillId="7" borderId="9" xfId="2" applyNumberFormat="1" applyFont="1" applyFill="1" applyBorder="1" applyAlignment="1" applyProtection="1">
      <alignment horizontal="left" wrapText="1"/>
      <protection locked="0"/>
    </xf>
    <xf numFmtId="181" fontId="16" fillId="7" borderId="3" xfId="2" applyNumberFormat="1" applyFont="1" applyFill="1" applyBorder="1" applyAlignment="1" applyProtection="1">
      <alignment horizontal="left" wrapText="1"/>
      <protection locked="0"/>
    </xf>
    <xf numFmtId="181" fontId="16" fillId="7" borderId="32" xfId="2" applyNumberFormat="1" applyFont="1" applyFill="1" applyBorder="1" applyAlignment="1" applyProtection="1">
      <alignment horizontal="left" wrapText="1"/>
      <protection locked="0"/>
    </xf>
    <xf numFmtId="0" fontId="16" fillId="2" borderId="14" xfId="0" applyFont="1" applyFill="1" applyBorder="1" applyAlignment="1" applyProtection="1">
      <alignment horizontal="left"/>
      <protection locked="0"/>
    </xf>
    <xf numFmtId="0" fontId="18" fillId="2" borderId="14" xfId="0" applyFont="1" applyFill="1" applyBorder="1" applyAlignment="1" applyProtection="1">
      <alignment horizontal="left"/>
      <protection locked="0"/>
    </xf>
    <xf numFmtId="181" fontId="16" fillId="2" borderId="14" xfId="0" applyNumberFormat="1" applyFont="1" applyFill="1" applyBorder="1" applyAlignment="1" applyProtection="1">
      <alignment horizontal="left"/>
      <protection locked="0"/>
    </xf>
    <xf numFmtId="181" fontId="16" fillId="2" borderId="33" xfId="0" applyNumberFormat="1" applyFont="1" applyFill="1" applyBorder="1" applyAlignment="1" applyProtection="1">
      <alignment horizontal="left"/>
      <protection locked="0"/>
    </xf>
    <xf numFmtId="0" fontId="16" fillId="7" borderId="5" xfId="0" applyFont="1" applyFill="1" applyBorder="1" applyAlignment="1" applyProtection="1">
      <alignment horizontal="left"/>
      <protection locked="0"/>
    </xf>
    <xf numFmtId="0" fontId="18" fillId="7" borderId="5" xfId="0" applyFont="1" applyFill="1" applyBorder="1" applyAlignment="1" applyProtection="1">
      <alignment horizontal="left"/>
      <protection locked="0"/>
    </xf>
    <xf numFmtId="181" fontId="16" fillId="7" borderId="5" xfId="0" applyNumberFormat="1" applyFont="1" applyFill="1" applyBorder="1" applyAlignment="1" applyProtection="1">
      <alignment horizontal="left"/>
      <protection locked="0"/>
    </xf>
    <xf numFmtId="181" fontId="20" fillId="7" borderId="5" xfId="0" applyNumberFormat="1" applyFont="1" applyFill="1" applyBorder="1" applyAlignment="1" applyProtection="1">
      <alignment horizontal="left"/>
      <protection locked="0"/>
    </xf>
    <xf numFmtId="181" fontId="16" fillId="7" borderId="0" xfId="0" applyNumberFormat="1" applyFont="1" applyFill="1" applyBorder="1" applyAlignment="1" applyProtection="1">
      <alignment horizontal="left"/>
      <protection locked="0"/>
    </xf>
    <xf numFmtId="43" fontId="18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14" borderId="34" xfId="3" applyNumberFormat="1" applyFont="1" applyFill="1" applyBorder="1" applyAlignment="1" applyProtection="1">
      <alignment horizontal="center" vertical="center"/>
      <protection locked="0"/>
    </xf>
    <xf numFmtId="43" fontId="18" fillId="14" borderId="34" xfId="3" applyNumberFormat="1" applyFont="1" applyFill="1" applyBorder="1" applyAlignment="1" applyProtection="1">
      <alignment horizontal="center" vertical="center"/>
      <protection locked="0"/>
    </xf>
    <xf numFmtId="43" fontId="16" fillId="14" borderId="35" xfId="3" applyNumberFormat="1" applyFont="1" applyFill="1" applyBorder="1" applyAlignment="1" applyProtection="1">
      <alignment horizontal="center" vertical="center"/>
      <protection locked="0"/>
    </xf>
    <xf numFmtId="49" fontId="16" fillId="15" borderId="4" xfId="1" applyNumberFormat="1" applyFont="1" applyFill="1" applyBorder="1" applyAlignment="1" applyProtection="1">
      <protection locked="0"/>
    </xf>
    <xf numFmtId="181" fontId="16" fillId="15" borderId="4" xfId="1" applyNumberFormat="1" applyFont="1" applyFill="1" applyBorder="1" applyAlignment="1" applyProtection="1">
      <protection locked="0"/>
    </xf>
    <xf numFmtId="181" fontId="16" fillId="17" borderId="4" xfId="1" applyNumberFormat="1" applyFont="1" applyFill="1" applyBorder="1" applyAlignment="1" applyProtection="1">
      <protection locked="0"/>
    </xf>
    <xf numFmtId="0" fontId="16" fillId="15" borderId="4" xfId="0" applyFont="1" applyFill="1" applyBorder="1" applyProtection="1">
      <alignment vertical="center"/>
      <protection locked="0"/>
    </xf>
    <xf numFmtId="181" fontId="16" fillId="16" borderId="36" xfId="0" applyNumberFormat="1" applyFont="1" applyFill="1" applyBorder="1" applyAlignment="1" applyProtection="1">
      <protection locked="0"/>
    </xf>
    <xf numFmtId="49" fontId="16" fillId="15" borderId="0" xfId="1" applyNumberFormat="1" applyFont="1" applyFill="1" applyBorder="1" applyAlignment="1" applyProtection="1"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0" fontId="16" fillId="15" borderId="0" xfId="0" applyFont="1" applyFill="1" applyBorder="1" applyProtection="1">
      <alignment vertical="center"/>
      <protection locked="0"/>
    </xf>
    <xf numFmtId="181" fontId="18" fillId="15" borderId="4" xfId="1" applyNumberFormat="1" applyFont="1" applyFill="1" applyBorder="1" applyAlignment="1" applyProtection="1">
      <protection locked="0"/>
    </xf>
    <xf numFmtId="41" fontId="24" fillId="0" borderId="0" xfId="0" applyNumberFormat="1" applyFont="1">
      <alignment vertical="center"/>
    </xf>
    <xf numFmtId="41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41" fontId="26" fillId="0" borderId="0" xfId="0" applyNumberFormat="1" applyFont="1" applyAlignment="1">
      <alignment horizontal="center" vertical="center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6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5" fillId="7" borderId="0" xfId="0" applyNumberFormat="1" applyFont="1" applyFill="1">
      <alignment vertical="center"/>
    </xf>
    <xf numFmtId="181" fontId="5" fillId="3" borderId="4" xfId="1" applyFont="1" applyFill="1" applyBorder="1" applyAlignment="1"/>
    <xf numFmtId="181" fontId="11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178" fontId="8" fillId="5" borderId="1" xfId="3" applyNumberFormat="1" applyFont="1" applyFill="1" applyBorder="1" applyAlignment="1" applyProtection="1">
      <alignment horizontal="center" vertical="center"/>
      <protection locked="0"/>
    </xf>
    <xf numFmtId="41" fontId="27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26" fillId="0" borderId="0" xfId="0" applyNumberFormat="1" applyFont="1" applyFill="1">
      <alignment vertical="center"/>
    </xf>
    <xf numFmtId="41" fontId="26" fillId="7" borderId="0" xfId="0" applyNumberFormat="1" applyFont="1" applyFill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1" fillId="2" borderId="4" xfId="1" applyNumberFormat="1" applyFont="1" applyFill="1" applyBorder="1" applyAlignment="1" applyProtection="1">
      <alignment horizontal="right" wrapText="1"/>
    </xf>
    <xf numFmtId="41" fontId="11" fillId="2" borderId="4" xfId="1" applyNumberFormat="1" applyFont="1" applyFill="1" applyBorder="1" applyAlignment="1" applyProtection="1">
      <alignment horizontal="center" wrapText="1"/>
    </xf>
    <xf numFmtId="179" fontId="26" fillId="0" borderId="0" xfId="0" applyNumberFormat="1" applyFon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8" fontId="26" fillId="0" borderId="0" xfId="0" applyNumberFormat="1" applyFont="1" applyAlignment="1" applyProtection="1">
      <alignment horizontal="center" vertical="center"/>
      <protection locked="0"/>
    </xf>
    <xf numFmtId="178" fontId="25" fillId="0" borderId="0" xfId="0" applyNumberFormat="1" applyFont="1" applyAlignment="1" applyProtection="1">
      <alignment horizontal="center" vertical="center"/>
      <protection locked="0"/>
    </xf>
    <xf numFmtId="178" fontId="26" fillId="0" borderId="0" xfId="0" applyNumberFormat="1" applyFont="1" applyAlignment="1" applyProtection="1">
      <alignment horizontal="center" vertical="center"/>
      <protection hidden="1"/>
    </xf>
    <xf numFmtId="178" fontId="27" fillId="0" borderId="0" xfId="0" applyNumberFormat="1" applyFont="1" applyAlignment="1" applyProtection="1">
      <alignment horizontal="center" vertical="center"/>
      <protection hidden="1"/>
    </xf>
    <xf numFmtId="0" fontId="26" fillId="12" borderId="0" xfId="0" applyFont="1" applyFill="1" applyAlignment="1" applyProtection="1">
      <alignment horizontal="center" vertical="center"/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26" fillId="0" borderId="0" xfId="0" applyFont="1">
      <alignment vertical="center"/>
    </xf>
    <xf numFmtId="0" fontId="26" fillId="0" borderId="0" xfId="0" applyFont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25" fillId="7" borderId="0" xfId="0" applyFont="1" applyFill="1" applyProtection="1">
      <alignment vertical="center"/>
      <protection locked="0"/>
    </xf>
    <xf numFmtId="0" fontId="26" fillId="7" borderId="0" xfId="0" applyFont="1" applyFill="1" applyAlignment="1" applyProtection="1">
      <alignment horizontal="center" vertical="center"/>
      <protection locked="0"/>
    </xf>
    <xf numFmtId="178" fontId="26" fillId="7" borderId="0" xfId="0" applyNumberFormat="1" applyFont="1" applyFill="1" applyAlignment="1" applyProtection="1">
      <alignment horizontal="center"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locked="0"/>
    </xf>
    <xf numFmtId="178" fontId="11" fillId="6" borderId="4" xfId="2" applyNumberFormat="1" applyFont="1" applyFill="1" applyBorder="1" applyAlignment="1">
      <alignment horizontal="right" wrapText="1"/>
    </xf>
    <xf numFmtId="178" fontId="28" fillId="18" borderId="28" xfId="0" applyNumberFormat="1" applyFont="1" applyFill="1" applyBorder="1" applyAlignment="1">
      <alignment horizontal="center" wrapText="1"/>
    </xf>
    <xf numFmtId="178" fontId="11" fillId="3" borderId="12" xfId="0" applyNumberFormat="1" applyFont="1" applyFill="1" applyBorder="1" applyAlignment="1" applyProtection="1">
      <alignment horizontal="center"/>
      <protection locked="0"/>
    </xf>
    <xf numFmtId="178" fontId="11" fillId="3" borderId="12" xfId="0" applyNumberFormat="1" applyFont="1" applyFill="1" applyBorder="1" applyAlignment="1">
      <alignment horizontal="right"/>
    </xf>
    <xf numFmtId="178" fontId="28" fillId="3" borderId="37" xfId="0" applyNumberFormat="1" applyFont="1" applyFill="1" applyBorder="1" applyAlignment="1">
      <alignment horizontal="center" wrapText="1"/>
    </xf>
    <xf numFmtId="178" fontId="4" fillId="0" borderId="13" xfId="0" applyNumberFormat="1" applyFont="1" applyBorder="1" applyAlignment="1" applyProtection="1">
      <alignment horizontal="center" vertical="center"/>
      <protection locked="0"/>
    </xf>
    <xf numFmtId="178" fontId="4" fillId="0" borderId="13" xfId="0" applyNumberFormat="1" applyFont="1" applyBorder="1" applyAlignment="1">
      <alignment horizontal="right" vertical="center"/>
    </xf>
    <xf numFmtId="178" fontId="13" fillId="6" borderId="12" xfId="0" applyNumberFormat="1" applyFont="1" applyFill="1" applyBorder="1" applyAlignment="1">
      <alignment horizontal="right"/>
    </xf>
    <xf numFmtId="178" fontId="29" fillId="18" borderId="37" xfId="0" applyNumberFormat="1" applyFont="1" applyFill="1" applyBorder="1" applyAlignment="1">
      <alignment horizontal="center" wrapText="1"/>
    </xf>
    <xf numFmtId="178" fontId="5" fillId="3" borderId="12" xfId="0" applyNumberFormat="1" applyFont="1" applyFill="1" applyBorder="1" applyAlignment="1" applyProtection="1">
      <alignment horizontal="center"/>
      <protection locked="0"/>
    </xf>
    <xf numFmtId="178" fontId="5" fillId="3" borderId="12" xfId="0" applyNumberFormat="1" applyFont="1" applyFill="1" applyBorder="1" applyAlignment="1">
      <alignment horizontal="right"/>
    </xf>
    <xf numFmtId="178" fontId="13" fillId="7" borderId="3" xfId="0" applyNumberFormat="1" applyFont="1" applyFill="1" applyBorder="1" applyAlignment="1" applyProtection="1">
      <alignment horizontal="center"/>
      <protection locked="0"/>
    </xf>
    <xf numFmtId="178" fontId="13" fillId="7" borderId="3" xfId="0" applyNumberFormat="1" applyFont="1" applyFill="1" applyBorder="1" applyAlignment="1">
      <alignment horizontal="right"/>
    </xf>
    <xf numFmtId="178" fontId="13" fillId="2" borderId="14" xfId="0" applyNumberFormat="1" applyFont="1" applyFill="1" applyBorder="1" applyAlignment="1">
      <alignment horizontal="right"/>
    </xf>
    <xf numFmtId="178" fontId="29" fillId="19" borderId="38" xfId="0" applyNumberFormat="1" applyFont="1" applyFill="1" applyBorder="1" applyAlignment="1">
      <alignment horizontal="center" wrapText="1"/>
    </xf>
    <xf numFmtId="178" fontId="25" fillId="0" borderId="0" xfId="0" applyNumberFormat="1" applyFont="1" applyAlignment="1" applyProtection="1">
      <alignment vertical="center"/>
      <protection locked="0"/>
    </xf>
    <xf numFmtId="178" fontId="25" fillId="20" borderId="0" xfId="0" applyNumberFormat="1" applyFont="1" applyFill="1" applyAlignment="1" applyProtection="1">
      <alignment vertical="center"/>
      <protection locked="0"/>
    </xf>
    <xf numFmtId="178" fontId="25" fillId="0" borderId="0" xfId="0" applyNumberFormat="1" applyFont="1" applyFill="1" applyAlignment="1" applyProtection="1">
      <alignment vertical="center"/>
      <protection locked="0"/>
    </xf>
    <xf numFmtId="178" fontId="8" fillId="5" borderId="0" xfId="0" applyNumberFormat="1" applyFont="1" applyFill="1" applyAlignment="1" applyProtection="1">
      <alignment horizontal="center" vertical="center"/>
      <protection locked="0"/>
    </xf>
    <xf numFmtId="178" fontId="26" fillId="7" borderId="0" xfId="0" applyNumberFormat="1" applyFont="1" applyFill="1" applyAlignment="1" applyProtection="1">
      <alignment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hidden="1"/>
    </xf>
    <xf numFmtId="178" fontId="11" fillId="6" borderId="4" xfId="2" applyNumberFormat="1" applyFont="1" applyFill="1" applyBorder="1" applyAlignment="1" applyProtection="1">
      <alignment vertical="center" wrapText="1"/>
      <protection hidden="1"/>
    </xf>
    <xf numFmtId="178" fontId="11" fillId="3" borderId="12" xfId="0" applyNumberFormat="1" applyFont="1" applyFill="1" applyBorder="1" applyAlignment="1" applyProtection="1">
      <alignment vertical="center"/>
      <protection hidden="1"/>
    </xf>
    <xf numFmtId="178" fontId="4" fillId="0" borderId="13" xfId="0" applyNumberFormat="1" applyFont="1" applyBorder="1" applyAlignment="1" applyProtection="1">
      <alignment horizontal="center" vertical="center"/>
      <protection hidden="1"/>
    </xf>
    <xf numFmtId="178" fontId="5" fillId="3" borderId="12" xfId="0" applyNumberFormat="1" applyFont="1" applyFill="1" applyBorder="1" applyAlignment="1" applyProtection="1">
      <alignment vertical="center"/>
      <protection hidden="1"/>
    </xf>
    <xf numFmtId="178" fontId="11" fillId="7" borderId="12" xfId="0" applyNumberFormat="1" applyFont="1" applyFill="1" applyBorder="1" applyAlignment="1" applyProtection="1">
      <alignment vertical="center"/>
      <protection hidden="1"/>
    </xf>
    <xf numFmtId="178" fontId="13" fillId="6" borderId="12" xfId="0" applyNumberFormat="1" applyFont="1" applyFill="1" applyBorder="1" applyAlignment="1" applyProtection="1">
      <alignment vertical="center"/>
      <protection hidden="1"/>
    </xf>
    <xf numFmtId="178" fontId="13" fillId="2" borderId="14" xfId="0" applyNumberFormat="1" applyFont="1" applyFill="1" applyBorder="1" applyAlignment="1" applyProtection="1">
      <alignment vertical="center"/>
      <protection hidden="1"/>
    </xf>
    <xf numFmtId="177" fontId="13" fillId="6" borderId="12" xfId="0" applyNumberFormat="1" applyFont="1" applyFill="1" applyBorder="1" applyAlignment="1" applyProtection="1">
      <alignment horizontal="center"/>
      <protection locked="0"/>
    </xf>
    <xf numFmtId="178" fontId="27" fillId="7" borderId="0" xfId="0" applyNumberFormat="1" applyFont="1" applyFill="1" applyAlignment="1" applyProtection="1">
      <alignment horizontal="center" vertical="center"/>
      <protection locked="0"/>
    </xf>
    <xf numFmtId="178" fontId="13" fillId="2" borderId="0" xfId="0" applyNumberFormat="1" applyFont="1" applyFill="1" applyBorder="1" applyAlignment="1" applyProtection="1">
      <alignment horizontal="center"/>
      <protection locked="0"/>
    </xf>
    <xf numFmtId="178" fontId="14" fillId="2" borderId="0" xfId="0" applyNumberFormat="1" applyFont="1" applyFill="1" applyBorder="1" applyAlignment="1" applyProtection="1">
      <alignment horizontal="center"/>
      <protection locked="0"/>
    </xf>
    <xf numFmtId="1" fontId="26" fillId="12" borderId="0" xfId="0" applyNumberFormat="1" applyFont="1" applyFill="1" applyAlignment="1" applyProtection="1">
      <alignment horizontal="center" vertical="center"/>
      <protection locked="0"/>
    </xf>
    <xf numFmtId="1" fontId="26" fillId="5" borderId="0" xfId="0" applyNumberFormat="1" applyFont="1" applyFill="1" applyAlignment="1" applyProtection="1">
      <alignment horizontal="center" vertical="center"/>
      <protection locked="0"/>
    </xf>
    <xf numFmtId="178" fontId="5" fillId="7" borderId="12" xfId="0" applyNumberFormat="1" applyFont="1" applyFill="1" applyBorder="1" applyAlignment="1" applyProtection="1">
      <alignment horizontal="center"/>
      <protection hidden="1"/>
    </xf>
    <xf numFmtId="178" fontId="4" fillId="7" borderId="13" xfId="0" applyNumberFormat="1" applyFont="1" applyFill="1" applyBorder="1" applyAlignment="1" applyProtection="1">
      <alignment horizontal="center" vertical="center"/>
      <protection hidden="1"/>
    </xf>
    <xf numFmtId="178" fontId="11" fillId="7" borderId="12" xfId="0" applyNumberFormat="1" applyFont="1" applyFill="1" applyBorder="1" applyAlignment="1" applyProtection="1">
      <alignment horizontal="center"/>
      <protection hidden="1"/>
    </xf>
    <xf numFmtId="43" fontId="25" fillId="0" borderId="0" xfId="0" applyNumberFormat="1" applyFont="1" applyAlignment="1" applyProtection="1">
      <alignment horizontal="center" vertical="center"/>
      <protection locked="0"/>
    </xf>
    <xf numFmtId="43" fontId="26" fillId="0" borderId="0" xfId="0" applyNumberFormat="1" applyFont="1" applyAlignment="1" applyProtection="1">
      <alignment horizontal="center" vertical="center"/>
      <protection locked="0"/>
    </xf>
    <xf numFmtId="181" fontId="5" fillId="3" borderId="4" xfId="1" applyFont="1" applyFill="1" applyBorder="1" applyAlignment="1">
      <alignment horizontal="center"/>
    </xf>
    <xf numFmtId="181" fontId="11" fillId="2" borderId="4" xfId="1" applyFont="1" applyFill="1" applyBorder="1" applyAlignment="1">
      <alignment horizontal="center" wrapText="1"/>
    </xf>
    <xf numFmtId="43" fontId="4" fillId="0" borderId="4" xfId="1" applyNumberFormat="1" applyFont="1" applyFill="1" applyBorder="1" applyAlignment="1">
      <alignment horizontal="center" vertical="center"/>
    </xf>
    <xf numFmtId="43" fontId="4" fillId="2" borderId="4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177" fontId="18" fillId="5" borderId="4" xfId="1" applyNumberFormat="1" applyFont="1" applyFill="1" applyBorder="1" applyAlignment="1" applyProtection="1">
      <protection locked="0"/>
    </xf>
    <xf numFmtId="49" fontId="16" fillId="5" borderId="4" xfId="1" applyNumberFormat="1" applyFont="1" applyFill="1" applyBorder="1" applyAlignment="1" applyProtection="1">
      <protection locked="0"/>
    </xf>
    <xf numFmtId="49" fontId="16" fillId="5" borderId="0" xfId="0" applyNumberFormat="1" applyFont="1" applyFill="1" applyAlignment="1" applyProtection="1">
      <alignment vertical="center"/>
      <protection locked="0"/>
    </xf>
    <xf numFmtId="0" fontId="16" fillId="5" borderId="0" xfId="0" applyFont="1" applyFill="1" applyProtection="1">
      <alignment vertical="center"/>
      <protection locked="0"/>
    </xf>
    <xf numFmtId="181" fontId="16" fillId="5" borderId="0" xfId="1" applyNumberFormat="1" applyFont="1" applyFill="1" applyBorder="1" applyAlignment="1" applyProtection="1">
      <protection locked="0"/>
    </xf>
    <xf numFmtId="183" fontId="18" fillId="0" borderId="0" xfId="0" applyNumberFormat="1" applyFont="1" applyProtection="1">
      <alignment vertical="center"/>
      <protection locked="0"/>
    </xf>
    <xf numFmtId="49" fontId="16" fillId="5" borderId="5" xfId="1" applyNumberFormat="1" applyFont="1" applyFill="1" applyBorder="1" applyAlignment="1" applyProtection="1">
      <protection locked="0"/>
    </xf>
    <xf numFmtId="0" fontId="16" fillId="5" borderId="4" xfId="0" applyFont="1" applyFill="1" applyBorder="1" applyProtection="1">
      <alignment vertical="center"/>
      <protection locked="0"/>
    </xf>
    <xf numFmtId="49" fontId="16" fillId="0" borderId="4" xfId="1" applyNumberFormat="1" applyFont="1" applyFill="1" applyBorder="1" applyAlignment="1" applyProtection="1">
      <protection locked="0"/>
    </xf>
    <xf numFmtId="181" fontId="18" fillId="0" borderId="27" xfId="0" applyNumberFormat="1" applyFont="1" applyFill="1" applyBorder="1" applyAlignment="1" applyProtection="1">
      <protection locked="0"/>
    </xf>
    <xf numFmtId="181" fontId="16" fillId="0" borderId="4" xfId="1" applyNumberFormat="1" applyFont="1" applyFill="1" applyBorder="1" applyAlignment="1" applyProtection="1">
      <protection locked="0"/>
    </xf>
    <xf numFmtId="49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Protection="1">
      <alignment vertical="center"/>
      <protection locked="0"/>
    </xf>
    <xf numFmtId="43" fontId="16" fillId="0" borderId="0" xfId="0" applyNumberFormat="1" applyFont="1" applyFill="1" applyAlignment="1" applyProtection="1">
      <alignment vertical="center"/>
      <protection locked="0"/>
    </xf>
    <xf numFmtId="181" fontId="23" fillId="0" borderId="28" xfId="0" applyNumberFormat="1" applyFont="1" applyFill="1" applyBorder="1" applyAlignment="1" applyProtection="1">
      <alignment wrapText="1"/>
      <protection locked="0"/>
    </xf>
    <xf numFmtId="183" fontId="16" fillId="0" borderId="0" xfId="0" applyNumberFormat="1" applyFont="1" applyFill="1" applyAlignment="1" applyProtection="1">
      <alignment vertical="center"/>
      <protection locked="0"/>
    </xf>
    <xf numFmtId="181" fontId="16" fillId="0" borderId="4" xfId="1" applyNumberFormat="1" applyFont="1" applyFill="1" applyBorder="1" applyAlignment="1" applyProtection="1"/>
    <xf numFmtId="177" fontId="16" fillId="0" borderId="0" xfId="0" applyNumberFormat="1" applyFont="1" applyFill="1" applyAlignment="1" applyProtection="1">
      <alignment vertical="center"/>
      <protection locked="0"/>
    </xf>
    <xf numFmtId="181" fontId="16" fillId="0" borderId="9" xfId="1" applyNumberFormat="1" applyFont="1" applyFill="1" applyBorder="1" applyAlignment="1" applyProtection="1">
      <protection locked="0"/>
    </xf>
    <xf numFmtId="181" fontId="16" fillId="0" borderId="9" xfId="1" applyNumberFormat="1" applyFont="1" applyFill="1" applyBorder="1" applyAlignment="1" applyProtection="1">
      <alignment wrapText="1"/>
      <protection locked="0"/>
    </xf>
    <xf numFmtId="181" fontId="16" fillId="0" borderId="29" xfId="0" applyNumberFormat="1" applyFont="1" applyFill="1" applyBorder="1" applyAlignment="1" applyProtection="1">
      <protection locked="0"/>
    </xf>
    <xf numFmtId="181" fontId="16" fillId="0" borderId="0" xfId="1" applyNumberFormat="1" applyFont="1" applyFill="1" applyBorder="1" applyAlignment="1" applyProtection="1">
      <protection locked="0"/>
    </xf>
    <xf numFmtId="181" fontId="16" fillId="0" borderId="9" xfId="1" applyNumberFormat="1" applyFont="1" applyFill="1" applyBorder="1" applyAlignment="1" applyProtection="1"/>
    <xf numFmtId="0" fontId="17" fillId="0" borderId="0" xfId="0" applyFont="1" applyFill="1">
      <alignment vertical="center"/>
    </xf>
    <xf numFmtId="49" fontId="17" fillId="0" borderId="0" xfId="0" applyNumberFormat="1" applyFont="1" applyFill="1" applyAlignment="1" applyProtection="1">
      <alignment vertical="center"/>
      <protection locked="0"/>
    </xf>
    <xf numFmtId="0" fontId="17" fillId="0" borderId="0" xfId="0" applyFont="1" applyFill="1" applyProtection="1">
      <alignment vertical="center"/>
      <protection locked="0"/>
    </xf>
    <xf numFmtId="181" fontId="16" fillId="0" borderId="30" xfId="1" applyNumberFormat="1" applyFont="1" applyFill="1" applyBorder="1" applyAlignment="1" applyProtection="1">
      <protection locked="0"/>
    </xf>
    <xf numFmtId="181" fontId="16" fillId="0" borderId="5" xfId="1" applyNumberFormat="1" applyFont="1" applyFill="1" applyBorder="1" applyAlignment="1" applyProtection="1">
      <protection locked="0"/>
    </xf>
    <xf numFmtId="49" fontId="16" fillId="0" borderId="5" xfId="1" applyNumberFormat="1" applyFont="1" applyFill="1" applyBorder="1" applyAlignment="1" applyProtection="1">
      <protection locked="0"/>
    </xf>
    <xf numFmtId="181" fontId="18" fillId="8" borderId="27" xfId="0" applyNumberFormat="1" applyFont="1" applyFill="1" applyBorder="1" applyAlignment="1" applyProtection="1">
      <protection locked="0"/>
    </xf>
    <xf numFmtId="49" fontId="16" fillId="8" borderId="4" xfId="1" applyNumberFormat="1" applyFont="1" applyFill="1" applyBorder="1" applyAlignment="1" applyProtection="1">
      <protection locked="0"/>
    </xf>
    <xf numFmtId="181" fontId="16" fillId="8" borderId="4" xfId="1" applyNumberFormat="1" applyFont="1" applyFill="1" applyBorder="1" applyAlignment="1" applyProtection="1">
      <protection locked="0"/>
    </xf>
    <xf numFmtId="181" fontId="18" fillId="8" borderId="26" xfId="0" applyNumberFormat="1" applyFont="1" applyFill="1" applyBorder="1" applyAlignment="1" applyProtection="1">
      <protection locked="0"/>
    </xf>
    <xf numFmtId="181" fontId="18" fillId="8" borderId="4" xfId="1" applyNumberFormat="1" applyFont="1" applyFill="1" applyBorder="1" applyAlignment="1" applyProtection="1">
      <protection locked="0"/>
    </xf>
    <xf numFmtId="181" fontId="16" fillId="8" borderId="9" xfId="1" applyNumberFormat="1" applyFont="1" applyFill="1" applyBorder="1" applyAlignment="1" applyProtection="1">
      <protection locked="0"/>
    </xf>
    <xf numFmtId="181" fontId="18" fillId="8" borderId="4" xfId="1" applyNumberFormat="1" applyFont="1" applyFill="1" applyBorder="1" applyAlignment="1" applyProtection="1"/>
    <xf numFmtId="181" fontId="16" fillId="8" borderId="4" xfId="1" applyNumberFormat="1" applyFont="1" applyFill="1" applyBorder="1" applyAlignment="1" applyProtection="1"/>
    <xf numFmtId="49" fontId="16" fillId="8" borderId="8" xfId="1" applyNumberFormat="1" applyFont="1" applyFill="1" applyBorder="1" applyAlignment="1" applyProtection="1">
      <protection locked="0"/>
    </xf>
    <xf numFmtId="181" fontId="16" fillId="8" borderId="8" xfId="1" applyNumberFormat="1" applyFont="1" applyFill="1" applyBorder="1" applyAlignment="1" applyProtection="1">
      <protection locked="0"/>
    </xf>
    <xf numFmtId="181" fontId="16" fillId="8" borderId="5" xfId="1" applyNumberFormat="1" applyFont="1" applyFill="1" applyBorder="1" applyAlignment="1" applyProtection="1">
      <protection locked="0"/>
    </xf>
    <xf numFmtId="181" fontId="16" fillId="8" borderId="0" xfId="1" applyNumberFormat="1" applyFont="1" applyFill="1" applyBorder="1" applyAlignment="1" applyProtection="1">
      <protection locked="0"/>
    </xf>
    <xf numFmtId="184" fontId="16" fillId="8" borderId="4" xfId="1" applyNumberFormat="1" applyFont="1" applyFill="1" applyBorder="1" applyAlignment="1" applyProtection="1">
      <protection locked="0"/>
    </xf>
    <xf numFmtId="181" fontId="37" fillId="8" borderId="4" xfId="1" applyNumberFormat="1" applyFont="1" applyFill="1" applyBorder="1" applyAlignment="1" applyProtection="1">
      <protection locked="0"/>
    </xf>
    <xf numFmtId="185" fontId="26" fillId="5" borderId="0" xfId="0" applyNumberFormat="1" applyFont="1" applyFill="1" applyAlignment="1" applyProtection="1">
      <alignment horizontal="center" vertical="center"/>
      <protection locked="0"/>
    </xf>
    <xf numFmtId="178" fontId="26" fillId="8" borderId="0" xfId="0" applyNumberFormat="1" applyFont="1" applyFill="1" applyAlignment="1" applyProtection="1">
      <alignment horizontal="center" vertical="center"/>
      <protection locked="0"/>
    </xf>
    <xf numFmtId="49" fontId="16" fillId="21" borderId="4" xfId="1" applyNumberFormat="1" applyFont="1" applyFill="1" applyBorder="1" applyAlignment="1" applyProtection="1">
      <protection locked="0"/>
    </xf>
    <xf numFmtId="181" fontId="16" fillId="21" borderId="4" xfId="1" applyNumberFormat="1" applyFont="1" applyFill="1" applyBorder="1" applyAlignment="1" applyProtection="1">
      <protection locked="0"/>
    </xf>
    <xf numFmtId="0" fontId="17" fillId="21" borderId="4" xfId="0" applyFont="1" applyFill="1" applyBorder="1" applyProtection="1">
      <alignment vertical="center"/>
      <protection locked="0"/>
    </xf>
    <xf numFmtId="181" fontId="16" fillId="22" borderId="27" xfId="0" applyNumberFormat="1" applyFont="1" applyFill="1" applyBorder="1" applyAlignment="1" applyProtection="1">
      <protection locked="0"/>
    </xf>
    <xf numFmtId="177" fontId="25" fillId="0" borderId="0" xfId="0" applyNumberFormat="1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9" fontId="22" fillId="7" borderId="23" xfId="0" applyNumberFormat="1" applyFont="1" applyFill="1" applyBorder="1" applyAlignment="1" applyProtection="1">
      <alignment horizontal="center" vertical="center"/>
      <protection locked="0"/>
    </xf>
    <xf numFmtId="178" fontId="9" fillId="6" borderId="4" xfId="2" applyNumberFormat="1" applyFont="1" applyFill="1" applyBorder="1" applyAlignment="1" applyProtection="1">
      <alignment horizontal="center" wrapText="1"/>
      <protection hidden="1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130;&#21153;&#25253;&#21578;\&#20844;&#21496;&#36130;&#21153;&#20998;&#26512;&#21450;&#39044;&#31639;&#25253;&#21578;\&#20998;&#26512;2016\4&#26376;\&#32771;&#26680;&#25968;&#25454;&#35843;&#25972;&#34920;2016&#24180;04&#26376;&#65288;&#28145;&#2099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2771;&#26680;&#35843;&#25972;\&#32771;&#26680;&#35843;&#25972;2017.10\&#32771;&#26680;&#25968;&#25454;&#35843;&#25972;&#34920;2017&#24180;10&#26376;&#65288;&#32463;&#3242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2771;&#26680;&#35843;&#25972;\&#32771;&#26680;&#35843;&#25972;2017.11\1&#32771;&#26680;&#25968;&#25454;&#35843;&#25972;&#34920;2017&#24180;11&#26376;&#65288;&#25237;&#34892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2771;&#26680;&#35843;&#25972;\&#32771;&#26680;&#35843;&#25972;2017.10\&#32771;&#26680;&#25968;&#25454;&#35843;&#25972;&#34920;2017&#24180;10&#26376;&#65288;&#25237;&#34892;1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Sheet2"/>
      <sheetName val="入经总长摊明细表"/>
      <sheetName val="呼叫中心转运营支持部"/>
      <sheetName val="Sheet1"/>
    </sheetNames>
    <sheetDataSet>
      <sheetData sheetId="0">
        <row r="45">
          <cell r="E45">
            <v>37378.779999999992</v>
          </cell>
        </row>
        <row r="46">
          <cell r="E46">
            <v>-3898915.2899999968</v>
          </cell>
        </row>
      </sheetData>
      <sheetData sheetId="1" refreshError="1"/>
      <sheetData sheetId="2">
        <row r="138">
          <cell r="C138">
            <v>90034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"/>
    </sheetNames>
    <sheetDataSet>
      <sheetData sheetId="0">
        <row r="64">
          <cell r="R64">
            <v>237325004.09222221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"/>
    </sheetNames>
    <sheetDataSet>
      <sheetData sheetId="0">
        <row r="90">
          <cell r="R90">
            <v>151637232.88102311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9"/>
  <sheetViews>
    <sheetView zoomScaleNormal="100" workbookViewId="0">
      <pane xSplit="1" ySplit="3" topLeftCell="E55" activePane="bottomRight" state="frozen"/>
      <selection pane="topRight"/>
      <selection pane="bottomLeft"/>
      <selection pane="bottomRight" activeCell="I80" sqref="I80"/>
    </sheetView>
  </sheetViews>
  <sheetFormatPr defaultColWidth="9" defaultRowHeight="13.5"/>
  <cols>
    <col min="1" max="1" width="34.875" style="172" customWidth="1"/>
    <col min="2" max="2" width="18" style="172" customWidth="1"/>
    <col min="3" max="3" width="17.375" style="172" customWidth="1"/>
    <col min="4" max="4" width="15.125" style="172" customWidth="1"/>
    <col min="5" max="5" width="14.75" style="172" customWidth="1"/>
    <col min="6" max="10" width="17.875" style="172" customWidth="1"/>
    <col min="11" max="11" width="17.25" style="172" customWidth="1"/>
    <col min="12" max="13" width="17.875" style="172" customWidth="1"/>
    <col min="14" max="14" width="15.75" style="172" customWidth="1"/>
    <col min="15" max="16" width="17.25" style="172" customWidth="1"/>
    <col min="17" max="17" width="14.125" style="172" customWidth="1"/>
    <col min="18" max="18" width="15.125" style="172" customWidth="1"/>
    <col min="19" max="21" width="16.125" style="172" customWidth="1"/>
    <col min="22" max="22" width="12" style="172" customWidth="1"/>
    <col min="23" max="23" width="12.25" style="172" customWidth="1"/>
    <col min="24" max="26" width="16.125" style="172" customWidth="1"/>
    <col min="27" max="27" width="14.25" style="172" customWidth="1"/>
    <col min="28" max="28" width="10.5" style="172" customWidth="1"/>
    <col min="29" max="30" width="16.125" style="172" customWidth="1"/>
    <col min="31" max="16384" width="9" style="172"/>
  </cols>
  <sheetData>
    <row r="1" spans="1:30" ht="22.5" customHeight="1">
      <c r="A1" s="272" t="s">
        <v>547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</row>
    <row r="2" spans="1:30" ht="14.25" thickBot="1">
      <c r="A2" s="173" t="s">
        <v>0</v>
      </c>
      <c r="B2" s="174" t="s">
        <v>1</v>
      </c>
      <c r="C2" s="175"/>
      <c r="D2" s="175"/>
      <c r="E2" s="176"/>
      <c r="F2" s="170">
        <v>11</v>
      </c>
      <c r="G2" s="265">
        <v>5.1999999999999998E-2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C2" s="165"/>
      <c r="AD2" s="165"/>
    </row>
    <row r="3" spans="1:30" s="165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19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4" t="s">
        <v>413</v>
      </c>
      <c r="R3" s="24" t="s">
        <v>410</v>
      </c>
      <c r="S3" s="19" t="s">
        <v>20</v>
      </c>
      <c r="T3" s="24" t="s">
        <v>21</v>
      </c>
      <c r="U3" s="24" t="s">
        <v>22</v>
      </c>
      <c r="V3" s="155" t="s">
        <v>23</v>
      </c>
      <c r="W3" s="24" t="s">
        <v>24</v>
      </c>
      <c r="X3" s="24" t="s">
        <v>25</v>
      </c>
      <c r="Y3" s="24" t="s">
        <v>26</v>
      </c>
      <c r="Z3" s="24" t="s">
        <v>502</v>
      </c>
      <c r="AA3" s="19" t="s">
        <v>27</v>
      </c>
      <c r="AB3" s="19" t="s">
        <v>33</v>
      </c>
    </row>
    <row r="4" spans="1:30" s="165" customFormat="1">
      <c r="A4" s="177" t="s">
        <v>34</v>
      </c>
      <c r="B4" s="178">
        <v>1071492216.26</v>
      </c>
      <c r="C4" s="178">
        <v>2777964.27</v>
      </c>
      <c r="D4" s="179">
        <v>-254443741.22</v>
      </c>
      <c r="E4" s="178">
        <v>871486358.07000005</v>
      </c>
      <c r="F4" s="178">
        <f>SUM(G4:J4)</f>
        <v>-24112543.789999992</v>
      </c>
      <c r="G4" s="178">
        <v>11029441.23</v>
      </c>
      <c r="H4" s="178">
        <v>-50360468.189999998</v>
      </c>
      <c r="I4" s="178">
        <v>11007883.390000001</v>
      </c>
      <c r="J4" s="178">
        <v>4210599.78</v>
      </c>
      <c r="K4" s="178">
        <f>SUM(L4:R4)</f>
        <v>189812452.33000001</v>
      </c>
      <c r="L4" s="178">
        <v>68083856.099999994</v>
      </c>
      <c r="M4" s="178">
        <v>31621914.600000001</v>
      </c>
      <c r="N4" s="178">
        <v>4541401.1399999997</v>
      </c>
      <c r="O4" s="178">
        <v>80252006.530000001</v>
      </c>
      <c r="P4" s="178">
        <v>13308419.59</v>
      </c>
      <c r="Q4" s="178">
        <v>-8001948.96</v>
      </c>
      <c r="R4" s="178">
        <v>6803.33</v>
      </c>
      <c r="S4" s="178">
        <f>SUM(T4:Z4)</f>
        <v>285405688.87</v>
      </c>
      <c r="T4" s="178">
        <v>19333793.73</v>
      </c>
      <c r="U4" s="178">
        <v>233357253.56999999</v>
      </c>
      <c r="V4" s="178">
        <v>29260396.27</v>
      </c>
      <c r="W4" s="178">
        <v>3454245.3</v>
      </c>
      <c r="X4" s="178">
        <v>0</v>
      </c>
      <c r="Y4" s="178">
        <v>0</v>
      </c>
      <c r="Z4" s="178"/>
      <c r="AA4" s="178">
        <v>566037.73</v>
      </c>
      <c r="AB4" s="178">
        <v>0</v>
      </c>
    </row>
    <row r="5" spans="1:30" s="165" customFormat="1">
      <c r="A5" s="180" t="s">
        <v>73</v>
      </c>
      <c r="B5" s="181">
        <v>754388367.88999999</v>
      </c>
      <c r="C5" s="181">
        <v>-50</v>
      </c>
      <c r="D5" s="182">
        <v>-2164654.71</v>
      </c>
      <c r="E5" s="178">
        <v>409815889.51999998</v>
      </c>
      <c r="F5" s="178">
        <f t="shared" ref="F5:F27" si="0">SUM(G5:J5)</f>
        <v>60006903.970000006</v>
      </c>
      <c r="G5" s="181">
        <v>12188181.279999999</v>
      </c>
      <c r="H5" s="181">
        <v>34188977.75</v>
      </c>
      <c r="I5" s="181">
        <v>10983860.199999999</v>
      </c>
      <c r="J5" s="181">
        <v>2645884.7400000002</v>
      </c>
      <c r="K5" s="178">
        <f t="shared" ref="K5:K27" si="1">SUM(L5:R5)</f>
        <v>746254.77</v>
      </c>
      <c r="L5" s="181">
        <v>-1597669.44</v>
      </c>
      <c r="M5" s="181">
        <v>-632173.59</v>
      </c>
      <c r="N5" s="181">
        <v>2778633.26</v>
      </c>
      <c r="O5" s="181">
        <v>214406.36</v>
      </c>
      <c r="P5" s="181">
        <v>0</v>
      </c>
      <c r="Q5" s="181">
        <v>-14269.82</v>
      </c>
      <c r="R5" s="181">
        <v>-2672</v>
      </c>
      <c r="S5" s="178">
        <f t="shared" ref="S5:S27" si="2">SUM(T5:Z5)</f>
        <v>285417986.61000001</v>
      </c>
      <c r="T5" s="181">
        <v>19333793.73</v>
      </c>
      <c r="U5" s="181">
        <v>233369551.31</v>
      </c>
      <c r="V5" s="181">
        <v>29260396.27</v>
      </c>
      <c r="W5" s="181">
        <v>3454245.3</v>
      </c>
      <c r="X5" s="181">
        <v>0</v>
      </c>
      <c r="Y5" s="181">
        <v>0</v>
      </c>
      <c r="Z5" s="181"/>
      <c r="AA5" s="181">
        <v>566037.73</v>
      </c>
      <c r="AB5" s="181">
        <v>0</v>
      </c>
    </row>
    <row r="6" spans="1:30" s="165" customFormat="1">
      <c r="A6" s="183" t="s">
        <v>36</v>
      </c>
      <c r="B6" s="184">
        <v>407386330.08999997</v>
      </c>
      <c r="C6" s="184">
        <v>-50</v>
      </c>
      <c r="D6" s="182">
        <v>-1701899.25</v>
      </c>
      <c r="E6" s="178">
        <v>407976434.48000002</v>
      </c>
      <c r="F6" s="178">
        <f t="shared" si="0"/>
        <v>911708.32000000007</v>
      </c>
      <c r="G6" s="184">
        <v>418575.42</v>
      </c>
      <c r="H6" s="184">
        <v>0</v>
      </c>
      <c r="I6" s="184">
        <v>0</v>
      </c>
      <c r="J6" s="184">
        <v>493132.9</v>
      </c>
      <c r="K6" s="178">
        <f t="shared" si="1"/>
        <v>200136.53999999998</v>
      </c>
      <c r="L6" s="184">
        <v>0</v>
      </c>
      <c r="M6" s="184">
        <v>0</v>
      </c>
      <c r="N6" s="184">
        <v>0</v>
      </c>
      <c r="O6" s="184">
        <v>214406.36</v>
      </c>
      <c r="P6" s="184">
        <v>0</v>
      </c>
      <c r="Q6" s="184">
        <v>-14269.82</v>
      </c>
      <c r="R6" s="184">
        <v>0</v>
      </c>
      <c r="S6" s="178">
        <f t="shared" si="2"/>
        <v>0</v>
      </c>
      <c r="T6" s="184">
        <v>0</v>
      </c>
      <c r="U6" s="184">
        <v>0</v>
      </c>
      <c r="V6" s="184">
        <v>0</v>
      </c>
      <c r="W6" s="184">
        <v>0</v>
      </c>
      <c r="X6" s="184">
        <v>0</v>
      </c>
      <c r="Y6" s="184">
        <v>0</v>
      </c>
      <c r="Z6" s="184"/>
      <c r="AA6" s="184">
        <v>0</v>
      </c>
      <c r="AB6" s="184">
        <v>0</v>
      </c>
    </row>
    <row r="7" spans="1:30" s="165" customFormat="1">
      <c r="A7" s="183" t="s">
        <v>37</v>
      </c>
      <c r="B7" s="184">
        <v>285984024.33999997</v>
      </c>
      <c r="C7" s="184">
        <v>0</v>
      </c>
      <c r="D7" s="182">
        <v>0</v>
      </c>
      <c r="E7" s="178">
        <v>0</v>
      </c>
      <c r="F7" s="178">
        <f t="shared" si="0"/>
        <v>0</v>
      </c>
      <c r="G7" s="184">
        <v>0</v>
      </c>
      <c r="H7" s="184">
        <v>0</v>
      </c>
      <c r="I7" s="184">
        <v>0</v>
      </c>
      <c r="J7" s="184">
        <v>0</v>
      </c>
      <c r="K7" s="178">
        <f t="shared" si="1"/>
        <v>0</v>
      </c>
      <c r="L7" s="184">
        <v>0</v>
      </c>
      <c r="M7" s="184">
        <v>0</v>
      </c>
      <c r="N7" s="184">
        <v>0</v>
      </c>
      <c r="O7" s="184">
        <v>0</v>
      </c>
      <c r="P7" s="184">
        <v>0</v>
      </c>
      <c r="Q7" s="184">
        <v>0</v>
      </c>
      <c r="R7" s="184">
        <v>0</v>
      </c>
      <c r="S7" s="178">
        <f t="shared" si="2"/>
        <v>285417986.61000001</v>
      </c>
      <c r="T7" s="184">
        <v>19333793.73</v>
      </c>
      <c r="U7" s="184">
        <v>233369551.31</v>
      </c>
      <c r="V7" s="184">
        <v>29260396.27</v>
      </c>
      <c r="W7" s="184">
        <v>3454245.3</v>
      </c>
      <c r="X7" s="184">
        <v>0</v>
      </c>
      <c r="Y7" s="184">
        <v>0</v>
      </c>
      <c r="Z7" s="184"/>
      <c r="AA7" s="184">
        <v>566037.73</v>
      </c>
      <c r="AB7" s="184">
        <v>0</v>
      </c>
    </row>
    <row r="8" spans="1:30" s="165" customFormat="1">
      <c r="A8" s="183" t="s">
        <v>38</v>
      </c>
      <c r="B8" s="184">
        <v>59103160.920000002</v>
      </c>
      <c r="C8" s="184">
        <v>0</v>
      </c>
      <c r="D8" s="182">
        <v>0</v>
      </c>
      <c r="E8" s="178">
        <v>0</v>
      </c>
      <c r="F8" s="178">
        <f t="shared" si="0"/>
        <v>59103160.920000002</v>
      </c>
      <c r="G8" s="184">
        <v>11777571.130000001</v>
      </c>
      <c r="H8" s="184">
        <v>34188977.75</v>
      </c>
      <c r="I8" s="184">
        <v>10983860.199999999</v>
      </c>
      <c r="J8" s="184">
        <v>2152751.84</v>
      </c>
      <c r="K8" s="178">
        <f t="shared" si="1"/>
        <v>0</v>
      </c>
      <c r="L8" s="184">
        <v>0</v>
      </c>
      <c r="M8" s="184">
        <v>0</v>
      </c>
      <c r="N8" s="184">
        <v>0</v>
      </c>
      <c r="O8" s="184">
        <v>0</v>
      </c>
      <c r="P8" s="184">
        <v>0</v>
      </c>
      <c r="Q8" s="184">
        <v>0</v>
      </c>
      <c r="R8" s="184">
        <v>0</v>
      </c>
      <c r="S8" s="178">
        <f t="shared" si="2"/>
        <v>0</v>
      </c>
      <c r="T8" s="184">
        <v>0</v>
      </c>
      <c r="U8" s="184">
        <v>0</v>
      </c>
      <c r="V8" s="184">
        <v>0</v>
      </c>
      <c r="W8" s="184">
        <v>0</v>
      </c>
      <c r="X8" s="184">
        <v>0</v>
      </c>
      <c r="Y8" s="184">
        <v>0</v>
      </c>
      <c r="Z8" s="184"/>
      <c r="AA8" s="184">
        <v>0</v>
      </c>
      <c r="AB8" s="184">
        <v>0</v>
      </c>
    </row>
    <row r="9" spans="1:30" s="165" customFormat="1">
      <c r="A9" s="180" t="s">
        <v>74</v>
      </c>
      <c r="B9" s="181">
        <v>234479127.18000001</v>
      </c>
      <c r="C9" s="181">
        <v>2778014.27</v>
      </c>
      <c r="D9" s="182">
        <v>-252989308.40000001</v>
      </c>
      <c r="E9" s="178">
        <v>450304788.53999996</v>
      </c>
      <c r="F9" s="178">
        <f t="shared" si="0"/>
        <v>334768.28000000003</v>
      </c>
      <c r="G9" s="181">
        <v>260019.63</v>
      </c>
      <c r="H9" s="181">
        <v>74748.649999999994</v>
      </c>
      <c r="I9" s="181">
        <v>0</v>
      </c>
      <c r="J9" s="181">
        <v>0</v>
      </c>
      <c r="K9" s="178">
        <f t="shared" si="1"/>
        <v>34063162.229999997</v>
      </c>
      <c r="L9" s="181">
        <v>173627.16</v>
      </c>
      <c r="M9" s="181">
        <v>-37605.35</v>
      </c>
      <c r="N9" s="181">
        <v>0</v>
      </c>
      <c r="O9" s="181">
        <v>33264811.02</v>
      </c>
      <c r="P9" s="181">
        <v>0</v>
      </c>
      <c r="Q9" s="181">
        <v>652854.06999999995</v>
      </c>
      <c r="R9" s="181">
        <v>9475.33</v>
      </c>
      <c r="S9" s="178">
        <f t="shared" si="2"/>
        <v>-12297.74</v>
      </c>
      <c r="T9" s="181">
        <v>0</v>
      </c>
      <c r="U9" s="181">
        <v>-12297.74</v>
      </c>
      <c r="V9" s="181">
        <v>0</v>
      </c>
      <c r="W9" s="181">
        <v>0</v>
      </c>
      <c r="X9" s="181">
        <v>0</v>
      </c>
      <c r="Y9" s="181">
        <v>0</v>
      </c>
      <c r="Z9" s="181"/>
      <c r="AA9" s="181">
        <v>0</v>
      </c>
      <c r="AB9" s="181">
        <v>0</v>
      </c>
    </row>
    <row r="10" spans="1:30" s="165" customFormat="1">
      <c r="A10" s="180" t="s">
        <v>40</v>
      </c>
      <c r="B10" s="181">
        <v>64681529.829999998</v>
      </c>
      <c r="C10" s="181">
        <v>0</v>
      </c>
      <c r="D10" s="182">
        <v>624470.80000000005</v>
      </c>
      <c r="E10" s="178">
        <v>170142.06</v>
      </c>
      <c r="F10" s="178">
        <f t="shared" si="0"/>
        <v>-84454216.040000007</v>
      </c>
      <c r="G10" s="181">
        <v>-1418759.68</v>
      </c>
      <c r="H10" s="181">
        <v>-84624194.590000004</v>
      </c>
      <c r="I10" s="181">
        <v>24023.19</v>
      </c>
      <c r="J10" s="181">
        <v>1564715.04</v>
      </c>
      <c r="K10" s="178">
        <f t="shared" si="1"/>
        <v>148341133.00999999</v>
      </c>
      <c r="L10" s="181">
        <v>66778976.380000003</v>
      </c>
      <c r="M10" s="181">
        <v>65837875.840000004</v>
      </c>
      <c r="N10" s="181">
        <v>1762767.88</v>
      </c>
      <c r="O10" s="181">
        <v>4741144.37</v>
      </c>
      <c r="P10" s="181">
        <v>12147177.949999999</v>
      </c>
      <c r="Q10" s="181">
        <v>-2926809.41</v>
      </c>
      <c r="R10" s="181">
        <v>0</v>
      </c>
      <c r="S10" s="178">
        <f t="shared" si="2"/>
        <v>0</v>
      </c>
      <c r="T10" s="181">
        <v>0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/>
      <c r="AA10" s="181">
        <v>0</v>
      </c>
      <c r="AB10" s="181">
        <v>0</v>
      </c>
    </row>
    <row r="11" spans="1:30" s="165" customFormat="1">
      <c r="A11" s="180" t="s">
        <v>75</v>
      </c>
      <c r="B11" s="181">
        <v>0</v>
      </c>
      <c r="C11" s="181">
        <v>0</v>
      </c>
      <c r="D11" s="182">
        <v>0</v>
      </c>
      <c r="E11" s="178">
        <v>0</v>
      </c>
      <c r="F11" s="178">
        <f t="shared" si="0"/>
        <v>0</v>
      </c>
      <c r="G11" s="181">
        <v>0</v>
      </c>
      <c r="H11" s="181">
        <v>0</v>
      </c>
      <c r="I11" s="181">
        <v>0</v>
      </c>
      <c r="J11" s="181">
        <v>0</v>
      </c>
      <c r="K11" s="178">
        <f t="shared" si="1"/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0</v>
      </c>
      <c r="Q11" s="181">
        <v>0</v>
      </c>
      <c r="R11" s="181">
        <v>0</v>
      </c>
      <c r="S11" s="178">
        <f t="shared" si="2"/>
        <v>0</v>
      </c>
      <c r="T11" s="181">
        <v>0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/>
      <c r="AA11" s="181">
        <v>0</v>
      </c>
      <c r="AB11" s="181">
        <v>0</v>
      </c>
    </row>
    <row r="12" spans="1:30" s="165" customFormat="1">
      <c r="A12" s="180" t="s">
        <v>42</v>
      </c>
      <c r="B12" s="181">
        <v>6661902.3200000003</v>
      </c>
      <c r="C12" s="181">
        <v>0</v>
      </c>
      <c r="D12" s="182">
        <v>0</v>
      </c>
      <c r="E12" s="178">
        <v>0</v>
      </c>
      <c r="F12" s="178">
        <f t="shared" si="0"/>
        <v>0</v>
      </c>
      <c r="G12" s="181">
        <v>0</v>
      </c>
      <c r="H12" s="181">
        <v>0</v>
      </c>
      <c r="I12" s="181">
        <v>0</v>
      </c>
      <c r="J12" s="181">
        <v>0</v>
      </c>
      <c r="K12" s="178">
        <f t="shared" si="1"/>
        <v>6661902.3200000012</v>
      </c>
      <c r="L12" s="181">
        <v>2728922</v>
      </c>
      <c r="M12" s="181">
        <v>-33546182.300000001</v>
      </c>
      <c r="N12" s="181">
        <v>0</v>
      </c>
      <c r="O12" s="181">
        <v>42031644.780000001</v>
      </c>
      <c r="P12" s="181">
        <v>1161241.6399999999</v>
      </c>
      <c r="Q12" s="181">
        <v>-5713723.7999999998</v>
      </c>
      <c r="R12" s="181">
        <v>0</v>
      </c>
      <c r="S12" s="178">
        <f t="shared" si="2"/>
        <v>0</v>
      </c>
      <c r="T12" s="181">
        <v>0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/>
      <c r="AA12" s="181">
        <v>0</v>
      </c>
      <c r="AB12" s="181">
        <v>0</v>
      </c>
    </row>
    <row r="13" spans="1:30" s="165" customFormat="1">
      <c r="A13" s="180" t="s">
        <v>76</v>
      </c>
      <c r="B13" s="181">
        <v>-735907.17</v>
      </c>
      <c r="C13" s="181">
        <v>0</v>
      </c>
      <c r="D13" s="182">
        <v>85751.09</v>
      </c>
      <c r="E13" s="178">
        <v>-821658.26</v>
      </c>
      <c r="F13" s="178">
        <f t="shared" si="0"/>
        <v>0</v>
      </c>
      <c r="G13" s="181">
        <v>0</v>
      </c>
      <c r="H13" s="181">
        <v>0</v>
      </c>
      <c r="I13" s="181">
        <v>0</v>
      </c>
      <c r="J13" s="181">
        <v>0</v>
      </c>
      <c r="K13" s="178">
        <f t="shared" si="1"/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0</v>
      </c>
      <c r="R13" s="181">
        <v>0</v>
      </c>
      <c r="S13" s="178">
        <f t="shared" si="2"/>
        <v>0</v>
      </c>
      <c r="T13" s="181">
        <v>0</v>
      </c>
      <c r="U13" s="181">
        <v>0</v>
      </c>
      <c r="V13" s="181">
        <v>0</v>
      </c>
      <c r="W13" s="181">
        <v>0</v>
      </c>
      <c r="X13" s="181">
        <v>0</v>
      </c>
      <c r="Y13" s="181">
        <v>0</v>
      </c>
      <c r="Z13" s="181"/>
      <c r="AA13" s="181">
        <v>0</v>
      </c>
      <c r="AB13" s="181">
        <v>0</v>
      </c>
    </row>
    <row r="14" spans="1:30" s="165" customFormat="1">
      <c r="A14" s="180" t="s">
        <v>77</v>
      </c>
      <c r="B14" s="181">
        <v>12017196.210000001</v>
      </c>
      <c r="C14" s="181">
        <v>0</v>
      </c>
      <c r="D14" s="182">
        <v>0</v>
      </c>
      <c r="E14" s="178">
        <v>12017196.210000001</v>
      </c>
      <c r="F14" s="178">
        <f t="shared" si="0"/>
        <v>0</v>
      </c>
      <c r="G14" s="181">
        <v>0</v>
      </c>
      <c r="H14" s="181">
        <v>0</v>
      </c>
      <c r="I14" s="181">
        <v>0</v>
      </c>
      <c r="J14" s="181">
        <v>0</v>
      </c>
      <c r="K14" s="178">
        <f t="shared" si="1"/>
        <v>0</v>
      </c>
      <c r="L14" s="181">
        <v>0</v>
      </c>
      <c r="M14" s="181">
        <v>0</v>
      </c>
      <c r="N14" s="181">
        <v>0</v>
      </c>
      <c r="O14" s="181">
        <v>0</v>
      </c>
      <c r="P14" s="181">
        <v>0</v>
      </c>
      <c r="Q14" s="181">
        <v>0</v>
      </c>
      <c r="R14" s="181">
        <v>0</v>
      </c>
      <c r="S14" s="178">
        <f t="shared" si="2"/>
        <v>0</v>
      </c>
      <c r="T14" s="181">
        <v>0</v>
      </c>
      <c r="U14" s="181">
        <v>0</v>
      </c>
      <c r="V14" s="181">
        <v>0</v>
      </c>
      <c r="W14" s="181">
        <v>0</v>
      </c>
      <c r="X14" s="181">
        <v>0</v>
      </c>
      <c r="Y14" s="181">
        <v>0</v>
      </c>
      <c r="Z14" s="181"/>
      <c r="AA14" s="181">
        <v>0</v>
      </c>
      <c r="AB14" s="181">
        <v>0</v>
      </c>
    </row>
    <row r="15" spans="1:30" s="165" customFormat="1">
      <c r="A15" s="42" t="s">
        <v>45</v>
      </c>
      <c r="B15" s="185">
        <v>657315905.42999995</v>
      </c>
      <c r="C15" s="185">
        <v>45861.1</v>
      </c>
      <c r="D15" s="186">
        <v>131419521.40000001</v>
      </c>
      <c r="E15" s="178">
        <v>325461881.00999999</v>
      </c>
      <c r="F15" s="178">
        <f t="shared" si="0"/>
        <v>17232492.009999998</v>
      </c>
      <c r="G15" s="185">
        <v>5061372.87</v>
      </c>
      <c r="H15" s="185">
        <v>3337017.96</v>
      </c>
      <c r="I15" s="185">
        <v>2753573.33</v>
      </c>
      <c r="J15" s="185">
        <v>6080527.8499999996</v>
      </c>
      <c r="K15" s="178">
        <f t="shared" si="1"/>
        <v>34338300.869999997</v>
      </c>
      <c r="L15" s="185">
        <v>4532998.37</v>
      </c>
      <c r="M15" s="185">
        <v>4240416.3899999997</v>
      </c>
      <c r="N15" s="185">
        <v>1656703.32</v>
      </c>
      <c r="O15" s="185">
        <v>6890815.4699999997</v>
      </c>
      <c r="P15" s="185">
        <v>3438189.45</v>
      </c>
      <c r="Q15" s="185">
        <v>3452750.72</v>
      </c>
      <c r="R15" s="185">
        <v>10126427.15</v>
      </c>
      <c r="S15" s="178">
        <f t="shared" si="2"/>
        <v>136507622.58999997</v>
      </c>
      <c r="T15" s="185">
        <v>9678579.1300000008</v>
      </c>
      <c r="U15" s="185">
        <v>97171850.319999993</v>
      </c>
      <c r="V15" s="185">
        <v>24748964.23</v>
      </c>
      <c r="W15" s="185">
        <v>2842495.61</v>
      </c>
      <c r="X15" s="185">
        <v>1654934.91</v>
      </c>
      <c r="Y15" s="185">
        <v>410798.39</v>
      </c>
      <c r="Z15" s="185"/>
      <c r="AA15" s="185">
        <v>5438642.8700000001</v>
      </c>
      <c r="AB15" s="185">
        <v>6871583.5800000001</v>
      </c>
    </row>
    <row r="16" spans="1:30" s="165" customFormat="1">
      <c r="A16" s="187" t="s">
        <v>78</v>
      </c>
      <c r="B16" s="188">
        <v>9680797.9399999995</v>
      </c>
      <c r="C16" s="188">
        <v>0</v>
      </c>
      <c r="D16" s="182">
        <v>-1157819.9099999999</v>
      </c>
      <c r="E16" s="178">
        <v>6050186.9000000004</v>
      </c>
      <c r="F16" s="178">
        <f t="shared" si="0"/>
        <v>430136.48</v>
      </c>
      <c r="G16" s="188">
        <v>86981.66</v>
      </c>
      <c r="H16" s="188">
        <v>245561.84</v>
      </c>
      <c r="I16" s="188">
        <v>78996.62</v>
      </c>
      <c r="J16" s="188">
        <v>18596.36</v>
      </c>
      <c r="K16" s="178">
        <f t="shared" si="1"/>
        <v>2319076.5699999998</v>
      </c>
      <c r="L16" s="188">
        <v>1695172.43</v>
      </c>
      <c r="M16" s="188">
        <v>578376.06999999995</v>
      </c>
      <c r="N16" s="188">
        <v>29453.66</v>
      </c>
      <c r="O16" s="188">
        <v>-29037.66</v>
      </c>
      <c r="P16" s="188">
        <v>67263.78</v>
      </c>
      <c r="Q16" s="188">
        <v>-22151.71</v>
      </c>
      <c r="R16" s="188">
        <v>0</v>
      </c>
      <c r="S16" s="178">
        <f t="shared" si="2"/>
        <v>2043399.7100000002</v>
      </c>
      <c r="T16" s="188">
        <v>138610.87</v>
      </c>
      <c r="U16" s="188">
        <v>1671856.62</v>
      </c>
      <c r="V16" s="188">
        <v>208464.61</v>
      </c>
      <c r="W16" s="188">
        <v>24761.11</v>
      </c>
      <c r="X16" s="188">
        <v>-200.92</v>
      </c>
      <c r="Y16" s="188">
        <v>-92.58</v>
      </c>
      <c r="Z16" s="188"/>
      <c r="AA16" s="188">
        <v>-3371.81</v>
      </c>
      <c r="AB16" s="188">
        <v>-810</v>
      </c>
    </row>
    <row r="17" spans="1:28" s="165" customFormat="1">
      <c r="A17" s="187" t="s">
        <v>79</v>
      </c>
      <c r="B17" s="188">
        <v>643767443.80999994</v>
      </c>
      <c r="C17" s="188">
        <v>45861.1</v>
      </c>
      <c r="D17" s="182">
        <v>132577341.31</v>
      </c>
      <c r="E17" s="178">
        <v>315544030.42999995</v>
      </c>
      <c r="F17" s="178">
        <f t="shared" si="0"/>
        <v>16802355.530000001</v>
      </c>
      <c r="G17" s="188">
        <v>4974391.21</v>
      </c>
      <c r="H17" s="188">
        <v>3091456.12</v>
      </c>
      <c r="I17" s="188">
        <v>2674576.71</v>
      </c>
      <c r="J17" s="188">
        <v>6061931.4900000002</v>
      </c>
      <c r="K17" s="178">
        <f t="shared" si="1"/>
        <v>32019224.299999997</v>
      </c>
      <c r="L17" s="188">
        <v>2837825.94</v>
      </c>
      <c r="M17" s="188">
        <v>3662040.32</v>
      </c>
      <c r="N17" s="188">
        <v>1627249.66</v>
      </c>
      <c r="O17" s="188">
        <v>6919853.1299999999</v>
      </c>
      <c r="P17" s="188">
        <v>3370925.67</v>
      </c>
      <c r="Q17" s="188">
        <v>3474902.43</v>
      </c>
      <c r="R17" s="188">
        <v>10126427.15</v>
      </c>
      <c r="S17" s="178">
        <f t="shared" si="2"/>
        <v>134464222.88000003</v>
      </c>
      <c r="T17" s="188">
        <v>9539968.2599999998</v>
      </c>
      <c r="U17" s="188">
        <v>95499993.700000003</v>
      </c>
      <c r="V17" s="188">
        <v>24540499.620000001</v>
      </c>
      <c r="W17" s="188">
        <v>2817734.5</v>
      </c>
      <c r="X17" s="188">
        <v>1655135.83</v>
      </c>
      <c r="Y17" s="188">
        <v>410890.97</v>
      </c>
      <c r="Z17" s="188"/>
      <c r="AA17" s="188">
        <v>5442014.6799999997</v>
      </c>
      <c r="AB17" s="188">
        <v>6872393.5800000001</v>
      </c>
    </row>
    <row r="18" spans="1:28" s="165" customFormat="1">
      <c r="A18" s="187" t="s">
        <v>80</v>
      </c>
      <c r="B18" s="188">
        <v>0</v>
      </c>
      <c r="C18" s="188">
        <v>0</v>
      </c>
      <c r="D18" s="182">
        <v>0</v>
      </c>
      <c r="E18" s="178">
        <v>0</v>
      </c>
      <c r="F18" s="178">
        <f t="shared" si="0"/>
        <v>0</v>
      </c>
      <c r="G18" s="188">
        <v>0</v>
      </c>
      <c r="H18" s="188">
        <v>0</v>
      </c>
      <c r="I18" s="188">
        <v>0</v>
      </c>
      <c r="J18" s="188">
        <v>0</v>
      </c>
      <c r="K18" s="178">
        <f t="shared" si="1"/>
        <v>0</v>
      </c>
      <c r="L18" s="188">
        <v>0</v>
      </c>
      <c r="M18" s="188">
        <v>0</v>
      </c>
      <c r="N18" s="188">
        <v>0</v>
      </c>
      <c r="O18" s="188">
        <v>0</v>
      </c>
      <c r="P18" s="188">
        <v>0</v>
      </c>
      <c r="Q18" s="188">
        <v>0</v>
      </c>
      <c r="R18" s="188">
        <v>0</v>
      </c>
      <c r="S18" s="178">
        <f t="shared" si="2"/>
        <v>0</v>
      </c>
      <c r="T18" s="188">
        <v>0</v>
      </c>
      <c r="U18" s="188">
        <v>0</v>
      </c>
      <c r="V18" s="188">
        <v>0</v>
      </c>
      <c r="W18" s="188">
        <v>0</v>
      </c>
      <c r="X18" s="188">
        <v>0</v>
      </c>
      <c r="Y18" s="188">
        <v>0</v>
      </c>
      <c r="Z18" s="188"/>
      <c r="AA18" s="188">
        <v>0</v>
      </c>
      <c r="AB18" s="188">
        <v>0</v>
      </c>
    </row>
    <row r="19" spans="1:28" s="165" customFormat="1">
      <c r="A19" s="187" t="s">
        <v>81</v>
      </c>
      <c r="B19" s="188">
        <v>3867663.68</v>
      </c>
      <c r="C19" s="188">
        <v>0</v>
      </c>
      <c r="D19" s="182">
        <v>0</v>
      </c>
      <c r="E19" s="178">
        <v>3867663.68</v>
      </c>
      <c r="F19" s="178">
        <f t="shared" si="0"/>
        <v>0</v>
      </c>
      <c r="G19" s="188">
        <v>0</v>
      </c>
      <c r="H19" s="188">
        <v>0</v>
      </c>
      <c r="I19" s="188">
        <v>0</v>
      </c>
      <c r="J19" s="188">
        <v>0</v>
      </c>
      <c r="K19" s="178">
        <f t="shared" si="1"/>
        <v>0</v>
      </c>
      <c r="L19" s="188">
        <v>0</v>
      </c>
      <c r="M19" s="188">
        <v>0</v>
      </c>
      <c r="N19" s="188">
        <v>0</v>
      </c>
      <c r="O19" s="188">
        <v>0</v>
      </c>
      <c r="P19" s="188">
        <v>0</v>
      </c>
      <c r="Q19" s="188">
        <v>0</v>
      </c>
      <c r="R19" s="188">
        <v>0</v>
      </c>
      <c r="S19" s="178">
        <f t="shared" si="2"/>
        <v>0</v>
      </c>
      <c r="T19" s="188">
        <v>0</v>
      </c>
      <c r="U19" s="188">
        <v>0</v>
      </c>
      <c r="V19" s="188">
        <v>0</v>
      </c>
      <c r="W19" s="188">
        <v>0</v>
      </c>
      <c r="X19" s="188">
        <v>0</v>
      </c>
      <c r="Y19" s="188">
        <v>0</v>
      </c>
      <c r="Z19" s="188"/>
      <c r="AA19" s="188">
        <v>0</v>
      </c>
      <c r="AB19" s="188">
        <v>0</v>
      </c>
    </row>
    <row r="20" spans="1:28" s="165" customFormat="1">
      <c r="A20" s="42" t="s">
        <v>50</v>
      </c>
      <c r="B20" s="185">
        <v>414176310.82999998</v>
      </c>
      <c r="C20" s="185">
        <v>2732103.17</v>
      </c>
      <c r="D20" s="186">
        <v>-385863262.62</v>
      </c>
      <c r="E20" s="178">
        <v>546024477.06000006</v>
      </c>
      <c r="F20" s="178">
        <f t="shared" si="0"/>
        <v>-41345035.799999997</v>
      </c>
      <c r="G20" s="185">
        <v>5968068.3600000003</v>
      </c>
      <c r="H20" s="185">
        <v>-53697486.149999999</v>
      </c>
      <c r="I20" s="185">
        <v>8254310.0599999996</v>
      </c>
      <c r="J20" s="185">
        <v>-1869928.07</v>
      </c>
      <c r="K20" s="178">
        <f t="shared" si="1"/>
        <v>155474151.45999998</v>
      </c>
      <c r="L20" s="185">
        <v>63550857.729999997</v>
      </c>
      <c r="M20" s="185">
        <v>27381498.210000001</v>
      </c>
      <c r="N20" s="185">
        <v>2884697.82</v>
      </c>
      <c r="O20" s="185">
        <v>73361191.060000002</v>
      </c>
      <c r="P20" s="185">
        <v>9870230.1400000006</v>
      </c>
      <c r="Q20" s="185">
        <v>-11454699.68</v>
      </c>
      <c r="R20" s="185">
        <v>-10119623.82</v>
      </c>
      <c r="S20" s="178">
        <f t="shared" si="2"/>
        <v>148898066.28</v>
      </c>
      <c r="T20" s="185">
        <v>9655214.5999999996</v>
      </c>
      <c r="U20" s="185">
        <v>136185403.25</v>
      </c>
      <c r="V20" s="185">
        <v>4511432.04</v>
      </c>
      <c r="W20" s="185">
        <v>611749.68999999994</v>
      </c>
      <c r="X20" s="185">
        <v>-1654934.91</v>
      </c>
      <c r="Y20" s="185">
        <v>-410798.39</v>
      </c>
      <c r="Z20" s="185"/>
      <c r="AA20" s="185">
        <v>-4872605.1399999997</v>
      </c>
      <c r="AB20" s="185">
        <v>-6871583.5800000001</v>
      </c>
    </row>
    <row r="21" spans="1:28" s="165" customFormat="1">
      <c r="A21" s="187" t="s">
        <v>82</v>
      </c>
      <c r="B21" s="188">
        <v>2757853.51</v>
      </c>
      <c r="C21" s="188">
        <v>666421.88</v>
      </c>
      <c r="D21" s="182">
        <v>1675785.48</v>
      </c>
      <c r="E21" s="178">
        <v>405355.19</v>
      </c>
      <c r="F21" s="178">
        <f t="shared" si="0"/>
        <v>10290.959999999999</v>
      </c>
      <c r="G21" s="188">
        <v>10290.959999999999</v>
      </c>
      <c r="H21" s="188">
        <v>0</v>
      </c>
      <c r="I21" s="188">
        <v>0</v>
      </c>
      <c r="J21" s="188">
        <v>0</v>
      </c>
      <c r="K21" s="178">
        <f t="shared" si="1"/>
        <v>0</v>
      </c>
      <c r="L21" s="188">
        <v>0</v>
      </c>
      <c r="M21" s="188">
        <v>0</v>
      </c>
      <c r="N21" s="188">
        <v>0</v>
      </c>
      <c r="O21" s="188">
        <v>0</v>
      </c>
      <c r="P21" s="188">
        <v>0</v>
      </c>
      <c r="Q21" s="188">
        <v>0</v>
      </c>
      <c r="R21" s="188">
        <v>0</v>
      </c>
      <c r="S21" s="178">
        <f t="shared" si="2"/>
        <v>0</v>
      </c>
      <c r="T21" s="188">
        <v>0</v>
      </c>
      <c r="U21" s="188">
        <v>0</v>
      </c>
      <c r="V21" s="188">
        <v>0</v>
      </c>
      <c r="W21" s="188">
        <v>0</v>
      </c>
      <c r="X21" s="188">
        <v>0</v>
      </c>
      <c r="Y21" s="188">
        <v>0</v>
      </c>
      <c r="Z21" s="188"/>
      <c r="AA21" s="188">
        <v>0</v>
      </c>
      <c r="AB21" s="188">
        <v>0</v>
      </c>
    </row>
    <row r="22" spans="1:28" s="165" customFormat="1">
      <c r="A22" s="187" t="s">
        <v>83</v>
      </c>
      <c r="B22" s="188">
        <v>2078249.25</v>
      </c>
      <c r="C22" s="188">
        <v>0</v>
      </c>
      <c r="D22" s="182">
        <v>1300901.67</v>
      </c>
      <c r="E22" s="178">
        <v>773687.40999999992</v>
      </c>
      <c r="F22" s="178">
        <f t="shared" si="0"/>
        <v>837.5</v>
      </c>
      <c r="G22" s="188">
        <v>0</v>
      </c>
      <c r="H22" s="188">
        <v>0</v>
      </c>
      <c r="I22" s="188">
        <v>0</v>
      </c>
      <c r="J22" s="188">
        <v>837.5</v>
      </c>
      <c r="K22" s="178">
        <f t="shared" si="1"/>
        <v>2822.67</v>
      </c>
      <c r="L22" s="188">
        <v>0</v>
      </c>
      <c r="M22" s="188">
        <v>0</v>
      </c>
      <c r="N22" s="188">
        <v>0</v>
      </c>
      <c r="O22" s="188">
        <v>0</v>
      </c>
      <c r="P22" s="188">
        <v>0</v>
      </c>
      <c r="Q22" s="188">
        <v>0</v>
      </c>
      <c r="R22" s="188">
        <v>2822.67</v>
      </c>
      <c r="S22" s="178">
        <f t="shared" si="2"/>
        <v>0</v>
      </c>
      <c r="T22" s="188">
        <v>0</v>
      </c>
      <c r="U22" s="188">
        <v>0</v>
      </c>
      <c r="V22" s="188">
        <v>0</v>
      </c>
      <c r="W22" s="188">
        <v>0</v>
      </c>
      <c r="X22" s="188">
        <v>0</v>
      </c>
      <c r="Y22" s="188">
        <v>0</v>
      </c>
      <c r="Z22" s="188"/>
      <c r="AA22" s="188">
        <v>0</v>
      </c>
      <c r="AB22" s="188">
        <v>0</v>
      </c>
    </row>
    <row r="23" spans="1:28" s="165" customFormat="1">
      <c r="A23" s="42" t="s">
        <v>53</v>
      </c>
      <c r="B23" s="185">
        <v>414855915.08999997</v>
      </c>
      <c r="C23" s="185">
        <v>3398525.05</v>
      </c>
      <c r="D23" s="186">
        <v>-385488378.81</v>
      </c>
      <c r="E23" s="178">
        <v>545656144.84000003</v>
      </c>
      <c r="F23" s="178">
        <f t="shared" si="0"/>
        <v>-41335582.339999996</v>
      </c>
      <c r="G23" s="185">
        <v>5978359.3200000003</v>
      </c>
      <c r="H23" s="185">
        <v>-53697486.149999999</v>
      </c>
      <c r="I23" s="185">
        <v>8254310.0599999996</v>
      </c>
      <c r="J23" s="185">
        <v>-1870765.57</v>
      </c>
      <c r="K23" s="178">
        <f t="shared" si="1"/>
        <v>155471328.78999996</v>
      </c>
      <c r="L23" s="185">
        <v>63550857.729999997</v>
      </c>
      <c r="M23" s="185">
        <v>27381498.210000001</v>
      </c>
      <c r="N23" s="185">
        <v>2884697.82</v>
      </c>
      <c r="O23" s="185">
        <v>73361191.060000002</v>
      </c>
      <c r="P23" s="185">
        <v>9870230.1400000006</v>
      </c>
      <c r="Q23" s="185">
        <v>-11454699.68</v>
      </c>
      <c r="R23" s="185">
        <v>-10122446.49</v>
      </c>
      <c r="S23" s="178">
        <f t="shared" si="2"/>
        <v>148898066.28</v>
      </c>
      <c r="T23" s="185">
        <v>9655214.5999999996</v>
      </c>
      <c r="U23" s="185">
        <v>136185403.25</v>
      </c>
      <c r="V23" s="185">
        <v>4511432.04</v>
      </c>
      <c r="W23" s="185">
        <v>611749.68999999994</v>
      </c>
      <c r="X23" s="185">
        <v>-1654934.91</v>
      </c>
      <c r="Y23" s="185">
        <v>-410798.39</v>
      </c>
      <c r="Z23" s="185"/>
      <c r="AA23" s="185">
        <v>-4872605.1399999997</v>
      </c>
      <c r="AB23" s="185">
        <v>-6871583.5800000001</v>
      </c>
    </row>
    <row r="24" spans="1:28" s="165" customFormat="1">
      <c r="A24" s="187" t="s">
        <v>84</v>
      </c>
      <c r="B24" s="188">
        <v>103168651.48999999</v>
      </c>
      <c r="C24" s="188">
        <v>0</v>
      </c>
      <c r="D24" s="182">
        <v>103167857.59</v>
      </c>
      <c r="E24" s="178">
        <v>793.9</v>
      </c>
      <c r="F24" s="178">
        <f t="shared" si="0"/>
        <v>0</v>
      </c>
      <c r="G24" s="188">
        <v>0</v>
      </c>
      <c r="H24" s="188">
        <v>0</v>
      </c>
      <c r="I24" s="188">
        <v>0</v>
      </c>
      <c r="J24" s="188">
        <v>0</v>
      </c>
      <c r="K24" s="178">
        <f t="shared" si="1"/>
        <v>0</v>
      </c>
      <c r="L24" s="188">
        <v>0</v>
      </c>
      <c r="M24" s="188">
        <v>0</v>
      </c>
      <c r="N24" s="188">
        <v>0</v>
      </c>
      <c r="O24" s="188">
        <v>0</v>
      </c>
      <c r="P24" s="188">
        <v>0</v>
      </c>
      <c r="Q24" s="188">
        <v>0</v>
      </c>
      <c r="R24" s="188">
        <v>0</v>
      </c>
      <c r="S24" s="178">
        <f t="shared" si="2"/>
        <v>0</v>
      </c>
      <c r="T24" s="188">
        <v>0</v>
      </c>
      <c r="U24" s="188">
        <v>0</v>
      </c>
      <c r="V24" s="188">
        <v>0</v>
      </c>
      <c r="W24" s="188">
        <v>0</v>
      </c>
      <c r="X24" s="188">
        <v>0</v>
      </c>
      <c r="Y24" s="188">
        <v>0</v>
      </c>
      <c r="Z24" s="188"/>
      <c r="AA24" s="188">
        <v>0</v>
      </c>
      <c r="AB24" s="188">
        <v>0</v>
      </c>
    </row>
    <row r="25" spans="1:28" s="165" customFormat="1">
      <c r="A25" s="42" t="s">
        <v>55</v>
      </c>
      <c r="B25" s="185">
        <v>311687263.60000002</v>
      </c>
      <c r="C25" s="185">
        <v>3398525.05</v>
      </c>
      <c r="D25" s="186">
        <v>-488656236.39999998</v>
      </c>
      <c r="E25" s="178">
        <v>545655350.93999994</v>
      </c>
      <c r="F25" s="178">
        <f t="shared" si="0"/>
        <v>-41335582.339999996</v>
      </c>
      <c r="G25" s="185">
        <v>5978359.3200000003</v>
      </c>
      <c r="H25" s="185">
        <v>-53697486.149999999</v>
      </c>
      <c r="I25" s="185">
        <v>8254310.0599999996</v>
      </c>
      <c r="J25" s="185">
        <v>-1870765.57</v>
      </c>
      <c r="K25" s="178">
        <f t="shared" si="1"/>
        <v>155471328.78999996</v>
      </c>
      <c r="L25" s="185">
        <v>63550857.729999997</v>
      </c>
      <c r="M25" s="185">
        <v>27381498.210000001</v>
      </c>
      <c r="N25" s="185">
        <v>2884697.82</v>
      </c>
      <c r="O25" s="185">
        <v>73361191.060000002</v>
      </c>
      <c r="P25" s="185">
        <v>9870230.1400000006</v>
      </c>
      <c r="Q25" s="185">
        <v>-11454699.68</v>
      </c>
      <c r="R25" s="185">
        <v>-10122446.49</v>
      </c>
      <c r="S25" s="178">
        <f t="shared" si="2"/>
        <v>148898066.28</v>
      </c>
      <c r="T25" s="185">
        <v>9655214.5999999996</v>
      </c>
      <c r="U25" s="185">
        <v>136185403.25</v>
      </c>
      <c r="V25" s="185">
        <v>4511432.04</v>
      </c>
      <c r="W25" s="185">
        <v>611749.68999999994</v>
      </c>
      <c r="X25" s="185">
        <v>-1654934.91</v>
      </c>
      <c r="Y25" s="185">
        <v>-410798.39</v>
      </c>
      <c r="Z25" s="185"/>
      <c r="AA25" s="185">
        <v>-4872605.1399999997</v>
      </c>
      <c r="AB25" s="185">
        <v>-6871583.5800000001</v>
      </c>
    </row>
    <row r="26" spans="1:28" s="165" customFormat="1">
      <c r="A26" s="189" t="s">
        <v>56</v>
      </c>
      <c r="B26" s="190">
        <v>-134490175.13999999</v>
      </c>
      <c r="C26" s="190">
        <v>0</v>
      </c>
      <c r="D26" s="182">
        <v>0</v>
      </c>
      <c r="E26" s="178">
        <v>1289748.3</v>
      </c>
      <c r="F26" s="178">
        <f t="shared" si="0"/>
        <v>-143465115.76999998</v>
      </c>
      <c r="G26" s="190">
        <v>42373793.369999997</v>
      </c>
      <c r="H26" s="190">
        <v>-187721702.66999999</v>
      </c>
      <c r="I26" s="190">
        <v>2537001.91</v>
      </c>
      <c r="J26" s="190">
        <v>-654208.38</v>
      </c>
      <c r="K26" s="178">
        <f t="shared" si="1"/>
        <v>7685192.3300000001</v>
      </c>
      <c r="L26" s="190">
        <v>-4637717.24</v>
      </c>
      <c r="M26" s="190">
        <v>0</v>
      </c>
      <c r="N26" s="190">
        <v>0</v>
      </c>
      <c r="O26" s="190">
        <v>12322909.57</v>
      </c>
      <c r="P26" s="190">
        <v>0</v>
      </c>
      <c r="Q26" s="190">
        <v>0</v>
      </c>
      <c r="R26" s="190">
        <v>0</v>
      </c>
      <c r="S26" s="178">
        <f t="shared" si="2"/>
        <v>0</v>
      </c>
      <c r="T26" s="190"/>
      <c r="U26" s="190"/>
      <c r="V26" s="190"/>
      <c r="W26" s="190"/>
      <c r="X26" s="190"/>
      <c r="Y26" s="190"/>
      <c r="Z26" s="190"/>
      <c r="AA26" s="190"/>
      <c r="AB26" s="190">
        <v>0</v>
      </c>
    </row>
    <row r="27" spans="1:28" s="165" customFormat="1" ht="14.25" thickBot="1">
      <c r="A27" s="44" t="s">
        <v>57</v>
      </c>
      <c r="B27" s="191">
        <v>177197088.46000004</v>
      </c>
      <c r="C27" s="191">
        <v>3398525.05</v>
      </c>
      <c r="D27" s="192">
        <v>-488656236.39999998</v>
      </c>
      <c r="E27" s="178">
        <v>546945099.23999989</v>
      </c>
      <c r="F27" s="178">
        <f t="shared" si="0"/>
        <v>-184800698.10999998</v>
      </c>
      <c r="G27" s="191">
        <v>48352152.689999998</v>
      </c>
      <c r="H27" s="191">
        <v>-241419188.81999999</v>
      </c>
      <c r="I27" s="191">
        <v>10791311.969999999</v>
      </c>
      <c r="J27" s="191">
        <v>-2524973.9500000002</v>
      </c>
      <c r="K27" s="178">
        <f t="shared" si="1"/>
        <v>163156521.11999995</v>
      </c>
      <c r="L27" s="191">
        <v>58913140.489999995</v>
      </c>
      <c r="M27" s="191">
        <v>27381498.210000001</v>
      </c>
      <c r="N27" s="191">
        <v>2884697.82</v>
      </c>
      <c r="O27" s="191">
        <v>85684100.629999995</v>
      </c>
      <c r="P27" s="191">
        <v>9870230.1400000006</v>
      </c>
      <c r="Q27" s="191">
        <v>-11454699.68</v>
      </c>
      <c r="R27" s="191">
        <v>-10122446.49</v>
      </c>
      <c r="S27" s="178">
        <f t="shared" si="2"/>
        <v>148898066.28</v>
      </c>
      <c r="T27" s="191">
        <v>9655214.5999999996</v>
      </c>
      <c r="U27" s="191">
        <v>136185403.25</v>
      </c>
      <c r="V27" s="191">
        <v>4511432.04</v>
      </c>
      <c r="W27" s="191">
        <v>611749.68999999994</v>
      </c>
      <c r="X27" s="191">
        <v>-1654934.91</v>
      </c>
      <c r="Y27" s="191">
        <v>-410798.39</v>
      </c>
      <c r="Z27" s="191"/>
      <c r="AA27" s="191">
        <v>-4872605.1399999997</v>
      </c>
      <c r="AB27" s="191">
        <v>-6871583.5800000001</v>
      </c>
    </row>
    <row r="28" spans="1:28" s="166" customFormat="1" ht="12">
      <c r="B28" s="193">
        <f>B26/0.75</f>
        <v>-179320233.51999998</v>
      </c>
      <c r="C28" s="193">
        <f t="shared" ref="C28:AB28" si="3">C26/0.75</f>
        <v>0</v>
      </c>
      <c r="D28" s="193">
        <f t="shared" si="3"/>
        <v>0</v>
      </c>
      <c r="E28" s="193">
        <f t="shared" si="3"/>
        <v>1719664.4000000001</v>
      </c>
      <c r="F28" s="193">
        <f t="shared" si="3"/>
        <v>-191286821.02666664</v>
      </c>
      <c r="G28" s="193">
        <f t="shared" si="3"/>
        <v>56498391.159999996</v>
      </c>
      <c r="H28" s="193">
        <f t="shared" si="3"/>
        <v>-250295603.55999997</v>
      </c>
      <c r="I28" s="193">
        <f t="shared" si="3"/>
        <v>3382669.2133333334</v>
      </c>
      <c r="J28" s="193">
        <f t="shared" si="3"/>
        <v>-872277.84</v>
      </c>
      <c r="K28" s="193">
        <f t="shared" si="3"/>
        <v>10246923.106666667</v>
      </c>
      <c r="L28" s="271">
        <f t="shared" si="3"/>
        <v>-6183622.9866666673</v>
      </c>
      <c r="M28" s="193">
        <f t="shared" si="3"/>
        <v>0</v>
      </c>
      <c r="N28" s="193">
        <f t="shared" si="3"/>
        <v>0</v>
      </c>
      <c r="O28" s="193">
        <f t="shared" si="3"/>
        <v>16430546.093333334</v>
      </c>
      <c r="P28" s="193">
        <f t="shared" si="3"/>
        <v>0</v>
      </c>
      <c r="Q28" s="193">
        <f t="shared" si="3"/>
        <v>0</v>
      </c>
      <c r="R28" s="193">
        <f t="shared" si="3"/>
        <v>0</v>
      </c>
      <c r="S28" s="193">
        <f t="shared" si="3"/>
        <v>0</v>
      </c>
      <c r="T28" s="193">
        <f t="shared" si="3"/>
        <v>0</v>
      </c>
      <c r="U28" s="193">
        <f t="shared" si="3"/>
        <v>0</v>
      </c>
      <c r="V28" s="193">
        <f t="shared" si="3"/>
        <v>0</v>
      </c>
      <c r="W28" s="193">
        <f t="shared" si="3"/>
        <v>0</v>
      </c>
      <c r="X28" s="193">
        <f t="shared" si="3"/>
        <v>0</v>
      </c>
      <c r="Y28" s="193">
        <f t="shared" si="3"/>
        <v>0</v>
      </c>
      <c r="Z28" s="193">
        <f t="shared" si="3"/>
        <v>0</v>
      </c>
      <c r="AA28" s="193">
        <f t="shared" si="3"/>
        <v>0</v>
      </c>
      <c r="AB28" s="193">
        <f t="shared" si="3"/>
        <v>0</v>
      </c>
    </row>
    <row r="29" spans="1:28" s="166" customFormat="1" ht="12">
      <c r="A29" s="166" t="s">
        <v>58</v>
      </c>
      <c r="B29" s="194">
        <f>B27-SUM(C27:F27)-S27-K27-AA27-AB27</f>
        <v>1.2014061212539673E-7</v>
      </c>
      <c r="C29" s="195"/>
      <c r="D29" s="193"/>
      <c r="E29" s="193"/>
      <c r="F29" s="194">
        <f>F27-(H27+I27+J27+G27)</f>
        <v>0</v>
      </c>
      <c r="G29" s="195"/>
      <c r="H29" s="193"/>
      <c r="I29" s="193"/>
      <c r="J29" s="193"/>
      <c r="K29" s="194">
        <f>K27-SUM(L27:R27)</f>
        <v>0</v>
      </c>
      <c r="L29" s="193"/>
      <c r="M29" s="193"/>
      <c r="N29" s="193"/>
      <c r="O29" s="193"/>
      <c r="P29" s="193"/>
      <c r="Q29" s="193"/>
      <c r="R29" s="193"/>
      <c r="S29" s="194">
        <f>S27-SUM(T27:Z27)</f>
        <v>0</v>
      </c>
      <c r="T29" s="193"/>
      <c r="U29" s="193"/>
      <c r="V29" s="193"/>
      <c r="W29" s="193"/>
      <c r="X29" s="193"/>
      <c r="Y29" s="193"/>
      <c r="Z29" s="193"/>
      <c r="AA29" s="193"/>
    </row>
    <row r="30" spans="1:28" s="165" customFormat="1">
      <c r="A30" s="166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</row>
    <row r="31" spans="1:28" s="165" customFormat="1" ht="14.25" thickBot="1">
      <c r="A31" s="196" t="s">
        <v>59</v>
      </c>
      <c r="B31" s="197"/>
      <c r="C31" s="197"/>
      <c r="D31" s="197">
        <f>[2]累计利润调整表!$E$45-E45</f>
        <v>5996.6499999999978</v>
      </c>
      <c r="E31" s="197">
        <f>[2]累计利润调整表!$E$46-E46</f>
        <v>-891683.46999999648</v>
      </c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</row>
    <row r="32" spans="1:28" s="165" customFormat="1" ht="14.25" customHeight="1">
      <c r="A32" s="19" t="s">
        <v>2</v>
      </c>
      <c r="B32" s="19" t="str">
        <f>B3</f>
        <v>合计</v>
      </c>
      <c r="C32" s="19" t="str">
        <f t="shared" ref="C32:V32" si="4">C3</f>
        <v>其他</v>
      </c>
      <c r="D32" s="19" t="str">
        <f t="shared" si="4"/>
        <v>总部中后台</v>
      </c>
      <c r="E32" s="19" t="str">
        <f t="shared" si="4"/>
        <v>经纪业务部</v>
      </c>
      <c r="F32" s="19" t="str">
        <f t="shared" si="4"/>
        <v>资管业务</v>
      </c>
      <c r="G32" s="24" t="str">
        <f t="shared" si="4"/>
        <v>资产管理部</v>
      </c>
      <c r="H32" s="24" t="str">
        <f t="shared" si="4"/>
        <v>权益产品投资部</v>
      </c>
      <c r="I32" s="24" t="str">
        <f t="shared" ref="I32:J32" si="5">I3</f>
        <v>固收产品投资部</v>
      </c>
      <c r="J32" s="24" t="str">
        <f t="shared" si="5"/>
        <v>量化产品投资部</v>
      </c>
      <c r="K32" s="19" t="str">
        <f t="shared" si="4"/>
        <v>深分公司合计</v>
      </c>
      <c r="L32" s="24" t="str">
        <f t="shared" si="4"/>
        <v>固定收益投资部</v>
      </c>
      <c r="M32" s="24" t="str">
        <f t="shared" si="4"/>
        <v>固定收益市场部</v>
      </c>
      <c r="N32" s="24" t="str">
        <f t="shared" si="4"/>
        <v>投顾业务部</v>
      </c>
      <c r="O32" s="24" t="str">
        <f t="shared" si="4"/>
        <v>证券投资部</v>
      </c>
      <c r="P32" s="24" t="str">
        <f t="shared" si="4"/>
        <v>做市业务部</v>
      </c>
      <c r="Q32" s="24" t="str">
        <f t="shared" si="4"/>
        <v>金融衍生品部</v>
      </c>
      <c r="R32" s="24" t="str">
        <f t="shared" si="4"/>
        <v>深圳管理总部</v>
      </c>
      <c r="S32" s="19" t="str">
        <f t="shared" ref="S32" si="6">S3</f>
        <v>投资银行合计</v>
      </c>
      <c r="T32" s="24" t="str">
        <f t="shared" si="4"/>
        <v>投资银行三部</v>
      </c>
      <c r="U32" s="24" t="str">
        <f t="shared" si="4"/>
        <v>投资银行一部</v>
      </c>
      <c r="V32" s="24" t="str">
        <f t="shared" si="4"/>
        <v>投资银行二部</v>
      </c>
      <c r="W32" s="24" t="s">
        <v>24</v>
      </c>
      <c r="X32" s="24" t="s">
        <v>25</v>
      </c>
      <c r="Y32" s="24" t="s">
        <v>26</v>
      </c>
      <c r="Z32" s="24" t="s">
        <v>503</v>
      </c>
      <c r="AA32" s="19" t="s">
        <v>27</v>
      </c>
      <c r="AB32" s="19" t="s">
        <v>498</v>
      </c>
    </row>
    <row r="33" spans="1:28" s="167" customFormat="1">
      <c r="A33" s="198" t="s">
        <v>34</v>
      </c>
      <c r="B33" s="199">
        <f>B34+B38+B39+B41+B42+B43</f>
        <v>-179208124.43666661</v>
      </c>
      <c r="C33" s="199">
        <f t="shared" ref="C33:D33" si="7">C34+C38+C39+C41+C42+C43</f>
        <v>-15629032.76</v>
      </c>
      <c r="D33" s="199">
        <f t="shared" si="7"/>
        <v>-11664910.969666751</v>
      </c>
      <c r="E33" s="199">
        <f>E34+E38+E39+E41+E42+E43</f>
        <v>33053048.670490652</v>
      </c>
      <c r="F33" s="199">
        <f>F34+F38+F39+F41+F42+F43</f>
        <v>-205353059.76549053</v>
      </c>
      <c r="G33" s="199">
        <f t="shared" ref="G33" si="8">G34+G38+G39+G41+G42+G43</f>
        <v>-2410398.6504905666</v>
      </c>
      <c r="H33" s="199">
        <f t="shared" ref="H33:L33" si="9">H34+H38+H39+H41+H42+H43</f>
        <v>-195818679.15999997</v>
      </c>
      <c r="I33" s="199">
        <f>I34+I38+I39+I41+I42+I43</f>
        <v>844864.46500000032</v>
      </c>
      <c r="J33" s="199">
        <f t="shared" si="9"/>
        <v>-7968846.4199999999</v>
      </c>
      <c r="K33" s="199">
        <f>K34+K38+K39+K41+K42+K43</f>
        <v>21305488.061333336</v>
      </c>
      <c r="L33" s="199">
        <f t="shared" si="9"/>
        <v>-13240545.200000001</v>
      </c>
      <c r="M33" s="199">
        <f t="shared" ref="M33:T33" si="10">M34+M38+M39+M41+M42+M43</f>
        <v>-2074469.4169999994</v>
      </c>
      <c r="N33" s="199">
        <f>N34+N38+N39+N41+N42+N43</f>
        <v>1047540.0749999996</v>
      </c>
      <c r="O33" s="199">
        <f t="shared" si="10"/>
        <v>25052005.023333333</v>
      </c>
      <c r="P33" s="199">
        <f t="shared" si="10"/>
        <v>51949.509999999995</v>
      </c>
      <c r="Q33" s="199">
        <f t="shared" si="10"/>
        <v>10356898.99</v>
      </c>
      <c r="R33" s="199">
        <f t="shared" si="10"/>
        <v>0</v>
      </c>
      <c r="S33" s="199">
        <f>S34+S38+S39+S41+S42+S43</f>
        <v>-353619.94333333313</v>
      </c>
      <c r="T33" s="199">
        <f t="shared" si="10"/>
        <v>-2712961.66</v>
      </c>
      <c r="U33" s="199">
        <f t="shared" ref="U33:AA33" si="11">U34+U38+U39+U41+U42+U43</f>
        <v>3967750.5200000005</v>
      </c>
      <c r="V33" s="199">
        <f t="shared" si="11"/>
        <v>-1608408.8033333332</v>
      </c>
      <c r="W33" s="199">
        <f t="shared" si="11"/>
        <v>0</v>
      </c>
      <c r="X33" s="199">
        <f t="shared" si="11"/>
        <v>0</v>
      </c>
      <c r="Y33" s="199">
        <f t="shared" si="11"/>
        <v>0</v>
      </c>
      <c r="Z33" s="199">
        <f t="shared" ref="Z33" si="12">Z34+Z38+Z39+Z41+Z42+Z43</f>
        <v>0</v>
      </c>
      <c r="AA33" s="199">
        <f t="shared" si="11"/>
        <v>-566037.73</v>
      </c>
      <c r="AB33" s="199">
        <f t="shared" ref="AB33" si="13">AB34+AB38+AB39+AB41+AB42+AB43</f>
        <v>0</v>
      </c>
    </row>
    <row r="34" spans="1:28" s="167" customFormat="1">
      <c r="A34" s="31" t="s">
        <v>35</v>
      </c>
      <c r="B34" s="200">
        <f>SUM(C34:F34)+K34+S34+AA34+AB34</f>
        <v>112109.07999999914</v>
      </c>
      <c r="C34" s="202">
        <f>SUM(C35:C37)+SUMIFS(考核调整事项表!$C:$C,考核调整事项表!$B:$B,累计利润调整表!$A34,考核调整事项表!$D:$D,C$3)+SUMIFS(考核调整事项表!$E:$E,考核调整事项表!$B:$B,累计利润调整表!$A34,考核调整事项表!$F:$F,C$3)</f>
        <v>2123610.9000000004</v>
      </c>
      <c r="D34" s="202">
        <f>SUM(D35:D37)+SUMIFS(考核调整事项表!$C:$C,考核调整事项表!$B:$B,累计利润调整表!$A34,考核调整事项表!$D:$D,D$3)+SUMIFS(考核调整事项表!$E:$E,考核调整事项表!$B:$B,累计利润调整表!$A34,考核调整事项表!$F:$F,D$3)</f>
        <v>0</v>
      </c>
      <c r="E34" s="202">
        <f>SUM(E35:E37)+SUMIFS(考核调整事项表!$C:$C,考核调整事项表!$B:$B,累计利润调整表!$A34,考核调整事项表!$D:$D,E$3)+SUMIFS(考核调整事项表!$E:$E,考核调整事项表!$B:$B,累计利润调整表!$A34,考核调整事项表!$F:$F,E$3)</f>
        <v>4358629.2704905663</v>
      </c>
      <c r="F34" s="202">
        <f>SUM(F35:F37)+SUMIFS(考核调整事项表!$C:$C,考核调整事项表!$B:$B,累计利润调整表!$A34,考核调整事项表!$D:$D,F$3)+SUMIFS(考核调整事项表!$E:$E,考核调整事项表!$B:$B,累计利润调整表!$A34,考核调整事项表!$F:$F,F$3)</f>
        <v>-6745870.5054905675</v>
      </c>
      <c r="G34" s="202">
        <f>SUM(G35:G37)+SUMIFS(考核调整事项表!$C:$C,考核调整事项表!$B:$B,累计利润调整表!$A34,考核调整事项表!$D:$D,G$3)+SUMIFS(考核调整事项表!$E:$E,考核调整事项表!$B:$B,累计利润调整表!$A34,考核调整事项表!$F:$F,G$3)</f>
        <v>-3811442.9704905665</v>
      </c>
      <c r="H34" s="202">
        <f>SUM(H35:H37)+SUMIFS(考核调整事项表!$C:$C,考核调整事项表!$B:$B,累计利润调整表!$A34,考核调整事项表!$D:$D,H$3)+SUMIFS(考核调整事项表!$E:$E,考核调整事项表!$B:$B,累计利润调整表!$A34,考核调整事项表!$F:$F,H$3)</f>
        <v>0</v>
      </c>
      <c r="I34" s="202">
        <f>SUM(I35:I37)+SUMIFS(考核调整事项表!$C:$C,考核调整事项表!$B:$B,累计利润调整表!$A34,考核调整事项表!$D:$D,I$3)+SUMIFS(考核调整事项表!$E:$E,考核调整事项表!$B:$B,累计利润调整表!$A34,考核调整事项表!$F:$F,I$3)</f>
        <v>-2972163.3850000002</v>
      </c>
      <c r="J34" s="202">
        <f>SUM(J35:J37)+SUMIFS(考核调整事项表!$C:$C,考核调整事项表!$B:$B,累计利润调整表!$A34,考核调整事项表!$D:$D,J$3)+SUMIFS(考核调整事项表!$E:$E,考核调整事项表!$B:$B,累计利润调整表!$A34,考核调整事项表!$F:$F,J$3)</f>
        <v>37735.85</v>
      </c>
      <c r="K34" s="200">
        <f>SUM(K35:K37)</f>
        <v>4456336.4649999999</v>
      </c>
      <c r="L34" s="202">
        <f>SUM(L35:L37)+SUMIFS(考核调整事项表!$C:$C,考核调整事项表!$B:$B,累计利润调整表!$A34,考核调整事项表!$D:$D,L$3)+SUMIFS(考核调整事项表!$E:$E,考核调整事项表!$B:$B,累计利润调整表!$A34,考核调整事项表!$F:$F,L$3)</f>
        <v>0</v>
      </c>
      <c r="M34" s="202">
        <f>SUM(M35:M37)+SUMIFS(考核调整事项表!$C:$C,考核调整事项表!$B:$B,累计利润调整表!$A34,考核调整事项表!$D:$D,M$3)+SUMIFS(考核调整事项表!$E:$E,考核调整事项表!$B:$B,累计利润调整表!$A34,考核调整事项表!$F:$F,M$3)</f>
        <v>2822924.13</v>
      </c>
      <c r="N34" s="202">
        <f>SUM(N35:N37)+SUMIFS(考核调整事项表!$C:$C,考核调整事项表!$B:$B,累计利润调整表!$A34,考核调整事项表!$D:$D,N$3)+SUMIFS(考核调整事项表!$E:$E,考核调整事项表!$B:$B,累计利润调整表!$A34,考核调整事项表!$F:$F,N$3)</f>
        <v>1559039.1049999995</v>
      </c>
      <c r="O34" s="202">
        <f>SUM(O35:O37)+SUMIFS(考核调整事项表!$C:$C,考核调整事项表!$B:$B,累计利润调整表!$A34,考核调整事项表!$D:$D,O$3)+SUMIFS(考核调整事项表!$E:$E,考核调整事项表!$B:$B,累计利润调整表!$A34,考核调整事项表!$F:$F,O$3)</f>
        <v>-37735.85</v>
      </c>
      <c r="P34" s="202">
        <f>SUM(P35:P37)+SUMIFS(考核调整事项表!$C:$C,考核调整事项表!$B:$B,累计利润调整表!$A34,考核调整事项表!$D:$D,P$3)+SUMIFS(考核调整事项表!$E:$E,考核调整事项表!$B:$B,累计利润调整表!$A34,考核调整事项表!$F:$F,P$3)</f>
        <v>0</v>
      </c>
      <c r="Q34" s="202">
        <f>SUM(Q35:Q37)+SUMIFS(考核调整事项表!$C:$C,考核调整事项表!$B:$B,累计利润调整表!$A34,考核调整事项表!$D:$D,Q$3)+SUMIFS(考核调整事项表!$E:$E,考核调整事项表!$B:$B,累计利润调整表!$A34,考核调整事项表!$F:$F,Q$3)</f>
        <v>0</v>
      </c>
      <c r="R34" s="202">
        <f>SUM(R35:R37)+SUMIFS(考核调整事项表!$C:$C,考核调整事项表!$B:$B,累计利润调整表!$A34,考核调整事项表!$D:$D,R$3)+SUMIFS(考核调整事项表!$E:$E,考核调整事项表!$B:$B,累计利润调整表!$A34,考核调整事项表!$F:$F,R$3)</f>
        <v>0</v>
      </c>
      <c r="S34" s="200">
        <f>SUM(T34:Z34)</f>
        <v>-3514559.32</v>
      </c>
      <c r="T34" s="202">
        <f>SUM(T35:T37)+SUMIFS(考核调整事项表!$C:$C,考核调整事项表!$B:$B,累计利润调整表!$A34,考核调整事项表!$D:$D,T$3)+SUMIFS(考核调整事项表!$E:$E,考核调整事项表!$B:$B,累计利润调整表!$A34,考核调整事项表!$F:$F,T$3)</f>
        <v>-2661012.15</v>
      </c>
      <c r="U34" s="202">
        <f>SUM(U35:U37)+SUMIFS(考核调整事项表!$C:$C,考核调整事项表!$B:$B,累计利润调整表!$A34,考核调整事项表!$D:$D,U$3)+SUMIFS(考核调整事项表!$E:$E,考核调整事项表!$B:$B,累计利润调整表!$A34,考核调整事项表!$F:$F,U$3)</f>
        <v>915528.3</v>
      </c>
      <c r="V34" s="202">
        <f>SUM(V35:V37)+SUMIFS(考核调整事项表!$C:$C,考核调整事项表!$B:$B,累计利润调整表!$A34,考核调整事项表!$D:$D,V$3)+SUMIFS(考核调整事项表!$E:$E,考核调整事项表!$B:$B,累计利润调整表!$A34,考核调整事项表!$F:$F,V$3)</f>
        <v>-1769075.47</v>
      </c>
      <c r="W34" s="202">
        <f>SUM(W35:W37)+SUMIFS(考核调整事项表!$C:$C,考核调整事项表!$B:$B,累计利润调整表!$A34,考核调整事项表!$D:$D,W$3)+SUMIFS(考核调整事项表!$E:$E,考核调整事项表!$B:$B,累计利润调整表!$A34,考核调整事项表!$F:$F,W$3)</f>
        <v>0</v>
      </c>
      <c r="X34" s="202">
        <f>SUM(X35:X37)+SUMIFS(考核调整事项表!$C:$C,考核调整事项表!$B:$B,累计利润调整表!$A34,考核调整事项表!$D:$D,X$3)+SUMIFS(考核调整事项表!$E:$E,考核调整事项表!$B:$B,累计利润调整表!$A34,考核调整事项表!$F:$F,X$3)</f>
        <v>0</v>
      </c>
      <c r="Y34" s="200">
        <f t="shared" ref="Y34:AA34" si="14">SUM(Y35:Y37)</f>
        <v>0</v>
      </c>
      <c r="Z34" s="200">
        <f t="shared" ref="Z34" si="15">SUM(Z35:Z37)</f>
        <v>0</v>
      </c>
      <c r="AA34" s="200">
        <f t="shared" si="14"/>
        <v>-566037.73</v>
      </c>
      <c r="AB34" s="200">
        <f t="shared" ref="AB34" si="16">SUM(AB35:AB37)</f>
        <v>0</v>
      </c>
    </row>
    <row r="35" spans="1:28" s="167" customFormat="1">
      <c r="A35" s="201" t="s">
        <v>36</v>
      </c>
      <c r="B35" s="200">
        <f t="shared" ref="B35:B56" si="17">SUM(C35:F35)+K35+S35+AA35+AB35</f>
        <v>0</v>
      </c>
      <c r="C35" s="202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202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202">
        <f>SUMIFS(考核调整事项表!$C:$C,考核调整事项表!$B:$B,累计利润调整表!$A35,考核调整事项表!$D:$D,E$3)+SUMIFS(考核调整事项表!$E:$E,考核调整事项表!$B:$B,累计利润调整表!$A35,考核调整事项表!$F:$F,E$3)</f>
        <v>-2171981.13</v>
      </c>
      <c r="F35" s="202">
        <f>SUM(G35:J35)</f>
        <v>37735.85</v>
      </c>
      <c r="G35" s="202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202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202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202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200">
        <f>SUM(L35:R35)</f>
        <v>2134245.2799999998</v>
      </c>
      <c r="L35" s="202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202">
        <f>SUMIFS(考核调整事项表!$C:$C,考核调整事项表!$B:$B,累计利润调整表!$A35,考核调整事项表!$D:$D,M$3)+SUMIFS(考核调整事项表!$E:$E,考核调整事项表!$B:$B,累计利润调整表!$A35,考核调整事项表!$F:$F,M$3)</f>
        <v>2171981.13</v>
      </c>
      <c r="N35" s="202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202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202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202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202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200">
        <f t="shared" ref="S35:S56" si="18">SUM(T35:Z35)</f>
        <v>0</v>
      </c>
      <c r="T35" s="202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202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202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202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202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202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202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202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202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</row>
    <row r="36" spans="1:28" s="167" customFormat="1">
      <c r="A36" s="201" t="s">
        <v>37</v>
      </c>
      <c r="B36" s="200">
        <f t="shared" si="17"/>
        <v>-4.6566128730773926E-10</v>
      </c>
      <c r="C36" s="202">
        <f>SUMIFS(考核调整事项表!$C:$C,考核调整事项表!$B:$B,累计利润调整表!$A36,考核调整事项表!$D:$D,C$3)+SUMIFS(考核调整事项表!$E:$E,考核调整事项表!$B:$B,累计利润调整表!$A36,考核调整事项表!$F:$F,C$3)</f>
        <v>547625.35000000009</v>
      </c>
      <c r="D36" s="202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202">
        <f>SUMIFS(考核调整事项表!$C:$C,考核调整事项表!$B:$B,累计利润调整表!$A36,考核调整事项表!$D:$D,E$3)+SUMIFS(考核调整事项表!$E:$E,考核调整事项表!$B:$B,累计利润调整表!$A36,考核调整事项表!$F:$F,E$3)</f>
        <v>3891462.2699999996</v>
      </c>
      <c r="F36" s="202">
        <f t="shared" ref="F36:F53" si="19">SUM(G36:J36)</f>
        <v>0</v>
      </c>
      <c r="G36" s="202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202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202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202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200">
        <f t="shared" ref="K36:K43" si="20">SUM(L36:R36)</f>
        <v>0</v>
      </c>
      <c r="L36" s="202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202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202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202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202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202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202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200">
        <f t="shared" si="18"/>
        <v>-3873049.8899999997</v>
      </c>
      <c r="T36" s="202">
        <f>SUMIFS(考核调整事项表!$C:$C,考核调整事项表!$B:$B,累计利润调整表!$A36,考核调整事项表!$D:$D,T$3)+SUMIFS(考核调整事项表!$E:$E,考核调整事项表!$B:$B,累计利润调整表!$A36,考核调整事项表!$F:$F,T$3)</f>
        <v>-2661012.15</v>
      </c>
      <c r="U36" s="202">
        <f>SUMIFS(考核调整事项表!$C:$C,考核调整事项表!$B:$B,累计利润调整表!$A36,考核调整事项表!$D:$D,U$3)+SUMIFS(考核调整事项表!$E:$E,考核调整事项表!$B:$B,累计利润调整表!$A36,考核调整事项表!$F:$F,U$3)</f>
        <v>557037.73</v>
      </c>
      <c r="V36" s="202">
        <f>SUMIFS(考核调整事项表!$C:$C,考核调整事项表!$B:$B,累计利润调整表!$A36,考核调整事项表!$D:$D,V$3)+SUMIFS(考核调整事项表!$E:$E,考核调整事项表!$B:$B,累计利润调整表!$A36,考核调整事项表!$F:$F,V$3)</f>
        <v>-1769075.47</v>
      </c>
      <c r="W36" s="202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202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  <c r="Y36" s="202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202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202">
        <f>SUMIFS(考核调整事项表!$C:$C,考核调整事项表!$B:$B,累计利润调整表!$A36,考核调整事项表!$D:$D,AA$3)+SUMIFS(考核调整事项表!$E:$E,考核调整事项表!$B:$B,累计利润调整表!$A36,考核调整事项表!$F:$F,AA$3)</f>
        <v>-566037.73</v>
      </c>
      <c r="AB36" s="202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</row>
    <row r="37" spans="1:28" s="167" customFormat="1">
      <c r="A37" s="201" t="s">
        <v>38</v>
      </c>
      <c r="B37" s="200">
        <f t="shared" si="17"/>
        <v>-1.2223608791828156E-9</v>
      </c>
      <c r="C37" s="202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202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202">
        <f>SUMIFS(考核调整事项表!$C:$C,考核调整事项表!$B:$B,累计利润调整表!$A37,考核调整事项表!$D:$D,E$3)+SUMIFS(考核调整事项表!$E:$E,考核调整事项表!$B:$B,累计利润调整表!$A37,考核调整事项表!$F:$F,E$3)</f>
        <v>2527039.0504905665</v>
      </c>
      <c r="F37" s="202">
        <f t="shared" si="19"/>
        <v>-6783606.3554905672</v>
      </c>
      <c r="G37" s="202">
        <f>SUMIFS(考核调整事项表!$C:$C,考核调整事项表!$B:$B,累计利润调整表!$A37,考核调整事项表!$D:$D,G$3)+SUMIFS(考核调整事项表!$E:$E,考核调整事项表!$B:$B,累计利润调整表!$A37,考核调整事项表!$F:$F,G$3)</f>
        <v>-3811442.9704905665</v>
      </c>
      <c r="H37" s="202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202">
        <f>SUMIFS(考核调整事项表!$C:$C,考核调整事项表!$B:$B,累计利润调整表!$A37,考核调整事项表!$D:$D,I$3)+SUMIFS(考核调整事项表!$E:$E,考核调整事项表!$B:$B,累计利润调整表!$A37,考核调整事项表!$F:$F,I$3)</f>
        <v>-2972163.3850000002</v>
      </c>
      <c r="J37" s="202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00">
        <f t="shared" si="20"/>
        <v>2322091.1849999996</v>
      </c>
      <c r="L37" s="202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202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202">
        <f>SUMIFS(考核调整事项表!$C:$C,考核调整事项表!$B:$B,累计利润调整表!$A37,考核调整事项表!$D:$D,N$3)+SUMIFS(考核调整事项表!$E:$E,考核调整事项表!$B:$B,累计利润调整表!$A37,考核调整事项表!$F:$F,N$3)</f>
        <v>2322091.1849999996</v>
      </c>
      <c r="O37" s="202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202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202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202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200">
        <f t="shared" si="18"/>
        <v>358490.57</v>
      </c>
      <c r="T37" s="202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202">
        <f>SUMIFS(考核调整事项表!$C:$C,考核调整事项表!$B:$B,累计利润调整表!$A37,考核调整事项表!$D:$D,U$3)+SUMIFS(考核调整事项表!$E:$E,考核调整事项表!$B:$B,累计利润调整表!$A37,考核调整事项表!$F:$F,U$3)</f>
        <v>358490.57</v>
      </c>
      <c r="V37" s="202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202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202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202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202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202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202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</row>
    <row r="38" spans="1:28" s="167" customFormat="1">
      <c r="A38" s="31" t="s">
        <v>39</v>
      </c>
      <c r="B38" s="200">
        <f t="shared" si="17"/>
        <v>9.3132257461547852E-10</v>
      </c>
      <c r="C38" s="200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200">
        <f>SUMIFS(考核调整事项表!$C:$C,考核调整事项表!$B:$B,累计利润调整表!$A38,考核调整事项表!$D:$D,D$3)+SUMIFS(考核调整事项表!$E:$E,考核调整事项表!$B:$B,累计利润调整表!$A38,考核调整事项表!$F:$F,D$3)</f>
        <v>-17496792.496666752</v>
      </c>
      <c r="E38" s="200">
        <f>SUMIFS(考核调整事项表!$C:$C,考核调整事项表!$B:$B,累计利润调整表!$A38,考核调整事项表!$D:$D,E$3)+SUMIFS(考核调整事项表!$E:$E,考核调整事项表!$B:$B,累计利润调整表!$A38,考核调整事项表!$F:$F,E$3)</f>
        <v>23401170.230000086</v>
      </c>
      <c r="F38" s="202">
        <f t="shared" si="19"/>
        <v>2330320.96</v>
      </c>
      <c r="G38" s="200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200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200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200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200">
        <f t="shared" si="20"/>
        <v>-11447587.58</v>
      </c>
      <c r="L38" s="200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200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200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200">
        <f>SUMIFS(考核调整事项表!$C:$C,考核调整事项表!$B:$B,累计利润调整表!$A38,考核调整事项表!$D:$D,O$3)+SUMIFS(考核调整事项表!$E:$E,考核调整事项表!$B:$B,累计利润调整表!$A38,考核调整事项表!$F:$F,O$3)</f>
        <v>-11346590.550000001</v>
      </c>
      <c r="P38" s="200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200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200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200">
        <f t="shared" si="18"/>
        <v>3212888.8866666667</v>
      </c>
      <c r="T38" s="200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200">
        <f>SUMIFS(考核调整事项表!$C:$C,考核调整事项表!$B:$B,累计利润调整表!$A38,考核调整事项表!$D:$D,U$3)+SUMIFS(考核调整事项表!$E:$E,考核调整事项表!$B:$B,累计利润调整表!$A38,考核调整事项表!$F:$F,U$3)</f>
        <v>3052222.22</v>
      </c>
      <c r="V38" s="200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160666.66666666669</v>
      </c>
      <c r="W38" s="200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200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200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200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200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200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</row>
    <row r="39" spans="1:28" s="167" customFormat="1">
      <c r="A39" s="31" t="s">
        <v>40</v>
      </c>
      <c r="B39" s="200">
        <f t="shared" si="17"/>
        <v>5.2386894822120667E-10</v>
      </c>
      <c r="C39" s="200">
        <f>SUMIFS(考核调整事项表!$C:$C,考核调整事项表!$B:$B,累计利润调整表!$A39,考核调整事项表!$D:$D,C$3)+SUMIFS(考核调整事项表!$E:$E,考核调整事项表!$B:$B,累计利润调整表!$A39,考核调整事项表!$F:$F,C$3)</f>
        <v>-15825670.559999999</v>
      </c>
      <c r="D39" s="200">
        <f>SUMIFS(考核调整事项表!$C:$C,考核调整事项表!$B:$B,累计利润调整表!$A39,考核调整事项表!$D:$D,D$3)+SUMIFS(考核调整事项表!$E:$E,考核调整事项表!$B:$B,累计利润调整表!$A39,考核调整事项表!$F:$F,D$3)</f>
        <v>5831881.5270000007</v>
      </c>
      <c r="E39" s="200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02">
        <f t="shared" si="19"/>
        <v>-5242980.9300000006</v>
      </c>
      <c r="G39" s="203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203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203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203">
        <f>SUMIFS(考核调整事项表!$C:$C,考核调整事项表!$B:$B,累计利润调整表!$A39,考核调整事项表!$D:$D,J$3)+SUMIFS(考核调整事项表!$E:$E,考核调整事项表!$B:$B,累计利润调整表!$A39,考核调整事项表!$F:$F,J$3)</f>
        <v>-6818966.4800000004</v>
      </c>
      <c r="K39" s="200">
        <f t="shared" si="20"/>
        <v>15324040.773</v>
      </c>
      <c r="L39" s="200">
        <f>SUMIFS(考核调整事项表!$C:$C,考核调整事项表!$B:$B,累计利润调整表!$A39,考核调整事项表!$D:$D,L$3)+SUMIFS(考核调整事项表!$E:$E,考核调整事项表!$B:$B,累计利润调整表!$A39,考核调整事项表!$F:$F,L$3)</f>
        <v>-1089667.57</v>
      </c>
      <c r="M39" s="200">
        <f>SUMIFS(考核调整事项表!$C:$C,考核调整事项表!$B:$B,累计利润调整表!$A39,考核调整事项表!$D:$D,M$3)+SUMIFS(考核调整事项表!$E:$E,考核调整事项表!$B:$B,累计利润调整表!$A39,考核调整事项表!$F:$F,M$3)</f>
        <v>-3250781.8770000003</v>
      </c>
      <c r="N39" s="200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200">
        <f>SUMIFS(考核调整事项表!$C:$C,考核调整事项表!$B:$B,累计利润调整表!$A39,考核调整事项表!$D:$D,O$3)+SUMIFS(考核调整事项表!$E:$E,考核调整事项表!$B:$B,累计利润调整表!$A39,考核调整事项表!$F:$F,O$3)</f>
        <v>6900518.0700000003</v>
      </c>
      <c r="P39" s="200">
        <f>SUMIFS(考核调整事项表!$C:$C,考核调整事项表!$B:$B,累计利润调整表!$A39,考核调整事项表!$D:$D,P$3)+SUMIFS(考核调整事项表!$E:$E,考核调整事项表!$B:$B,累计利润调整表!$A39,考核调整事项表!$F:$F,P$3)</f>
        <v>87270.81</v>
      </c>
      <c r="Q39" s="200">
        <f>SUMIFS(考核调整事项表!$C:$C,考核调整事项表!$B:$B,累计利润调整表!$A39,考核调整事项表!$D:$D,Q$3)+SUMIFS(考核调整事项表!$E:$E,考核调整事项表!$B:$B,累计利润调整表!$A39,考核调整事项表!$F:$F,Q$3)</f>
        <v>12676701.34</v>
      </c>
      <c r="R39" s="200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200">
        <f t="shared" si="18"/>
        <v>-87270.81</v>
      </c>
      <c r="T39" s="200">
        <f>SUMIFS(考核调整事项表!$C:$C,考核调整事项表!$B:$B,累计利润调整表!$A39,考核调整事项表!$D:$D,T$3)+SUMIFS(考核调整事项表!$E:$E,考核调整事项表!$B:$B,累计利润调整表!$A39,考核调整事项表!$F:$F,T$3)</f>
        <v>-87270.81</v>
      </c>
      <c r="U39" s="200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200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200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200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200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200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200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200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</row>
    <row r="40" spans="1:28" s="167" customFormat="1">
      <c r="A40" s="31" t="s">
        <v>41</v>
      </c>
      <c r="B40" s="200">
        <f t="shared" si="17"/>
        <v>0</v>
      </c>
      <c r="C40" s="200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200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200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202">
        <f t="shared" si="19"/>
        <v>0</v>
      </c>
      <c r="G40" s="200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200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200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200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00">
        <f t="shared" si="20"/>
        <v>0</v>
      </c>
      <c r="L40" s="200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200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200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200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200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200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200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200">
        <f t="shared" si="18"/>
        <v>0</v>
      </c>
      <c r="T40" s="200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200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200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200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200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200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200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200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200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</row>
    <row r="41" spans="1:28" s="167" customFormat="1">
      <c r="A41" s="31" t="s">
        <v>42</v>
      </c>
      <c r="B41" s="200">
        <f>SUM(C41:F41)+K41+S41+AA41+AB41</f>
        <v>-179320233.51666662</v>
      </c>
      <c r="C41" s="200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1646611.669999999</v>
      </c>
      <c r="D41" s="200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200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1719664.4000000001</v>
      </c>
      <c r="F41" s="202">
        <f t="shared" si="19"/>
        <v>-195694529.28999996</v>
      </c>
      <c r="G41" s="200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-174941.23</v>
      </c>
      <c r="H41" s="200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-195818679.15999997</v>
      </c>
      <c r="I41" s="200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3817027.8500000006</v>
      </c>
      <c r="J41" s="200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-3517936.75</v>
      </c>
      <c r="K41" s="200">
        <f t="shared" si="20"/>
        <v>12972698.403333334</v>
      </c>
      <c r="L41" s="200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-12150877.630000001</v>
      </c>
      <c r="M41" s="200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-1646611.669999999</v>
      </c>
      <c r="N41" s="200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-511499.02999999991</v>
      </c>
      <c r="O41" s="200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29535813.353333335</v>
      </c>
      <c r="P41" s="200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-35321.300000000003</v>
      </c>
      <c r="Q41" s="200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-2218805.3199999998</v>
      </c>
      <c r="R41" s="200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200">
        <f t="shared" si="18"/>
        <v>35321.300000000003</v>
      </c>
      <c r="T41" s="200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35321.300000000003</v>
      </c>
      <c r="U41" s="200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200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200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200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200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200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200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200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</row>
    <row r="42" spans="1:28" s="167" customFormat="1">
      <c r="A42" s="31" t="s">
        <v>43</v>
      </c>
      <c r="B42" s="200">
        <f t="shared" si="17"/>
        <v>0</v>
      </c>
      <c r="C42" s="200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200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200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202">
        <f t="shared" si="19"/>
        <v>0</v>
      </c>
      <c r="G42" s="200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200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200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200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00">
        <f t="shared" si="20"/>
        <v>0</v>
      </c>
      <c r="L42" s="200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200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200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200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200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200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200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200">
        <f t="shared" si="18"/>
        <v>0</v>
      </c>
      <c r="T42" s="200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200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200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200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200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200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200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200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200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</row>
    <row r="43" spans="1:28" s="167" customFormat="1">
      <c r="A43" s="31" t="s">
        <v>44</v>
      </c>
      <c r="B43" s="200">
        <f t="shared" si="17"/>
        <v>0</v>
      </c>
      <c r="C43" s="200">
        <f>SUMIFS(考核调整事项表!$C:$C,考核调整事项表!$B:$B,累计利润调整表!$A43,考核调整事项表!$D:$D,C$3)+SUMIFS(考核调整事项表!$E:$E,考核调整事项表!$B:$B,累计利润调整表!$A43,考核调整事项表!$F:$F,C$3)</f>
        <v>-3573584.7700000014</v>
      </c>
      <c r="D43" s="200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200">
        <f>SUMIFS(考核调整事项表!$C:$C,考核调整事项表!$B:$B,累计利润调整表!$A43,考核调整事项表!$D:$D,E$3)+SUMIFS(考核调整事项表!$E:$E,考核调整事项表!$B:$B,累计利润调整表!$A43,考核调整事项表!$F:$F,E$3)</f>
        <v>3573584.7700000014</v>
      </c>
      <c r="F43" s="202">
        <f t="shared" si="19"/>
        <v>0</v>
      </c>
      <c r="G43" s="200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200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200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200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00">
        <f t="shared" si="20"/>
        <v>0</v>
      </c>
      <c r="L43" s="200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200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200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200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200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200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200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200">
        <f t="shared" si="18"/>
        <v>0</v>
      </c>
      <c r="T43" s="200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200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200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200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200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200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200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200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200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</row>
    <row r="44" spans="1:28" s="167" customFormat="1">
      <c r="A44" s="34" t="s">
        <v>45</v>
      </c>
      <c r="B44" s="204">
        <f t="shared" si="17"/>
        <v>5.1222741603851318E-9</v>
      </c>
      <c r="C44" s="204">
        <f t="shared" ref="C44:K44" si="21">SUM(C45:C48)</f>
        <v>-924730.31000000041</v>
      </c>
      <c r="D44" s="204">
        <f t="shared" si="21"/>
        <v>20697157.860000003</v>
      </c>
      <c r="E44" s="204">
        <f t="shared" si="21"/>
        <v>-2975849.6900000004</v>
      </c>
      <c r="F44" s="204">
        <f t="shared" si="21"/>
        <v>772438.11999999988</v>
      </c>
      <c r="G44" s="204">
        <f t="shared" ref="G44" si="22">SUM(G45:G48)</f>
        <v>-728488.72000000009</v>
      </c>
      <c r="H44" s="204">
        <f t="shared" ref="H44:J44" si="23">SUM(H45:H48)</f>
        <v>24700</v>
      </c>
      <c r="I44" s="204">
        <f t="shared" si="23"/>
        <v>1488619.63</v>
      </c>
      <c r="J44" s="204">
        <f t="shared" si="23"/>
        <v>-12392.790000000023</v>
      </c>
      <c r="K44" s="204">
        <f t="shared" si="21"/>
        <v>-564364.98</v>
      </c>
      <c r="L44" s="204">
        <f t="shared" ref="L44:T44" si="24">SUM(L45:L48)</f>
        <v>-108178.26</v>
      </c>
      <c r="M44" s="204">
        <f t="shared" ref="M44" si="25">SUM(M45:M48)</f>
        <v>-31511.300000000003</v>
      </c>
      <c r="N44" s="204">
        <f t="shared" si="24"/>
        <v>18189.82</v>
      </c>
      <c r="O44" s="204">
        <f t="shared" si="24"/>
        <v>176062.40999999997</v>
      </c>
      <c r="P44" s="204">
        <f t="shared" si="24"/>
        <v>3865.47</v>
      </c>
      <c r="Q44" s="204">
        <f t="shared" si="24"/>
        <v>301223.98</v>
      </c>
      <c r="R44" s="204">
        <f t="shared" si="24"/>
        <v>-924017.1</v>
      </c>
      <c r="S44" s="204">
        <f t="shared" si="18"/>
        <v>-18484462.969999999</v>
      </c>
      <c r="T44" s="204">
        <f t="shared" si="24"/>
        <v>32101.519999999997</v>
      </c>
      <c r="U44" s="204">
        <f t="shared" ref="U44:AA44" si="26">SUM(U45:U48)</f>
        <v>-15375060.569999998</v>
      </c>
      <c r="V44" s="204">
        <f t="shared" si="26"/>
        <v>-3286736.71</v>
      </c>
      <c r="W44" s="204">
        <f t="shared" si="26"/>
        <v>0</v>
      </c>
      <c r="X44" s="204">
        <f t="shared" si="26"/>
        <v>0</v>
      </c>
      <c r="Y44" s="204">
        <f t="shared" si="26"/>
        <v>0</v>
      </c>
      <c r="Z44" s="204">
        <f t="shared" ref="Z44" si="27">SUM(Z45:Z48)</f>
        <v>145232.79</v>
      </c>
      <c r="AA44" s="204">
        <f t="shared" si="26"/>
        <v>1479811.9700000002</v>
      </c>
      <c r="AB44" s="204">
        <f t="shared" ref="AB44" si="28">SUM(AB45:AB48)</f>
        <v>0</v>
      </c>
    </row>
    <row r="45" spans="1:28" s="167" customFormat="1">
      <c r="A45" s="32" t="s">
        <v>46</v>
      </c>
      <c r="B45" s="200">
        <f t="shared" si="17"/>
        <v>-2.0463630789890885E-11</v>
      </c>
      <c r="C45" s="202">
        <f>SUMIFS(考核调整事项表!$C:$C,考核调整事项表!$B:$B,累计利润调整表!$A45,考核调整事项表!$D:$D,C$3)+SUMIFS(考核调整事项表!$E:$E,考核调整事项表!$B:$B,累计利润调整表!$A45,考核调整事项表!$F:$F,C$3)</f>
        <v>-98654.83</v>
      </c>
      <c r="D45" s="202">
        <f>SUMIFS(考核调整事项表!$C:$C,考核调整事项表!$B:$B,累计利润调整表!$A45,考核调整事项表!$D:$D,D$3)+SUMIFS(考核调整事项表!$E:$E,考核调整事项表!$B:$B,累计利润调整表!$A45,考核调整事项表!$F:$F,D$3)</f>
        <v>41989.55</v>
      </c>
      <c r="E45" s="202">
        <f>SUMIFS(考核调整事项表!$C:$C,考核调整事项表!$B:$B,累计利润调整表!$A45,考核调整事项表!$D:$D,E$3)+SUMIFS(考核调整事项表!$E:$E,考核调整事项表!$B:$B,累计利润调整表!$A45,考核调整事项表!$F:$F,E$3)</f>
        <v>31382.129999999994</v>
      </c>
      <c r="F45" s="202">
        <f t="shared" si="19"/>
        <v>-86319.72</v>
      </c>
      <c r="G45" s="202">
        <f>SUMIFS(考核调整事项表!$C:$C,考核调整事项表!$B:$B,累计利润调整表!$A45,考核调整事项表!$D:$D,G$3)+SUMIFS(考核调整事项表!$E:$E,考核调整事项表!$B:$B,累计利润调整表!$A45,考核调整事项表!$F:$F,G$3)</f>
        <v>-16095.279999999997</v>
      </c>
      <c r="H45" s="202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202">
        <f>SUMIFS(考核调整事项表!$C:$C,考核调整事项表!$B:$B,累计利润调整表!$A45,考核调整事项表!$D:$D,I$3)+SUMIFS(考核调整事项表!$E:$E,考核调整事项表!$B:$B,累计利润调整表!$A45,考核调整事项表!$F:$F,I$3)</f>
        <v>-21399.58</v>
      </c>
      <c r="J45" s="202">
        <f>SUMIFS(考核调整事项表!$C:$C,考核调整事项表!$B:$B,累计利润调整表!$A45,考核调整事项表!$D:$D,J$3)+SUMIFS(考核调整事项表!$E:$E,考核调整事项表!$B:$B,累计利润调整表!$A45,考核调整事项表!$F:$F,J$3)</f>
        <v>-48824.86</v>
      </c>
      <c r="K45" s="200">
        <f t="shared" ref="K45:K48" si="29">SUM(L45:R45)</f>
        <v>141611.51999999999</v>
      </c>
      <c r="L45" s="202">
        <f>SUMIFS(考核调整事项表!$C:$C,考核调整事项表!$B:$B,累计利润调整表!$A45,考核调整事项表!$D:$D,L$3)+SUMIFS(考核调整事项表!$E:$E,考核调整事项表!$B:$B,累计利润调整表!$A45,考核调整事项表!$F:$F,L$3)</f>
        <v>-7845.61</v>
      </c>
      <c r="M45" s="202">
        <f>SUMIFS(考核调整事项表!$C:$C,考核调整事项表!$B:$B,累计利润调整表!$A45,考核调整事项表!$D:$D,M$3)+SUMIFS(考核调整事项表!$E:$E,考核调整事项表!$B:$B,累计利润调整表!$A45,考核调整事项表!$F:$F,M$3)</f>
        <v>-3080.58</v>
      </c>
      <c r="N45" s="202">
        <f>SUMIFS(考核调整事项表!$C:$C,考核调整事项表!$B:$B,累计利润调整表!$A45,考核调整事项表!$D:$D,N$3)+SUMIFS(考核调整事项表!$E:$E,考核调整事项表!$B:$B,累计利润调整表!$A45,考核调整事项表!$F:$F,N$3)</f>
        <v>11225.08</v>
      </c>
      <c r="O45" s="202">
        <f>SUMIFS(考核调整事项表!$C:$C,考核调整事项表!$B:$B,累计利润调整表!$A45,考核调整事项表!$D:$D,O$3)+SUMIFS(考核调整事项表!$E:$E,考核调整事项表!$B:$B,累计利润调整表!$A45,考核调整事项表!$F:$F,O$3)</f>
        <v>49412.03</v>
      </c>
      <c r="P45" s="202">
        <f>SUMIFS(考核调整事项表!$C:$C,考核调整事项表!$B:$B,累计利润调整表!$A45,考核调整事项表!$D:$D,P$3)+SUMIFS(考核调整事项表!$E:$E,考核调整事项表!$B:$B,累计利润调整表!$A45,考核调整事项表!$F:$F,P$3)</f>
        <v>628.35</v>
      </c>
      <c r="Q45" s="202">
        <f>SUMIFS(考核调整事项表!$C:$C,考核调整事项表!$B:$B,累计利润调整表!$A45,考核调整事项表!$D:$D,Q$3)+SUMIFS(考核调整事项表!$E:$E,考核调整事项表!$B:$B,累计利润调整表!$A45,考核调整事项表!$F:$F,Q$3)</f>
        <v>91272.25</v>
      </c>
      <c r="R45" s="202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202">
        <f t="shared" si="18"/>
        <v>-25933.18</v>
      </c>
      <c r="T45" s="202">
        <f>SUMIFS(考核调整事项表!$C:$C,考核调整事项表!$B:$B,累计利润调整表!$A45,考核调整事项表!$D:$D,T$3)+SUMIFS(考核调整事项表!$E:$E,考核调整事项表!$B:$B,累计利润调整表!$A45,考核调整事项表!$F:$F,T$3)</f>
        <v>-19787.64</v>
      </c>
      <c r="U45" s="202">
        <f>SUMIFS(考核调整事项表!$C:$C,考核调整事项表!$B:$B,累计利润调整表!$A45,考核调整事项表!$D:$D,U$3)+SUMIFS(考核调整事项表!$E:$E,考核调整事项表!$B:$B,累计利润调整表!$A45,考核调整事项表!$F:$F,U$3)</f>
        <v>6591.7999999999993</v>
      </c>
      <c r="V45" s="202">
        <f>SUMIFS(考核调整事项表!$C:$C,考核调整事项表!$B:$B,累计利润调整表!$A45,考核调整事项表!$D:$D,V$3)+SUMIFS(考核调整事项表!$E:$E,考核调整事项表!$B:$B,累计利润调整表!$A45,考核调整事项表!$F:$F,V$3)</f>
        <v>-12737.34</v>
      </c>
      <c r="W45" s="202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202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  <c r="Y45" s="202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202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202">
        <f>SUMIFS(考核调整事项表!$C:$C,考核调整事项表!$B:$B,累计利润调整表!$A45,考核调整事项表!$D:$D,AA$3)+SUMIFS(考核调整事项表!$E:$E,考核调整事项表!$B:$B,累计利润调整表!$A45,考核调整事项表!$F:$F,AA$3)</f>
        <v>-4075.47</v>
      </c>
      <c r="AB45" s="202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</row>
    <row r="46" spans="1:28" s="167" customFormat="1">
      <c r="A46" s="32" t="s">
        <v>47</v>
      </c>
      <c r="B46" s="200">
        <f>SUM(C46:F46)+K46+S46+AA46+AB46</f>
        <v>2.5611370801925659E-9</v>
      </c>
      <c r="C46" s="202">
        <f>SUMIFS(考核调整事项表!$C:$C,考核调整事项表!$B:$B,累计利润调整表!$A46,考核调整事项表!$D:$D,C$3)+SUMIFS(考核调整事项表!$E:$E,考核调整事项表!$B:$B,累计利润调整表!$A46,考核调整事项表!$F:$F,C$3)</f>
        <v>-826075.48000000045</v>
      </c>
      <c r="D46" s="202">
        <f>SUMIFS(考核调整事项表!$C:$C,考核调整事项表!$B:$B,累计利润调整表!$A46,考核调整事项表!$D:$D,D$3)+SUMIFS(考核调整事项表!$E:$E,考核调整事项表!$B:$B,累计利润调整表!$A46,考核调整事项表!$F:$F,D$3)</f>
        <v>20655168.310000002</v>
      </c>
      <c r="E46" s="202">
        <f>SUMIFS(考核调整事项表!$C:$C,考核调整事项表!$B:$B,累计利润调整表!$A46,考核调整事项表!$D:$D,E$3)+SUMIFS(考核调整事项表!$E:$E,考核调整事项表!$B:$B,累计利润调整表!$A46,考核调整事项表!$F:$F,E$3)</f>
        <v>-3007231.8200000003</v>
      </c>
      <c r="F46" s="202">
        <f t="shared" si="19"/>
        <v>858757.83999999985</v>
      </c>
      <c r="G46" s="202">
        <f>SUMIFS(考核调整事项表!$C:$C,考核调整事项表!$B:$B,累计利润调整表!$A46,考核调整事项表!$D:$D,G$3)+SUMIFS(考核调整事项表!$E:$E,考核调整事项表!$B:$B,累计利润调整表!$A46,考核调整事项表!$F:$F,G$3)</f>
        <v>-712393.44000000006</v>
      </c>
      <c r="H46" s="202">
        <f>SUMIFS(考核调整事项表!$C:$C,考核调整事项表!$B:$B,累计利润调整表!$A46,考核调整事项表!$D:$D,H$3)+SUMIFS(考核调整事项表!$E:$E,考核调整事项表!$B:$B,累计利润调整表!$A46,考核调整事项表!$F:$F,H$3)</f>
        <v>24700</v>
      </c>
      <c r="I46" s="202">
        <f>SUMIFS(考核调整事项表!$C:$C,考核调整事项表!$B:$B,累计利润调整表!$A46,考核调整事项表!$D:$D,I$3)+SUMIFS(考核调整事项表!$E:$E,考核调整事项表!$B:$B,累计利润调整表!$A46,考核调整事项表!$F:$F,I$3)</f>
        <v>1510019.21</v>
      </c>
      <c r="J46" s="202">
        <f>SUMIFS(考核调整事项表!$C:$C,考核调整事项表!$B:$B,累计利润调整表!$A46,考核调整事项表!$D:$D,J$3)+SUMIFS(考核调整事项表!$E:$E,考核调整事项表!$B:$B,累计利润调整表!$A46,考核调整事项表!$F:$F,J$3)</f>
        <v>36432.069999999978</v>
      </c>
      <c r="K46" s="200">
        <f t="shared" si="29"/>
        <v>-705976.5</v>
      </c>
      <c r="L46" s="202">
        <f>SUMIFS(考核调整事项表!$C:$C,考核调整事项表!$B:$B,累计利润调整表!$A46,考核调整事项表!$D:$D,L$3)+SUMIFS(考核调整事项表!$E:$E,考核调整事项表!$B:$B,累计利润调整表!$A46,考核调整事项表!$F:$F,L$3)</f>
        <v>-100332.65</v>
      </c>
      <c r="M46" s="202">
        <f>SUMIFS(考核调整事项表!$C:$C,考核调整事项表!$B:$B,累计利润调整表!$A46,考核调整事项表!$D:$D,M$3)+SUMIFS(考核调整事项表!$E:$E,考核调整事项表!$B:$B,累计利润调整表!$A46,考核调整事项表!$F:$F,M$3)</f>
        <v>-28430.720000000001</v>
      </c>
      <c r="N46" s="202">
        <f>SUMIFS(考核调整事项表!$C:$C,考核调整事项表!$B:$B,累计利润调整表!$A46,考核调整事项表!$D:$D,N$3)+SUMIFS(考核调整事项表!$E:$E,考核调整事项表!$B:$B,累计利润调整表!$A46,考核调整事项表!$F:$F,N$3)</f>
        <v>6964.739999999998</v>
      </c>
      <c r="O46" s="202">
        <f>SUMIFS(考核调整事项表!$C:$C,考核调整事项表!$B:$B,累计利润调整表!$A46,考核调整事项表!$D:$D,O$3)+SUMIFS(考核调整事项表!$E:$E,考核调整事项表!$B:$B,累计利润调整表!$A46,考核调整事项表!$F:$F,O$3)</f>
        <v>126650.37999999998</v>
      </c>
      <c r="P46" s="202">
        <f>SUMIFS(考核调整事项表!$C:$C,考核调整事项表!$B:$B,累计利润调整表!$A46,考核调整事项表!$D:$D,P$3)+SUMIFS(考核调整事项表!$E:$E,考核调整事项表!$B:$B,累计利润调整表!$A46,考核调整事项表!$F:$F,P$3)</f>
        <v>3237.12</v>
      </c>
      <c r="Q46" s="202">
        <f>SUMIFS(考核调整事项表!$C:$C,考核调整事项表!$B:$B,累计利润调整表!$A46,考核调整事项表!$D:$D,Q$3)+SUMIFS(考核调整事项表!$E:$E,考核调整事项表!$B:$B,累计利润调整表!$A46,考核调整事项表!$F:$F,Q$3)</f>
        <v>209951.72999999998</v>
      </c>
      <c r="R46" s="202">
        <f>SUMIFS(考核调整事项表!$C:$C,考核调整事项表!$B:$B,累计利润调整表!$A46,考核调整事项表!$D:$D,R$3)+SUMIFS(考核调整事项表!$E:$E,考核调整事项表!$B:$B,累计利润调整表!$A46,考核调整事项表!$F:$F,R$3)</f>
        <v>-924017.1</v>
      </c>
      <c r="S46" s="202">
        <f t="shared" si="18"/>
        <v>-18458529.789999999</v>
      </c>
      <c r="T46" s="202">
        <f>SUMIFS(考核调整事项表!$C:$C,考核调整事项表!$B:$B,累计利润调整表!$A46,考核调整事项表!$D:$D,T$3)+SUMIFS(考核调整事项表!$E:$E,考核调整事项表!$B:$B,累计利润调整表!$A46,考核调整事项表!$F:$F,T$3)</f>
        <v>51889.159999999996</v>
      </c>
      <c r="U46" s="202">
        <f>SUMIFS(考核调整事项表!$C:$C,考核调整事项表!$B:$B,累计利润调整表!$A46,考核调整事项表!$D:$D,U$3)+SUMIFS(考核调整事项表!$E:$E,考核调整事项表!$B:$B,累计利润调整表!$A46,考核调整事项表!$F:$F,U$3)</f>
        <v>-15381652.369999999</v>
      </c>
      <c r="V46" s="202">
        <f>SUMIFS(考核调整事项表!$C:$C,考核调整事项表!$B:$B,累计利润调整表!$A46,考核调整事项表!$D:$D,V$3)+SUMIFS(考核调整事项表!$E:$E,考核调整事项表!$B:$B,累计利润调整表!$A46,考核调整事项表!$F:$F,V$3)</f>
        <v>-3273999.37</v>
      </c>
      <c r="W46" s="202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202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  <c r="Y46" s="202">
        <f>SUMIFS(考核调整事项表!$C:$C,考核调整事项表!$B:$B,累计利润调整表!$A46,考核调整事项表!$D:$D,Y$3)+SUMIFS(考核调整事项表!$E:$E,考核调整事项表!$B:$B,累计利润调整表!$A46,考核调整事项表!$F:$F,Y$3)</f>
        <v>0</v>
      </c>
      <c r="Z46" s="202">
        <f>SUMIFS(考核调整事项表!$C:$C,考核调整事项表!$B:$B,累计利润调整表!$A46,考核调整事项表!$D:$D,Z$3)+SUMIFS(考核调整事项表!$E:$E,考核调整事项表!$B:$B,累计利润调整表!$A46,考核调整事项表!$F:$F,Z$3)</f>
        <v>145232.79</v>
      </c>
      <c r="AA46" s="202">
        <f>SUMIFS(考核调整事项表!$C:$C,考核调整事项表!$B:$B,累计利润调整表!$A46,考核调整事项表!$D:$D,AA$3)+SUMIFS(考核调整事项表!$E:$E,考核调整事项表!$B:$B,累计利润调整表!$A46,考核调整事项表!$F:$F,AA$3)</f>
        <v>1483887.4400000002</v>
      </c>
      <c r="AB46" s="202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</row>
    <row r="47" spans="1:28" s="167" customFormat="1">
      <c r="A47" s="32" t="s">
        <v>48</v>
      </c>
      <c r="B47" s="200">
        <f t="shared" si="17"/>
        <v>0</v>
      </c>
      <c r="C47" s="202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202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202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202">
        <f t="shared" si="19"/>
        <v>0</v>
      </c>
      <c r="G47" s="202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202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202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202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00">
        <f t="shared" si="29"/>
        <v>0</v>
      </c>
      <c r="L47" s="202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202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202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202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202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202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202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202">
        <f t="shared" si="18"/>
        <v>0</v>
      </c>
      <c r="T47" s="202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202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202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202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202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202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202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202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202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</row>
    <row r="48" spans="1:28" s="167" customFormat="1">
      <c r="A48" s="32" t="s">
        <v>49</v>
      </c>
      <c r="B48" s="200">
        <f t="shared" si="17"/>
        <v>0</v>
      </c>
      <c r="C48" s="202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202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202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202">
        <f t="shared" si="19"/>
        <v>0</v>
      </c>
      <c r="G48" s="202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202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202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202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00">
        <f t="shared" si="29"/>
        <v>0</v>
      </c>
      <c r="L48" s="202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202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202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202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202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202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202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202">
        <f t="shared" si="18"/>
        <v>0</v>
      </c>
      <c r="T48" s="202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202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202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202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202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202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202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202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202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</row>
    <row r="49" spans="1:28" s="167" customFormat="1">
      <c r="A49" s="34" t="s">
        <v>50</v>
      </c>
      <c r="B49" s="204">
        <f t="shared" si="17"/>
        <v>-179208124.43666661</v>
      </c>
      <c r="C49" s="204">
        <f t="shared" ref="C49:K49" si="30">C33-C44</f>
        <v>-14704302.449999999</v>
      </c>
      <c r="D49" s="204">
        <f t="shared" si="30"/>
        <v>-32362068.829666756</v>
      </c>
      <c r="E49" s="204">
        <f t="shared" si="30"/>
        <v>36028898.36049065</v>
      </c>
      <c r="F49" s="204">
        <f t="shared" si="30"/>
        <v>-206125497.88549054</v>
      </c>
      <c r="G49" s="204">
        <f t="shared" ref="G49" si="31">G33-G44</f>
        <v>-1681909.9304905664</v>
      </c>
      <c r="H49" s="204">
        <f t="shared" ref="H49:J49" si="32">H33-H44</f>
        <v>-195843379.15999997</v>
      </c>
      <c r="I49" s="204">
        <f t="shared" si="32"/>
        <v>-643755.16499999957</v>
      </c>
      <c r="J49" s="204">
        <f t="shared" si="32"/>
        <v>-7956453.6299999999</v>
      </c>
      <c r="K49" s="204">
        <f t="shared" si="30"/>
        <v>21869853.041333336</v>
      </c>
      <c r="L49" s="204">
        <f t="shared" ref="L49:T49" si="33">L33-L44</f>
        <v>-13132366.940000001</v>
      </c>
      <c r="M49" s="204">
        <f t="shared" ref="M49" si="34">M33-M44</f>
        <v>-2042958.1169999994</v>
      </c>
      <c r="N49" s="204">
        <f t="shared" si="33"/>
        <v>1029350.2549999997</v>
      </c>
      <c r="O49" s="204">
        <f t="shared" si="33"/>
        <v>24875942.613333333</v>
      </c>
      <c r="P49" s="204">
        <f t="shared" si="33"/>
        <v>48084.039999999994</v>
      </c>
      <c r="Q49" s="204">
        <f t="shared" si="33"/>
        <v>10055675.01</v>
      </c>
      <c r="R49" s="204">
        <f t="shared" si="33"/>
        <v>924017.1</v>
      </c>
      <c r="S49" s="204">
        <f t="shared" si="18"/>
        <v>18130843.026666667</v>
      </c>
      <c r="T49" s="204">
        <f t="shared" si="33"/>
        <v>-2745063.18</v>
      </c>
      <c r="U49" s="204">
        <f t="shared" ref="U49:AA49" si="35">U33-U44</f>
        <v>19342811.09</v>
      </c>
      <c r="V49" s="204">
        <f t="shared" si="35"/>
        <v>1678327.9066666667</v>
      </c>
      <c r="W49" s="204">
        <f t="shared" si="35"/>
        <v>0</v>
      </c>
      <c r="X49" s="204">
        <f t="shared" si="35"/>
        <v>0</v>
      </c>
      <c r="Y49" s="204">
        <f t="shared" si="35"/>
        <v>0</v>
      </c>
      <c r="Z49" s="204">
        <f t="shared" ref="Z49" si="36">Z33-Z44</f>
        <v>-145232.79</v>
      </c>
      <c r="AA49" s="204">
        <f t="shared" si="35"/>
        <v>-2045849.7000000002</v>
      </c>
      <c r="AB49" s="204">
        <f t="shared" ref="AB49" si="37">AB33-AB44</f>
        <v>0</v>
      </c>
    </row>
    <row r="50" spans="1:28" s="167" customFormat="1">
      <c r="A50" s="32" t="s">
        <v>51</v>
      </c>
      <c r="B50" s="200">
        <f t="shared" si="17"/>
        <v>0</v>
      </c>
      <c r="C50" s="200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200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200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202">
        <f t="shared" si="19"/>
        <v>0</v>
      </c>
      <c r="G50" s="200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200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200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200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00">
        <f t="shared" ref="K50:K53" si="38">SUM(L50:R50)</f>
        <v>0</v>
      </c>
      <c r="L50" s="200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200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200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200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200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200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200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200">
        <f t="shared" si="18"/>
        <v>0</v>
      </c>
      <c r="T50" s="200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200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200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200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200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200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200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200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200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</row>
    <row r="51" spans="1:28" s="167" customFormat="1">
      <c r="A51" s="32" t="s">
        <v>52</v>
      </c>
      <c r="B51" s="200">
        <f t="shared" si="17"/>
        <v>0</v>
      </c>
      <c r="C51" s="200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200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200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202">
        <f t="shared" si="19"/>
        <v>0</v>
      </c>
      <c r="G51" s="200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200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200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200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00">
        <f t="shared" si="38"/>
        <v>0</v>
      </c>
      <c r="L51" s="200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200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200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200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200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200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200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200">
        <f t="shared" si="18"/>
        <v>0</v>
      </c>
      <c r="T51" s="200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200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200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200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200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200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200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200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200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</row>
    <row r="52" spans="1:28" s="167" customFormat="1">
      <c r="A52" s="34" t="s">
        <v>53</v>
      </c>
      <c r="B52" s="204">
        <f t="shared" si="17"/>
        <v>-179208124.43666661</v>
      </c>
      <c r="C52" s="204">
        <f t="shared" ref="C52:T52" si="39">C49+C50-C51</f>
        <v>-14704302.449999999</v>
      </c>
      <c r="D52" s="204">
        <f t="shared" si="39"/>
        <v>-32362068.829666756</v>
      </c>
      <c r="E52" s="204">
        <f t="shared" si="39"/>
        <v>36028898.36049065</v>
      </c>
      <c r="F52" s="204">
        <f t="shared" si="39"/>
        <v>-206125497.88549054</v>
      </c>
      <c r="G52" s="204">
        <f t="shared" ref="G52" si="40">G49+G50-G51</f>
        <v>-1681909.9304905664</v>
      </c>
      <c r="H52" s="204">
        <f t="shared" ref="H52:J52" si="41">H49+H50-H51</f>
        <v>-195843379.15999997</v>
      </c>
      <c r="I52" s="204">
        <f t="shared" si="41"/>
        <v>-643755.16499999957</v>
      </c>
      <c r="J52" s="204">
        <f t="shared" si="41"/>
        <v>-7956453.6299999999</v>
      </c>
      <c r="K52" s="204">
        <f t="shared" si="39"/>
        <v>21869853.041333336</v>
      </c>
      <c r="L52" s="204">
        <f t="shared" si="39"/>
        <v>-13132366.940000001</v>
      </c>
      <c r="M52" s="204">
        <f t="shared" ref="M52" si="42">M49+M50-M51</f>
        <v>-2042958.1169999994</v>
      </c>
      <c r="N52" s="204">
        <f t="shared" si="39"/>
        <v>1029350.2549999997</v>
      </c>
      <c r="O52" s="204">
        <f t="shared" si="39"/>
        <v>24875942.613333333</v>
      </c>
      <c r="P52" s="204">
        <f t="shared" si="39"/>
        <v>48084.039999999994</v>
      </c>
      <c r="Q52" s="204">
        <f t="shared" si="39"/>
        <v>10055675.01</v>
      </c>
      <c r="R52" s="204">
        <f t="shared" si="39"/>
        <v>924017.1</v>
      </c>
      <c r="S52" s="204">
        <f t="shared" si="18"/>
        <v>18130843.026666667</v>
      </c>
      <c r="T52" s="204">
        <f t="shared" si="39"/>
        <v>-2745063.18</v>
      </c>
      <c r="U52" s="204">
        <f t="shared" ref="U52:AA52" si="43">U49+U50-U51</f>
        <v>19342811.09</v>
      </c>
      <c r="V52" s="204">
        <f t="shared" si="43"/>
        <v>1678327.9066666667</v>
      </c>
      <c r="W52" s="204">
        <f t="shared" si="43"/>
        <v>0</v>
      </c>
      <c r="X52" s="204">
        <f t="shared" si="43"/>
        <v>0</v>
      </c>
      <c r="Y52" s="204">
        <f t="shared" si="43"/>
        <v>0</v>
      </c>
      <c r="Z52" s="204">
        <f t="shared" ref="Z52" si="44">Z49+Z50-Z51</f>
        <v>-145232.79</v>
      </c>
      <c r="AA52" s="204">
        <f t="shared" si="43"/>
        <v>-2045849.7000000002</v>
      </c>
      <c r="AB52" s="204">
        <f t="shared" ref="AB52" si="45">AB49+AB50-AB51</f>
        <v>0</v>
      </c>
    </row>
    <row r="53" spans="1:28" s="167" customFormat="1">
      <c r="A53" s="32" t="s">
        <v>54</v>
      </c>
      <c r="B53" s="200">
        <f t="shared" si="17"/>
        <v>0</v>
      </c>
      <c r="C53" s="202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202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202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202">
        <f t="shared" si="19"/>
        <v>0</v>
      </c>
      <c r="G53" s="202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202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202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202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00">
        <f t="shared" si="38"/>
        <v>0</v>
      </c>
      <c r="L53" s="202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202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202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202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202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202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202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202">
        <f t="shared" si="18"/>
        <v>0</v>
      </c>
      <c r="T53" s="202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202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202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202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202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202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202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202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202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</row>
    <row r="54" spans="1:28" s="167" customFormat="1">
      <c r="A54" s="34" t="s">
        <v>55</v>
      </c>
      <c r="B54" s="204">
        <f t="shared" si="17"/>
        <v>-179208124.43666661</v>
      </c>
      <c r="C54" s="204">
        <f t="shared" ref="C54:K54" si="46">C52-C53</f>
        <v>-14704302.449999999</v>
      </c>
      <c r="D54" s="204">
        <f t="shared" si="46"/>
        <v>-32362068.829666756</v>
      </c>
      <c r="E54" s="204">
        <f t="shared" si="46"/>
        <v>36028898.36049065</v>
      </c>
      <c r="F54" s="204">
        <f t="shared" si="46"/>
        <v>-206125497.88549054</v>
      </c>
      <c r="G54" s="204">
        <f t="shared" ref="G54" si="47">G52-G53</f>
        <v>-1681909.9304905664</v>
      </c>
      <c r="H54" s="204">
        <f t="shared" ref="H54:J54" si="48">H52-H53</f>
        <v>-195843379.15999997</v>
      </c>
      <c r="I54" s="204">
        <f t="shared" si="48"/>
        <v>-643755.16499999957</v>
      </c>
      <c r="J54" s="204">
        <f t="shared" si="48"/>
        <v>-7956453.6299999999</v>
      </c>
      <c r="K54" s="204">
        <f t="shared" si="46"/>
        <v>21869853.041333336</v>
      </c>
      <c r="L54" s="204">
        <f t="shared" ref="L54:T54" si="49">L52-L53</f>
        <v>-13132366.940000001</v>
      </c>
      <c r="M54" s="204">
        <f t="shared" ref="M54" si="50">M52-M53</f>
        <v>-2042958.1169999994</v>
      </c>
      <c r="N54" s="204">
        <f t="shared" si="49"/>
        <v>1029350.2549999997</v>
      </c>
      <c r="O54" s="204">
        <f t="shared" si="49"/>
        <v>24875942.613333333</v>
      </c>
      <c r="P54" s="204">
        <f t="shared" si="49"/>
        <v>48084.039999999994</v>
      </c>
      <c r="Q54" s="204">
        <f t="shared" si="49"/>
        <v>10055675.01</v>
      </c>
      <c r="R54" s="204">
        <f t="shared" si="49"/>
        <v>924017.1</v>
      </c>
      <c r="S54" s="204">
        <f t="shared" si="18"/>
        <v>18130843.026666667</v>
      </c>
      <c r="T54" s="204">
        <f t="shared" si="49"/>
        <v>-2745063.18</v>
      </c>
      <c r="U54" s="204">
        <f t="shared" ref="U54:AA54" si="51">U52-U53</f>
        <v>19342811.09</v>
      </c>
      <c r="V54" s="204">
        <f t="shared" si="51"/>
        <v>1678327.9066666667</v>
      </c>
      <c r="W54" s="204">
        <f t="shared" si="51"/>
        <v>0</v>
      </c>
      <c r="X54" s="204">
        <f t="shared" si="51"/>
        <v>0</v>
      </c>
      <c r="Y54" s="204">
        <f t="shared" si="51"/>
        <v>0</v>
      </c>
      <c r="Z54" s="204">
        <f t="shared" ref="Z54" si="52">Z52-Z53</f>
        <v>-145232.79</v>
      </c>
      <c r="AA54" s="204">
        <f t="shared" si="51"/>
        <v>-2045849.7000000002</v>
      </c>
      <c r="AB54" s="204">
        <f t="shared" ref="AB54" si="53">AB52-AB53</f>
        <v>0</v>
      </c>
    </row>
    <row r="55" spans="1:28" s="167" customFormat="1">
      <c r="A55" s="37" t="s">
        <v>56</v>
      </c>
      <c r="B55" s="200">
        <f t="shared" si="17"/>
        <v>134490175.13999996</v>
      </c>
      <c r="C55" s="202">
        <f t="shared" ref="C55:T55" si="54">-C26</f>
        <v>0</v>
      </c>
      <c r="D55" s="202">
        <f t="shared" si="54"/>
        <v>0</v>
      </c>
      <c r="E55" s="202">
        <f t="shared" si="54"/>
        <v>-1289748.3</v>
      </c>
      <c r="F55" s="202">
        <f t="shared" ref="F55:F61" si="55">SUM(G55:J55)</f>
        <v>143465115.76999998</v>
      </c>
      <c r="G55" s="202">
        <f>-G26</f>
        <v>-42373793.369999997</v>
      </c>
      <c r="H55" s="202">
        <f t="shared" ref="H55:J55" si="56">-H26</f>
        <v>187721702.66999999</v>
      </c>
      <c r="I55" s="202">
        <f t="shared" si="56"/>
        <v>-2537001.91</v>
      </c>
      <c r="J55" s="202">
        <f t="shared" si="56"/>
        <v>654208.38</v>
      </c>
      <c r="K55" s="202">
        <f t="shared" si="54"/>
        <v>-7685192.3300000001</v>
      </c>
      <c r="L55" s="202">
        <f t="shared" si="54"/>
        <v>4637717.24</v>
      </c>
      <c r="M55" s="202">
        <f t="shared" si="54"/>
        <v>0</v>
      </c>
      <c r="N55" s="202">
        <f t="shared" si="54"/>
        <v>0</v>
      </c>
      <c r="O55" s="202">
        <f t="shared" si="54"/>
        <v>-12322909.57</v>
      </c>
      <c r="P55" s="202">
        <f t="shared" si="54"/>
        <v>0</v>
      </c>
      <c r="Q55" s="202">
        <f t="shared" si="54"/>
        <v>0</v>
      </c>
      <c r="R55" s="202">
        <f t="shared" si="54"/>
        <v>0</v>
      </c>
      <c r="S55" s="202">
        <f t="shared" si="18"/>
        <v>0</v>
      </c>
      <c r="T55" s="202">
        <f t="shared" si="54"/>
        <v>0</v>
      </c>
      <c r="U55" s="202">
        <f t="shared" ref="U55:AA55" si="57">-U26</f>
        <v>0</v>
      </c>
      <c r="V55" s="202">
        <f t="shared" si="57"/>
        <v>0</v>
      </c>
      <c r="W55" s="202">
        <f t="shared" si="57"/>
        <v>0</v>
      </c>
      <c r="X55" s="202">
        <f t="shared" si="57"/>
        <v>0</v>
      </c>
      <c r="Y55" s="202">
        <f t="shared" si="57"/>
        <v>0</v>
      </c>
      <c r="Z55" s="202">
        <f t="shared" ref="Z55" si="58">-Z26</f>
        <v>0</v>
      </c>
      <c r="AA55" s="202">
        <f t="shared" si="57"/>
        <v>0</v>
      </c>
      <c r="AB55" s="202">
        <f t="shared" ref="AB55" si="59">-AB26</f>
        <v>0</v>
      </c>
    </row>
    <row r="56" spans="1:28" s="167" customFormat="1" ht="14.25" thickBot="1">
      <c r="A56" s="38" t="s">
        <v>57</v>
      </c>
      <c r="B56" s="205">
        <f t="shared" si="17"/>
        <v>-44717949.296666652</v>
      </c>
      <c r="C56" s="205">
        <f t="shared" ref="C56:K56" si="60">C54+C55</f>
        <v>-14704302.449999999</v>
      </c>
      <c r="D56" s="205">
        <f t="shared" si="60"/>
        <v>-32362068.829666756</v>
      </c>
      <c r="E56" s="205">
        <f t="shared" si="60"/>
        <v>34739150.060490653</v>
      </c>
      <c r="F56" s="205">
        <f t="shared" si="60"/>
        <v>-62660382.115490556</v>
      </c>
      <c r="G56" s="205">
        <f t="shared" ref="G56" si="61">G54+G55</f>
        <v>-44055703.300490566</v>
      </c>
      <c r="H56" s="205">
        <f t="shared" ref="H56:J56" si="62">H54+H55</f>
        <v>-8121676.4899999797</v>
      </c>
      <c r="I56" s="205">
        <f t="shared" si="62"/>
        <v>-3180757.0749999997</v>
      </c>
      <c r="J56" s="205">
        <f t="shared" si="62"/>
        <v>-7302245.25</v>
      </c>
      <c r="K56" s="205">
        <f t="shared" si="60"/>
        <v>14184660.711333336</v>
      </c>
      <c r="L56" s="205">
        <f t="shared" ref="L56:T56" si="63">L54+L55</f>
        <v>-8494649.7000000011</v>
      </c>
      <c r="M56" s="205">
        <f t="shared" ref="M56" si="64">M54+M55</f>
        <v>-2042958.1169999994</v>
      </c>
      <c r="N56" s="205">
        <f t="shared" si="63"/>
        <v>1029350.2549999997</v>
      </c>
      <c r="O56" s="205">
        <f t="shared" si="63"/>
        <v>12553033.043333333</v>
      </c>
      <c r="P56" s="205">
        <f t="shared" si="63"/>
        <v>48084.039999999994</v>
      </c>
      <c r="Q56" s="205">
        <f t="shared" si="63"/>
        <v>10055675.01</v>
      </c>
      <c r="R56" s="205">
        <f t="shared" si="63"/>
        <v>924017.1</v>
      </c>
      <c r="S56" s="205">
        <f t="shared" si="18"/>
        <v>18130843.026666667</v>
      </c>
      <c r="T56" s="205">
        <f t="shared" si="63"/>
        <v>-2745063.18</v>
      </c>
      <c r="U56" s="205">
        <f t="shared" ref="U56:AA56" si="65">U54+U55</f>
        <v>19342811.09</v>
      </c>
      <c r="V56" s="205">
        <f t="shared" si="65"/>
        <v>1678327.9066666667</v>
      </c>
      <c r="W56" s="205">
        <f t="shared" si="65"/>
        <v>0</v>
      </c>
      <c r="X56" s="205">
        <f t="shared" si="65"/>
        <v>0</v>
      </c>
      <c r="Y56" s="205">
        <f t="shared" si="65"/>
        <v>0</v>
      </c>
      <c r="Z56" s="205">
        <f t="shared" ref="Z56" si="66">Z54+Z55</f>
        <v>-145232.79</v>
      </c>
      <c r="AA56" s="205">
        <f t="shared" si="65"/>
        <v>-2045849.7000000002</v>
      </c>
      <c r="AB56" s="205">
        <f t="shared" ref="AB56" si="67">AB54+AB55</f>
        <v>0</v>
      </c>
    </row>
    <row r="57" spans="1:28" s="165" customFormat="1">
      <c r="A57" s="165" t="s">
        <v>58</v>
      </c>
      <c r="B57" s="194">
        <f>B58-B41</f>
        <v>-3.333359956741333E-3</v>
      </c>
      <c r="C57" s="165">
        <f>B55+B26</f>
        <v>0</v>
      </c>
    </row>
    <row r="58" spans="1:28" s="165" customFormat="1">
      <c r="A58" s="42" t="s">
        <v>56</v>
      </c>
      <c r="B58" s="42">
        <f>B26/0.75</f>
        <v>-179320233.51999998</v>
      </c>
      <c r="C58" s="42">
        <f>C26/0.75</f>
        <v>0</v>
      </c>
      <c r="D58" s="42">
        <f>D26/0.75</f>
        <v>0</v>
      </c>
      <c r="E58" s="206">
        <f>E26/0.75</f>
        <v>1719664.4000000001</v>
      </c>
      <c r="F58" s="42">
        <f t="shared" ref="F58:AA58" si="68">F26/0.75</f>
        <v>-191286821.02666664</v>
      </c>
      <c r="G58" s="42">
        <f t="shared" si="68"/>
        <v>56498391.159999996</v>
      </c>
      <c r="H58" s="42">
        <f t="shared" ref="H58:J58" si="69">H26/0.75</f>
        <v>-250295603.55999997</v>
      </c>
      <c r="I58" s="42">
        <f t="shared" si="69"/>
        <v>3382669.2133333334</v>
      </c>
      <c r="J58" s="42">
        <f t="shared" si="69"/>
        <v>-872277.84</v>
      </c>
      <c r="K58" s="42">
        <f t="shared" si="68"/>
        <v>10246923.106666667</v>
      </c>
      <c r="L58" s="42">
        <f t="shared" si="68"/>
        <v>-6183622.9866666673</v>
      </c>
      <c r="M58" s="42">
        <f t="shared" si="68"/>
        <v>0</v>
      </c>
      <c r="N58" s="42">
        <f t="shared" si="68"/>
        <v>0</v>
      </c>
      <c r="O58" s="42">
        <f t="shared" si="68"/>
        <v>16430546.093333334</v>
      </c>
      <c r="P58" s="42">
        <f t="shared" si="68"/>
        <v>0</v>
      </c>
      <c r="Q58" s="42">
        <f t="shared" si="68"/>
        <v>0</v>
      </c>
      <c r="R58" s="42">
        <f t="shared" si="68"/>
        <v>0</v>
      </c>
      <c r="S58" s="42">
        <f t="shared" ref="S58" si="70">S26/0.75</f>
        <v>0</v>
      </c>
      <c r="T58" s="42">
        <f t="shared" si="68"/>
        <v>0</v>
      </c>
      <c r="U58" s="42">
        <f t="shared" si="68"/>
        <v>0</v>
      </c>
      <c r="V58" s="42">
        <f t="shared" si="68"/>
        <v>0</v>
      </c>
      <c r="W58" s="42"/>
      <c r="X58" s="42"/>
      <c r="Y58" s="42"/>
      <c r="Z58" s="42"/>
      <c r="AA58" s="42">
        <f t="shared" si="68"/>
        <v>0</v>
      </c>
      <c r="AB58" s="42">
        <f t="shared" ref="AB58" si="71">AB26/0.75</f>
        <v>0</v>
      </c>
    </row>
    <row r="59" spans="1:28" s="165" customFormat="1">
      <c r="A59" s="42" t="s">
        <v>60</v>
      </c>
      <c r="B59" s="42">
        <f>SUM(C59:F59)+K59+S59</f>
        <v>479668969.33890182</v>
      </c>
      <c r="C59" s="42">
        <f t="shared" ref="C59:G59" si="72">C60*$F$2*$G$2/12</f>
        <v>0</v>
      </c>
      <c r="D59" s="42">
        <f t="shared" ref="D59" si="73">D61*$F$2*$G$2/12</f>
        <v>0</v>
      </c>
      <c r="E59" s="42">
        <f>E60*$F$2*$G$2/12</f>
        <v>261607882.03592813</v>
      </c>
      <c r="F59" s="42">
        <f t="shared" si="55"/>
        <v>48239513.59352316</v>
      </c>
      <c r="G59" s="42">
        <f t="shared" si="72"/>
        <v>213132.26563513992</v>
      </c>
      <c r="H59" s="42">
        <f t="shared" ref="H59:J59" si="74">H60*$F$2*$G$2/12</f>
        <v>34178074.912979499</v>
      </c>
      <c r="I59" s="42">
        <f t="shared" si="74"/>
        <v>3975010.2063727942</v>
      </c>
      <c r="J59" s="42">
        <f t="shared" si="74"/>
        <v>9873296.2085357271</v>
      </c>
      <c r="K59" s="42">
        <f t="shared" ref="K59:K61" si="75">SUM(L59:R59)</f>
        <v>169755522.77945051</v>
      </c>
      <c r="L59" s="42">
        <f>L60*$F$2*$G$2/12</f>
        <v>36814413.79282333</v>
      </c>
      <c r="M59" s="42">
        <f>M60*$F$2*$G$2/12</f>
        <v>37412728.710023329</v>
      </c>
      <c r="N59" s="42">
        <f t="shared" ref="N59" si="76">N60*$F$2*$G$2/12</f>
        <v>467814.43862275447</v>
      </c>
      <c r="O59" s="42">
        <f t="shared" ref="O59:P59" si="77">O60*$F$2*$G$2/12</f>
        <v>78613920.832714334</v>
      </c>
      <c r="P59" s="42">
        <f t="shared" si="77"/>
        <v>14505856.327637406</v>
      </c>
      <c r="Q59" s="42">
        <f t="shared" ref="Q59" si="78">Q60*$F$2*$G$2/12</f>
        <v>1940788.6776293423</v>
      </c>
      <c r="R59" s="42">
        <f t="shared" ref="R59:T59" si="79">R60*$F$2*$G$2/12</f>
        <v>0</v>
      </c>
      <c r="S59" s="42">
        <f>SUM(T59:AA59)</f>
        <v>66050.929999999993</v>
      </c>
      <c r="T59" s="42">
        <f t="shared" si="79"/>
        <v>0</v>
      </c>
      <c r="U59" s="42">
        <v>66050.929999999993</v>
      </c>
      <c r="V59" s="42"/>
      <c r="W59" s="42"/>
      <c r="X59" s="42"/>
      <c r="Y59" s="42"/>
      <c r="Z59" s="42"/>
      <c r="AA59" s="42">
        <f t="shared" ref="AA59:AB59" si="80">AA60*$F$2*$G$2/12</f>
        <v>0</v>
      </c>
      <c r="AB59" s="42">
        <f t="shared" si="80"/>
        <v>0</v>
      </c>
    </row>
    <row r="60" spans="1:28" s="165" customFormat="1">
      <c r="A60" s="42" t="s">
        <v>61</v>
      </c>
      <c r="B60" s="42">
        <f t="shared" ref="B60:B61" si="81">SUM(C60:F60)+K60+S60</f>
        <v>10061599686.900038</v>
      </c>
      <c r="C60" s="42">
        <f>C61*10000</f>
        <v>0</v>
      </c>
      <c r="D60" s="42">
        <f t="shared" ref="D60" si="82">D61*10000</f>
        <v>0</v>
      </c>
      <c r="E60" s="42">
        <v>5488277245.5089817</v>
      </c>
      <c r="F60" s="42">
        <f t="shared" si="55"/>
        <v>1012017767.6962901</v>
      </c>
      <c r="G60" s="42">
        <v>4471306.2720658733</v>
      </c>
      <c r="H60" s="42">
        <v>717022550.62194753</v>
      </c>
      <c r="I60" s="42">
        <v>83391822.511317372</v>
      </c>
      <c r="J60" s="42">
        <v>207132088.29095933</v>
      </c>
      <c r="K60" s="42">
        <f t="shared" si="75"/>
        <v>3561304673.6947656</v>
      </c>
      <c r="L60" s="42">
        <v>772330359.28999996</v>
      </c>
      <c r="M60" s="42">
        <v>784882420.49000001</v>
      </c>
      <c r="N60" s="42">
        <v>9814288.9221556894</v>
      </c>
      <c r="O60" s="42">
        <v>1649243094.3926084</v>
      </c>
      <c r="P60" s="42">
        <v>304318664.21616942</v>
      </c>
      <c r="Q60" s="42">
        <v>40715846.383832358</v>
      </c>
      <c r="R60" s="42">
        <f t="shared" ref="R60:T60" si="83">R61*10000</f>
        <v>0</v>
      </c>
      <c r="S60" s="42">
        <f>SUM(T60:AA60)</f>
        <v>0</v>
      </c>
      <c r="T60" s="42">
        <f t="shared" si="83"/>
        <v>0</v>
      </c>
      <c r="U60" s="42"/>
      <c r="V60" s="42"/>
      <c r="W60" s="42"/>
      <c r="X60" s="42"/>
      <c r="Y60" s="42"/>
      <c r="Z60" s="42"/>
      <c r="AA60" s="42">
        <f t="shared" ref="AA60:AB60" si="84">AA61*10000</f>
        <v>0</v>
      </c>
      <c r="AB60" s="42">
        <f t="shared" si="84"/>
        <v>0</v>
      </c>
    </row>
    <row r="61" spans="1:28" s="166" customFormat="1" ht="12">
      <c r="A61" s="42" t="s">
        <v>62</v>
      </c>
      <c r="B61" s="42">
        <f t="shared" si="81"/>
        <v>1002889.921508</v>
      </c>
      <c r="C61" s="42"/>
      <c r="D61" s="42"/>
      <c r="E61" s="42">
        <v>542133.42000000004</v>
      </c>
      <c r="F61" s="42">
        <f t="shared" si="55"/>
        <v>101743.848987</v>
      </c>
      <c r="G61" s="42">
        <v>481.29576700000001</v>
      </c>
      <c r="H61" s="42">
        <v>72191.413220000002</v>
      </c>
      <c r="I61" s="42">
        <v>7328.39</v>
      </c>
      <c r="J61" s="42">
        <v>21742.75</v>
      </c>
      <c r="K61" s="42">
        <f t="shared" si="75"/>
        <v>358903.86372100003</v>
      </c>
      <c r="L61" s="42">
        <f>799890350.87/10000</f>
        <v>79989.035086999997</v>
      </c>
      <c r="M61" s="42">
        <f>803250286.34/10000</f>
        <v>80325.028634000002</v>
      </c>
      <c r="N61" s="42">
        <v>190.12</v>
      </c>
      <c r="O61" s="42">
        <v>165026.5</v>
      </c>
      <c r="P61" s="42">
        <v>30291.279999999999</v>
      </c>
      <c r="Q61" s="42">
        <v>3081.9</v>
      </c>
      <c r="R61" s="42"/>
      <c r="S61" s="42">
        <f>SUM(T61:AA61)</f>
        <v>108.78879999999999</v>
      </c>
      <c r="T61" s="42"/>
      <c r="U61" s="42">
        <v>108.78879999999999</v>
      </c>
      <c r="V61" s="42"/>
      <c r="W61" s="42"/>
      <c r="X61" s="42"/>
      <c r="Y61" s="42"/>
      <c r="Z61" s="42"/>
      <c r="AA61" s="42"/>
      <c r="AB61" s="42"/>
    </row>
    <row r="62" spans="1:28" s="165" customFormat="1"/>
    <row r="63" spans="1:28" s="165" customFormat="1" ht="14.25" thickBot="1">
      <c r="A63" s="196" t="s">
        <v>63</v>
      </c>
      <c r="B63" s="207" t="s">
        <v>64</v>
      </c>
      <c r="C63" s="176"/>
      <c r="D63" s="176"/>
      <c r="E63" s="176"/>
      <c r="F63" s="176"/>
      <c r="G63" s="266"/>
      <c r="H63" s="266"/>
      <c r="I63" s="266"/>
      <c r="J63" s="266"/>
      <c r="K63" s="176"/>
      <c r="L63" s="266"/>
      <c r="M63" s="266"/>
      <c r="N63" s="266"/>
      <c r="O63" s="266"/>
      <c r="P63" s="266"/>
      <c r="Q63" s="266"/>
      <c r="R63" s="266"/>
      <c r="S63" s="176"/>
      <c r="T63" s="266"/>
      <c r="U63" s="266">
        <f>[3]累计利润调整表!$R$64-U65</f>
        <v>2.222210168838501E-3</v>
      </c>
      <c r="V63" s="266"/>
      <c r="W63" s="266"/>
      <c r="X63" s="266"/>
      <c r="Y63" s="266"/>
      <c r="Z63" s="266"/>
      <c r="AA63" s="266"/>
    </row>
    <row r="64" spans="1:28" s="165" customFormat="1" ht="14.25" customHeight="1">
      <c r="A64" s="19" t="s">
        <v>2</v>
      </c>
      <c r="B64" s="19" t="str">
        <f t="shared" ref="B64:V64" si="85">B3</f>
        <v>合计</v>
      </c>
      <c r="C64" s="19" t="str">
        <f t="shared" si="85"/>
        <v>其他</v>
      </c>
      <c r="D64" s="19" t="str">
        <f t="shared" si="85"/>
        <v>总部中后台</v>
      </c>
      <c r="E64" s="19" t="str">
        <f t="shared" si="85"/>
        <v>经纪业务部</v>
      </c>
      <c r="F64" s="19" t="str">
        <f t="shared" si="85"/>
        <v>资管业务</v>
      </c>
      <c r="G64" s="24" t="str">
        <f t="shared" si="85"/>
        <v>资产管理部</v>
      </c>
      <c r="H64" s="24" t="str">
        <f t="shared" si="85"/>
        <v>权益产品投资部</v>
      </c>
      <c r="I64" s="24" t="str">
        <f t="shared" si="85"/>
        <v>固收产品投资部</v>
      </c>
      <c r="J64" s="24" t="str">
        <f t="shared" si="85"/>
        <v>量化产品投资部</v>
      </c>
      <c r="K64" s="19" t="str">
        <f t="shared" si="85"/>
        <v>深分公司合计</v>
      </c>
      <c r="L64" s="24" t="str">
        <f t="shared" si="85"/>
        <v>固定收益投资部</v>
      </c>
      <c r="M64" s="24" t="str">
        <f t="shared" si="85"/>
        <v>固定收益市场部</v>
      </c>
      <c r="N64" s="24" t="str">
        <f t="shared" si="85"/>
        <v>投顾业务部</v>
      </c>
      <c r="O64" s="24" t="str">
        <f t="shared" si="85"/>
        <v>证券投资部</v>
      </c>
      <c r="P64" s="24" t="str">
        <f t="shared" si="85"/>
        <v>做市业务部</v>
      </c>
      <c r="Q64" s="24" t="str">
        <f t="shared" si="85"/>
        <v>金融衍生品部</v>
      </c>
      <c r="R64" s="24" t="str">
        <f t="shared" si="85"/>
        <v>深圳管理总部</v>
      </c>
      <c r="S64" s="19" t="str">
        <f t="shared" si="85"/>
        <v>投资银行合计</v>
      </c>
      <c r="T64" s="24" t="str">
        <f t="shared" si="85"/>
        <v>投资银行三部</v>
      </c>
      <c r="U64" s="24" t="str">
        <f t="shared" si="85"/>
        <v>投资银行一部</v>
      </c>
      <c r="V64" s="24" t="str">
        <f t="shared" si="85"/>
        <v>投资银行二部</v>
      </c>
      <c r="W64" s="24" t="s">
        <v>24</v>
      </c>
      <c r="X64" s="24" t="s">
        <v>25</v>
      </c>
      <c r="Y64" s="24" t="s">
        <v>26</v>
      </c>
      <c r="Z64" s="24" t="s">
        <v>503</v>
      </c>
      <c r="AA64" s="19" t="s">
        <v>27</v>
      </c>
      <c r="AB64" s="19" t="s">
        <v>498</v>
      </c>
    </row>
    <row r="65" spans="1:28" s="168" customFormat="1">
      <c r="A65" s="198" t="s">
        <v>34</v>
      </c>
      <c r="B65" s="198">
        <f t="shared" ref="B65:AA65" si="86">B4+B33</f>
        <v>892284091.82333338</v>
      </c>
      <c r="C65" s="198">
        <f t="shared" si="86"/>
        <v>-12851068.49</v>
      </c>
      <c r="D65" s="198">
        <f t="shared" si="86"/>
        <v>-266108652.18966675</v>
      </c>
      <c r="E65" s="198">
        <f t="shared" si="86"/>
        <v>904539406.74049067</v>
      </c>
      <c r="F65" s="198">
        <f>F4+F33</f>
        <v>-229465603.55549052</v>
      </c>
      <c r="G65" s="198">
        <f t="shared" si="86"/>
        <v>8619042.5795094334</v>
      </c>
      <c r="H65" s="198">
        <f t="shared" si="86"/>
        <v>-246179147.34999996</v>
      </c>
      <c r="I65" s="198">
        <f t="shared" si="86"/>
        <v>11852747.855</v>
      </c>
      <c r="J65" s="198">
        <f t="shared" si="86"/>
        <v>-3758246.6399999997</v>
      </c>
      <c r="K65" s="198">
        <f t="shared" si="86"/>
        <v>211117940.39133334</v>
      </c>
      <c r="L65" s="198">
        <f t="shared" si="86"/>
        <v>54843310.899999991</v>
      </c>
      <c r="M65" s="198">
        <f t="shared" si="86"/>
        <v>29547445.183000002</v>
      </c>
      <c r="N65" s="198">
        <f t="shared" si="86"/>
        <v>5588941.2149999989</v>
      </c>
      <c r="O65" s="198">
        <f t="shared" si="86"/>
        <v>105304011.55333334</v>
      </c>
      <c r="P65" s="198">
        <f t="shared" si="86"/>
        <v>13360369.1</v>
      </c>
      <c r="Q65" s="198">
        <f t="shared" si="86"/>
        <v>2354950.0300000003</v>
      </c>
      <c r="R65" s="198">
        <f t="shared" si="86"/>
        <v>6803.33</v>
      </c>
      <c r="S65" s="198">
        <f t="shared" si="86"/>
        <v>285052068.92666668</v>
      </c>
      <c r="T65" s="198">
        <f t="shared" si="86"/>
        <v>16620832.07</v>
      </c>
      <c r="U65" s="198">
        <f t="shared" si="86"/>
        <v>237325004.09</v>
      </c>
      <c r="V65" s="198">
        <f t="shared" si="86"/>
        <v>27651987.466666665</v>
      </c>
      <c r="W65" s="198">
        <f t="shared" ref="W65:Y65" si="87">W4+W33</f>
        <v>3454245.3</v>
      </c>
      <c r="X65" s="198">
        <f t="shared" si="87"/>
        <v>0</v>
      </c>
      <c r="Y65" s="198">
        <f t="shared" si="87"/>
        <v>0</v>
      </c>
      <c r="Z65" s="198">
        <f t="shared" ref="Z65" si="88">Z4+Z33</f>
        <v>0</v>
      </c>
      <c r="AA65" s="198">
        <f t="shared" si="86"/>
        <v>0</v>
      </c>
      <c r="AB65" s="198">
        <f t="shared" ref="AB65" si="89">AB4+AB33</f>
        <v>0</v>
      </c>
    </row>
    <row r="66" spans="1:28" s="167" customFormat="1">
      <c r="A66" s="31" t="s">
        <v>35</v>
      </c>
      <c r="B66" s="32">
        <f t="shared" ref="B66:AA66" si="90">B5+B34</f>
        <v>754500476.97000003</v>
      </c>
      <c r="C66" s="32">
        <f t="shared" si="90"/>
        <v>2123560.9000000004</v>
      </c>
      <c r="D66" s="32">
        <f t="shared" si="90"/>
        <v>-2164654.71</v>
      </c>
      <c r="E66" s="32">
        <f t="shared" si="90"/>
        <v>414174518.79049057</v>
      </c>
      <c r="F66" s="32">
        <f t="shared" si="90"/>
        <v>53261033.464509442</v>
      </c>
      <c r="G66" s="32">
        <f t="shared" si="90"/>
        <v>8376738.3095094329</v>
      </c>
      <c r="H66" s="32">
        <f t="shared" si="90"/>
        <v>34188977.75</v>
      </c>
      <c r="I66" s="32">
        <f t="shared" si="90"/>
        <v>8011696.8149999995</v>
      </c>
      <c r="J66" s="32">
        <f t="shared" si="90"/>
        <v>2683620.5900000003</v>
      </c>
      <c r="K66" s="32">
        <f t="shared" si="90"/>
        <v>5202591.2349999994</v>
      </c>
      <c r="L66" s="212">
        <f t="shared" si="90"/>
        <v>-1597669.44</v>
      </c>
      <c r="M66" s="212">
        <f t="shared" si="90"/>
        <v>2190750.54</v>
      </c>
      <c r="N66" s="32">
        <f t="shared" si="90"/>
        <v>4337672.3649999993</v>
      </c>
      <c r="O66" s="32">
        <f t="shared" si="90"/>
        <v>176670.50999999998</v>
      </c>
      <c r="P66" s="32">
        <f t="shared" si="90"/>
        <v>0</v>
      </c>
      <c r="Q66" s="32">
        <f t="shared" si="90"/>
        <v>-14269.82</v>
      </c>
      <c r="R66" s="32">
        <f t="shared" si="90"/>
        <v>-2672</v>
      </c>
      <c r="S66" s="32">
        <f t="shared" si="90"/>
        <v>281903427.29000002</v>
      </c>
      <c r="T66" s="32">
        <f t="shared" si="90"/>
        <v>16672781.58</v>
      </c>
      <c r="U66" s="32">
        <f t="shared" si="90"/>
        <v>234285079.61000001</v>
      </c>
      <c r="V66" s="32">
        <f t="shared" si="90"/>
        <v>27491320.800000001</v>
      </c>
      <c r="W66" s="32">
        <f t="shared" ref="W66:Y66" si="91">W5+W34</f>
        <v>3454245.3</v>
      </c>
      <c r="X66" s="32">
        <f t="shared" si="91"/>
        <v>0</v>
      </c>
      <c r="Y66" s="32">
        <f t="shared" si="91"/>
        <v>0</v>
      </c>
      <c r="Z66" s="32">
        <f t="shared" ref="Z66" si="92">Z5+Z34</f>
        <v>0</v>
      </c>
      <c r="AA66" s="32">
        <f t="shared" si="90"/>
        <v>0</v>
      </c>
      <c r="AB66" s="32">
        <f t="shared" ref="AB66" si="93">AB5+AB34</f>
        <v>0</v>
      </c>
    </row>
    <row r="67" spans="1:28" s="167" customFormat="1">
      <c r="A67" s="201" t="s">
        <v>36</v>
      </c>
      <c r="B67" s="201">
        <f t="shared" ref="B67:AA67" si="94">B6+B35</f>
        <v>407386330.08999997</v>
      </c>
      <c r="C67" s="201">
        <f t="shared" si="94"/>
        <v>-50</v>
      </c>
      <c r="D67" s="201">
        <f t="shared" si="94"/>
        <v>-1701899.25</v>
      </c>
      <c r="E67" s="201">
        <f t="shared" si="94"/>
        <v>405804453.35000002</v>
      </c>
      <c r="F67" s="201">
        <f t="shared" si="94"/>
        <v>949444.17</v>
      </c>
      <c r="G67" s="201">
        <f t="shared" si="94"/>
        <v>418575.42</v>
      </c>
      <c r="H67" s="201">
        <f t="shared" si="94"/>
        <v>0</v>
      </c>
      <c r="I67" s="201">
        <f t="shared" si="94"/>
        <v>0</v>
      </c>
      <c r="J67" s="201">
        <f t="shared" si="94"/>
        <v>530868.75</v>
      </c>
      <c r="K67" s="201">
        <f t="shared" si="94"/>
        <v>2334381.8199999998</v>
      </c>
      <c r="L67" s="213">
        <f t="shared" si="94"/>
        <v>0</v>
      </c>
      <c r="M67" s="213">
        <f t="shared" si="94"/>
        <v>2171981.13</v>
      </c>
      <c r="N67" s="201">
        <f t="shared" si="94"/>
        <v>0</v>
      </c>
      <c r="O67" s="201">
        <f t="shared" si="94"/>
        <v>176670.50999999998</v>
      </c>
      <c r="P67" s="201">
        <f t="shared" si="94"/>
        <v>0</v>
      </c>
      <c r="Q67" s="201">
        <f t="shared" si="94"/>
        <v>-14269.82</v>
      </c>
      <c r="R67" s="201">
        <f t="shared" si="94"/>
        <v>0</v>
      </c>
      <c r="S67" s="201">
        <f t="shared" si="94"/>
        <v>0</v>
      </c>
      <c r="T67" s="201">
        <f t="shared" si="94"/>
        <v>0</v>
      </c>
      <c r="U67" s="201">
        <f t="shared" si="94"/>
        <v>0</v>
      </c>
      <c r="V67" s="201">
        <f t="shared" si="94"/>
        <v>0</v>
      </c>
      <c r="W67" s="201">
        <f t="shared" ref="W67:Y67" si="95">W6+W35</f>
        <v>0</v>
      </c>
      <c r="X67" s="201">
        <f t="shared" si="95"/>
        <v>0</v>
      </c>
      <c r="Y67" s="201">
        <f t="shared" si="95"/>
        <v>0</v>
      </c>
      <c r="Z67" s="201">
        <f t="shared" ref="Z67" si="96">Z6+Z35</f>
        <v>0</v>
      </c>
      <c r="AA67" s="201">
        <f t="shared" si="94"/>
        <v>0</v>
      </c>
      <c r="AB67" s="201">
        <f t="shared" ref="AB67" si="97">AB6+AB35</f>
        <v>0</v>
      </c>
    </row>
    <row r="68" spans="1:28" s="167" customFormat="1">
      <c r="A68" s="201" t="s">
        <v>37</v>
      </c>
      <c r="B68" s="201">
        <f t="shared" ref="B68:AA68" si="98">B7+B36</f>
        <v>285984024.33999997</v>
      </c>
      <c r="C68" s="201">
        <f t="shared" si="98"/>
        <v>547625.35000000009</v>
      </c>
      <c r="D68" s="201">
        <f t="shared" si="98"/>
        <v>0</v>
      </c>
      <c r="E68" s="201">
        <f t="shared" si="98"/>
        <v>3891462.2699999996</v>
      </c>
      <c r="F68" s="201">
        <f t="shared" si="98"/>
        <v>0</v>
      </c>
      <c r="G68" s="201">
        <f t="shared" si="98"/>
        <v>0</v>
      </c>
      <c r="H68" s="201">
        <f t="shared" si="98"/>
        <v>0</v>
      </c>
      <c r="I68" s="201">
        <f t="shared" si="98"/>
        <v>0</v>
      </c>
      <c r="J68" s="201">
        <f t="shared" si="98"/>
        <v>0</v>
      </c>
      <c r="K68" s="201">
        <f t="shared" si="98"/>
        <v>0</v>
      </c>
      <c r="L68" s="213">
        <f t="shared" si="98"/>
        <v>0</v>
      </c>
      <c r="M68" s="213">
        <f t="shared" si="98"/>
        <v>0</v>
      </c>
      <c r="N68" s="201">
        <f t="shared" si="98"/>
        <v>0</v>
      </c>
      <c r="O68" s="201">
        <f t="shared" si="98"/>
        <v>0</v>
      </c>
      <c r="P68" s="201">
        <f t="shared" si="98"/>
        <v>0</v>
      </c>
      <c r="Q68" s="201">
        <f t="shared" si="98"/>
        <v>0</v>
      </c>
      <c r="R68" s="201">
        <f t="shared" si="98"/>
        <v>0</v>
      </c>
      <c r="S68" s="201">
        <f t="shared" si="98"/>
        <v>281544936.72000003</v>
      </c>
      <c r="T68" s="201">
        <f t="shared" si="98"/>
        <v>16672781.58</v>
      </c>
      <c r="U68" s="201">
        <f t="shared" si="98"/>
        <v>233926589.03999999</v>
      </c>
      <c r="V68" s="201">
        <f t="shared" si="98"/>
        <v>27491320.800000001</v>
      </c>
      <c r="W68" s="201">
        <f t="shared" ref="W68:Y68" si="99">W7+W36</f>
        <v>3454245.3</v>
      </c>
      <c r="X68" s="201">
        <f t="shared" si="99"/>
        <v>0</v>
      </c>
      <c r="Y68" s="201">
        <f t="shared" si="99"/>
        <v>0</v>
      </c>
      <c r="Z68" s="201">
        <f t="shared" ref="Z68" si="100">Z7+Z36</f>
        <v>0</v>
      </c>
      <c r="AA68" s="201">
        <f t="shared" si="98"/>
        <v>0</v>
      </c>
      <c r="AB68" s="201">
        <f t="shared" ref="AB68" si="101">AB7+AB36</f>
        <v>0</v>
      </c>
    </row>
    <row r="69" spans="1:28" s="167" customFormat="1">
      <c r="A69" s="201" t="s">
        <v>38</v>
      </c>
      <c r="B69" s="201">
        <f t="shared" ref="B69:AA69" si="102">B8+B37</f>
        <v>59103160.920000002</v>
      </c>
      <c r="C69" s="201">
        <f t="shared" si="102"/>
        <v>1575985.55</v>
      </c>
      <c r="D69" s="201">
        <f t="shared" si="102"/>
        <v>0</v>
      </c>
      <c r="E69" s="201">
        <f t="shared" si="102"/>
        <v>2527039.0504905665</v>
      </c>
      <c r="F69" s="201">
        <f t="shared" si="102"/>
        <v>52319554.564509436</v>
      </c>
      <c r="G69" s="201">
        <f t="shared" si="102"/>
        <v>7966128.1595094344</v>
      </c>
      <c r="H69" s="201">
        <f t="shared" si="102"/>
        <v>34188977.75</v>
      </c>
      <c r="I69" s="201">
        <f t="shared" si="102"/>
        <v>8011696.8149999995</v>
      </c>
      <c r="J69" s="201">
        <f t="shared" si="102"/>
        <v>2152751.84</v>
      </c>
      <c r="K69" s="201">
        <f t="shared" si="102"/>
        <v>2322091.1849999996</v>
      </c>
      <c r="L69" s="213">
        <f t="shared" si="102"/>
        <v>0</v>
      </c>
      <c r="M69" s="213">
        <f t="shared" si="102"/>
        <v>0</v>
      </c>
      <c r="N69" s="201">
        <f t="shared" si="102"/>
        <v>2322091.1849999996</v>
      </c>
      <c r="O69" s="201">
        <f t="shared" si="102"/>
        <v>0</v>
      </c>
      <c r="P69" s="201">
        <f t="shared" si="102"/>
        <v>0</v>
      </c>
      <c r="Q69" s="201">
        <f t="shared" si="102"/>
        <v>0</v>
      </c>
      <c r="R69" s="201">
        <f t="shared" si="102"/>
        <v>0</v>
      </c>
      <c r="S69" s="201">
        <f t="shared" si="102"/>
        <v>358490.57</v>
      </c>
      <c r="T69" s="201">
        <f t="shared" si="102"/>
        <v>0</v>
      </c>
      <c r="U69" s="201">
        <f t="shared" si="102"/>
        <v>358490.57</v>
      </c>
      <c r="V69" s="201">
        <f t="shared" si="102"/>
        <v>0</v>
      </c>
      <c r="W69" s="201">
        <f t="shared" ref="W69:Y69" si="103">W8+W37</f>
        <v>0</v>
      </c>
      <c r="X69" s="201">
        <f t="shared" si="103"/>
        <v>0</v>
      </c>
      <c r="Y69" s="201">
        <f t="shared" si="103"/>
        <v>0</v>
      </c>
      <c r="Z69" s="201">
        <f t="shared" ref="Z69" si="104">Z8+Z37</f>
        <v>0</v>
      </c>
      <c r="AA69" s="201">
        <f t="shared" si="102"/>
        <v>0</v>
      </c>
      <c r="AB69" s="201">
        <f t="shared" ref="AB69" si="105">AB8+AB37</f>
        <v>0</v>
      </c>
    </row>
    <row r="70" spans="1:28" s="168" customFormat="1">
      <c r="A70" s="31" t="s">
        <v>39</v>
      </c>
      <c r="B70" s="31">
        <f t="shared" ref="B70:AA70" si="106">B9+B38</f>
        <v>234479127.18000001</v>
      </c>
      <c r="C70" s="31">
        <f t="shared" si="106"/>
        <v>2778014.27</v>
      </c>
      <c r="D70" s="31">
        <f t="shared" si="106"/>
        <v>-270486100.89666677</v>
      </c>
      <c r="E70" s="31">
        <f t="shared" si="106"/>
        <v>473705958.77000004</v>
      </c>
      <c r="F70" s="31">
        <f t="shared" si="106"/>
        <v>2665089.2400000002</v>
      </c>
      <c r="G70" s="31">
        <f t="shared" si="106"/>
        <v>260019.63</v>
      </c>
      <c r="H70" s="31">
        <f t="shared" si="106"/>
        <v>74748.649999999994</v>
      </c>
      <c r="I70" s="31">
        <f t="shared" si="106"/>
        <v>0</v>
      </c>
      <c r="J70" s="31">
        <f t="shared" si="106"/>
        <v>2330320.96</v>
      </c>
      <c r="K70" s="31">
        <f t="shared" si="106"/>
        <v>22615574.649999999</v>
      </c>
      <c r="L70" s="214">
        <f t="shared" si="106"/>
        <v>173627.16</v>
      </c>
      <c r="M70" s="214">
        <f t="shared" si="106"/>
        <v>-37605.35</v>
      </c>
      <c r="N70" s="31">
        <f t="shared" si="106"/>
        <v>0</v>
      </c>
      <c r="O70" s="31">
        <f t="shared" si="106"/>
        <v>21918220.469999999</v>
      </c>
      <c r="P70" s="31">
        <f t="shared" si="106"/>
        <v>0</v>
      </c>
      <c r="Q70" s="31">
        <f t="shared" si="106"/>
        <v>551857.03999999992</v>
      </c>
      <c r="R70" s="31">
        <f t="shared" si="106"/>
        <v>9475.33</v>
      </c>
      <c r="S70" s="31">
        <f t="shared" si="106"/>
        <v>3200591.1466666665</v>
      </c>
      <c r="T70" s="31">
        <f t="shared" si="106"/>
        <v>0</v>
      </c>
      <c r="U70" s="31">
        <f t="shared" si="106"/>
        <v>3039924.48</v>
      </c>
      <c r="V70" s="31">
        <f t="shared" si="106"/>
        <v>160666.66666666669</v>
      </c>
      <c r="W70" s="31">
        <f t="shared" ref="W70:Y70" si="107">W9+W38</f>
        <v>0</v>
      </c>
      <c r="X70" s="31">
        <f t="shared" si="107"/>
        <v>0</v>
      </c>
      <c r="Y70" s="31">
        <f t="shared" si="107"/>
        <v>0</v>
      </c>
      <c r="Z70" s="31">
        <f t="shared" ref="Z70" si="108">Z9+Z38</f>
        <v>0</v>
      </c>
      <c r="AA70" s="31">
        <f t="shared" si="106"/>
        <v>0</v>
      </c>
      <c r="AB70" s="31">
        <f t="shared" ref="AB70" si="109">AB9+AB38</f>
        <v>0</v>
      </c>
    </row>
    <row r="71" spans="1:28" s="168" customFormat="1">
      <c r="A71" s="31" t="s">
        <v>40</v>
      </c>
      <c r="B71" s="31">
        <f t="shared" ref="B71:AA71" si="110">B10+B39</f>
        <v>64681529.829999998</v>
      </c>
      <c r="C71" s="31">
        <f t="shared" si="110"/>
        <v>-15825670.559999999</v>
      </c>
      <c r="D71" s="31">
        <f t="shared" si="110"/>
        <v>6456352.3270000005</v>
      </c>
      <c r="E71" s="31">
        <f t="shared" si="110"/>
        <v>170142.06</v>
      </c>
      <c r="F71" s="31">
        <f t="shared" si="110"/>
        <v>-89697196.970000014</v>
      </c>
      <c r="G71" s="31">
        <f t="shared" si="110"/>
        <v>157225.87000000011</v>
      </c>
      <c r="H71" s="31">
        <f t="shared" si="110"/>
        <v>-84624194.590000004</v>
      </c>
      <c r="I71" s="31">
        <f t="shared" si="110"/>
        <v>24023.19</v>
      </c>
      <c r="J71" s="31">
        <f t="shared" si="110"/>
        <v>-5254251.4400000004</v>
      </c>
      <c r="K71" s="31">
        <f t="shared" si="110"/>
        <v>163665173.78299999</v>
      </c>
      <c r="L71" s="214">
        <f t="shared" si="110"/>
        <v>65689308.810000002</v>
      </c>
      <c r="M71" s="214">
        <f t="shared" si="110"/>
        <v>62587093.963</v>
      </c>
      <c r="N71" s="31">
        <f t="shared" si="110"/>
        <v>1762767.88</v>
      </c>
      <c r="O71" s="31">
        <f t="shared" si="110"/>
        <v>11641662.440000001</v>
      </c>
      <c r="P71" s="31">
        <f t="shared" si="110"/>
        <v>12234448.76</v>
      </c>
      <c r="Q71" s="31">
        <f t="shared" si="110"/>
        <v>9749891.9299999997</v>
      </c>
      <c r="R71" s="31">
        <f t="shared" si="110"/>
        <v>0</v>
      </c>
      <c r="S71" s="31">
        <f t="shared" si="110"/>
        <v>-87270.81</v>
      </c>
      <c r="T71" s="31">
        <f t="shared" si="110"/>
        <v>-87270.81</v>
      </c>
      <c r="U71" s="31">
        <f t="shared" si="110"/>
        <v>0</v>
      </c>
      <c r="V71" s="31">
        <f t="shared" si="110"/>
        <v>0</v>
      </c>
      <c r="W71" s="31">
        <f t="shared" ref="W71:Y71" si="111">W10+W39</f>
        <v>0</v>
      </c>
      <c r="X71" s="31">
        <f t="shared" si="111"/>
        <v>0</v>
      </c>
      <c r="Y71" s="31">
        <f t="shared" si="111"/>
        <v>0</v>
      </c>
      <c r="Z71" s="31">
        <f t="shared" ref="Z71" si="112">Z10+Z39</f>
        <v>0</v>
      </c>
      <c r="AA71" s="31">
        <f t="shared" si="110"/>
        <v>0</v>
      </c>
      <c r="AB71" s="31">
        <f t="shared" ref="AB71" si="113">AB10+AB39</f>
        <v>0</v>
      </c>
    </row>
    <row r="72" spans="1:28" s="168" customFormat="1" ht="16.5" customHeight="1">
      <c r="A72" s="31" t="s">
        <v>41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14"/>
      <c r="M72" s="214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s="168" customFormat="1">
      <c r="A73" s="31" t="s">
        <v>42</v>
      </c>
      <c r="B73" s="31">
        <f t="shared" ref="B73:AA73" si="114">B12+B41</f>
        <v>-172658331.19666663</v>
      </c>
      <c r="C73" s="31">
        <f t="shared" si="114"/>
        <v>1646611.669999999</v>
      </c>
      <c r="D73" s="31">
        <f t="shared" si="114"/>
        <v>0</v>
      </c>
      <c r="E73" s="31">
        <f t="shared" si="114"/>
        <v>1719664.4000000001</v>
      </c>
      <c r="F73" s="31">
        <f t="shared" si="114"/>
        <v>-195694529.28999996</v>
      </c>
      <c r="G73" s="31">
        <f t="shared" si="114"/>
        <v>-174941.23</v>
      </c>
      <c r="H73" s="31">
        <f t="shared" si="114"/>
        <v>-195818679.15999997</v>
      </c>
      <c r="I73" s="31">
        <f t="shared" si="114"/>
        <v>3817027.8500000006</v>
      </c>
      <c r="J73" s="31">
        <f t="shared" si="114"/>
        <v>-3517936.75</v>
      </c>
      <c r="K73" s="31">
        <f t="shared" si="114"/>
        <v>19634600.723333336</v>
      </c>
      <c r="L73" s="214">
        <f t="shared" si="114"/>
        <v>-9421955.6300000008</v>
      </c>
      <c r="M73" s="214">
        <f t="shared" si="114"/>
        <v>-35192793.969999999</v>
      </c>
      <c r="N73" s="31">
        <f t="shared" si="114"/>
        <v>-511499.02999999991</v>
      </c>
      <c r="O73" s="31">
        <f t="shared" si="114"/>
        <v>71567458.13333334</v>
      </c>
      <c r="P73" s="31">
        <f t="shared" si="114"/>
        <v>1125920.3399999999</v>
      </c>
      <c r="Q73" s="31">
        <f t="shared" si="114"/>
        <v>-7932529.1199999992</v>
      </c>
      <c r="R73" s="31">
        <f t="shared" si="114"/>
        <v>0</v>
      </c>
      <c r="S73" s="31">
        <f t="shared" si="114"/>
        <v>35321.300000000003</v>
      </c>
      <c r="T73" s="31">
        <f t="shared" si="114"/>
        <v>35321.300000000003</v>
      </c>
      <c r="U73" s="31">
        <f t="shared" si="114"/>
        <v>0</v>
      </c>
      <c r="V73" s="31">
        <f t="shared" si="114"/>
        <v>0</v>
      </c>
      <c r="W73" s="31">
        <f t="shared" ref="W73:Y73" si="115">W12+W41</f>
        <v>0</v>
      </c>
      <c r="X73" s="31">
        <f t="shared" si="115"/>
        <v>0</v>
      </c>
      <c r="Y73" s="31">
        <f t="shared" si="115"/>
        <v>0</v>
      </c>
      <c r="Z73" s="31">
        <f t="shared" ref="Z73" si="116">Z12+Z41</f>
        <v>0</v>
      </c>
      <c r="AA73" s="31">
        <f t="shared" si="114"/>
        <v>0</v>
      </c>
      <c r="AB73" s="31">
        <f t="shared" ref="AB73" si="117">AB12+AB41</f>
        <v>0</v>
      </c>
    </row>
    <row r="74" spans="1:28" s="168" customFormat="1">
      <c r="A74" s="31" t="s">
        <v>43</v>
      </c>
      <c r="B74" s="31">
        <f t="shared" ref="B74:AA74" si="118">B13+B42</f>
        <v>-735907.17</v>
      </c>
      <c r="C74" s="31">
        <f t="shared" si="118"/>
        <v>0</v>
      </c>
      <c r="D74" s="31">
        <f t="shared" si="118"/>
        <v>85751.09</v>
      </c>
      <c r="E74" s="31">
        <f t="shared" si="118"/>
        <v>-821658.26</v>
      </c>
      <c r="F74" s="31">
        <f t="shared" si="118"/>
        <v>0</v>
      </c>
      <c r="G74" s="31">
        <f t="shared" si="118"/>
        <v>0</v>
      </c>
      <c r="H74" s="31">
        <f t="shared" si="118"/>
        <v>0</v>
      </c>
      <c r="I74" s="31">
        <f t="shared" si="118"/>
        <v>0</v>
      </c>
      <c r="J74" s="31">
        <f t="shared" si="118"/>
        <v>0</v>
      </c>
      <c r="K74" s="31">
        <f t="shared" si="118"/>
        <v>0</v>
      </c>
      <c r="L74" s="31">
        <f t="shared" si="118"/>
        <v>0</v>
      </c>
      <c r="M74" s="31">
        <f t="shared" si="118"/>
        <v>0</v>
      </c>
      <c r="N74" s="31">
        <f t="shared" si="118"/>
        <v>0</v>
      </c>
      <c r="O74" s="31">
        <f t="shared" si="118"/>
        <v>0</v>
      </c>
      <c r="P74" s="31">
        <f t="shared" si="118"/>
        <v>0</v>
      </c>
      <c r="Q74" s="31">
        <f t="shared" si="118"/>
        <v>0</v>
      </c>
      <c r="R74" s="31">
        <f t="shared" si="118"/>
        <v>0</v>
      </c>
      <c r="S74" s="31">
        <f t="shared" si="118"/>
        <v>0</v>
      </c>
      <c r="T74" s="31">
        <f t="shared" si="118"/>
        <v>0</v>
      </c>
      <c r="U74" s="31">
        <f t="shared" si="118"/>
        <v>0</v>
      </c>
      <c r="V74" s="31">
        <f t="shared" si="118"/>
        <v>0</v>
      </c>
      <c r="W74" s="31">
        <f t="shared" ref="W74:Y74" si="119">W13+W42</f>
        <v>0</v>
      </c>
      <c r="X74" s="31">
        <f t="shared" si="119"/>
        <v>0</v>
      </c>
      <c r="Y74" s="31">
        <f t="shared" si="119"/>
        <v>0</v>
      </c>
      <c r="Z74" s="31">
        <f t="shared" ref="Z74" si="120">Z13+Z42</f>
        <v>0</v>
      </c>
      <c r="AA74" s="31">
        <f t="shared" si="118"/>
        <v>0</v>
      </c>
      <c r="AB74" s="31">
        <f t="shared" ref="AB74" si="121">AB13+AB42</f>
        <v>0</v>
      </c>
    </row>
    <row r="75" spans="1:28" s="168" customFormat="1">
      <c r="A75" s="31" t="s">
        <v>44</v>
      </c>
      <c r="B75" s="31">
        <f t="shared" ref="B75:AA75" si="122">B14+B43</f>
        <v>12017196.210000001</v>
      </c>
      <c r="C75" s="31">
        <f t="shared" si="122"/>
        <v>-3573584.7700000014</v>
      </c>
      <c r="D75" s="31">
        <f t="shared" si="122"/>
        <v>0</v>
      </c>
      <c r="E75" s="31">
        <f t="shared" si="122"/>
        <v>15590780.980000002</v>
      </c>
      <c r="F75" s="31">
        <f t="shared" si="122"/>
        <v>0</v>
      </c>
      <c r="G75" s="31">
        <f t="shared" si="122"/>
        <v>0</v>
      </c>
      <c r="H75" s="31">
        <f t="shared" si="122"/>
        <v>0</v>
      </c>
      <c r="I75" s="31">
        <f t="shared" si="122"/>
        <v>0</v>
      </c>
      <c r="J75" s="31">
        <f t="shared" si="122"/>
        <v>0</v>
      </c>
      <c r="K75" s="31">
        <f t="shared" si="122"/>
        <v>0</v>
      </c>
      <c r="L75" s="31">
        <f t="shared" si="122"/>
        <v>0</v>
      </c>
      <c r="M75" s="31">
        <f t="shared" si="122"/>
        <v>0</v>
      </c>
      <c r="N75" s="31">
        <f t="shared" si="122"/>
        <v>0</v>
      </c>
      <c r="O75" s="31">
        <f t="shared" si="122"/>
        <v>0</v>
      </c>
      <c r="P75" s="31">
        <f t="shared" si="122"/>
        <v>0</v>
      </c>
      <c r="Q75" s="31">
        <f t="shared" si="122"/>
        <v>0</v>
      </c>
      <c r="R75" s="31">
        <f t="shared" si="122"/>
        <v>0</v>
      </c>
      <c r="S75" s="31">
        <f t="shared" si="122"/>
        <v>0</v>
      </c>
      <c r="T75" s="31">
        <f t="shared" si="122"/>
        <v>0</v>
      </c>
      <c r="U75" s="31">
        <f t="shared" si="122"/>
        <v>0</v>
      </c>
      <c r="V75" s="31">
        <f t="shared" si="122"/>
        <v>0</v>
      </c>
      <c r="W75" s="31">
        <f t="shared" ref="W75:Y75" si="123">W14+W43</f>
        <v>0</v>
      </c>
      <c r="X75" s="31">
        <f t="shared" si="123"/>
        <v>0</v>
      </c>
      <c r="Y75" s="31">
        <f t="shared" si="123"/>
        <v>0</v>
      </c>
      <c r="Z75" s="31">
        <f t="shared" ref="Z75" si="124">Z14+Z43</f>
        <v>0</v>
      </c>
      <c r="AA75" s="31">
        <f t="shared" si="122"/>
        <v>0</v>
      </c>
      <c r="AB75" s="31">
        <f t="shared" ref="AB75" si="125">AB14+AB43</f>
        <v>0</v>
      </c>
    </row>
    <row r="76" spans="1:28" s="167" customFormat="1">
      <c r="A76" s="34" t="s">
        <v>45</v>
      </c>
      <c r="B76" s="35">
        <f t="shared" ref="B76:AA76" si="126">B15+B44</f>
        <v>657315905.42999995</v>
      </c>
      <c r="C76" s="35">
        <f t="shared" si="126"/>
        <v>-878869.21000000043</v>
      </c>
      <c r="D76" s="35">
        <f t="shared" si="126"/>
        <v>152116679.26000002</v>
      </c>
      <c r="E76" s="35">
        <f t="shared" si="126"/>
        <v>322486031.31999999</v>
      </c>
      <c r="F76" s="35">
        <f t="shared" si="126"/>
        <v>18004930.129999999</v>
      </c>
      <c r="G76" s="35">
        <f t="shared" si="126"/>
        <v>4332884.1500000004</v>
      </c>
      <c r="H76" s="35">
        <f t="shared" si="126"/>
        <v>3361717.96</v>
      </c>
      <c r="I76" s="35">
        <f t="shared" si="126"/>
        <v>4242192.96</v>
      </c>
      <c r="J76" s="35">
        <f t="shared" si="126"/>
        <v>6068135.0599999996</v>
      </c>
      <c r="K76" s="35">
        <f t="shared" si="126"/>
        <v>33773935.890000001</v>
      </c>
      <c r="L76" s="35">
        <f t="shared" si="126"/>
        <v>4424820.1100000003</v>
      </c>
      <c r="M76" s="35">
        <f t="shared" si="126"/>
        <v>4208905.09</v>
      </c>
      <c r="N76" s="35">
        <f t="shared" si="126"/>
        <v>1674893.1400000001</v>
      </c>
      <c r="O76" s="35">
        <f t="shared" si="126"/>
        <v>7066877.8799999999</v>
      </c>
      <c r="P76" s="35">
        <f t="shared" si="126"/>
        <v>3442054.9200000004</v>
      </c>
      <c r="Q76" s="35">
        <f t="shared" si="126"/>
        <v>3753974.7</v>
      </c>
      <c r="R76" s="35">
        <f t="shared" si="126"/>
        <v>9202410.0500000007</v>
      </c>
      <c r="S76" s="35">
        <f t="shared" si="126"/>
        <v>118023159.61999997</v>
      </c>
      <c r="T76" s="35">
        <f t="shared" si="126"/>
        <v>9710680.6500000004</v>
      </c>
      <c r="U76" s="35">
        <f t="shared" si="126"/>
        <v>81796789.75</v>
      </c>
      <c r="V76" s="35">
        <f t="shared" si="126"/>
        <v>21462227.52</v>
      </c>
      <c r="W76" s="35">
        <f t="shared" ref="W76:Y76" si="127">W15+W44</f>
        <v>2842495.61</v>
      </c>
      <c r="X76" s="35">
        <f t="shared" si="127"/>
        <v>1654934.91</v>
      </c>
      <c r="Y76" s="35">
        <f t="shared" si="127"/>
        <v>410798.39</v>
      </c>
      <c r="Z76" s="35">
        <f t="shared" ref="Z76" si="128">Z15+Z44</f>
        <v>145232.79</v>
      </c>
      <c r="AA76" s="35">
        <f t="shared" si="126"/>
        <v>6918454.8399999999</v>
      </c>
      <c r="AB76" s="35">
        <f t="shared" ref="AB76" si="129">AB15+AB44</f>
        <v>6871583.5800000001</v>
      </c>
    </row>
    <row r="77" spans="1:28" s="167" customFormat="1">
      <c r="A77" s="32" t="s">
        <v>46</v>
      </c>
      <c r="B77" s="32">
        <f t="shared" ref="B77:AA77" si="130">B16+B45</f>
        <v>9680797.9399999995</v>
      </c>
      <c r="C77" s="32">
        <f t="shared" si="130"/>
        <v>-98654.83</v>
      </c>
      <c r="D77" s="32">
        <f t="shared" si="130"/>
        <v>-1115830.3599999999</v>
      </c>
      <c r="E77" s="32">
        <f t="shared" si="130"/>
        <v>6081569.0300000003</v>
      </c>
      <c r="F77" s="32">
        <f t="shared" si="130"/>
        <v>343816.76</v>
      </c>
      <c r="G77" s="32">
        <f t="shared" si="130"/>
        <v>70886.38</v>
      </c>
      <c r="H77" s="32">
        <f t="shared" si="130"/>
        <v>245561.84</v>
      </c>
      <c r="I77" s="32">
        <f t="shared" si="130"/>
        <v>57597.039999999994</v>
      </c>
      <c r="J77" s="32">
        <f t="shared" si="130"/>
        <v>-30228.5</v>
      </c>
      <c r="K77" s="32">
        <f t="shared" si="130"/>
        <v>2460688.09</v>
      </c>
      <c r="L77" s="32">
        <f t="shared" si="130"/>
        <v>1687326.8199999998</v>
      </c>
      <c r="M77" s="32">
        <f t="shared" si="130"/>
        <v>575295.49</v>
      </c>
      <c r="N77" s="32">
        <f t="shared" si="130"/>
        <v>40678.74</v>
      </c>
      <c r="O77" s="32">
        <f t="shared" si="130"/>
        <v>20374.37</v>
      </c>
      <c r="P77" s="32">
        <f t="shared" si="130"/>
        <v>67892.13</v>
      </c>
      <c r="Q77" s="32">
        <f t="shared" si="130"/>
        <v>69120.540000000008</v>
      </c>
      <c r="R77" s="32">
        <f t="shared" si="130"/>
        <v>0</v>
      </c>
      <c r="S77" s="32">
        <f t="shared" si="130"/>
        <v>2017466.5300000003</v>
      </c>
      <c r="T77" s="32">
        <f t="shared" si="130"/>
        <v>118823.23</v>
      </c>
      <c r="U77" s="32">
        <f t="shared" si="130"/>
        <v>1678448.4200000002</v>
      </c>
      <c r="V77" s="32">
        <f t="shared" si="130"/>
        <v>195727.27</v>
      </c>
      <c r="W77" s="32">
        <f t="shared" ref="W77:Y77" si="131">W16+W45</f>
        <v>24761.11</v>
      </c>
      <c r="X77" s="32">
        <f t="shared" si="131"/>
        <v>-200.92</v>
      </c>
      <c r="Y77" s="32">
        <f t="shared" si="131"/>
        <v>-92.58</v>
      </c>
      <c r="Z77" s="32">
        <f t="shared" ref="Z77" si="132">Z16+Z45</f>
        <v>0</v>
      </c>
      <c r="AA77" s="32">
        <f t="shared" si="130"/>
        <v>-7447.28</v>
      </c>
      <c r="AB77" s="32">
        <f t="shared" ref="AB77" si="133">AB16+AB45</f>
        <v>-810</v>
      </c>
    </row>
    <row r="78" spans="1:28" s="167" customFormat="1">
      <c r="A78" s="32" t="s">
        <v>47</v>
      </c>
      <c r="B78" s="32">
        <f t="shared" ref="B78:AA78" si="134">B17+B46</f>
        <v>643767443.80999994</v>
      </c>
      <c r="C78" s="32">
        <f>C17+C46</f>
        <v>-780214.38000000047</v>
      </c>
      <c r="D78" s="32">
        <f t="shared" si="134"/>
        <v>153232509.62</v>
      </c>
      <c r="E78" s="32">
        <f t="shared" si="134"/>
        <v>312536798.60999995</v>
      </c>
      <c r="F78" s="32">
        <f t="shared" si="134"/>
        <v>17661113.370000001</v>
      </c>
      <c r="G78" s="32">
        <f t="shared" si="134"/>
        <v>4261997.7699999996</v>
      </c>
      <c r="H78" s="32">
        <f t="shared" si="134"/>
        <v>3116156.12</v>
      </c>
      <c r="I78" s="32">
        <f t="shared" si="134"/>
        <v>4184595.92</v>
      </c>
      <c r="J78" s="32">
        <f t="shared" si="134"/>
        <v>6098363.5600000005</v>
      </c>
      <c r="K78" s="32">
        <f t="shared" si="134"/>
        <v>31313247.799999997</v>
      </c>
      <c r="L78" s="32">
        <f t="shared" si="134"/>
        <v>2737493.29</v>
      </c>
      <c r="M78" s="32">
        <f t="shared" si="134"/>
        <v>3633609.5999999996</v>
      </c>
      <c r="N78" s="32">
        <f t="shared" si="134"/>
        <v>1634214.4</v>
      </c>
      <c r="O78" s="32">
        <f t="shared" si="134"/>
        <v>7046503.5099999998</v>
      </c>
      <c r="P78" s="32">
        <f t="shared" si="134"/>
        <v>3374162.79</v>
      </c>
      <c r="Q78" s="32">
        <f t="shared" si="134"/>
        <v>3684854.16</v>
      </c>
      <c r="R78" s="32">
        <f t="shared" si="134"/>
        <v>9202410.0500000007</v>
      </c>
      <c r="S78" s="32">
        <f t="shared" si="134"/>
        <v>116005693.09000003</v>
      </c>
      <c r="T78" s="32">
        <f t="shared" si="134"/>
        <v>9591857.4199999999</v>
      </c>
      <c r="U78" s="32">
        <f t="shared" si="134"/>
        <v>80118341.329999998</v>
      </c>
      <c r="V78" s="32">
        <f t="shared" si="134"/>
        <v>21266500.25</v>
      </c>
      <c r="W78" s="32">
        <f t="shared" ref="W78:Y78" si="135">W17+W46</f>
        <v>2817734.5</v>
      </c>
      <c r="X78" s="32">
        <f t="shared" si="135"/>
        <v>1655135.83</v>
      </c>
      <c r="Y78" s="32">
        <f t="shared" si="135"/>
        <v>410890.97</v>
      </c>
      <c r="Z78" s="32">
        <f t="shared" ref="Z78" si="136">Z17+Z46</f>
        <v>145232.79</v>
      </c>
      <c r="AA78" s="32">
        <f t="shared" si="134"/>
        <v>6925902.1200000001</v>
      </c>
      <c r="AB78" s="32">
        <f t="shared" ref="AB78" si="137">AB17+AB46</f>
        <v>6872393.5800000001</v>
      </c>
    </row>
    <row r="79" spans="1:28" s="167" customFormat="1">
      <c r="A79" s="32" t="s">
        <v>48</v>
      </c>
      <c r="B79" s="32">
        <f t="shared" ref="B79:AA79" si="138">B18+B47</f>
        <v>0</v>
      </c>
      <c r="C79" s="32">
        <f t="shared" si="138"/>
        <v>0</v>
      </c>
      <c r="D79" s="32">
        <f t="shared" si="138"/>
        <v>0</v>
      </c>
      <c r="E79" s="32">
        <f t="shared" si="138"/>
        <v>0</v>
      </c>
      <c r="F79" s="32">
        <f t="shared" si="138"/>
        <v>0</v>
      </c>
      <c r="G79" s="32">
        <f t="shared" si="138"/>
        <v>0</v>
      </c>
      <c r="H79" s="32">
        <f t="shared" si="138"/>
        <v>0</v>
      </c>
      <c r="I79" s="32">
        <f t="shared" si="138"/>
        <v>0</v>
      </c>
      <c r="J79" s="32">
        <f t="shared" si="138"/>
        <v>0</v>
      </c>
      <c r="K79" s="32">
        <f t="shared" si="138"/>
        <v>0</v>
      </c>
      <c r="L79" s="32">
        <f t="shared" si="138"/>
        <v>0</v>
      </c>
      <c r="M79" s="32">
        <f t="shared" si="138"/>
        <v>0</v>
      </c>
      <c r="N79" s="32">
        <f t="shared" si="138"/>
        <v>0</v>
      </c>
      <c r="O79" s="32">
        <f t="shared" si="138"/>
        <v>0</v>
      </c>
      <c r="P79" s="32">
        <f t="shared" si="138"/>
        <v>0</v>
      </c>
      <c r="Q79" s="32">
        <f t="shared" si="138"/>
        <v>0</v>
      </c>
      <c r="R79" s="32">
        <f t="shared" si="138"/>
        <v>0</v>
      </c>
      <c r="S79" s="32">
        <f t="shared" si="138"/>
        <v>0</v>
      </c>
      <c r="T79" s="32">
        <f t="shared" si="138"/>
        <v>0</v>
      </c>
      <c r="U79" s="32">
        <f t="shared" si="138"/>
        <v>0</v>
      </c>
      <c r="V79" s="32">
        <f t="shared" si="138"/>
        <v>0</v>
      </c>
      <c r="W79" s="32">
        <f t="shared" ref="W79:Y79" si="139">W18+W47</f>
        <v>0</v>
      </c>
      <c r="X79" s="32">
        <f t="shared" si="139"/>
        <v>0</v>
      </c>
      <c r="Y79" s="32">
        <f t="shared" si="139"/>
        <v>0</v>
      </c>
      <c r="Z79" s="32">
        <f t="shared" ref="Z79" si="140">Z18+Z47</f>
        <v>0</v>
      </c>
      <c r="AA79" s="32">
        <f t="shared" si="138"/>
        <v>0</v>
      </c>
      <c r="AB79" s="32">
        <f t="shared" ref="AB79" si="141">AB18+AB47</f>
        <v>0</v>
      </c>
    </row>
    <row r="80" spans="1:28" s="167" customFormat="1">
      <c r="A80" s="32" t="s">
        <v>49</v>
      </c>
      <c r="B80" s="32">
        <f t="shared" ref="B80:AA80" si="142">B19+B48</f>
        <v>3867663.68</v>
      </c>
      <c r="C80" s="32">
        <f t="shared" si="142"/>
        <v>0</v>
      </c>
      <c r="D80" s="32">
        <f t="shared" si="142"/>
        <v>0</v>
      </c>
      <c r="E80" s="32">
        <f t="shared" si="142"/>
        <v>3867663.68</v>
      </c>
      <c r="F80" s="32">
        <f t="shared" si="142"/>
        <v>0</v>
      </c>
      <c r="G80" s="32">
        <f t="shared" si="142"/>
        <v>0</v>
      </c>
      <c r="H80" s="32">
        <f t="shared" si="142"/>
        <v>0</v>
      </c>
      <c r="I80" s="32">
        <f t="shared" si="142"/>
        <v>0</v>
      </c>
      <c r="J80" s="32">
        <f t="shared" si="142"/>
        <v>0</v>
      </c>
      <c r="K80" s="32">
        <f t="shared" si="142"/>
        <v>0</v>
      </c>
      <c r="L80" s="32">
        <f t="shared" si="142"/>
        <v>0</v>
      </c>
      <c r="M80" s="32">
        <f t="shared" si="142"/>
        <v>0</v>
      </c>
      <c r="N80" s="32">
        <f t="shared" si="142"/>
        <v>0</v>
      </c>
      <c r="O80" s="32">
        <f t="shared" si="142"/>
        <v>0</v>
      </c>
      <c r="P80" s="32">
        <f t="shared" si="142"/>
        <v>0</v>
      </c>
      <c r="Q80" s="32">
        <f t="shared" si="142"/>
        <v>0</v>
      </c>
      <c r="R80" s="32">
        <f t="shared" si="142"/>
        <v>0</v>
      </c>
      <c r="S80" s="32">
        <f t="shared" si="142"/>
        <v>0</v>
      </c>
      <c r="T80" s="32">
        <f t="shared" si="142"/>
        <v>0</v>
      </c>
      <c r="U80" s="32">
        <f t="shared" si="142"/>
        <v>0</v>
      </c>
      <c r="V80" s="32">
        <f t="shared" si="142"/>
        <v>0</v>
      </c>
      <c r="W80" s="32">
        <f t="shared" ref="W80:Y80" si="143">W19+W48</f>
        <v>0</v>
      </c>
      <c r="X80" s="32">
        <f t="shared" si="143"/>
        <v>0</v>
      </c>
      <c r="Y80" s="32">
        <f t="shared" si="143"/>
        <v>0</v>
      </c>
      <c r="Z80" s="32">
        <f t="shared" ref="Z80" si="144">Z19+Z48</f>
        <v>0</v>
      </c>
      <c r="AA80" s="32">
        <f t="shared" si="142"/>
        <v>0</v>
      </c>
      <c r="AB80" s="32">
        <f t="shared" ref="AB80" si="145">AB19+AB48</f>
        <v>0</v>
      </c>
    </row>
    <row r="81" spans="1:28" s="167" customFormat="1">
      <c r="A81" s="34" t="s">
        <v>50</v>
      </c>
      <c r="B81" s="35">
        <f t="shared" ref="B81:AA81" si="146">B20+B49</f>
        <v>234968186.39333338</v>
      </c>
      <c r="C81" s="35">
        <f t="shared" si="146"/>
        <v>-11972199.279999999</v>
      </c>
      <c r="D81" s="35">
        <f t="shared" si="146"/>
        <v>-418225331.44966674</v>
      </c>
      <c r="E81" s="35">
        <f t="shared" si="146"/>
        <v>582053375.42049074</v>
      </c>
      <c r="F81" s="35">
        <f t="shared" si="146"/>
        <v>-247470533.68549055</v>
      </c>
      <c r="G81" s="35">
        <f t="shared" si="146"/>
        <v>4286158.4295094339</v>
      </c>
      <c r="H81" s="35">
        <f t="shared" si="146"/>
        <v>-249540865.30999997</v>
      </c>
      <c r="I81" s="35">
        <f t="shared" si="146"/>
        <v>7610554.8949999996</v>
      </c>
      <c r="J81" s="35">
        <f t="shared" si="146"/>
        <v>-9826381.6999999993</v>
      </c>
      <c r="K81" s="35">
        <f t="shared" si="146"/>
        <v>177344004.50133333</v>
      </c>
      <c r="L81" s="35">
        <f t="shared" si="146"/>
        <v>50418490.789999992</v>
      </c>
      <c r="M81" s="35">
        <f t="shared" si="146"/>
        <v>25338540.093000002</v>
      </c>
      <c r="N81" s="35">
        <f t="shared" si="146"/>
        <v>3914048.0749999993</v>
      </c>
      <c r="O81" s="35">
        <f t="shared" si="146"/>
        <v>98237133.673333332</v>
      </c>
      <c r="P81" s="35">
        <f t="shared" si="146"/>
        <v>9918314.1799999997</v>
      </c>
      <c r="Q81" s="35">
        <f t="shared" si="146"/>
        <v>-1399024.67</v>
      </c>
      <c r="R81" s="35">
        <f t="shared" si="146"/>
        <v>-9195606.7200000007</v>
      </c>
      <c r="S81" s="35">
        <f t="shared" si="146"/>
        <v>167028909.30666667</v>
      </c>
      <c r="T81" s="35">
        <f t="shared" si="146"/>
        <v>6910151.4199999999</v>
      </c>
      <c r="U81" s="35">
        <f t="shared" si="146"/>
        <v>155528214.34</v>
      </c>
      <c r="V81" s="35">
        <f t="shared" si="146"/>
        <v>6189759.9466666672</v>
      </c>
      <c r="W81" s="35">
        <f t="shared" ref="W81:Y81" si="147">W20+W49</f>
        <v>611749.68999999994</v>
      </c>
      <c r="X81" s="35">
        <f t="shared" si="147"/>
        <v>-1654934.91</v>
      </c>
      <c r="Y81" s="35">
        <f t="shared" si="147"/>
        <v>-410798.39</v>
      </c>
      <c r="Z81" s="35">
        <f t="shared" ref="Z81" si="148">Z20+Z49</f>
        <v>-145232.79</v>
      </c>
      <c r="AA81" s="35">
        <f t="shared" si="146"/>
        <v>-6918454.8399999999</v>
      </c>
      <c r="AB81" s="35">
        <f t="shared" ref="AB81" si="149">AB20+AB49</f>
        <v>-6871583.5800000001</v>
      </c>
    </row>
    <row r="82" spans="1:28" s="167" customFormat="1">
      <c r="A82" s="32" t="s">
        <v>51</v>
      </c>
      <c r="B82" s="32">
        <f t="shared" ref="B82:AA82" si="150">B21+B50</f>
        <v>2757853.51</v>
      </c>
      <c r="C82" s="32">
        <f t="shared" si="150"/>
        <v>666421.88</v>
      </c>
      <c r="D82" s="32">
        <f t="shared" si="150"/>
        <v>1675785.48</v>
      </c>
      <c r="E82" s="32">
        <f t="shared" si="150"/>
        <v>405355.19</v>
      </c>
      <c r="F82" s="32">
        <f t="shared" si="150"/>
        <v>10290.959999999999</v>
      </c>
      <c r="G82" s="32">
        <f t="shared" si="150"/>
        <v>10290.959999999999</v>
      </c>
      <c r="H82" s="32">
        <f t="shared" si="150"/>
        <v>0</v>
      </c>
      <c r="I82" s="32">
        <f t="shared" si="150"/>
        <v>0</v>
      </c>
      <c r="J82" s="32">
        <f t="shared" si="150"/>
        <v>0</v>
      </c>
      <c r="K82" s="32">
        <f t="shared" si="150"/>
        <v>0</v>
      </c>
      <c r="L82" s="32">
        <f t="shared" si="150"/>
        <v>0</v>
      </c>
      <c r="M82" s="32">
        <f t="shared" si="150"/>
        <v>0</v>
      </c>
      <c r="N82" s="32">
        <f t="shared" si="150"/>
        <v>0</v>
      </c>
      <c r="O82" s="32">
        <f t="shared" si="150"/>
        <v>0</v>
      </c>
      <c r="P82" s="32">
        <f t="shared" si="150"/>
        <v>0</v>
      </c>
      <c r="Q82" s="32">
        <f t="shared" si="150"/>
        <v>0</v>
      </c>
      <c r="R82" s="32">
        <f t="shared" si="150"/>
        <v>0</v>
      </c>
      <c r="S82" s="32">
        <f t="shared" si="150"/>
        <v>0</v>
      </c>
      <c r="T82" s="32">
        <f t="shared" si="150"/>
        <v>0</v>
      </c>
      <c r="U82" s="32">
        <f t="shared" si="150"/>
        <v>0</v>
      </c>
      <c r="V82" s="32">
        <f t="shared" si="150"/>
        <v>0</v>
      </c>
      <c r="W82" s="32">
        <f t="shared" ref="W82:Y82" si="151">W21+W50</f>
        <v>0</v>
      </c>
      <c r="X82" s="32">
        <f t="shared" si="151"/>
        <v>0</v>
      </c>
      <c r="Y82" s="32">
        <f t="shared" si="151"/>
        <v>0</v>
      </c>
      <c r="Z82" s="32">
        <f t="shared" ref="Z82" si="152">Z21+Z50</f>
        <v>0</v>
      </c>
      <c r="AA82" s="32">
        <f t="shared" si="150"/>
        <v>0</v>
      </c>
      <c r="AB82" s="32">
        <f t="shared" ref="AB82" si="153">AB21+AB50</f>
        <v>0</v>
      </c>
    </row>
    <row r="83" spans="1:28" s="167" customFormat="1">
      <c r="A83" s="32" t="s">
        <v>52</v>
      </c>
      <c r="B83" s="32">
        <f t="shared" ref="B83:AA83" si="154">B22+B51</f>
        <v>2078249.25</v>
      </c>
      <c r="C83" s="32">
        <f t="shared" si="154"/>
        <v>0</v>
      </c>
      <c r="D83" s="32">
        <f t="shared" si="154"/>
        <v>1300901.67</v>
      </c>
      <c r="E83" s="32">
        <f t="shared" si="154"/>
        <v>773687.40999999992</v>
      </c>
      <c r="F83" s="32">
        <f t="shared" si="154"/>
        <v>837.5</v>
      </c>
      <c r="G83" s="32">
        <f t="shared" si="154"/>
        <v>0</v>
      </c>
      <c r="H83" s="32">
        <f t="shared" si="154"/>
        <v>0</v>
      </c>
      <c r="I83" s="32">
        <f t="shared" si="154"/>
        <v>0</v>
      </c>
      <c r="J83" s="32">
        <f t="shared" si="154"/>
        <v>837.5</v>
      </c>
      <c r="K83" s="32">
        <f t="shared" si="154"/>
        <v>2822.67</v>
      </c>
      <c r="L83" s="32">
        <f t="shared" si="154"/>
        <v>0</v>
      </c>
      <c r="M83" s="32">
        <f t="shared" si="154"/>
        <v>0</v>
      </c>
      <c r="N83" s="32">
        <f t="shared" si="154"/>
        <v>0</v>
      </c>
      <c r="O83" s="32">
        <f t="shared" si="154"/>
        <v>0</v>
      </c>
      <c r="P83" s="32">
        <f t="shared" si="154"/>
        <v>0</v>
      </c>
      <c r="Q83" s="32">
        <f t="shared" si="154"/>
        <v>0</v>
      </c>
      <c r="R83" s="32">
        <f t="shared" si="154"/>
        <v>2822.67</v>
      </c>
      <c r="S83" s="32">
        <f t="shared" si="154"/>
        <v>0</v>
      </c>
      <c r="T83" s="32">
        <f t="shared" si="154"/>
        <v>0</v>
      </c>
      <c r="U83" s="32">
        <f t="shared" si="154"/>
        <v>0</v>
      </c>
      <c r="V83" s="32">
        <f t="shared" si="154"/>
        <v>0</v>
      </c>
      <c r="W83" s="32">
        <f t="shared" ref="W83:Y83" si="155">W22+W51</f>
        <v>0</v>
      </c>
      <c r="X83" s="32">
        <f t="shared" si="155"/>
        <v>0</v>
      </c>
      <c r="Y83" s="32">
        <f t="shared" si="155"/>
        <v>0</v>
      </c>
      <c r="Z83" s="32">
        <f t="shared" ref="Z83" si="156">Z22+Z51</f>
        <v>0</v>
      </c>
      <c r="AA83" s="32">
        <f t="shared" si="154"/>
        <v>0</v>
      </c>
      <c r="AB83" s="32">
        <f t="shared" ref="AB83" si="157">AB22+AB51</f>
        <v>0</v>
      </c>
    </row>
    <row r="84" spans="1:28" s="167" customFormat="1">
      <c r="A84" s="34" t="s">
        <v>53</v>
      </c>
      <c r="B84" s="35">
        <f t="shared" ref="B84:AA84" si="158">B23+B52</f>
        <v>235647790.65333337</v>
      </c>
      <c r="C84" s="35">
        <f t="shared" si="158"/>
        <v>-11305777.399999999</v>
      </c>
      <c r="D84" s="35">
        <f t="shared" si="158"/>
        <v>-417850447.63966674</v>
      </c>
      <c r="E84" s="35">
        <f t="shared" si="158"/>
        <v>581685043.20049071</v>
      </c>
      <c r="F84" s="35">
        <f t="shared" si="158"/>
        <v>-247461080.22549054</v>
      </c>
      <c r="G84" s="35">
        <f t="shared" si="158"/>
        <v>4296449.3895094339</v>
      </c>
      <c r="H84" s="35">
        <f t="shared" si="158"/>
        <v>-249540865.30999997</v>
      </c>
      <c r="I84" s="35">
        <f t="shared" si="158"/>
        <v>7610554.8949999996</v>
      </c>
      <c r="J84" s="35">
        <f t="shared" si="158"/>
        <v>-9827219.1999999993</v>
      </c>
      <c r="K84" s="35">
        <f t="shared" si="158"/>
        <v>177341181.83133331</v>
      </c>
      <c r="L84" s="35">
        <f t="shared" si="158"/>
        <v>50418490.789999992</v>
      </c>
      <c r="M84" s="35">
        <f t="shared" si="158"/>
        <v>25338540.093000002</v>
      </c>
      <c r="N84" s="35">
        <f t="shared" si="158"/>
        <v>3914048.0749999993</v>
      </c>
      <c r="O84" s="35">
        <f t="shared" si="158"/>
        <v>98237133.673333332</v>
      </c>
      <c r="P84" s="35">
        <f t="shared" si="158"/>
        <v>9918314.1799999997</v>
      </c>
      <c r="Q84" s="35">
        <f t="shared" si="158"/>
        <v>-1399024.67</v>
      </c>
      <c r="R84" s="35">
        <f t="shared" si="158"/>
        <v>-9198429.3900000006</v>
      </c>
      <c r="S84" s="35">
        <f t="shared" si="158"/>
        <v>167028909.30666667</v>
      </c>
      <c r="T84" s="35">
        <f t="shared" si="158"/>
        <v>6910151.4199999999</v>
      </c>
      <c r="U84" s="35">
        <f t="shared" si="158"/>
        <v>155528214.34</v>
      </c>
      <c r="V84" s="35">
        <f t="shared" si="158"/>
        <v>6189759.9466666672</v>
      </c>
      <c r="W84" s="35">
        <f t="shared" ref="W84:Y84" si="159">W23+W52</f>
        <v>611749.68999999994</v>
      </c>
      <c r="X84" s="35">
        <f t="shared" si="159"/>
        <v>-1654934.91</v>
      </c>
      <c r="Y84" s="35">
        <f t="shared" si="159"/>
        <v>-410798.39</v>
      </c>
      <c r="Z84" s="35">
        <f t="shared" ref="Z84" si="160">Z23+Z52</f>
        <v>-145232.79</v>
      </c>
      <c r="AA84" s="35">
        <f t="shared" si="158"/>
        <v>-6918454.8399999999</v>
      </c>
      <c r="AB84" s="35">
        <f t="shared" ref="AB84" si="161">AB23+AB52</f>
        <v>-6871583.5800000001</v>
      </c>
    </row>
    <row r="85" spans="1:28" s="167" customFormat="1">
      <c r="A85" s="32" t="s">
        <v>54</v>
      </c>
      <c r="B85" s="32">
        <f t="shared" ref="B85:AA85" si="162">B24+B53</f>
        <v>103168651.48999999</v>
      </c>
      <c r="C85" s="32">
        <f t="shared" si="162"/>
        <v>0</v>
      </c>
      <c r="D85" s="32">
        <f t="shared" si="162"/>
        <v>103167857.59</v>
      </c>
      <c r="E85" s="32">
        <f t="shared" si="162"/>
        <v>793.9</v>
      </c>
      <c r="F85" s="32">
        <f t="shared" si="162"/>
        <v>0</v>
      </c>
      <c r="G85" s="32">
        <f t="shared" si="162"/>
        <v>0</v>
      </c>
      <c r="H85" s="32">
        <f t="shared" si="162"/>
        <v>0</v>
      </c>
      <c r="I85" s="32">
        <f t="shared" si="162"/>
        <v>0</v>
      </c>
      <c r="J85" s="32">
        <f t="shared" si="162"/>
        <v>0</v>
      </c>
      <c r="K85" s="32">
        <f t="shared" si="162"/>
        <v>0</v>
      </c>
      <c r="L85" s="32">
        <f t="shared" si="162"/>
        <v>0</v>
      </c>
      <c r="M85" s="32">
        <f t="shared" si="162"/>
        <v>0</v>
      </c>
      <c r="N85" s="32">
        <f t="shared" si="162"/>
        <v>0</v>
      </c>
      <c r="O85" s="32">
        <f t="shared" si="162"/>
        <v>0</v>
      </c>
      <c r="P85" s="32">
        <f t="shared" si="162"/>
        <v>0</v>
      </c>
      <c r="Q85" s="32">
        <f t="shared" si="162"/>
        <v>0</v>
      </c>
      <c r="R85" s="32">
        <f t="shared" si="162"/>
        <v>0</v>
      </c>
      <c r="S85" s="32">
        <f t="shared" si="162"/>
        <v>0</v>
      </c>
      <c r="T85" s="32">
        <f t="shared" si="162"/>
        <v>0</v>
      </c>
      <c r="U85" s="32">
        <f t="shared" si="162"/>
        <v>0</v>
      </c>
      <c r="V85" s="32">
        <f t="shared" si="162"/>
        <v>0</v>
      </c>
      <c r="W85" s="32">
        <f t="shared" ref="W85:Y85" si="163">W24+W53</f>
        <v>0</v>
      </c>
      <c r="X85" s="32">
        <f t="shared" si="163"/>
        <v>0</v>
      </c>
      <c r="Y85" s="32">
        <f t="shared" si="163"/>
        <v>0</v>
      </c>
      <c r="Z85" s="32">
        <f t="shared" ref="Z85" si="164">Z24+Z53</f>
        <v>0</v>
      </c>
      <c r="AA85" s="32">
        <f t="shared" si="162"/>
        <v>0</v>
      </c>
      <c r="AB85" s="32">
        <f t="shared" ref="AB85" si="165">AB24+AB53</f>
        <v>0</v>
      </c>
    </row>
    <row r="86" spans="1:28" s="167" customFormat="1">
      <c r="A86" s="34" t="s">
        <v>55</v>
      </c>
      <c r="B86" s="35">
        <f t="shared" ref="B86:AA86" si="166">B25+B54</f>
        <v>132479139.16333342</v>
      </c>
      <c r="C86" s="35">
        <f t="shared" si="166"/>
        <v>-11305777.399999999</v>
      </c>
      <c r="D86" s="35">
        <f t="shared" si="166"/>
        <v>-521018305.22966671</v>
      </c>
      <c r="E86" s="35">
        <f t="shared" si="166"/>
        <v>581684249.30049062</v>
      </c>
      <c r="F86" s="35">
        <f t="shared" si="166"/>
        <v>-247461080.22549054</v>
      </c>
      <c r="G86" s="35">
        <f t="shared" si="166"/>
        <v>4296449.3895094339</v>
      </c>
      <c r="H86" s="35">
        <f t="shared" si="166"/>
        <v>-249540865.30999997</v>
      </c>
      <c r="I86" s="35">
        <f t="shared" si="166"/>
        <v>7610554.8949999996</v>
      </c>
      <c r="J86" s="35">
        <f t="shared" si="166"/>
        <v>-9827219.1999999993</v>
      </c>
      <c r="K86" s="35">
        <f t="shared" si="166"/>
        <v>177341181.83133331</v>
      </c>
      <c r="L86" s="35">
        <f t="shared" si="166"/>
        <v>50418490.789999992</v>
      </c>
      <c r="M86" s="35">
        <f t="shared" si="166"/>
        <v>25338540.093000002</v>
      </c>
      <c r="N86" s="35">
        <f t="shared" si="166"/>
        <v>3914048.0749999993</v>
      </c>
      <c r="O86" s="35">
        <f t="shared" si="166"/>
        <v>98237133.673333332</v>
      </c>
      <c r="P86" s="35">
        <f t="shared" si="166"/>
        <v>9918314.1799999997</v>
      </c>
      <c r="Q86" s="35">
        <f t="shared" si="166"/>
        <v>-1399024.67</v>
      </c>
      <c r="R86" s="35">
        <f t="shared" si="166"/>
        <v>-9198429.3900000006</v>
      </c>
      <c r="S86" s="35">
        <f t="shared" si="166"/>
        <v>167028909.30666667</v>
      </c>
      <c r="T86" s="35">
        <f t="shared" si="166"/>
        <v>6910151.4199999999</v>
      </c>
      <c r="U86" s="35">
        <f t="shared" si="166"/>
        <v>155528214.34</v>
      </c>
      <c r="V86" s="35">
        <f t="shared" si="166"/>
        <v>6189759.9466666672</v>
      </c>
      <c r="W86" s="35">
        <f t="shared" ref="W86:Y86" si="167">W25+W54</f>
        <v>611749.68999999994</v>
      </c>
      <c r="X86" s="35">
        <f t="shared" si="167"/>
        <v>-1654934.91</v>
      </c>
      <c r="Y86" s="35">
        <f t="shared" si="167"/>
        <v>-410798.39</v>
      </c>
      <c r="Z86" s="35">
        <f t="shared" ref="Z86" si="168">Z25+Z54</f>
        <v>-145232.79</v>
      </c>
      <c r="AA86" s="35">
        <f t="shared" si="166"/>
        <v>-6918454.8399999999</v>
      </c>
      <c r="AB86" s="35">
        <f t="shared" ref="AB86" si="169">AB25+AB54</f>
        <v>-6871583.5800000001</v>
      </c>
    </row>
    <row r="87" spans="1:28" s="167" customFormat="1">
      <c r="A87" s="36" t="s">
        <v>56</v>
      </c>
      <c r="B87" s="37">
        <f t="shared" ref="B87:AA87" si="170">B26+B55</f>
        <v>0</v>
      </c>
      <c r="C87" s="37">
        <f t="shared" si="170"/>
        <v>0</v>
      </c>
      <c r="D87" s="37">
        <f t="shared" si="170"/>
        <v>0</v>
      </c>
      <c r="E87" s="37"/>
      <c r="F87" s="37">
        <f t="shared" si="170"/>
        <v>0</v>
      </c>
      <c r="G87" s="37">
        <f t="shared" si="170"/>
        <v>0</v>
      </c>
      <c r="H87" s="37">
        <f t="shared" si="170"/>
        <v>0</v>
      </c>
      <c r="I87" s="37">
        <f t="shared" si="170"/>
        <v>0</v>
      </c>
      <c r="J87" s="37">
        <f t="shared" si="170"/>
        <v>0</v>
      </c>
      <c r="K87" s="37">
        <f t="shared" si="170"/>
        <v>0</v>
      </c>
      <c r="L87" s="37">
        <f t="shared" si="170"/>
        <v>0</v>
      </c>
      <c r="M87" s="37">
        <f t="shared" si="170"/>
        <v>0</v>
      </c>
      <c r="N87" s="37">
        <f t="shared" si="170"/>
        <v>0</v>
      </c>
      <c r="O87" s="37">
        <f t="shared" si="170"/>
        <v>0</v>
      </c>
      <c r="P87" s="37">
        <f t="shared" si="170"/>
        <v>0</v>
      </c>
      <c r="Q87" s="37">
        <f t="shared" si="170"/>
        <v>0</v>
      </c>
      <c r="R87" s="37">
        <f t="shared" si="170"/>
        <v>0</v>
      </c>
      <c r="S87" s="37">
        <f t="shared" si="170"/>
        <v>0</v>
      </c>
      <c r="T87" s="37">
        <f t="shared" si="170"/>
        <v>0</v>
      </c>
      <c r="U87" s="37">
        <f t="shared" si="170"/>
        <v>0</v>
      </c>
      <c r="V87" s="37">
        <f t="shared" si="170"/>
        <v>0</v>
      </c>
      <c r="W87" s="37">
        <f t="shared" ref="W87:Y87" si="171">W26+W55</f>
        <v>0</v>
      </c>
      <c r="X87" s="37">
        <f t="shared" si="171"/>
        <v>0</v>
      </c>
      <c r="Y87" s="37">
        <f t="shared" si="171"/>
        <v>0</v>
      </c>
      <c r="Z87" s="37">
        <f t="shared" ref="Z87" si="172">Z26+Z55</f>
        <v>0</v>
      </c>
      <c r="AA87" s="37">
        <f t="shared" si="170"/>
        <v>0</v>
      </c>
      <c r="AB87" s="37">
        <f t="shared" ref="AB87" si="173">AB26+AB55</f>
        <v>0</v>
      </c>
    </row>
    <row r="88" spans="1:28" s="167" customFormat="1" ht="15" customHeight="1" thickBot="1">
      <c r="A88" s="38" t="s">
        <v>57</v>
      </c>
      <c r="B88" s="39">
        <f t="shared" ref="B88:AA88" si="174">B27+B56</f>
        <v>132479139.16333339</v>
      </c>
      <c r="C88" s="39">
        <f t="shared" si="174"/>
        <v>-11305777.399999999</v>
      </c>
      <c r="D88" s="39">
        <f t="shared" si="174"/>
        <v>-521018305.22966671</v>
      </c>
      <c r="E88" s="39">
        <f t="shared" si="174"/>
        <v>581684249.3004905</v>
      </c>
      <c r="F88" s="39">
        <f t="shared" si="174"/>
        <v>-247461080.22549054</v>
      </c>
      <c r="G88" s="39">
        <f t="shared" si="174"/>
        <v>4296449.389509432</v>
      </c>
      <c r="H88" s="39">
        <f t="shared" si="174"/>
        <v>-249540865.30999997</v>
      </c>
      <c r="I88" s="39">
        <f t="shared" si="174"/>
        <v>7610554.8949999996</v>
      </c>
      <c r="J88" s="39">
        <f t="shared" si="174"/>
        <v>-9827219.1999999993</v>
      </c>
      <c r="K88" s="39">
        <f t="shared" si="174"/>
        <v>177341181.83133328</v>
      </c>
      <c r="L88" s="39">
        <f t="shared" si="174"/>
        <v>50418490.789999992</v>
      </c>
      <c r="M88" s="39">
        <f t="shared" si="174"/>
        <v>25338540.093000002</v>
      </c>
      <c r="N88" s="39">
        <f t="shared" si="174"/>
        <v>3914048.0749999993</v>
      </c>
      <c r="O88" s="39">
        <f t="shared" si="174"/>
        <v>98237133.673333332</v>
      </c>
      <c r="P88" s="39">
        <f t="shared" si="174"/>
        <v>9918314.1799999997</v>
      </c>
      <c r="Q88" s="39">
        <f t="shared" si="174"/>
        <v>-1399024.67</v>
      </c>
      <c r="R88" s="39">
        <f t="shared" si="174"/>
        <v>-9198429.3900000006</v>
      </c>
      <c r="S88" s="39">
        <f t="shared" si="174"/>
        <v>167028909.30666667</v>
      </c>
      <c r="T88" s="39">
        <f t="shared" si="174"/>
        <v>6910151.4199999999</v>
      </c>
      <c r="U88" s="39">
        <f t="shared" si="174"/>
        <v>155528214.34</v>
      </c>
      <c r="V88" s="39">
        <f t="shared" si="174"/>
        <v>6189759.9466666672</v>
      </c>
      <c r="W88" s="39">
        <f t="shared" ref="W88:Y88" si="175">W27+W56</f>
        <v>611749.68999999994</v>
      </c>
      <c r="X88" s="39">
        <f t="shared" si="175"/>
        <v>-1654934.91</v>
      </c>
      <c r="Y88" s="39">
        <f t="shared" si="175"/>
        <v>-410798.39</v>
      </c>
      <c r="Z88" s="39">
        <f t="shared" ref="Z88" si="176">Z27+Z56</f>
        <v>-145232.79</v>
      </c>
      <c r="AA88" s="39">
        <f t="shared" si="174"/>
        <v>-6918454.8399999999</v>
      </c>
      <c r="AB88" s="39">
        <f t="shared" ref="AB88" si="177">AB27+AB56</f>
        <v>-6871583.5800000001</v>
      </c>
    </row>
    <row r="89" spans="1:28" s="165" customFormat="1"/>
    <row r="90" spans="1:28" s="165" customFormat="1">
      <c r="A90" s="42" t="s">
        <v>60</v>
      </c>
      <c r="B90" s="43">
        <f t="shared" ref="B90:AA90" si="178">B59</f>
        <v>479668969.33890182</v>
      </c>
      <c r="C90" s="43">
        <f t="shared" si="178"/>
        <v>0</v>
      </c>
      <c r="D90" s="43">
        <f t="shared" si="178"/>
        <v>0</v>
      </c>
      <c r="E90" s="43">
        <f>E59</f>
        <v>261607882.03592813</v>
      </c>
      <c r="F90" s="43">
        <f t="shared" si="178"/>
        <v>48239513.59352316</v>
      </c>
      <c r="G90" s="43">
        <f t="shared" si="178"/>
        <v>213132.26563513992</v>
      </c>
      <c r="H90" s="43">
        <f t="shared" si="178"/>
        <v>34178074.912979499</v>
      </c>
      <c r="I90" s="43">
        <f t="shared" si="178"/>
        <v>3975010.2063727942</v>
      </c>
      <c r="J90" s="43">
        <f t="shared" si="178"/>
        <v>9873296.2085357271</v>
      </c>
      <c r="K90" s="43">
        <f t="shared" si="178"/>
        <v>169755522.77945051</v>
      </c>
      <c r="L90" s="43">
        <f t="shared" si="178"/>
        <v>36814413.79282333</v>
      </c>
      <c r="M90" s="43">
        <f t="shared" si="178"/>
        <v>37412728.710023329</v>
      </c>
      <c r="N90" s="43">
        <f t="shared" si="178"/>
        <v>467814.43862275447</v>
      </c>
      <c r="O90" s="43">
        <f t="shared" si="178"/>
        <v>78613920.832714334</v>
      </c>
      <c r="P90" s="43">
        <f t="shared" si="178"/>
        <v>14505856.327637406</v>
      </c>
      <c r="Q90" s="43">
        <f t="shared" si="178"/>
        <v>1940788.6776293423</v>
      </c>
      <c r="R90" s="43">
        <f t="shared" si="178"/>
        <v>0</v>
      </c>
      <c r="S90" s="43">
        <f t="shared" si="178"/>
        <v>66050.929999999993</v>
      </c>
      <c r="T90" s="43">
        <f t="shared" si="178"/>
        <v>0</v>
      </c>
      <c r="U90" s="43">
        <f>U59</f>
        <v>66050.929999999993</v>
      </c>
      <c r="V90" s="43">
        <f t="shared" si="178"/>
        <v>0</v>
      </c>
      <c r="W90" s="43">
        <f t="shared" ref="W90:Y90" si="179">W59</f>
        <v>0</v>
      </c>
      <c r="X90" s="43">
        <f t="shared" si="179"/>
        <v>0</v>
      </c>
      <c r="Y90" s="43">
        <f t="shared" si="179"/>
        <v>0</v>
      </c>
      <c r="Z90" s="43">
        <f t="shared" ref="Z90" si="180">Z59</f>
        <v>0</v>
      </c>
      <c r="AA90" s="43">
        <f t="shared" si="178"/>
        <v>0</v>
      </c>
      <c r="AB90" s="43">
        <f t="shared" ref="AB90" si="181">AB59</f>
        <v>0</v>
      </c>
    </row>
    <row r="91" spans="1:28" s="165" customFormat="1" ht="14.25" thickBot="1">
      <c r="A91" s="44" t="s">
        <v>65</v>
      </c>
      <c r="B91" s="45">
        <f>B88</f>
        <v>132479139.16333339</v>
      </c>
      <c r="C91" s="45">
        <f>C88-C90</f>
        <v>-11305777.399999999</v>
      </c>
      <c r="D91" s="45">
        <f t="shared" ref="D91:AA91" si="182">D88-D90</f>
        <v>-521018305.22966671</v>
      </c>
      <c r="E91" s="45">
        <f t="shared" si="182"/>
        <v>320076367.26456237</v>
      </c>
      <c r="F91" s="45">
        <f t="shared" si="182"/>
        <v>-295700593.81901371</v>
      </c>
      <c r="G91" s="45">
        <f t="shared" ref="G91" si="183">G88-G90</f>
        <v>4083317.1238742922</v>
      </c>
      <c r="H91" s="45">
        <f t="shared" ref="H91:J91" si="184">H88-H90</f>
        <v>-283718940.22297949</v>
      </c>
      <c r="I91" s="45">
        <f t="shared" si="184"/>
        <v>3635544.6886272053</v>
      </c>
      <c r="J91" s="45">
        <f t="shared" si="184"/>
        <v>-19700515.408535726</v>
      </c>
      <c r="K91" s="45">
        <f t="shared" si="182"/>
        <v>7585659.0518827736</v>
      </c>
      <c r="L91" s="45">
        <f t="shared" si="182"/>
        <v>13604076.997176662</v>
      </c>
      <c r="M91" s="45">
        <f t="shared" si="182"/>
        <v>-12074188.617023326</v>
      </c>
      <c r="N91" s="45">
        <f t="shared" si="182"/>
        <v>3446233.6363772447</v>
      </c>
      <c r="O91" s="45">
        <f t="shared" si="182"/>
        <v>19623212.840618998</v>
      </c>
      <c r="P91" s="45">
        <f t="shared" si="182"/>
        <v>-4587542.1476374064</v>
      </c>
      <c r="Q91" s="45">
        <f t="shared" si="182"/>
        <v>-3339813.3476293422</v>
      </c>
      <c r="R91" s="45">
        <f t="shared" si="182"/>
        <v>-9198429.3900000006</v>
      </c>
      <c r="S91" s="45">
        <f t="shared" ref="S91" si="185">S88-S90</f>
        <v>166962858.37666667</v>
      </c>
      <c r="T91" s="45">
        <f t="shared" si="182"/>
        <v>6910151.4199999999</v>
      </c>
      <c r="U91" s="45">
        <f>U88-U90</f>
        <v>155462163.41</v>
      </c>
      <c r="V91" s="45">
        <f t="shared" si="182"/>
        <v>6189759.9466666672</v>
      </c>
      <c r="W91" s="45">
        <f t="shared" ref="W91:Y91" si="186">W88-W90</f>
        <v>611749.68999999994</v>
      </c>
      <c r="X91" s="45">
        <f t="shared" si="186"/>
        <v>-1654934.91</v>
      </c>
      <c r="Y91" s="45">
        <f t="shared" si="186"/>
        <v>-410798.39</v>
      </c>
      <c r="Z91" s="45">
        <f t="shared" ref="Z91" si="187">Z88-Z90</f>
        <v>-145232.79</v>
      </c>
      <c r="AA91" s="45">
        <f t="shared" si="182"/>
        <v>-6918454.8399999999</v>
      </c>
      <c r="AB91" s="45">
        <f t="shared" ref="AB91" si="188">AB88-AB90</f>
        <v>-6871583.5800000001</v>
      </c>
    </row>
    <row r="92" spans="1:28" s="165" customFormat="1">
      <c r="A92" s="208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</row>
    <row r="93" spans="1:28" s="169" customFormat="1">
      <c r="A93" s="169" t="s">
        <v>66</v>
      </c>
      <c r="B93" s="210">
        <f>B65/10000</f>
        <v>89228.409182333344</v>
      </c>
      <c r="C93" s="210">
        <f t="shared" ref="C93:R93" si="189">C65/10000</f>
        <v>-1285.106849</v>
      </c>
      <c r="D93" s="210">
        <f t="shared" si="189"/>
        <v>-26610.865218966675</v>
      </c>
      <c r="E93" s="210">
        <f t="shared" si="189"/>
        <v>90453.940674049067</v>
      </c>
      <c r="F93" s="210">
        <f t="shared" si="189"/>
        <v>-22946.560355549052</v>
      </c>
      <c r="G93" s="210">
        <f t="shared" si="189"/>
        <v>861.90425795094336</v>
      </c>
      <c r="H93" s="210">
        <f t="shared" si="189"/>
        <v>-24617.914734999995</v>
      </c>
      <c r="I93" s="210">
        <f t="shared" si="189"/>
        <v>1185.2747855</v>
      </c>
      <c r="J93" s="210">
        <f t="shared" si="189"/>
        <v>-375.82466399999998</v>
      </c>
      <c r="K93" s="210">
        <f t="shared" si="189"/>
        <v>21111.794039133336</v>
      </c>
      <c r="L93" s="210">
        <f t="shared" si="189"/>
        <v>5484.3310899999988</v>
      </c>
      <c r="M93" s="210">
        <f t="shared" si="189"/>
        <v>2954.7445183</v>
      </c>
      <c r="N93" s="210">
        <f t="shared" si="189"/>
        <v>558.89412149999987</v>
      </c>
      <c r="O93" s="210">
        <f t="shared" si="189"/>
        <v>10530.401155333335</v>
      </c>
      <c r="P93" s="210">
        <f t="shared" si="189"/>
        <v>1336.03691</v>
      </c>
      <c r="Q93" s="210">
        <f t="shared" si="189"/>
        <v>235.49500300000003</v>
      </c>
      <c r="R93" s="210">
        <f t="shared" si="189"/>
        <v>0.68033299999999997</v>
      </c>
      <c r="S93" s="210">
        <f t="shared" ref="S93:AA93" si="190">S65/10000</f>
        <v>28505.206892666669</v>
      </c>
      <c r="T93" s="210">
        <f t="shared" si="190"/>
        <v>1662.0832070000001</v>
      </c>
      <c r="U93" s="210">
        <f>U65/10000</f>
        <v>23732.500409</v>
      </c>
      <c r="V93" s="210">
        <f t="shared" si="190"/>
        <v>2765.1987466666665</v>
      </c>
      <c r="W93" s="210">
        <f t="shared" ref="W93:Y93" si="191">W65/10000</f>
        <v>345.42453</v>
      </c>
      <c r="X93" s="210">
        <f t="shared" si="191"/>
        <v>0</v>
      </c>
      <c r="Y93" s="210">
        <f t="shared" si="191"/>
        <v>0</v>
      </c>
      <c r="Z93" s="210">
        <f t="shared" ref="Z93" si="192">Z65/10000</f>
        <v>0</v>
      </c>
      <c r="AA93" s="210">
        <f t="shared" si="190"/>
        <v>0</v>
      </c>
      <c r="AB93" s="210">
        <f t="shared" ref="AB93" si="193">AB65/10000</f>
        <v>0</v>
      </c>
    </row>
    <row r="94" spans="1:28" s="170" customFormat="1">
      <c r="A94" s="170" t="s">
        <v>56</v>
      </c>
      <c r="B94" s="211">
        <f t="shared" ref="B94:AA94" si="194">B91/10000</f>
        <v>13247.913916333338</v>
      </c>
      <c r="C94" s="211">
        <f t="shared" si="194"/>
        <v>-1130.5777399999999</v>
      </c>
      <c r="D94" s="211">
        <f t="shared" si="194"/>
        <v>-52101.830522966673</v>
      </c>
      <c r="E94" s="211">
        <f t="shared" si="194"/>
        <v>32007.636726456236</v>
      </c>
      <c r="F94" s="211">
        <f t="shared" si="194"/>
        <v>-29570.05938190137</v>
      </c>
      <c r="G94" s="211">
        <f t="shared" si="194"/>
        <v>408.33171238742921</v>
      </c>
      <c r="H94" s="211">
        <f t="shared" si="194"/>
        <v>-28371.894022297947</v>
      </c>
      <c r="I94" s="211">
        <f t="shared" si="194"/>
        <v>363.55446886272051</v>
      </c>
      <c r="J94" s="211">
        <f t="shared" si="194"/>
        <v>-1970.0515408535725</v>
      </c>
      <c r="K94" s="211">
        <f t="shared" si="194"/>
        <v>758.56590518827738</v>
      </c>
      <c r="L94" s="211">
        <f t="shared" si="194"/>
        <v>1360.4076997176662</v>
      </c>
      <c r="M94" s="211">
        <f t="shared" si="194"/>
        <v>-1207.4188617023326</v>
      </c>
      <c r="N94" s="211">
        <f t="shared" si="194"/>
        <v>344.62336363772448</v>
      </c>
      <c r="O94" s="211">
        <f t="shared" si="194"/>
        <v>1962.3212840618999</v>
      </c>
      <c r="P94" s="211">
        <f t="shared" si="194"/>
        <v>-458.75421476374066</v>
      </c>
      <c r="Q94" s="211">
        <f>Q91/10000</f>
        <v>-333.98133476293424</v>
      </c>
      <c r="R94" s="211">
        <f t="shared" si="194"/>
        <v>-919.84293900000011</v>
      </c>
      <c r="S94" s="211">
        <f t="shared" si="194"/>
        <v>16696.285837666666</v>
      </c>
      <c r="T94" s="211">
        <f t="shared" si="194"/>
        <v>691.01514199999997</v>
      </c>
      <c r="U94" s="211">
        <f>U91/10000</f>
        <v>15546.216340999999</v>
      </c>
      <c r="V94" s="211">
        <f t="shared" si="194"/>
        <v>618.97599466666668</v>
      </c>
      <c r="W94" s="211">
        <f t="shared" ref="W94:Y94" si="195">W91/10000</f>
        <v>61.174968999999997</v>
      </c>
      <c r="X94" s="211">
        <f t="shared" si="195"/>
        <v>-165.49349099999998</v>
      </c>
      <c r="Y94" s="211">
        <f t="shared" si="195"/>
        <v>-41.079839</v>
      </c>
      <c r="Z94" s="211">
        <f t="shared" ref="Z94" si="196">Z91/10000</f>
        <v>-14.523279</v>
      </c>
      <c r="AA94" s="211">
        <f t="shared" si="194"/>
        <v>-691.84548399999994</v>
      </c>
      <c r="AB94" s="211">
        <f t="shared" ref="AB94" si="197">AB91/10000</f>
        <v>-687.15835800000002</v>
      </c>
    </row>
    <row r="95" spans="1:28">
      <c r="L95" s="215"/>
      <c r="M95" s="215"/>
      <c r="N95" s="215"/>
      <c r="O95" s="215"/>
      <c r="P95" s="215"/>
      <c r="Q95" s="215"/>
      <c r="R95" s="215"/>
    </row>
    <row r="96" spans="1:28" s="171" customFormat="1" hidden="1">
      <c r="A96" s="19" t="s">
        <v>2</v>
      </c>
      <c r="B96" s="19" t="s">
        <v>3</v>
      </c>
      <c r="C96" s="19" t="s">
        <v>4</v>
      </c>
      <c r="D96" s="19" t="s">
        <v>5</v>
      </c>
      <c r="E96" s="19" t="s">
        <v>6</v>
      </c>
      <c r="F96" s="19" t="s">
        <v>8</v>
      </c>
      <c r="G96" s="19"/>
      <c r="H96" s="19"/>
      <c r="I96" s="19"/>
      <c r="J96" s="19"/>
      <c r="K96" s="19" t="s">
        <v>12</v>
      </c>
      <c r="L96" s="24" t="s">
        <v>67</v>
      </c>
      <c r="M96" s="24"/>
      <c r="N96" s="24" t="s">
        <v>16</v>
      </c>
      <c r="O96" s="24" t="s">
        <v>18</v>
      </c>
      <c r="P96" s="24" t="s">
        <v>68</v>
      </c>
      <c r="Q96" s="24" t="s">
        <v>19</v>
      </c>
      <c r="R96" s="19" t="s">
        <v>69</v>
      </c>
      <c r="S96" s="24" t="s">
        <v>70</v>
      </c>
      <c r="T96" s="24" t="s">
        <v>71</v>
      </c>
      <c r="U96" s="24" t="s">
        <v>72</v>
      </c>
      <c r="V96" s="19" t="s">
        <v>28</v>
      </c>
      <c r="W96" s="19"/>
      <c r="X96" s="19"/>
      <c r="Y96" s="19"/>
      <c r="Z96" s="19"/>
      <c r="AA96" s="24" t="s">
        <v>29</v>
      </c>
    </row>
    <row r="97" spans="1:27" s="171" customFormat="1" hidden="1">
      <c r="A97" s="19" t="s">
        <v>2</v>
      </c>
      <c r="B97" s="19" t="s">
        <v>3</v>
      </c>
      <c r="C97" s="19" t="s">
        <v>4</v>
      </c>
      <c r="D97" s="19" t="s">
        <v>5</v>
      </c>
      <c r="E97" s="19" t="s">
        <v>6</v>
      </c>
      <c r="F97" s="19" t="s">
        <v>8</v>
      </c>
      <c r="G97" s="19"/>
      <c r="H97" s="19"/>
      <c r="I97" s="19"/>
      <c r="J97" s="19"/>
      <c r="K97" s="19" t="s">
        <v>12</v>
      </c>
      <c r="L97" s="24" t="s">
        <v>67</v>
      </c>
      <c r="M97" s="24"/>
      <c r="N97" s="24" t="s">
        <v>16</v>
      </c>
      <c r="O97" s="24" t="s">
        <v>18</v>
      </c>
      <c r="P97" s="24" t="s">
        <v>68</v>
      </c>
      <c r="Q97" s="24" t="s">
        <v>19</v>
      </c>
      <c r="R97" s="19" t="s">
        <v>69</v>
      </c>
      <c r="S97" s="24" t="s">
        <v>70</v>
      </c>
      <c r="T97" s="24" t="s">
        <v>71</v>
      </c>
      <c r="U97" s="24" t="s">
        <v>72</v>
      </c>
      <c r="V97" s="19" t="s">
        <v>28</v>
      </c>
      <c r="W97" s="19"/>
      <c r="X97" s="19"/>
      <c r="Y97" s="19"/>
      <c r="Z97" s="19"/>
      <c r="AA97" s="24" t="s">
        <v>29</v>
      </c>
    </row>
    <row r="98" spans="1:27" hidden="1">
      <c r="A98" s="198" t="s">
        <v>34</v>
      </c>
      <c r="B98" s="165">
        <f t="shared" ref="B98:L98" si="198">B65</f>
        <v>892284091.82333338</v>
      </c>
      <c r="C98" s="165" t="e">
        <f>C65+#REF!</f>
        <v>#REF!</v>
      </c>
      <c r="D98" s="165">
        <f t="shared" si="198"/>
        <v>-266108652.18966675</v>
      </c>
      <c r="E98" s="165">
        <f t="shared" si="198"/>
        <v>904539406.74049067</v>
      </c>
      <c r="F98" s="165">
        <f t="shared" si="198"/>
        <v>-229465603.55549052</v>
      </c>
      <c r="G98" s="165"/>
      <c r="H98" s="165"/>
      <c r="I98" s="165"/>
      <c r="J98" s="165"/>
      <c r="K98" s="165">
        <f t="shared" si="198"/>
        <v>211117940.39133334</v>
      </c>
      <c r="L98" s="165">
        <f t="shared" si="198"/>
        <v>54843310.899999991</v>
      </c>
      <c r="M98" s="165"/>
      <c r="N98" s="165">
        <f>O65+P65</f>
        <v>118664380.65333334</v>
      </c>
      <c r="O98" s="216">
        <f t="shared" ref="O98:O124" si="199">Q65</f>
        <v>2354950.0300000003</v>
      </c>
      <c r="P98" s="216" t="e">
        <f>#REF!</f>
        <v>#REF!</v>
      </c>
      <c r="Q98" s="165">
        <f t="shared" ref="Q98:Q124" si="200">R65</f>
        <v>6803.33</v>
      </c>
      <c r="R98" s="165">
        <f>T65</f>
        <v>16620832.07</v>
      </c>
      <c r="S98" s="165">
        <f>T65</f>
        <v>16620832.07</v>
      </c>
      <c r="T98" s="165" t="e">
        <f>#REF!</f>
        <v>#REF!</v>
      </c>
      <c r="U98" s="165">
        <f>AA65</f>
        <v>0</v>
      </c>
      <c r="V98" s="165" t="e">
        <f>#REF!</f>
        <v>#REF!</v>
      </c>
      <c r="W98" s="165"/>
      <c r="X98" s="165"/>
      <c r="Y98" s="165"/>
      <c r="Z98" s="165"/>
      <c r="AA98" s="165" t="e">
        <f>#REF!</f>
        <v>#REF!</v>
      </c>
    </row>
    <row r="99" spans="1:27" hidden="1">
      <c r="A99" s="31" t="s">
        <v>73</v>
      </c>
      <c r="B99" s="165">
        <f t="shared" ref="B99:L99" si="201">B66</f>
        <v>754500476.97000003</v>
      </c>
      <c r="C99" s="165" t="e">
        <f>C66+#REF!</f>
        <v>#REF!</v>
      </c>
      <c r="D99" s="165">
        <f t="shared" si="201"/>
        <v>-2164654.71</v>
      </c>
      <c r="E99" s="165">
        <f t="shared" si="201"/>
        <v>414174518.79049057</v>
      </c>
      <c r="F99" s="165">
        <f t="shared" si="201"/>
        <v>53261033.464509442</v>
      </c>
      <c r="G99" s="165"/>
      <c r="H99" s="165"/>
      <c r="I99" s="165"/>
      <c r="J99" s="165"/>
      <c r="K99" s="165">
        <f t="shared" si="201"/>
        <v>5202591.2349999994</v>
      </c>
      <c r="L99" s="165">
        <f t="shared" si="201"/>
        <v>-1597669.44</v>
      </c>
      <c r="M99" s="165"/>
      <c r="N99" s="165">
        <f t="shared" ref="N99:N124" si="202">O66+P66</f>
        <v>176670.50999999998</v>
      </c>
      <c r="O99" s="216">
        <f t="shared" si="199"/>
        <v>-14269.82</v>
      </c>
      <c r="P99" s="216" t="e">
        <f>#REF!</f>
        <v>#REF!</v>
      </c>
      <c r="Q99" s="165">
        <f t="shared" si="200"/>
        <v>-2672</v>
      </c>
      <c r="R99" s="165">
        <f t="shared" ref="R99:R124" si="203">T66</f>
        <v>16672781.58</v>
      </c>
      <c r="S99" s="165">
        <f t="shared" ref="S99:S124" si="204">T66</f>
        <v>16672781.58</v>
      </c>
      <c r="T99" s="165" t="e">
        <f>#REF!</f>
        <v>#REF!</v>
      </c>
      <c r="U99" s="165">
        <f t="shared" ref="U99:U114" si="205">AA66</f>
        <v>0</v>
      </c>
      <c r="V99" s="165" t="e">
        <f>#REF!</f>
        <v>#REF!</v>
      </c>
      <c r="W99" s="165"/>
      <c r="X99" s="165"/>
      <c r="Y99" s="165"/>
      <c r="Z99" s="165"/>
      <c r="AA99" s="165" t="e">
        <f>#REF!</f>
        <v>#REF!</v>
      </c>
    </row>
    <row r="100" spans="1:27" hidden="1">
      <c r="A100" s="201" t="s">
        <v>36</v>
      </c>
      <c r="B100" s="165">
        <f t="shared" ref="B100:L100" si="206">B67</f>
        <v>407386330.08999997</v>
      </c>
      <c r="C100" s="165" t="e">
        <f>C67+#REF!</f>
        <v>#REF!</v>
      </c>
      <c r="D100" s="165">
        <f t="shared" si="206"/>
        <v>-1701899.25</v>
      </c>
      <c r="E100" s="165">
        <f t="shared" si="206"/>
        <v>405804453.35000002</v>
      </c>
      <c r="F100" s="165">
        <f t="shared" si="206"/>
        <v>949444.17</v>
      </c>
      <c r="G100" s="165"/>
      <c r="H100" s="165"/>
      <c r="I100" s="165"/>
      <c r="J100" s="165"/>
      <c r="K100" s="165">
        <f t="shared" si="206"/>
        <v>2334381.8199999998</v>
      </c>
      <c r="L100" s="165">
        <f t="shared" si="206"/>
        <v>0</v>
      </c>
      <c r="M100" s="165"/>
      <c r="N100" s="165">
        <f t="shared" si="202"/>
        <v>176670.50999999998</v>
      </c>
      <c r="O100" s="216">
        <f t="shared" si="199"/>
        <v>-14269.82</v>
      </c>
      <c r="P100" s="216" t="e">
        <f>#REF!</f>
        <v>#REF!</v>
      </c>
      <c r="Q100" s="165">
        <f t="shared" si="200"/>
        <v>0</v>
      </c>
      <c r="R100" s="165">
        <f t="shared" si="203"/>
        <v>0</v>
      </c>
      <c r="S100" s="165">
        <f t="shared" si="204"/>
        <v>0</v>
      </c>
      <c r="T100" s="165" t="e">
        <f>#REF!</f>
        <v>#REF!</v>
      </c>
      <c r="U100" s="165">
        <f t="shared" si="205"/>
        <v>0</v>
      </c>
      <c r="V100" s="165" t="e">
        <f>#REF!</f>
        <v>#REF!</v>
      </c>
      <c r="W100" s="165"/>
      <c r="X100" s="165"/>
      <c r="Y100" s="165"/>
      <c r="Z100" s="165"/>
      <c r="AA100" s="165" t="e">
        <f>#REF!</f>
        <v>#REF!</v>
      </c>
    </row>
    <row r="101" spans="1:27" hidden="1">
      <c r="A101" s="201" t="s">
        <v>37</v>
      </c>
      <c r="B101" s="165">
        <f t="shared" ref="B101:L101" si="207">B68</f>
        <v>285984024.33999997</v>
      </c>
      <c r="C101" s="165" t="e">
        <f>C68+#REF!</f>
        <v>#REF!</v>
      </c>
      <c r="D101" s="165">
        <f t="shared" si="207"/>
        <v>0</v>
      </c>
      <c r="E101" s="165">
        <f t="shared" si="207"/>
        <v>3891462.2699999996</v>
      </c>
      <c r="F101" s="165">
        <f t="shared" si="207"/>
        <v>0</v>
      </c>
      <c r="G101" s="165"/>
      <c r="H101" s="165"/>
      <c r="I101" s="165"/>
      <c r="J101" s="165"/>
      <c r="K101" s="165">
        <f t="shared" si="207"/>
        <v>0</v>
      </c>
      <c r="L101" s="165">
        <f t="shared" si="207"/>
        <v>0</v>
      </c>
      <c r="M101" s="165"/>
      <c r="N101" s="165">
        <f t="shared" si="202"/>
        <v>0</v>
      </c>
      <c r="O101" s="216">
        <f t="shared" si="199"/>
        <v>0</v>
      </c>
      <c r="P101" s="216" t="e">
        <f>#REF!</f>
        <v>#REF!</v>
      </c>
      <c r="Q101" s="165">
        <f t="shared" si="200"/>
        <v>0</v>
      </c>
      <c r="R101" s="165">
        <f t="shared" si="203"/>
        <v>16672781.58</v>
      </c>
      <c r="S101" s="165">
        <f t="shared" si="204"/>
        <v>16672781.58</v>
      </c>
      <c r="T101" s="165" t="e">
        <f>#REF!</f>
        <v>#REF!</v>
      </c>
      <c r="U101" s="165">
        <f t="shared" si="205"/>
        <v>0</v>
      </c>
      <c r="V101" s="165" t="e">
        <f>#REF!</f>
        <v>#REF!</v>
      </c>
      <c r="W101" s="165"/>
      <c r="X101" s="165"/>
      <c r="Y101" s="165"/>
      <c r="Z101" s="165"/>
      <c r="AA101" s="165" t="e">
        <f>#REF!</f>
        <v>#REF!</v>
      </c>
    </row>
    <row r="102" spans="1:27" hidden="1">
      <c r="A102" s="201" t="s">
        <v>38</v>
      </c>
      <c r="B102" s="165">
        <f t="shared" ref="B102:L102" si="208">B69</f>
        <v>59103160.920000002</v>
      </c>
      <c r="C102" s="165" t="e">
        <f>C69+#REF!</f>
        <v>#REF!</v>
      </c>
      <c r="D102" s="165">
        <f t="shared" si="208"/>
        <v>0</v>
      </c>
      <c r="E102" s="165">
        <f t="shared" si="208"/>
        <v>2527039.0504905665</v>
      </c>
      <c r="F102" s="165">
        <f t="shared" si="208"/>
        <v>52319554.564509436</v>
      </c>
      <c r="G102" s="165"/>
      <c r="H102" s="165"/>
      <c r="I102" s="165"/>
      <c r="J102" s="165"/>
      <c r="K102" s="165">
        <f t="shared" si="208"/>
        <v>2322091.1849999996</v>
      </c>
      <c r="L102" s="165">
        <f t="shared" si="208"/>
        <v>0</v>
      </c>
      <c r="M102" s="165"/>
      <c r="N102" s="165">
        <f t="shared" si="202"/>
        <v>0</v>
      </c>
      <c r="O102" s="216">
        <f t="shared" si="199"/>
        <v>0</v>
      </c>
      <c r="P102" s="216" t="e">
        <f>#REF!</f>
        <v>#REF!</v>
      </c>
      <c r="Q102" s="165">
        <f t="shared" si="200"/>
        <v>0</v>
      </c>
      <c r="R102" s="165">
        <f t="shared" si="203"/>
        <v>0</v>
      </c>
      <c r="S102" s="165">
        <f t="shared" si="204"/>
        <v>0</v>
      </c>
      <c r="T102" s="165" t="e">
        <f>#REF!</f>
        <v>#REF!</v>
      </c>
      <c r="U102" s="165">
        <f t="shared" si="205"/>
        <v>0</v>
      </c>
      <c r="V102" s="165" t="e">
        <f>#REF!</f>
        <v>#REF!</v>
      </c>
      <c r="W102" s="165"/>
      <c r="X102" s="165"/>
      <c r="Y102" s="165"/>
      <c r="Z102" s="165"/>
      <c r="AA102" s="165" t="e">
        <f>#REF!</f>
        <v>#REF!</v>
      </c>
    </row>
    <row r="103" spans="1:27" hidden="1">
      <c r="A103" s="31" t="s">
        <v>74</v>
      </c>
      <c r="B103" s="165">
        <f t="shared" ref="B103:L103" si="209">B70</f>
        <v>234479127.18000001</v>
      </c>
      <c r="C103" s="165" t="e">
        <f>C70+#REF!</f>
        <v>#REF!</v>
      </c>
      <c r="D103" s="165">
        <f t="shared" si="209"/>
        <v>-270486100.89666677</v>
      </c>
      <c r="E103" s="165">
        <f t="shared" si="209"/>
        <v>473705958.77000004</v>
      </c>
      <c r="F103" s="165">
        <f t="shared" si="209"/>
        <v>2665089.2400000002</v>
      </c>
      <c r="G103" s="165"/>
      <c r="H103" s="165"/>
      <c r="I103" s="165"/>
      <c r="J103" s="165"/>
      <c r="K103" s="165">
        <f t="shared" si="209"/>
        <v>22615574.649999999</v>
      </c>
      <c r="L103" s="165">
        <f t="shared" si="209"/>
        <v>173627.16</v>
      </c>
      <c r="M103" s="165"/>
      <c r="N103" s="165">
        <f t="shared" si="202"/>
        <v>21918220.469999999</v>
      </c>
      <c r="O103" s="216">
        <f t="shared" si="199"/>
        <v>551857.03999999992</v>
      </c>
      <c r="P103" s="216" t="e">
        <f>#REF!</f>
        <v>#REF!</v>
      </c>
      <c r="Q103" s="165">
        <f t="shared" si="200"/>
        <v>9475.33</v>
      </c>
      <c r="R103" s="165">
        <f t="shared" si="203"/>
        <v>0</v>
      </c>
      <c r="S103" s="165">
        <f t="shared" si="204"/>
        <v>0</v>
      </c>
      <c r="T103" s="165" t="e">
        <f>#REF!</f>
        <v>#REF!</v>
      </c>
      <c r="U103" s="165">
        <f t="shared" si="205"/>
        <v>0</v>
      </c>
      <c r="V103" s="165" t="e">
        <f>#REF!</f>
        <v>#REF!</v>
      </c>
      <c r="W103" s="165"/>
      <c r="X103" s="165"/>
      <c r="Y103" s="165"/>
      <c r="Z103" s="165"/>
      <c r="AA103" s="165" t="e">
        <f>#REF!</f>
        <v>#REF!</v>
      </c>
    </row>
    <row r="104" spans="1:27" hidden="1">
      <c r="A104" s="31" t="s">
        <v>40</v>
      </c>
      <c r="B104" s="165">
        <f t="shared" ref="B104:L104" si="210">B71</f>
        <v>64681529.829999998</v>
      </c>
      <c r="C104" s="165" t="e">
        <f>C71+#REF!</f>
        <v>#REF!</v>
      </c>
      <c r="D104" s="165">
        <f t="shared" si="210"/>
        <v>6456352.3270000005</v>
      </c>
      <c r="E104" s="165">
        <f t="shared" si="210"/>
        <v>170142.06</v>
      </c>
      <c r="F104" s="165">
        <f t="shared" si="210"/>
        <v>-89697196.970000014</v>
      </c>
      <c r="G104" s="165"/>
      <c r="H104" s="165"/>
      <c r="I104" s="165"/>
      <c r="J104" s="165"/>
      <c r="K104" s="165">
        <f t="shared" si="210"/>
        <v>163665173.78299999</v>
      </c>
      <c r="L104" s="165">
        <f t="shared" si="210"/>
        <v>65689308.810000002</v>
      </c>
      <c r="M104" s="165"/>
      <c r="N104" s="165">
        <f t="shared" si="202"/>
        <v>23876111.200000003</v>
      </c>
      <c r="O104" s="216">
        <f t="shared" si="199"/>
        <v>9749891.9299999997</v>
      </c>
      <c r="P104" s="216" t="e">
        <f>#REF!</f>
        <v>#REF!</v>
      </c>
      <c r="Q104" s="165">
        <f t="shared" si="200"/>
        <v>0</v>
      </c>
      <c r="R104" s="165">
        <f t="shared" si="203"/>
        <v>-87270.81</v>
      </c>
      <c r="S104" s="165">
        <f t="shared" si="204"/>
        <v>-87270.81</v>
      </c>
      <c r="T104" s="165" t="e">
        <f>#REF!</f>
        <v>#REF!</v>
      </c>
      <c r="U104" s="165">
        <f t="shared" si="205"/>
        <v>0</v>
      </c>
      <c r="V104" s="165" t="e">
        <f>#REF!</f>
        <v>#REF!</v>
      </c>
      <c r="W104" s="165"/>
      <c r="X104" s="165"/>
      <c r="Y104" s="165"/>
      <c r="Z104" s="165"/>
      <c r="AA104" s="165" t="e">
        <f>#REF!</f>
        <v>#REF!</v>
      </c>
    </row>
    <row r="105" spans="1:27" hidden="1">
      <c r="A105" s="31" t="s">
        <v>75</v>
      </c>
      <c r="B105" s="165">
        <f t="shared" ref="B105:L105" si="211">B72</f>
        <v>0</v>
      </c>
      <c r="C105" s="165" t="e">
        <f>C72+#REF!</f>
        <v>#REF!</v>
      </c>
      <c r="D105" s="165">
        <f t="shared" si="211"/>
        <v>0</v>
      </c>
      <c r="E105" s="165">
        <f t="shared" si="211"/>
        <v>0</v>
      </c>
      <c r="F105" s="165">
        <f t="shared" si="211"/>
        <v>0</v>
      </c>
      <c r="G105" s="165"/>
      <c r="H105" s="165"/>
      <c r="I105" s="165"/>
      <c r="J105" s="165"/>
      <c r="K105" s="165">
        <f t="shared" si="211"/>
        <v>0</v>
      </c>
      <c r="L105" s="165">
        <f t="shared" si="211"/>
        <v>0</v>
      </c>
      <c r="M105" s="165"/>
      <c r="N105" s="165">
        <f t="shared" si="202"/>
        <v>0</v>
      </c>
      <c r="O105" s="216">
        <f t="shared" si="199"/>
        <v>0</v>
      </c>
      <c r="P105" s="216" t="e">
        <f>#REF!</f>
        <v>#REF!</v>
      </c>
      <c r="Q105" s="165">
        <f t="shared" si="200"/>
        <v>0</v>
      </c>
      <c r="R105" s="165">
        <f t="shared" si="203"/>
        <v>0</v>
      </c>
      <c r="S105" s="165">
        <f t="shared" si="204"/>
        <v>0</v>
      </c>
      <c r="T105" s="165" t="e">
        <f>#REF!</f>
        <v>#REF!</v>
      </c>
      <c r="U105" s="165">
        <f t="shared" si="205"/>
        <v>0</v>
      </c>
      <c r="V105" s="165" t="e">
        <f>#REF!</f>
        <v>#REF!</v>
      </c>
      <c r="W105" s="165"/>
      <c r="X105" s="165"/>
      <c r="Y105" s="165"/>
      <c r="Z105" s="165"/>
      <c r="AA105" s="165" t="e">
        <f>#REF!</f>
        <v>#REF!</v>
      </c>
    </row>
    <row r="106" spans="1:27" hidden="1">
      <c r="A106" s="31" t="s">
        <v>42</v>
      </c>
      <c r="B106" s="165">
        <f t="shared" ref="B106:L106" si="212">B73</f>
        <v>-172658331.19666663</v>
      </c>
      <c r="C106" s="165" t="e">
        <f>C73+#REF!</f>
        <v>#REF!</v>
      </c>
      <c r="D106" s="165">
        <f t="shared" si="212"/>
        <v>0</v>
      </c>
      <c r="E106" s="165">
        <f t="shared" si="212"/>
        <v>1719664.4000000001</v>
      </c>
      <c r="F106" s="165">
        <f t="shared" si="212"/>
        <v>-195694529.28999996</v>
      </c>
      <c r="G106" s="165"/>
      <c r="H106" s="165"/>
      <c r="I106" s="165"/>
      <c r="J106" s="165"/>
      <c r="K106" s="165">
        <f t="shared" si="212"/>
        <v>19634600.723333336</v>
      </c>
      <c r="L106" s="165">
        <f t="shared" si="212"/>
        <v>-9421955.6300000008</v>
      </c>
      <c r="M106" s="165"/>
      <c r="N106" s="165">
        <f t="shared" si="202"/>
        <v>72693378.473333344</v>
      </c>
      <c r="O106" s="216">
        <f t="shared" si="199"/>
        <v>-7932529.1199999992</v>
      </c>
      <c r="P106" s="216" t="e">
        <f>#REF!</f>
        <v>#REF!</v>
      </c>
      <c r="Q106" s="165">
        <f t="shared" si="200"/>
        <v>0</v>
      </c>
      <c r="R106" s="165">
        <f t="shared" si="203"/>
        <v>35321.300000000003</v>
      </c>
      <c r="S106" s="165">
        <f t="shared" si="204"/>
        <v>35321.300000000003</v>
      </c>
      <c r="T106" s="165" t="e">
        <f>#REF!</f>
        <v>#REF!</v>
      </c>
      <c r="U106" s="165">
        <f t="shared" si="205"/>
        <v>0</v>
      </c>
      <c r="V106" s="165" t="e">
        <f>#REF!</f>
        <v>#REF!</v>
      </c>
      <c r="W106" s="165"/>
      <c r="X106" s="165"/>
      <c r="Y106" s="165"/>
      <c r="Z106" s="165"/>
      <c r="AA106" s="165" t="e">
        <f>#REF!</f>
        <v>#REF!</v>
      </c>
    </row>
    <row r="107" spans="1:27" hidden="1">
      <c r="A107" s="31" t="s">
        <v>76</v>
      </c>
      <c r="B107" s="165">
        <f t="shared" ref="B107:L107" si="213">B74</f>
        <v>-735907.17</v>
      </c>
      <c r="C107" s="165" t="e">
        <f>C74+#REF!</f>
        <v>#REF!</v>
      </c>
      <c r="D107" s="165">
        <f t="shared" si="213"/>
        <v>85751.09</v>
      </c>
      <c r="E107" s="165">
        <f t="shared" si="213"/>
        <v>-821658.26</v>
      </c>
      <c r="F107" s="165">
        <f t="shared" si="213"/>
        <v>0</v>
      </c>
      <c r="G107" s="165"/>
      <c r="H107" s="165"/>
      <c r="I107" s="165"/>
      <c r="J107" s="165"/>
      <c r="K107" s="165">
        <f t="shared" si="213"/>
        <v>0</v>
      </c>
      <c r="L107" s="165">
        <f t="shared" si="213"/>
        <v>0</v>
      </c>
      <c r="M107" s="165"/>
      <c r="N107" s="165">
        <f t="shared" si="202"/>
        <v>0</v>
      </c>
      <c r="O107" s="216">
        <f t="shared" si="199"/>
        <v>0</v>
      </c>
      <c r="P107" s="216" t="e">
        <f>#REF!</f>
        <v>#REF!</v>
      </c>
      <c r="Q107" s="165">
        <f t="shared" si="200"/>
        <v>0</v>
      </c>
      <c r="R107" s="165">
        <f t="shared" si="203"/>
        <v>0</v>
      </c>
      <c r="S107" s="165">
        <f t="shared" si="204"/>
        <v>0</v>
      </c>
      <c r="T107" s="165" t="e">
        <f>#REF!</f>
        <v>#REF!</v>
      </c>
      <c r="U107" s="165">
        <f t="shared" si="205"/>
        <v>0</v>
      </c>
      <c r="V107" s="165" t="e">
        <f>#REF!</f>
        <v>#REF!</v>
      </c>
      <c r="W107" s="165"/>
      <c r="X107" s="165"/>
      <c r="Y107" s="165"/>
      <c r="Z107" s="165"/>
      <c r="AA107" s="165" t="e">
        <f>#REF!</f>
        <v>#REF!</v>
      </c>
    </row>
    <row r="108" spans="1:27" hidden="1">
      <c r="A108" s="31" t="s">
        <v>77</v>
      </c>
      <c r="B108" s="165">
        <f t="shared" ref="B108:L108" si="214">B75</f>
        <v>12017196.210000001</v>
      </c>
      <c r="C108" s="165" t="e">
        <f>C75+#REF!</f>
        <v>#REF!</v>
      </c>
      <c r="D108" s="165">
        <f t="shared" si="214"/>
        <v>0</v>
      </c>
      <c r="E108" s="165">
        <f t="shared" si="214"/>
        <v>15590780.980000002</v>
      </c>
      <c r="F108" s="165">
        <f t="shared" si="214"/>
        <v>0</v>
      </c>
      <c r="G108" s="165"/>
      <c r="H108" s="165"/>
      <c r="I108" s="165"/>
      <c r="J108" s="165"/>
      <c r="K108" s="165">
        <f t="shared" si="214"/>
        <v>0</v>
      </c>
      <c r="L108" s="165">
        <f t="shared" si="214"/>
        <v>0</v>
      </c>
      <c r="M108" s="165"/>
      <c r="N108" s="165">
        <f t="shared" si="202"/>
        <v>0</v>
      </c>
      <c r="O108" s="216">
        <f t="shared" si="199"/>
        <v>0</v>
      </c>
      <c r="P108" s="216" t="e">
        <f>#REF!</f>
        <v>#REF!</v>
      </c>
      <c r="Q108" s="165">
        <f t="shared" si="200"/>
        <v>0</v>
      </c>
      <c r="R108" s="165">
        <f t="shared" si="203"/>
        <v>0</v>
      </c>
      <c r="S108" s="165">
        <f t="shared" si="204"/>
        <v>0</v>
      </c>
      <c r="T108" s="165" t="e">
        <f>#REF!</f>
        <v>#REF!</v>
      </c>
      <c r="U108" s="165">
        <f t="shared" si="205"/>
        <v>0</v>
      </c>
      <c r="V108" s="165" t="e">
        <f>#REF!</f>
        <v>#REF!</v>
      </c>
      <c r="W108" s="165"/>
      <c r="X108" s="165"/>
      <c r="Y108" s="165"/>
      <c r="Z108" s="165"/>
      <c r="AA108" s="165" t="e">
        <f>#REF!</f>
        <v>#REF!</v>
      </c>
    </row>
    <row r="109" spans="1:27" hidden="1">
      <c r="A109" s="34" t="s">
        <v>45</v>
      </c>
      <c r="B109" s="165">
        <f t="shared" ref="B109:L109" si="215">B76</f>
        <v>657315905.42999995</v>
      </c>
      <c r="C109" s="165" t="e">
        <f>C76+#REF!</f>
        <v>#REF!</v>
      </c>
      <c r="D109" s="165">
        <f t="shared" si="215"/>
        <v>152116679.26000002</v>
      </c>
      <c r="E109" s="165">
        <f t="shared" si="215"/>
        <v>322486031.31999999</v>
      </c>
      <c r="F109" s="165">
        <f t="shared" si="215"/>
        <v>18004930.129999999</v>
      </c>
      <c r="G109" s="165"/>
      <c r="H109" s="165"/>
      <c r="I109" s="165"/>
      <c r="J109" s="165"/>
      <c r="K109" s="165">
        <f t="shared" si="215"/>
        <v>33773935.890000001</v>
      </c>
      <c r="L109" s="165">
        <f t="shared" si="215"/>
        <v>4424820.1100000003</v>
      </c>
      <c r="M109" s="165"/>
      <c r="N109" s="165">
        <f t="shared" si="202"/>
        <v>10508932.800000001</v>
      </c>
      <c r="O109" s="216">
        <f t="shared" si="199"/>
        <v>3753974.7</v>
      </c>
      <c r="P109" s="216" t="e">
        <f>#REF!</f>
        <v>#REF!</v>
      </c>
      <c r="Q109" s="165">
        <f t="shared" si="200"/>
        <v>9202410.0500000007</v>
      </c>
      <c r="R109" s="165">
        <f t="shared" si="203"/>
        <v>9710680.6500000004</v>
      </c>
      <c r="S109" s="165">
        <f t="shared" si="204"/>
        <v>9710680.6500000004</v>
      </c>
      <c r="T109" s="165" t="e">
        <f>#REF!</f>
        <v>#REF!</v>
      </c>
      <c r="U109" s="165">
        <f t="shared" si="205"/>
        <v>6918454.8399999999</v>
      </c>
      <c r="V109" s="165" t="e">
        <f>#REF!</f>
        <v>#REF!</v>
      </c>
      <c r="W109" s="165"/>
      <c r="X109" s="165"/>
      <c r="Y109" s="165"/>
      <c r="Z109" s="165"/>
      <c r="AA109" s="165" t="e">
        <f>#REF!</f>
        <v>#REF!</v>
      </c>
    </row>
    <row r="110" spans="1:27" hidden="1">
      <c r="A110" s="32" t="s">
        <v>78</v>
      </c>
      <c r="B110" s="165">
        <f t="shared" ref="B110:L110" si="216">B77</f>
        <v>9680797.9399999995</v>
      </c>
      <c r="C110" s="165" t="e">
        <f>C77+#REF!</f>
        <v>#REF!</v>
      </c>
      <c r="D110" s="165">
        <f t="shared" si="216"/>
        <v>-1115830.3599999999</v>
      </c>
      <c r="E110" s="165">
        <f t="shared" si="216"/>
        <v>6081569.0300000003</v>
      </c>
      <c r="F110" s="165">
        <f t="shared" si="216"/>
        <v>343816.76</v>
      </c>
      <c r="G110" s="165"/>
      <c r="H110" s="165"/>
      <c r="I110" s="165"/>
      <c r="J110" s="165"/>
      <c r="K110" s="165">
        <f t="shared" si="216"/>
        <v>2460688.09</v>
      </c>
      <c r="L110" s="165">
        <f t="shared" si="216"/>
        <v>1687326.8199999998</v>
      </c>
      <c r="M110" s="165"/>
      <c r="N110" s="165">
        <f t="shared" si="202"/>
        <v>88266.5</v>
      </c>
      <c r="O110" s="216">
        <f t="shared" si="199"/>
        <v>69120.540000000008</v>
      </c>
      <c r="P110" s="216" t="e">
        <f>#REF!</f>
        <v>#REF!</v>
      </c>
      <c r="Q110" s="165">
        <f t="shared" si="200"/>
        <v>0</v>
      </c>
      <c r="R110" s="165">
        <f t="shared" si="203"/>
        <v>118823.23</v>
      </c>
      <c r="S110" s="165">
        <f t="shared" si="204"/>
        <v>118823.23</v>
      </c>
      <c r="T110" s="165" t="e">
        <f>#REF!</f>
        <v>#REF!</v>
      </c>
      <c r="U110" s="165">
        <f t="shared" si="205"/>
        <v>-7447.28</v>
      </c>
      <c r="V110" s="165" t="e">
        <f>#REF!</f>
        <v>#REF!</v>
      </c>
      <c r="W110" s="165"/>
      <c r="X110" s="165"/>
      <c r="Y110" s="165"/>
      <c r="Z110" s="165"/>
      <c r="AA110" s="165" t="e">
        <f>#REF!</f>
        <v>#REF!</v>
      </c>
    </row>
    <row r="111" spans="1:27" hidden="1">
      <c r="A111" s="32" t="s">
        <v>79</v>
      </c>
      <c r="B111" s="165">
        <f t="shared" ref="B111:L111" si="217">B78</f>
        <v>643767443.80999994</v>
      </c>
      <c r="C111" s="165" t="e">
        <f>C78+#REF!</f>
        <v>#REF!</v>
      </c>
      <c r="D111" s="165">
        <f t="shared" si="217"/>
        <v>153232509.62</v>
      </c>
      <c r="E111" s="165">
        <f t="shared" si="217"/>
        <v>312536798.60999995</v>
      </c>
      <c r="F111" s="165">
        <f t="shared" si="217"/>
        <v>17661113.370000001</v>
      </c>
      <c r="G111" s="165"/>
      <c r="H111" s="165"/>
      <c r="I111" s="165"/>
      <c r="J111" s="165"/>
      <c r="K111" s="165">
        <f t="shared" si="217"/>
        <v>31313247.799999997</v>
      </c>
      <c r="L111" s="165">
        <f t="shared" si="217"/>
        <v>2737493.29</v>
      </c>
      <c r="M111" s="165"/>
      <c r="N111" s="165">
        <f t="shared" si="202"/>
        <v>10420666.300000001</v>
      </c>
      <c r="O111" s="216">
        <f t="shared" si="199"/>
        <v>3684854.16</v>
      </c>
      <c r="P111" s="216" t="e">
        <f>#REF!</f>
        <v>#REF!</v>
      </c>
      <c r="Q111" s="165">
        <f t="shared" si="200"/>
        <v>9202410.0500000007</v>
      </c>
      <c r="R111" s="165">
        <f t="shared" si="203"/>
        <v>9591857.4199999999</v>
      </c>
      <c r="S111" s="165">
        <f t="shared" si="204"/>
        <v>9591857.4199999999</v>
      </c>
      <c r="T111" s="165" t="e">
        <f>#REF!</f>
        <v>#REF!</v>
      </c>
      <c r="U111" s="165">
        <f t="shared" si="205"/>
        <v>6925902.1200000001</v>
      </c>
      <c r="V111" s="165" t="e">
        <f>#REF!</f>
        <v>#REF!</v>
      </c>
      <c r="W111" s="165"/>
      <c r="X111" s="165"/>
      <c r="Y111" s="165"/>
      <c r="Z111" s="165"/>
      <c r="AA111" s="165" t="e">
        <f>#REF!</f>
        <v>#REF!</v>
      </c>
    </row>
    <row r="112" spans="1:27" hidden="1">
      <c r="A112" s="32" t="s">
        <v>80</v>
      </c>
      <c r="B112" s="165">
        <f t="shared" ref="B112:L112" si="218">B79</f>
        <v>0</v>
      </c>
      <c r="C112" s="165" t="e">
        <f>C79+#REF!</f>
        <v>#REF!</v>
      </c>
      <c r="D112" s="165">
        <f t="shared" si="218"/>
        <v>0</v>
      </c>
      <c r="E112" s="165">
        <f t="shared" si="218"/>
        <v>0</v>
      </c>
      <c r="F112" s="165">
        <f t="shared" si="218"/>
        <v>0</v>
      </c>
      <c r="G112" s="165"/>
      <c r="H112" s="165"/>
      <c r="I112" s="165"/>
      <c r="J112" s="165"/>
      <c r="K112" s="165">
        <f t="shared" si="218"/>
        <v>0</v>
      </c>
      <c r="L112" s="165">
        <f t="shared" si="218"/>
        <v>0</v>
      </c>
      <c r="M112" s="165"/>
      <c r="N112" s="165">
        <f t="shared" si="202"/>
        <v>0</v>
      </c>
      <c r="O112" s="216">
        <f t="shared" si="199"/>
        <v>0</v>
      </c>
      <c r="P112" s="216" t="e">
        <f>#REF!</f>
        <v>#REF!</v>
      </c>
      <c r="Q112" s="165">
        <f t="shared" si="200"/>
        <v>0</v>
      </c>
      <c r="R112" s="165">
        <f t="shared" si="203"/>
        <v>0</v>
      </c>
      <c r="S112" s="165">
        <f t="shared" si="204"/>
        <v>0</v>
      </c>
      <c r="T112" s="165" t="e">
        <f>#REF!</f>
        <v>#REF!</v>
      </c>
      <c r="U112" s="165">
        <f t="shared" si="205"/>
        <v>0</v>
      </c>
      <c r="V112" s="165" t="e">
        <f>#REF!</f>
        <v>#REF!</v>
      </c>
      <c r="W112" s="165"/>
      <c r="X112" s="165"/>
      <c r="Y112" s="165"/>
      <c r="Z112" s="165"/>
      <c r="AA112" s="165" t="e">
        <f>#REF!</f>
        <v>#REF!</v>
      </c>
    </row>
    <row r="113" spans="1:27" hidden="1">
      <c r="A113" s="32" t="s">
        <v>81</v>
      </c>
      <c r="B113" s="165">
        <f t="shared" ref="B113:L113" si="219">B80</f>
        <v>3867663.68</v>
      </c>
      <c r="C113" s="165" t="e">
        <f>C80+#REF!</f>
        <v>#REF!</v>
      </c>
      <c r="D113" s="165">
        <f t="shared" si="219"/>
        <v>0</v>
      </c>
      <c r="E113" s="165">
        <f t="shared" si="219"/>
        <v>3867663.68</v>
      </c>
      <c r="F113" s="165">
        <f t="shared" si="219"/>
        <v>0</v>
      </c>
      <c r="G113" s="165"/>
      <c r="H113" s="165"/>
      <c r="I113" s="165"/>
      <c r="J113" s="165"/>
      <c r="K113" s="165">
        <f t="shared" si="219"/>
        <v>0</v>
      </c>
      <c r="L113" s="165">
        <f t="shared" si="219"/>
        <v>0</v>
      </c>
      <c r="M113" s="165"/>
      <c r="N113" s="165">
        <f t="shared" si="202"/>
        <v>0</v>
      </c>
      <c r="O113" s="216">
        <f t="shared" si="199"/>
        <v>0</v>
      </c>
      <c r="P113" s="216" t="e">
        <f>#REF!</f>
        <v>#REF!</v>
      </c>
      <c r="Q113" s="165">
        <f t="shared" si="200"/>
        <v>0</v>
      </c>
      <c r="R113" s="165">
        <f t="shared" si="203"/>
        <v>0</v>
      </c>
      <c r="S113" s="165">
        <f t="shared" si="204"/>
        <v>0</v>
      </c>
      <c r="T113" s="165" t="e">
        <f>#REF!</f>
        <v>#REF!</v>
      </c>
      <c r="U113" s="165">
        <f t="shared" si="205"/>
        <v>0</v>
      </c>
      <c r="V113" s="165" t="e">
        <f>#REF!</f>
        <v>#REF!</v>
      </c>
      <c r="W113" s="165"/>
      <c r="X113" s="165"/>
      <c r="Y113" s="165"/>
      <c r="Z113" s="165"/>
      <c r="AA113" s="165" t="e">
        <f>#REF!</f>
        <v>#REF!</v>
      </c>
    </row>
    <row r="114" spans="1:27" hidden="1">
      <c r="A114" s="34" t="s">
        <v>50</v>
      </c>
      <c r="B114" s="165">
        <f t="shared" ref="B114:L114" si="220">B81</f>
        <v>234968186.39333338</v>
      </c>
      <c r="C114" s="165" t="e">
        <f>C81+#REF!</f>
        <v>#REF!</v>
      </c>
      <c r="D114" s="165">
        <f t="shared" si="220"/>
        <v>-418225331.44966674</v>
      </c>
      <c r="E114" s="165">
        <f t="shared" si="220"/>
        <v>582053375.42049074</v>
      </c>
      <c r="F114" s="165">
        <f t="shared" si="220"/>
        <v>-247470533.68549055</v>
      </c>
      <c r="G114" s="165"/>
      <c r="H114" s="165"/>
      <c r="I114" s="165"/>
      <c r="J114" s="165"/>
      <c r="K114" s="165">
        <f t="shared" si="220"/>
        <v>177344004.50133333</v>
      </c>
      <c r="L114" s="165">
        <f t="shared" si="220"/>
        <v>50418490.789999992</v>
      </c>
      <c r="M114" s="165"/>
      <c r="N114" s="165">
        <f t="shared" si="202"/>
        <v>108155447.85333332</v>
      </c>
      <c r="O114" s="216">
        <f t="shared" si="199"/>
        <v>-1399024.67</v>
      </c>
      <c r="P114" s="216" t="e">
        <f>#REF!</f>
        <v>#REF!</v>
      </c>
      <c r="Q114" s="165">
        <f t="shared" si="200"/>
        <v>-9195606.7200000007</v>
      </c>
      <c r="R114" s="165">
        <f t="shared" si="203"/>
        <v>6910151.4199999999</v>
      </c>
      <c r="S114" s="165">
        <f t="shared" si="204"/>
        <v>6910151.4199999999</v>
      </c>
      <c r="T114" s="165" t="e">
        <f>#REF!</f>
        <v>#REF!</v>
      </c>
      <c r="U114" s="165">
        <f t="shared" si="205"/>
        <v>-6918454.8399999999</v>
      </c>
      <c r="V114" s="165" t="e">
        <f>#REF!</f>
        <v>#REF!</v>
      </c>
      <c r="W114" s="165"/>
      <c r="X114" s="165"/>
      <c r="Y114" s="165"/>
      <c r="Z114" s="165"/>
      <c r="AA114" s="165" t="e">
        <f>#REF!</f>
        <v>#REF!</v>
      </c>
    </row>
    <row r="115" spans="1:27" hidden="1">
      <c r="A115" s="32" t="s">
        <v>82</v>
      </c>
      <c r="B115" s="165">
        <f t="shared" ref="B115:L115" si="221">B82</f>
        <v>2757853.51</v>
      </c>
      <c r="C115" s="165" t="e">
        <f>C82+#REF!</f>
        <v>#REF!</v>
      </c>
      <c r="D115" s="165">
        <f t="shared" si="221"/>
        <v>1675785.48</v>
      </c>
      <c r="E115" s="165">
        <f t="shared" si="221"/>
        <v>405355.19</v>
      </c>
      <c r="F115" s="165">
        <f t="shared" si="221"/>
        <v>10290.959999999999</v>
      </c>
      <c r="G115" s="165"/>
      <c r="H115" s="165"/>
      <c r="I115" s="165"/>
      <c r="J115" s="165"/>
      <c r="K115" s="165">
        <f t="shared" si="221"/>
        <v>0</v>
      </c>
      <c r="L115" s="165">
        <f t="shared" si="221"/>
        <v>0</v>
      </c>
      <c r="M115" s="165"/>
      <c r="N115" s="165">
        <f t="shared" si="202"/>
        <v>0</v>
      </c>
      <c r="O115" s="216">
        <f t="shared" si="199"/>
        <v>0</v>
      </c>
      <c r="P115" s="216" t="e">
        <f>#REF!</f>
        <v>#REF!</v>
      </c>
      <c r="Q115" s="165">
        <f t="shared" si="200"/>
        <v>0</v>
      </c>
      <c r="R115" s="165">
        <f t="shared" si="203"/>
        <v>0</v>
      </c>
      <c r="S115" s="165">
        <f t="shared" si="204"/>
        <v>0</v>
      </c>
      <c r="T115" s="165" t="e">
        <f>#REF!</f>
        <v>#REF!</v>
      </c>
      <c r="U115" s="165">
        <f t="shared" ref="U115:U124" si="222">AA82</f>
        <v>0</v>
      </c>
      <c r="V115" s="165" t="e">
        <f>#REF!</f>
        <v>#REF!</v>
      </c>
      <c r="W115" s="165"/>
      <c r="X115" s="165"/>
      <c r="Y115" s="165"/>
      <c r="Z115" s="165"/>
      <c r="AA115" s="165" t="e">
        <f>#REF!</f>
        <v>#REF!</v>
      </c>
    </row>
    <row r="116" spans="1:27" hidden="1">
      <c r="A116" s="32" t="s">
        <v>83</v>
      </c>
      <c r="B116" s="165">
        <f t="shared" ref="B116:L116" si="223">B83</f>
        <v>2078249.25</v>
      </c>
      <c r="C116" s="165" t="e">
        <f>C83+#REF!</f>
        <v>#REF!</v>
      </c>
      <c r="D116" s="165">
        <f t="shared" si="223"/>
        <v>1300901.67</v>
      </c>
      <c r="E116" s="165">
        <f t="shared" si="223"/>
        <v>773687.40999999992</v>
      </c>
      <c r="F116" s="165">
        <f t="shared" si="223"/>
        <v>837.5</v>
      </c>
      <c r="G116" s="165"/>
      <c r="H116" s="165"/>
      <c r="I116" s="165"/>
      <c r="J116" s="165"/>
      <c r="K116" s="165">
        <f t="shared" si="223"/>
        <v>2822.67</v>
      </c>
      <c r="L116" s="165">
        <f t="shared" si="223"/>
        <v>0</v>
      </c>
      <c r="M116" s="165"/>
      <c r="N116" s="165">
        <f t="shared" si="202"/>
        <v>0</v>
      </c>
      <c r="O116" s="216">
        <f t="shared" si="199"/>
        <v>0</v>
      </c>
      <c r="P116" s="216" t="e">
        <f>#REF!</f>
        <v>#REF!</v>
      </c>
      <c r="Q116" s="165">
        <f t="shared" si="200"/>
        <v>2822.67</v>
      </c>
      <c r="R116" s="165">
        <f t="shared" si="203"/>
        <v>0</v>
      </c>
      <c r="S116" s="165">
        <f t="shared" si="204"/>
        <v>0</v>
      </c>
      <c r="T116" s="165" t="e">
        <f>#REF!</f>
        <v>#REF!</v>
      </c>
      <c r="U116" s="165">
        <f t="shared" si="222"/>
        <v>0</v>
      </c>
      <c r="V116" s="165" t="e">
        <f>#REF!</f>
        <v>#REF!</v>
      </c>
      <c r="W116" s="165"/>
      <c r="X116" s="165"/>
      <c r="Y116" s="165"/>
      <c r="Z116" s="165"/>
      <c r="AA116" s="165" t="e">
        <f>#REF!</f>
        <v>#REF!</v>
      </c>
    </row>
    <row r="117" spans="1:27" hidden="1">
      <c r="A117" s="34" t="s">
        <v>53</v>
      </c>
      <c r="B117" s="165">
        <f t="shared" ref="B117:L117" si="224">B84</f>
        <v>235647790.65333337</v>
      </c>
      <c r="C117" s="165" t="e">
        <f>C84+#REF!</f>
        <v>#REF!</v>
      </c>
      <c r="D117" s="165">
        <f t="shared" si="224"/>
        <v>-417850447.63966674</v>
      </c>
      <c r="E117" s="165">
        <f t="shared" si="224"/>
        <v>581685043.20049071</v>
      </c>
      <c r="F117" s="165">
        <f t="shared" si="224"/>
        <v>-247461080.22549054</v>
      </c>
      <c r="G117" s="165"/>
      <c r="H117" s="165"/>
      <c r="I117" s="165"/>
      <c r="J117" s="165"/>
      <c r="K117" s="165">
        <f t="shared" si="224"/>
        <v>177341181.83133331</v>
      </c>
      <c r="L117" s="165">
        <f t="shared" si="224"/>
        <v>50418490.789999992</v>
      </c>
      <c r="M117" s="165"/>
      <c r="N117" s="165">
        <f t="shared" si="202"/>
        <v>108155447.85333332</v>
      </c>
      <c r="O117" s="216">
        <f t="shared" si="199"/>
        <v>-1399024.67</v>
      </c>
      <c r="P117" s="216" t="e">
        <f>#REF!</f>
        <v>#REF!</v>
      </c>
      <c r="Q117" s="165">
        <f t="shared" si="200"/>
        <v>-9198429.3900000006</v>
      </c>
      <c r="R117" s="165">
        <f t="shared" si="203"/>
        <v>6910151.4199999999</v>
      </c>
      <c r="S117" s="165">
        <f t="shared" si="204"/>
        <v>6910151.4199999999</v>
      </c>
      <c r="T117" s="165" t="e">
        <f>#REF!</f>
        <v>#REF!</v>
      </c>
      <c r="U117" s="165">
        <f t="shared" si="222"/>
        <v>-6918454.8399999999</v>
      </c>
      <c r="V117" s="165" t="e">
        <f>#REF!</f>
        <v>#REF!</v>
      </c>
      <c r="W117" s="165"/>
      <c r="X117" s="165"/>
      <c r="Y117" s="165"/>
      <c r="Z117" s="165"/>
      <c r="AA117" s="165" t="e">
        <f>#REF!</f>
        <v>#REF!</v>
      </c>
    </row>
    <row r="118" spans="1:27" hidden="1">
      <c r="A118" s="32" t="s">
        <v>84</v>
      </c>
      <c r="B118" s="165">
        <f t="shared" ref="B118:L118" si="225">B85</f>
        <v>103168651.48999999</v>
      </c>
      <c r="C118" s="165" t="e">
        <f>C85+#REF!</f>
        <v>#REF!</v>
      </c>
      <c r="D118" s="165">
        <f t="shared" si="225"/>
        <v>103167857.59</v>
      </c>
      <c r="E118" s="165">
        <f t="shared" si="225"/>
        <v>793.9</v>
      </c>
      <c r="F118" s="165">
        <f t="shared" si="225"/>
        <v>0</v>
      </c>
      <c r="G118" s="165"/>
      <c r="H118" s="165"/>
      <c r="I118" s="165"/>
      <c r="J118" s="165"/>
      <c r="K118" s="165">
        <f t="shared" si="225"/>
        <v>0</v>
      </c>
      <c r="L118" s="165">
        <f t="shared" si="225"/>
        <v>0</v>
      </c>
      <c r="M118" s="165"/>
      <c r="N118" s="165">
        <f t="shared" si="202"/>
        <v>0</v>
      </c>
      <c r="O118" s="216">
        <f t="shared" si="199"/>
        <v>0</v>
      </c>
      <c r="P118" s="216" t="e">
        <f>#REF!</f>
        <v>#REF!</v>
      </c>
      <c r="Q118" s="165">
        <f t="shared" si="200"/>
        <v>0</v>
      </c>
      <c r="R118" s="165">
        <f t="shared" si="203"/>
        <v>0</v>
      </c>
      <c r="S118" s="165">
        <f t="shared" si="204"/>
        <v>0</v>
      </c>
      <c r="T118" s="165" t="e">
        <f>#REF!</f>
        <v>#REF!</v>
      </c>
      <c r="U118" s="165">
        <f t="shared" si="222"/>
        <v>0</v>
      </c>
      <c r="V118" s="165" t="e">
        <f>#REF!</f>
        <v>#REF!</v>
      </c>
      <c r="W118" s="165"/>
      <c r="X118" s="165"/>
      <c r="Y118" s="165"/>
      <c r="Z118" s="165"/>
      <c r="AA118" s="165" t="e">
        <f>#REF!</f>
        <v>#REF!</v>
      </c>
    </row>
    <row r="119" spans="1:27" hidden="1">
      <c r="A119" s="34" t="s">
        <v>55</v>
      </c>
      <c r="B119" s="165">
        <f t="shared" ref="B119:L119" si="226">B86</f>
        <v>132479139.16333342</v>
      </c>
      <c r="C119" s="165" t="e">
        <f>C86+#REF!</f>
        <v>#REF!</v>
      </c>
      <c r="D119" s="165">
        <f t="shared" si="226"/>
        <v>-521018305.22966671</v>
      </c>
      <c r="E119" s="165">
        <f t="shared" si="226"/>
        <v>581684249.30049062</v>
      </c>
      <c r="F119" s="165">
        <f t="shared" si="226"/>
        <v>-247461080.22549054</v>
      </c>
      <c r="G119" s="165"/>
      <c r="H119" s="165"/>
      <c r="I119" s="165"/>
      <c r="J119" s="165"/>
      <c r="K119" s="165">
        <f t="shared" si="226"/>
        <v>177341181.83133331</v>
      </c>
      <c r="L119" s="165">
        <f t="shared" si="226"/>
        <v>50418490.789999992</v>
      </c>
      <c r="M119" s="165"/>
      <c r="N119" s="165">
        <f t="shared" si="202"/>
        <v>108155447.85333332</v>
      </c>
      <c r="O119" s="216">
        <f t="shared" si="199"/>
        <v>-1399024.67</v>
      </c>
      <c r="P119" s="216" t="e">
        <f>#REF!</f>
        <v>#REF!</v>
      </c>
      <c r="Q119" s="165">
        <f t="shared" si="200"/>
        <v>-9198429.3900000006</v>
      </c>
      <c r="R119" s="165">
        <f t="shared" si="203"/>
        <v>6910151.4199999999</v>
      </c>
      <c r="S119" s="165">
        <f t="shared" si="204"/>
        <v>6910151.4199999999</v>
      </c>
      <c r="T119" s="165" t="e">
        <f>#REF!</f>
        <v>#REF!</v>
      </c>
      <c r="U119" s="165">
        <f t="shared" si="222"/>
        <v>-6918454.8399999999</v>
      </c>
      <c r="V119" s="165" t="e">
        <f>#REF!</f>
        <v>#REF!</v>
      </c>
      <c r="W119" s="165"/>
      <c r="X119" s="165"/>
      <c r="Y119" s="165"/>
      <c r="Z119" s="165"/>
      <c r="AA119" s="165" t="e">
        <f>#REF!</f>
        <v>#REF!</v>
      </c>
    </row>
    <row r="120" spans="1:27" hidden="1">
      <c r="A120" s="36" t="s">
        <v>56</v>
      </c>
      <c r="B120" s="165">
        <f t="shared" ref="B120:L120" si="227">B87</f>
        <v>0</v>
      </c>
      <c r="C120" s="165" t="e">
        <f>C87+#REF!</f>
        <v>#REF!</v>
      </c>
      <c r="D120" s="165">
        <f t="shared" si="227"/>
        <v>0</v>
      </c>
      <c r="E120" s="165">
        <f t="shared" si="227"/>
        <v>0</v>
      </c>
      <c r="F120" s="165">
        <f t="shared" si="227"/>
        <v>0</v>
      </c>
      <c r="G120" s="165"/>
      <c r="H120" s="165"/>
      <c r="I120" s="165"/>
      <c r="J120" s="165"/>
      <c r="K120" s="165">
        <f t="shared" si="227"/>
        <v>0</v>
      </c>
      <c r="L120" s="165">
        <f t="shared" si="227"/>
        <v>0</v>
      </c>
      <c r="M120" s="165"/>
      <c r="N120" s="165">
        <f t="shared" si="202"/>
        <v>0</v>
      </c>
      <c r="O120" s="216">
        <f t="shared" si="199"/>
        <v>0</v>
      </c>
      <c r="P120" s="216" t="e">
        <f>#REF!</f>
        <v>#REF!</v>
      </c>
      <c r="Q120" s="165">
        <f t="shared" si="200"/>
        <v>0</v>
      </c>
      <c r="R120" s="165">
        <f t="shared" si="203"/>
        <v>0</v>
      </c>
      <c r="S120" s="165">
        <f t="shared" si="204"/>
        <v>0</v>
      </c>
      <c r="T120" s="165" t="e">
        <f>#REF!</f>
        <v>#REF!</v>
      </c>
      <c r="U120" s="165">
        <f t="shared" si="222"/>
        <v>0</v>
      </c>
      <c r="V120" s="165" t="e">
        <f>#REF!</f>
        <v>#REF!</v>
      </c>
      <c r="W120" s="165"/>
      <c r="X120" s="165"/>
      <c r="Y120" s="165"/>
      <c r="Z120" s="165"/>
      <c r="AA120" s="165" t="e">
        <f>#REF!</f>
        <v>#REF!</v>
      </c>
    </row>
    <row r="121" spans="1:27" ht="14.25" hidden="1" thickBot="1">
      <c r="A121" s="38" t="s">
        <v>57</v>
      </c>
      <c r="B121" s="165">
        <f t="shared" ref="B121:L121" si="228">B88</f>
        <v>132479139.16333339</v>
      </c>
      <c r="C121" s="165" t="e">
        <f>C88+#REF!</f>
        <v>#REF!</v>
      </c>
      <c r="D121" s="165">
        <f t="shared" si="228"/>
        <v>-521018305.22966671</v>
      </c>
      <c r="E121" s="165">
        <f t="shared" si="228"/>
        <v>581684249.3004905</v>
      </c>
      <c r="F121" s="165">
        <f t="shared" si="228"/>
        <v>-247461080.22549054</v>
      </c>
      <c r="G121" s="165"/>
      <c r="H121" s="165"/>
      <c r="I121" s="165"/>
      <c r="J121" s="165"/>
      <c r="K121" s="165">
        <f t="shared" si="228"/>
        <v>177341181.83133328</v>
      </c>
      <c r="L121" s="165">
        <f t="shared" si="228"/>
        <v>50418490.789999992</v>
      </c>
      <c r="M121" s="165"/>
      <c r="N121" s="165">
        <f t="shared" si="202"/>
        <v>108155447.85333332</v>
      </c>
      <c r="O121" s="216">
        <f t="shared" si="199"/>
        <v>-1399024.67</v>
      </c>
      <c r="P121" s="216" t="e">
        <f>#REF!</f>
        <v>#REF!</v>
      </c>
      <c r="Q121" s="165">
        <f t="shared" si="200"/>
        <v>-9198429.3900000006</v>
      </c>
      <c r="R121" s="165">
        <f t="shared" si="203"/>
        <v>6910151.4199999999</v>
      </c>
      <c r="S121" s="165">
        <f t="shared" si="204"/>
        <v>6910151.4199999999</v>
      </c>
      <c r="T121" s="165" t="e">
        <f>#REF!</f>
        <v>#REF!</v>
      </c>
      <c r="U121" s="165">
        <f t="shared" si="222"/>
        <v>-6918454.8399999999</v>
      </c>
      <c r="V121" s="165" t="e">
        <f>#REF!</f>
        <v>#REF!</v>
      </c>
      <c r="W121" s="165"/>
      <c r="X121" s="165"/>
      <c r="Y121" s="165"/>
      <c r="Z121" s="165"/>
      <c r="AA121" s="165" t="e">
        <f>#REF!</f>
        <v>#REF!</v>
      </c>
    </row>
    <row r="122" spans="1:27" hidden="1">
      <c r="A122" s="165"/>
      <c r="B122" s="165">
        <f t="shared" ref="B122:L122" si="229">B89</f>
        <v>0</v>
      </c>
      <c r="C122" s="165" t="e">
        <f>C89+#REF!</f>
        <v>#REF!</v>
      </c>
      <c r="D122" s="165">
        <f t="shared" si="229"/>
        <v>0</v>
      </c>
      <c r="E122" s="165">
        <f t="shared" si="229"/>
        <v>0</v>
      </c>
      <c r="F122" s="165">
        <f t="shared" si="229"/>
        <v>0</v>
      </c>
      <c r="G122" s="165"/>
      <c r="H122" s="165"/>
      <c r="I122" s="165"/>
      <c r="J122" s="165"/>
      <c r="K122" s="165">
        <f t="shared" si="229"/>
        <v>0</v>
      </c>
      <c r="L122" s="165">
        <f t="shared" si="229"/>
        <v>0</v>
      </c>
      <c r="M122" s="165"/>
      <c r="N122" s="165">
        <f t="shared" si="202"/>
        <v>0</v>
      </c>
      <c r="O122" s="216">
        <f t="shared" si="199"/>
        <v>0</v>
      </c>
      <c r="P122" s="216" t="e">
        <f>#REF!</f>
        <v>#REF!</v>
      </c>
      <c r="Q122" s="165">
        <f t="shared" si="200"/>
        <v>0</v>
      </c>
      <c r="R122" s="165">
        <f t="shared" si="203"/>
        <v>0</v>
      </c>
      <c r="S122" s="165">
        <f t="shared" si="204"/>
        <v>0</v>
      </c>
      <c r="T122" s="165" t="e">
        <f>#REF!</f>
        <v>#REF!</v>
      </c>
      <c r="U122" s="165">
        <f t="shared" si="222"/>
        <v>0</v>
      </c>
      <c r="V122" s="165" t="e">
        <f>#REF!</f>
        <v>#REF!</v>
      </c>
      <c r="W122" s="165"/>
      <c r="X122" s="165"/>
      <c r="Y122" s="165"/>
      <c r="Z122" s="165"/>
      <c r="AA122" s="165" t="e">
        <f>#REF!</f>
        <v>#REF!</v>
      </c>
    </row>
    <row r="123" spans="1:27" hidden="1">
      <c r="A123" s="42" t="s">
        <v>60</v>
      </c>
      <c r="B123" s="165">
        <f t="shared" ref="B123:L124" si="230">B90</f>
        <v>479668969.33890182</v>
      </c>
      <c r="C123" s="165" t="e">
        <f>C90+#REF!</f>
        <v>#REF!</v>
      </c>
      <c r="D123" s="165">
        <f t="shared" si="230"/>
        <v>0</v>
      </c>
      <c r="E123" s="165">
        <f t="shared" si="230"/>
        <v>261607882.03592813</v>
      </c>
      <c r="F123" s="165">
        <f t="shared" si="230"/>
        <v>48239513.59352316</v>
      </c>
      <c r="G123" s="165"/>
      <c r="H123" s="165"/>
      <c r="I123" s="165"/>
      <c r="J123" s="165"/>
      <c r="K123" s="165">
        <f t="shared" si="230"/>
        <v>169755522.77945051</v>
      </c>
      <c r="L123" s="165">
        <f t="shared" si="230"/>
        <v>36814413.79282333</v>
      </c>
      <c r="M123" s="165"/>
      <c r="N123" s="165">
        <f t="shared" si="202"/>
        <v>93119777.160351738</v>
      </c>
      <c r="O123" s="216">
        <f t="shared" si="199"/>
        <v>1940788.6776293423</v>
      </c>
      <c r="P123" s="216" t="e">
        <f>#REF!</f>
        <v>#REF!</v>
      </c>
      <c r="Q123" s="165">
        <f t="shared" si="200"/>
        <v>0</v>
      </c>
      <c r="R123" s="165">
        <f t="shared" si="203"/>
        <v>0</v>
      </c>
      <c r="S123" s="165">
        <f t="shared" si="204"/>
        <v>0</v>
      </c>
      <c r="T123" s="165" t="e">
        <f>#REF!</f>
        <v>#REF!</v>
      </c>
      <c r="U123" s="165">
        <f t="shared" si="222"/>
        <v>0</v>
      </c>
      <c r="V123" s="165" t="e">
        <f>#REF!</f>
        <v>#REF!</v>
      </c>
      <c r="W123" s="165"/>
      <c r="X123" s="165"/>
      <c r="Y123" s="165"/>
      <c r="Z123" s="165"/>
      <c r="AA123" s="165" t="e">
        <f>#REF!</f>
        <v>#REF!</v>
      </c>
    </row>
    <row r="124" spans="1:27" ht="14.25" hidden="1" thickBot="1">
      <c r="A124" s="44" t="s">
        <v>65</v>
      </c>
      <c r="B124" s="165">
        <f>B91</f>
        <v>132479139.16333339</v>
      </c>
      <c r="C124" s="165" t="e">
        <f>C91+#REF!</f>
        <v>#REF!</v>
      </c>
      <c r="D124" s="165">
        <f t="shared" si="230"/>
        <v>-521018305.22966671</v>
      </c>
      <c r="E124" s="165">
        <f t="shared" si="230"/>
        <v>320076367.26456237</v>
      </c>
      <c r="F124" s="165">
        <f t="shared" si="230"/>
        <v>-295700593.81901371</v>
      </c>
      <c r="G124" s="165"/>
      <c r="H124" s="165"/>
      <c r="I124" s="165"/>
      <c r="J124" s="165"/>
      <c r="K124" s="165">
        <f t="shared" si="230"/>
        <v>7585659.0518827736</v>
      </c>
      <c r="L124" s="165">
        <f t="shared" si="230"/>
        <v>13604076.997176662</v>
      </c>
      <c r="M124" s="165"/>
      <c r="N124" s="165">
        <f t="shared" si="202"/>
        <v>15035670.692981591</v>
      </c>
      <c r="O124" s="216">
        <f t="shared" si="199"/>
        <v>-3339813.3476293422</v>
      </c>
      <c r="P124" s="216" t="e">
        <f>#REF!</f>
        <v>#REF!</v>
      </c>
      <c r="Q124" s="165">
        <f t="shared" si="200"/>
        <v>-9198429.3900000006</v>
      </c>
      <c r="R124" s="165">
        <f t="shared" si="203"/>
        <v>6910151.4199999999</v>
      </c>
      <c r="S124" s="165">
        <f t="shared" si="204"/>
        <v>6910151.4199999999</v>
      </c>
      <c r="T124" s="165" t="e">
        <f>#REF!</f>
        <v>#REF!</v>
      </c>
      <c r="U124" s="165">
        <f t="shared" si="222"/>
        <v>-6918454.8399999999</v>
      </c>
      <c r="V124" s="165" t="e">
        <f>#REF!</f>
        <v>#REF!</v>
      </c>
      <c r="W124" s="165"/>
      <c r="X124" s="165"/>
      <c r="Y124" s="165"/>
      <c r="Z124" s="165"/>
      <c r="AA124" s="165" t="e">
        <f>#REF!</f>
        <v>#REF!</v>
      </c>
    </row>
    <row r="125" spans="1:27">
      <c r="E125" s="165"/>
      <c r="L125" s="165"/>
      <c r="U125" s="165">
        <f>U91-[4]累计利润调整表!$R$90</f>
        <v>3824930.5289768875</v>
      </c>
    </row>
    <row r="126" spans="1:27">
      <c r="B126" s="165"/>
      <c r="E126" s="165"/>
      <c r="L126" s="165"/>
    </row>
    <row r="128" spans="1:27">
      <c r="L128" s="165"/>
    </row>
    <row r="129" spans="12:12">
      <c r="L129" s="165"/>
    </row>
  </sheetData>
  <mergeCells count="1">
    <mergeCell ref="A1:AA1"/>
  </mergeCells>
  <phoneticPr fontId="3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workbookViewId="0">
      <pane xSplit="3" ySplit="4" topLeftCell="D131" activePane="bottomRight" state="frozen"/>
      <selection pane="topRight"/>
      <selection pane="bottomLeft"/>
      <selection pane="bottomRight" activeCell="C158" sqref="C158"/>
    </sheetView>
  </sheetViews>
  <sheetFormatPr defaultColWidth="9" defaultRowHeight="13.5"/>
  <cols>
    <col min="1" max="1" width="6" style="143" customWidth="1"/>
    <col min="2" max="2" width="17.375" style="143" customWidth="1"/>
    <col min="3" max="3" width="18" style="143" customWidth="1"/>
    <col min="4" max="4" width="16.375" style="143" customWidth="1"/>
    <col min="5" max="5" width="19.25" style="143" customWidth="1"/>
    <col min="6" max="6" width="18.375" style="143" customWidth="1"/>
    <col min="7" max="7" width="17.25" style="143" customWidth="1"/>
    <col min="8" max="11" width="14.625" style="143" customWidth="1"/>
    <col min="12" max="12" width="17.75" style="143" customWidth="1"/>
    <col min="13" max="14" width="16.75" style="143" customWidth="1"/>
    <col min="15" max="15" width="16.125" style="143" customWidth="1"/>
    <col min="16" max="16" width="15.5" style="143" customWidth="1"/>
    <col min="17" max="17" width="16.125" style="143" customWidth="1"/>
    <col min="18" max="18" width="17.5" style="143" customWidth="1"/>
    <col min="19" max="19" width="15.25" style="143" customWidth="1"/>
    <col min="20" max="20" width="17.25" style="144" customWidth="1"/>
    <col min="21" max="21" width="18.625" style="144" customWidth="1"/>
    <col min="22" max="27" width="17.25" style="144" customWidth="1"/>
    <col min="28" max="28" width="16.125" style="143" customWidth="1"/>
    <col min="29" max="29" width="16.25" style="143" customWidth="1"/>
    <col min="30" max="16384" width="9" style="143"/>
  </cols>
  <sheetData>
    <row r="1" spans="1:30" s="141" customFormat="1" ht="21" customHeight="1">
      <c r="A1" s="145" t="s">
        <v>488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</row>
    <row r="2" spans="1:30" ht="14.25" thickBot="1">
      <c r="A2" s="147"/>
      <c r="B2" s="148" t="s">
        <v>85</v>
      </c>
      <c r="C2" s="149" t="s">
        <v>1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58"/>
      <c r="P2" s="158"/>
      <c r="Q2" s="158"/>
      <c r="R2" s="147"/>
      <c r="S2" s="147"/>
      <c r="T2" s="159"/>
      <c r="U2" s="159"/>
      <c r="V2" s="159"/>
      <c r="W2" s="159"/>
      <c r="X2" s="159"/>
      <c r="Y2" s="159"/>
      <c r="Z2" s="159"/>
      <c r="AA2" s="159"/>
      <c r="AB2" s="147"/>
      <c r="AC2" s="147"/>
    </row>
    <row r="3" spans="1:30">
      <c r="A3" s="17" t="s">
        <v>86</v>
      </c>
      <c r="B3" s="18" t="s">
        <v>87</v>
      </c>
      <c r="C3" s="18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19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413</v>
      </c>
      <c r="S3" s="24" t="s">
        <v>410</v>
      </c>
      <c r="T3" s="18" t="s">
        <v>20</v>
      </c>
      <c r="U3" s="24" t="s">
        <v>21</v>
      </c>
      <c r="V3" s="24" t="s">
        <v>22</v>
      </c>
      <c r="W3" s="24" t="s">
        <v>23</v>
      </c>
      <c r="X3" s="24" t="s">
        <v>24</v>
      </c>
      <c r="Y3" s="24" t="s">
        <v>25</v>
      </c>
      <c r="Z3" s="24" t="s">
        <v>26</v>
      </c>
      <c r="AA3" s="24" t="s">
        <v>504</v>
      </c>
      <c r="AB3" s="19" t="s">
        <v>27</v>
      </c>
      <c r="AC3" s="19" t="s">
        <v>498</v>
      </c>
    </row>
    <row r="4" spans="1:30" ht="13.5" customHeight="1">
      <c r="A4" s="279" t="s">
        <v>88</v>
      </c>
      <c r="B4" s="217" t="s">
        <v>89</v>
      </c>
      <c r="C4" s="150">
        <v>194387700.78</v>
      </c>
      <c r="D4" s="150">
        <v>0</v>
      </c>
      <c r="E4" s="150">
        <v>47163898.169999994</v>
      </c>
      <c r="F4" s="150">
        <v>95968413.260000005</v>
      </c>
      <c r="G4" s="150">
        <v>8950003.4799999986</v>
      </c>
      <c r="H4" s="150">
        <v>2496393.2899999991</v>
      </c>
      <c r="I4" s="150">
        <v>2125669.54</v>
      </c>
      <c r="J4" s="150">
        <v>1481972.2</v>
      </c>
      <c r="K4" s="150">
        <v>2845968.4499999997</v>
      </c>
      <c r="L4" s="150">
        <v>12416979.530000001</v>
      </c>
      <c r="M4" s="150">
        <v>897962.28</v>
      </c>
      <c r="N4" s="150">
        <v>1672342.4000000004</v>
      </c>
      <c r="O4" s="150">
        <v>632596.90000000014</v>
      </c>
      <c r="P4" s="150">
        <v>3645759.26</v>
      </c>
      <c r="Q4" s="150">
        <v>1881482.6900000002</v>
      </c>
      <c r="R4" s="150">
        <v>2096188.5299999998</v>
      </c>
      <c r="S4" s="150">
        <v>1590647.4700000002</v>
      </c>
      <c r="T4" s="150">
        <f>U4+V4+W4+X4+Y4+Z4+AA4</f>
        <v>23202523.350000001</v>
      </c>
      <c r="U4" s="150">
        <v>4118834</v>
      </c>
      <c r="V4" s="150">
        <v>7407187.6600000001</v>
      </c>
      <c r="W4" s="150">
        <v>9563405.6999999993</v>
      </c>
      <c r="X4" s="150">
        <v>1484356.62</v>
      </c>
      <c r="Y4" s="150">
        <v>435522.14</v>
      </c>
      <c r="Z4" s="150">
        <v>193217.22999999998</v>
      </c>
      <c r="AA4" s="150">
        <v>0</v>
      </c>
      <c r="AB4" s="150">
        <v>2951656.4099999997</v>
      </c>
      <c r="AC4" s="150">
        <v>3734226.5799999996</v>
      </c>
      <c r="AD4" s="150"/>
    </row>
    <row r="5" spans="1:30">
      <c r="A5" s="280"/>
      <c r="B5" s="217" t="s">
        <v>90</v>
      </c>
      <c r="C5" s="150">
        <v>3148068.3699999996</v>
      </c>
      <c r="D5" s="150">
        <v>0</v>
      </c>
      <c r="E5" s="150">
        <v>985690.7</v>
      </c>
      <c r="F5" s="150">
        <v>1256784.97</v>
      </c>
      <c r="G5" s="150">
        <v>149095.91999999998</v>
      </c>
      <c r="H5" s="150">
        <v>86360.739999999991</v>
      </c>
      <c r="I5" s="150">
        <v>53167.08</v>
      </c>
      <c r="J5" s="150">
        <v>4305.68</v>
      </c>
      <c r="K5" s="150">
        <v>5262.42</v>
      </c>
      <c r="L5" s="150">
        <v>98334.36</v>
      </c>
      <c r="M5" s="150">
        <v>6530</v>
      </c>
      <c r="N5" s="150">
        <v>3395</v>
      </c>
      <c r="O5" s="150">
        <v>1630</v>
      </c>
      <c r="P5" s="150">
        <v>21617.599999999999</v>
      </c>
      <c r="Q5" s="150">
        <v>12600</v>
      </c>
      <c r="R5" s="150">
        <v>3150.86</v>
      </c>
      <c r="S5" s="150">
        <v>49410.9</v>
      </c>
      <c r="T5" s="150">
        <f t="shared" ref="T5:T51" si="0">U5+V5+W5+X5+Y5+Z5+AA5</f>
        <v>402089.62</v>
      </c>
      <c r="U5" s="150">
        <v>88383.87</v>
      </c>
      <c r="V5" s="150">
        <v>200149.51</v>
      </c>
      <c r="W5" s="150">
        <v>94669.119999999995</v>
      </c>
      <c r="X5" s="150">
        <v>18887.12</v>
      </c>
      <c r="Y5" s="150">
        <v>0</v>
      </c>
      <c r="Z5" s="150">
        <v>0</v>
      </c>
      <c r="AA5" s="150">
        <v>0</v>
      </c>
      <c r="AB5" s="150">
        <v>142942.79999999999</v>
      </c>
      <c r="AC5" s="150">
        <v>113130</v>
      </c>
    </row>
    <row r="6" spans="1:30">
      <c r="A6" s="280"/>
      <c r="B6" s="217" t="s">
        <v>91</v>
      </c>
      <c r="C6" s="150">
        <v>6379788.9900000002</v>
      </c>
      <c r="D6" s="150">
        <v>0</v>
      </c>
      <c r="E6" s="150">
        <v>616030.09</v>
      </c>
      <c r="F6" s="150">
        <v>3224437.5500000007</v>
      </c>
      <c r="G6" s="150">
        <v>201966.44000000003</v>
      </c>
      <c r="H6" s="150">
        <v>60741.229999999996</v>
      </c>
      <c r="I6" s="150">
        <v>42765.8</v>
      </c>
      <c r="J6" s="150">
        <v>30182.239999999998</v>
      </c>
      <c r="K6" s="150">
        <v>68277.17</v>
      </c>
      <c r="L6" s="150">
        <v>251878.80000000002</v>
      </c>
      <c r="M6" s="150">
        <v>17804.82</v>
      </c>
      <c r="N6" s="150">
        <v>34262.86</v>
      </c>
      <c r="O6" s="150">
        <v>12878.73</v>
      </c>
      <c r="P6" s="150">
        <v>73947.59</v>
      </c>
      <c r="Q6" s="150">
        <v>38192.44</v>
      </c>
      <c r="R6" s="150">
        <v>42584.570000000007</v>
      </c>
      <c r="S6" s="150">
        <v>32207.79</v>
      </c>
      <c r="T6" s="150">
        <f t="shared" si="0"/>
        <v>1949928.3200000003</v>
      </c>
      <c r="U6" s="150">
        <v>110068.70000000001</v>
      </c>
      <c r="V6" s="150">
        <v>1495533.7600000002</v>
      </c>
      <c r="W6" s="150">
        <v>300494.3</v>
      </c>
      <c r="X6" s="150">
        <v>31256.78</v>
      </c>
      <c r="Y6" s="150">
        <v>8710.44</v>
      </c>
      <c r="Z6" s="150">
        <v>3864.34</v>
      </c>
      <c r="AA6" s="150">
        <v>0</v>
      </c>
      <c r="AB6" s="150">
        <v>59033.12999999999</v>
      </c>
      <c r="AC6" s="150">
        <v>76514.66</v>
      </c>
    </row>
    <row r="7" spans="1:30">
      <c r="A7" s="280"/>
      <c r="B7" s="217" t="s">
        <v>92</v>
      </c>
      <c r="C7" s="150">
        <v>4789746.9000000004</v>
      </c>
      <c r="D7" s="150">
        <v>0</v>
      </c>
      <c r="E7" s="150">
        <v>1913117.4000000001</v>
      </c>
      <c r="F7" s="150">
        <v>1820596.3400000003</v>
      </c>
      <c r="G7" s="150">
        <v>125343.94000000003</v>
      </c>
      <c r="H7" s="150">
        <v>47330.610000000008</v>
      </c>
      <c r="I7" s="150">
        <v>15555.99</v>
      </c>
      <c r="J7" s="150">
        <v>30969.23</v>
      </c>
      <c r="K7" s="150">
        <v>31488.11</v>
      </c>
      <c r="L7" s="150">
        <v>166033.37999999998</v>
      </c>
      <c r="M7" s="150">
        <v>22717.5</v>
      </c>
      <c r="N7" s="150">
        <v>38284.49</v>
      </c>
      <c r="O7" s="150">
        <v>15033.65</v>
      </c>
      <c r="P7" s="150">
        <v>29990.65</v>
      </c>
      <c r="Q7" s="150">
        <v>18390.82</v>
      </c>
      <c r="R7" s="150">
        <v>26324.42</v>
      </c>
      <c r="S7" s="150">
        <v>15291.85</v>
      </c>
      <c r="T7" s="150">
        <f t="shared" si="0"/>
        <v>670849.35000000009</v>
      </c>
      <c r="U7" s="150">
        <v>63104.53</v>
      </c>
      <c r="V7" s="150">
        <v>402417.86</v>
      </c>
      <c r="W7" s="150">
        <v>190549.69</v>
      </c>
      <c r="X7" s="150">
        <v>14777.27</v>
      </c>
      <c r="Y7" s="150">
        <v>0</v>
      </c>
      <c r="Z7" s="150">
        <v>0</v>
      </c>
      <c r="AA7" s="150">
        <v>0</v>
      </c>
      <c r="AB7" s="150">
        <v>51780.810000000012</v>
      </c>
      <c r="AC7" s="150">
        <v>42025.679999999993</v>
      </c>
    </row>
    <row r="8" spans="1:30">
      <c r="A8" s="280"/>
      <c r="B8" s="217" t="s">
        <v>93</v>
      </c>
      <c r="C8" s="150">
        <v>54250134.279999994</v>
      </c>
      <c r="D8" s="150">
        <v>0</v>
      </c>
      <c r="E8" s="150">
        <v>12786289.5</v>
      </c>
      <c r="F8" s="150">
        <v>27770541.729999993</v>
      </c>
      <c r="G8" s="150">
        <v>2448623.6400000006</v>
      </c>
      <c r="H8" s="150">
        <v>748794.1</v>
      </c>
      <c r="I8" s="150">
        <v>723080.28999999992</v>
      </c>
      <c r="J8" s="150">
        <v>370373.3</v>
      </c>
      <c r="K8" s="150">
        <v>606375.94999999995</v>
      </c>
      <c r="L8" s="150">
        <v>2698075.48</v>
      </c>
      <c r="M8" s="150">
        <v>143754.63999999998</v>
      </c>
      <c r="N8" s="150">
        <v>389893.93</v>
      </c>
      <c r="O8" s="150">
        <v>116689.49999999999</v>
      </c>
      <c r="P8" s="150">
        <v>861593.17999999993</v>
      </c>
      <c r="Q8" s="150">
        <v>407518.89999999997</v>
      </c>
      <c r="R8" s="150">
        <v>397367.31000000006</v>
      </c>
      <c r="S8" s="150">
        <v>381258.01999999996</v>
      </c>
      <c r="T8" s="150">
        <f t="shared" si="0"/>
        <v>6324587.3600000003</v>
      </c>
      <c r="U8" s="150">
        <v>1336183.4000000001</v>
      </c>
      <c r="V8" s="150">
        <v>2193843.5900000003</v>
      </c>
      <c r="W8" s="150">
        <v>2101402.7699999996</v>
      </c>
      <c r="X8" s="150">
        <v>392653.53</v>
      </c>
      <c r="Y8" s="150">
        <v>201488.08999999997</v>
      </c>
      <c r="Z8" s="150">
        <v>99015.98000000001</v>
      </c>
      <c r="AA8" s="150">
        <v>0</v>
      </c>
      <c r="AB8" s="150">
        <v>890809.23999999987</v>
      </c>
      <c r="AC8" s="150">
        <v>1331207.3299999998</v>
      </c>
    </row>
    <row r="9" spans="1:30">
      <c r="A9" s="280"/>
      <c r="B9" s="217" t="s">
        <v>94</v>
      </c>
      <c r="C9" s="150">
        <v>359744.37</v>
      </c>
      <c r="D9" s="150">
        <v>0</v>
      </c>
      <c r="E9" s="150">
        <v>200000</v>
      </c>
      <c r="F9" s="150">
        <v>112749</v>
      </c>
      <c r="G9" s="150">
        <v>46995.37</v>
      </c>
      <c r="H9" s="150">
        <v>0</v>
      </c>
      <c r="I9" s="150">
        <v>0</v>
      </c>
      <c r="J9" s="150">
        <v>0</v>
      </c>
      <c r="K9" s="150">
        <v>46995.37</v>
      </c>
      <c r="L9" s="150">
        <v>0</v>
      </c>
      <c r="M9" s="150">
        <v>0</v>
      </c>
      <c r="N9" s="150">
        <v>0</v>
      </c>
      <c r="O9" s="150">
        <v>0</v>
      </c>
      <c r="P9" s="150">
        <v>0</v>
      </c>
      <c r="Q9" s="150">
        <v>0</v>
      </c>
      <c r="R9" s="150">
        <v>0</v>
      </c>
      <c r="S9" s="150">
        <v>0</v>
      </c>
      <c r="T9" s="150">
        <f t="shared" si="0"/>
        <v>0</v>
      </c>
      <c r="U9" s="150">
        <v>0</v>
      </c>
      <c r="V9" s="150">
        <v>0</v>
      </c>
      <c r="W9" s="150">
        <v>0</v>
      </c>
      <c r="X9" s="150">
        <v>0</v>
      </c>
      <c r="Y9" s="150">
        <v>0</v>
      </c>
      <c r="Z9" s="150">
        <v>0</v>
      </c>
      <c r="AA9" s="150">
        <v>0</v>
      </c>
      <c r="AB9" s="150">
        <v>0</v>
      </c>
      <c r="AC9" s="150">
        <v>0</v>
      </c>
    </row>
    <row r="10" spans="1:30">
      <c r="A10" s="280"/>
      <c r="B10" s="217" t="s">
        <v>95</v>
      </c>
      <c r="C10" s="150">
        <v>2711405.1699999995</v>
      </c>
      <c r="D10" s="150">
        <v>0</v>
      </c>
      <c r="E10" s="150">
        <v>2570516.8899999997</v>
      </c>
      <c r="F10" s="150">
        <v>137946.47999999995</v>
      </c>
      <c r="G10" s="150">
        <v>11789.100000000002</v>
      </c>
      <c r="H10" s="150">
        <v>14625</v>
      </c>
      <c r="I10" s="150">
        <v>-945.3</v>
      </c>
      <c r="J10" s="150">
        <v>0</v>
      </c>
      <c r="K10" s="150">
        <v>-1890.6</v>
      </c>
      <c r="L10" s="150">
        <v>-945.3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-945.3</v>
      </c>
      <c r="T10" s="150">
        <f t="shared" si="0"/>
        <v>-4896.2999999999993</v>
      </c>
      <c r="U10" s="150">
        <v>-1115.0999999999999</v>
      </c>
      <c r="V10" s="150">
        <v>-945.3</v>
      </c>
      <c r="W10" s="150">
        <v>-2835.8999999999996</v>
      </c>
      <c r="X10" s="150">
        <v>0</v>
      </c>
      <c r="Y10" s="150">
        <v>0</v>
      </c>
      <c r="Z10" s="150">
        <v>0</v>
      </c>
      <c r="AA10" s="150">
        <v>0</v>
      </c>
      <c r="AB10" s="150">
        <v>-945.3</v>
      </c>
      <c r="AC10" s="150">
        <v>-2060.3999999999996</v>
      </c>
    </row>
    <row r="11" spans="1:30">
      <c r="A11" s="280"/>
      <c r="B11" s="217" t="s">
        <v>96</v>
      </c>
      <c r="C11" s="150">
        <v>2536684.4899999998</v>
      </c>
      <c r="D11" s="150">
        <v>0</v>
      </c>
      <c r="E11" s="150">
        <v>469550</v>
      </c>
      <c r="F11" s="150">
        <v>1690986.21</v>
      </c>
      <c r="G11" s="150">
        <v>111080</v>
      </c>
      <c r="H11" s="150">
        <v>26120</v>
      </c>
      <c r="I11" s="150">
        <v>12620</v>
      </c>
      <c r="J11" s="150">
        <v>27140</v>
      </c>
      <c r="K11" s="150">
        <v>45200</v>
      </c>
      <c r="L11" s="150">
        <v>173560</v>
      </c>
      <c r="M11" s="150">
        <v>-7720</v>
      </c>
      <c r="N11" s="150">
        <v>40800</v>
      </c>
      <c r="O11" s="150">
        <v>11340</v>
      </c>
      <c r="P11" s="150">
        <v>51620</v>
      </c>
      <c r="Q11" s="150">
        <v>28140</v>
      </c>
      <c r="R11" s="150">
        <v>29640</v>
      </c>
      <c r="S11" s="150">
        <v>19740</v>
      </c>
      <c r="T11" s="150">
        <f t="shared" si="0"/>
        <v>0</v>
      </c>
      <c r="U11" s="150">
        <v>0</v>
      </c>
      <c r="V11" s="150">
        <v>0</v>
      </c>
      <c r="W11" s="150">
        <v>0</v>
      </c>
      <c r="X11" s="150">
        <v>0</v>
      </c>
      <c r="Y11" s="150">
        <v>0</v>
      </c>
      <c r="Z11" s="150">
        <v>0</v>
      </c>
      <c r="AA11" s="150">
        <v>0</v>
      </c>
      <c r="AB11" s="150">
        <v>0</v>
      </c>
      <c r="AC11" s="150">
        <v>91508.28</v>
      </c>
    </row>
    <row r="12" spans="1:30">
      <c r="A12" s="280"/>
      <c r="B12" s="217" t="s">
        <v>97</v>
      </c>
      <c r="C12" s="150">
        <v>3770432.2600000002</v>
      </c>
      <c r="D12" s="150">
        <v>0</v>
      </c>
      <c r="E12" s="150">
        <v>1417965.66</v>
      </c>
      <c r="F12" s="150">
        <v>906097.62</v>
      </c>
      <c r="G12" s="150">
        <v>0</v>
      </c>
      <c r="H12" s="150">
        <v>0</v>
      </c>
      <c r="I12" s="150">
        <v>0</v>
      </c>
      <c r="J12" s="150">
        <v>0</v>
      </c>
      <c r="K12" s="150">
        <v>0</v>
      </c>
      <c r="L12" s="150">
        <v>382521.05999999994</v>
      </c>
      <c r="M12" s="150">
        <v>0</v>
      </c>
      <c r="N12" s="150">
        <v>0</v>
      </c>
      <c r="O12" s="150">
        <v>0</v>
      </c>
      <c r="P12" s="150">
        <v>0</v>
      </c>
      <c r="Q12" s="150">
        <v>0</v>
      </c>
      <c r="R12" s="150">
        <v>0</v>
      </c>
      <c r="S12" s="150">
        <v>382521.05999999994</v>
      </c>
      <c r="T12" s="150">
        <f t="shared" si="0"/>
        <v>0</v>
      </c>
      <c r="U12" s="150">
        <v>0</v>
      </c>
      <c r="V12" s="150">
        <v>0</v>
      </c>
      <c r="W12" s="150">
        <v>0</v>
      </c>
      <c r="X12" s="150">
        <v>0</v>
      </c>
      <c r="Y12" s="150">
        <v>0</v>
      </c>
      <c r="Z12" s="150">
        <v>0</v>
      </c>
      <c r="AA12" s="150">
        <v>0</v>
      </c>
      <c r="AB12" s="150">
        <v>120240.07999999997</v>
      </c>
      <c r="AC12" s="150">
        <v>943607.84000000008</v>
      </c>
    </row>
    <row r="13" spans="1:30">
      <c r="A13" s="280"/>
      <c r="B13" s="217" t="s">
        <v>98</v>
      </c>
      <c r="C13" s="150">
        <v>17500000</v>
      </c>
      <c r="D13" s="150">
        <v>0</v>
      </c>
      <c r="E13" s="150">
        <v>17500000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  <c r="T13" s="150">
        <f t="shared" si="0"/>
        <v>0</v>
      </c>
      <c r="U13" s="150">
        <v>0</v>
      </c>
      <c r="V13" s="150">
        <v>0</v>
      </c>
      <c r="W13" s="150">
        <v>0</v>
      </c>
      <c r="X13" s="150">
        <v>0</v>
      </c>
      <c r="Y13" s="150">
        <v>0</v>
      </c>
      <c r="Z13" s="150">
        <v>0</v>
      </c>
      <c r="AA13" s="150">
        <v>0</v>
      </c>
      <c r="AB13" s="150">
        <v>0</v>
      </c>
      <c r="AC13" s="150">
        <v>0</v>
      </c>
    </row>
    <row r="14" spans="1:30">
      <c r="A14" s="281"/>
      <c r="B14" s="218" t="s">
        <v>99</v>
      </c>
      <c r="C14" s="151">
        <v>289833705.61000001</v>
      </c>
      <c r="D14" s="151">
        <v>0</v>
      </c>
      <c r="E14" s="151">
        <v>85623058.409999996</v>
      </c>
      <c r="F14" s="151">
        <v>132888553.16</v>
      </c>
      <c r="G14" s="151">
        <v>12044897.889999997</v>
      </c>
      <c r="H14" s="151">
        <v>3480364.9699999993</v>
      </c>
      <c r="I14" s="151">
        <v>2971913.4000000004</v>
      </c>
      <c r="J14" s="151">
        <v>1944942.65</v>
      </c>
      <c r="K14" s="151">
        <v>3647676.8699999996</v>
      </c>
      <c r="L14" s="151">
        <v>16186437.310000002</v>
      </c>
      <c r="M14" s="151">
        <v>1081049.24</v>
      </c>
      <c r="N14" s="151">
        <v>2178978.6800000006</v>
      </c>
      <c r="O14" s="151">
        <v>790168.78000000014</v>
      </c>
      <c r="P14" s="151">
        <v>4684528.2799999993</v>
      </c>
      <c r="Q14" s="151">
        <v>2386324.85</v>
      </c>
      <c r="R14" s="151">
        <v>2595255.6899999995</v>
      </c>
      <c r="S14" s="151">
        <v>2470131.79</v>
      </c>
      <c r="T14" s="150">
        <f t="shared" si="0"/>
        <v>32545081.699999999</v>
      </c>
      <c r="U14" s="151">
        <v>5715459.4000000013</v>
      </c>
      <c r="V14" s="151">
        <v>11698187.079999998</v>
      </c>
      <c r="W14" s="151">
        <v>12247685.679999998</v>
      </c>
      <c r="X14" s="151">
        <v>1941931.3200000003</v>
      </c>
      <c r="Y14" s="151">
        <v>645720.66999999993</v>
      </c>
      <c r="Z14" s="151">
        <v>296097.55</v>
      </c>
      <c r="AA14" s="151">
        <v>0</v>
      </c>
      <c r="AB14" s="151">
        <v>4215517.169999999</v>
      </c>
      <c r="AC14" s="151">
        <v>6330159.9699999997</v>
      </c>
    </row>
    <row r="15" spans="1:30" ht="13.5" customHeight="1">
      <c r="A15" s="276" t="s">
        <v>100</v>
      </c>
      <c r="B15" s="217" t="s">
        <v>101</v>
      </c>
      <c r="C15" s="150">
        <v>101346649.84999998</v>
      </c>
      <c r="D15" s="150">
        <v>0</v>
      </c>
      <c r="E15" s="150">
        <v>0</v>
      </c>
      <c r="F15" s="150">
        <v>26534811.129999995</v>
      </c>
      <c r="G15" s="150">
        <v>514548</v>
      </c>
      <c r="H15" s="150">
        <v>514548</v>
      </c>
      <c r="I15" s="150">
        <v>0</v>
      </c>
      <c r="J15" s="150">
        <v>0</v>
      </c>
      <c r="K15" s="150">
        <v>0</v>
      </c>
      <c r="L15" s="150">
        <v>3400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3400</v>
      </c>
      <c r="S15" s="150">
        <v>0</v>
      </c>
      <c r="T15" s="150">
        <f t="shared" si="0"/>
        <v>74293890.719999999</v>
      </c>
      <c r="U15" s="150">
        <v>1384601</v>
      </c>
      <c r="V15" s="150">
        <v>67369500</v>
      </c>
      <c r="W15" s="150">
        <v>5461307.7199999997</v>
      </c>
      <c r="X15" s="150">
        <v>78482</v>
      </c>
      <c r="Y15" s="150">
        <v>0</v>
      </c>
      <c r="Z15" s="150">
        <v>0</v>
      </c>
      <c r="AA15" s="150">
        <v>0</v>
      </c>
      <c r="AB15" s="150">
        <v>0</v>
      </c>
      <c r="AC15" s="150">
        <v>0</v>
      </c>
    </row>
    <row r="16" spans="1:30">
      <c r="A16" s="277"/>
      <c r="B16" s="217" t="s">
        <v>102</v>
      </c>
      <c r="C16" s="150">
        <v>67304634.700000003</v>
      </c>
      <c r="D16" s="150">
        <v>0</v>
      </c>
      <c r="E16" s="150">
        <v>0</v>
      </c>
      <c r="F16" s="150">
        <v>63488877.029999979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  <c r="T16" s="150">
        <f t="shared" si="0"/>
        <v>3802520.8</v>
      </c>
      <c r="U16" s="150">
        <v>211813</v>
      </c>
      <c r="V16" s="150">
        <v>738989.52999999991</v>
      </c>
      <c r="W16" s="150">
        <v>2731704.85</v>
      </c>
      <c r="X16" s="150">
        <v>120013.42</v>
      </c>
      <c r="Y16" s="150">
        <v>0</v>
      </c>
      <c r="Z16" s="150">
        <v>0</v>
      </c>
      <c r="AA16" s="150">
        <v>0</v>
      </c>
      <c r="AB16" s="150">
        <v>0</v>
      </c>
      <c r="AC16" s="150">
        <v>13236.87</v>
      </c>
    </row>
    <row r="17" spans="1:29">
      <c r="A17" s="277"/>
      <c r="B17" s="217" t="s">
        <v>103</v>
      </c>
      <c r="C17" s="150">
        <v>17473454.489999998</v>
      </c>
      <c r="D17" s="150">
        <v>45861.1</v>
      </c>
      <c r="E17" s="150">
        <v>-4200722.1500000004</v>
      </c>
      <c r="F17" s="150">
        <v>14399301.949999999</v>
      </c>
      <c r="G17" s="150">
        <v>-398084.43999999983</v>
      </c>
      <c r="H17" s="150">
        <v>182089.83000000002</v>
      </c>
      <c r="I17" s="150">
        <v>-831422.82000000007</v>
      </c>
      <c r="J17" s="150">
        <v>181733.93</v>
      </c>
      <c r="K17" s="150">
        <v>69514.62</v>
      </c>
      <c r="L17" s="150">
        <v>2905866.71</v>
      </c>
      <c r="M17" s="150">
        <v>896195.7300000001</v>
      </c>
      <c r="N17" s="150">
        <v>522059.93000000005</v>
      </c>
      <c r="O17" s="150">
        <v>74975.97</v>
      </c>
      <c r="P17" s="150">
        <v>1324915.2</v>
      </c>
      <c r="Q17" s="150">
        <v>219714.5</v>
      </c>
      <c r="R17" s="150">
        <v>-132107.63</v>
      </c>
      <c r="S17" s="150">
        <v>113.01000000000002</v>
      </c>
      <c r="T17" s="150">
        <f t="shared" si="0"/>
        <v>4711886.3599999994</v>
      </c>
      <c r="U17" s="150">
        <v>319189.99</v>
      </c>
      <c r="V17" s="150">
        <v>3852596.1499999994</v>
      </c>
      <c r="W17" s="150">
        <v>483072.58</v>
      </c>
      <c r="X17" s="150">
        <v>57027.64</v>
      </c>
      <c r="Y17" s="150">
        <v>0</v>
      </c>
      <c r="Z17" s="150">
        <v>0</v>
      </c>
      <c r="AA17" s="150">
        <v>0</v>
      </c>
      <c r="AB17" s="150">
        <v>9344.9599999999991</v>
      </c>
      <c r="AC17" s="150">
        <v>0</v>
      </c>
    </row>
    <row r="18" spans="1:29">
      <c r="A18" s="277"/>
      <c r="B18" s="217" t="s">
        <v>104</v>
      </c>
      <c r="C18" s="150">
        <v>689723.6399999999</v>
      </c>
      <c r="D18" s="150">
        <v>0</v>
      </c>
      <c r="E18" s="150">
        <v>326700</v>
      </c>
      <c r="F18" s="150">
        <v>349336.46999999986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13687.17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13687.17</v>
      </c>
      <c r="T18" s="150">
        <f t="shared" si="0"/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150">
        <v>0</v>
      </c>
      <c r="AC18" s="150">
        <v>0</v>
      </c>
    </row>
    <row r="19" spans="1:29">
      <c r="A19" s="277"/>
      <c r="B19" s="217" t="s">
        <v>105</v>
      </c>
      <c r="C19" s="150">
        <v>111603.77</v>
      </c>
      <c r="D19" s="150">
        <v>0</v>
      </c>
      <c r="E19" s="150">
        <v>0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111603.77</v>
      </c>
      <c r="M19" s="150">
        <v>48333.34</v>
      </c>
      <c r="N19" s="150">
        <v>44937.1</v>
      </c>
      <c r="O19" s="150">
        <v>18333.330000000002</v>
      </c>
      <c r="P19" s="150">
        <v>0</v>
      </c>
      <c r="Q19" s="150">
        <v>0</v>
      </c>
      <c r="R19" s="150">
        <v>0</v>
      </c>
      <c r="S19" s="150">
        <v>0</v>
      </c>
      <c r="T19" s="150">
        <f t="shared" si="0"/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150">
        <v>0</v>
      </c>
      <c r="AC19" s="150">
        <v>0</v>
      </c>
    </row>
    <row r="20" spans="1:29">
      <c r="A20" s="278"/>
      <c r="B20" s="218" t="s">
        <v>99</v>
      </c>
      <c r="C20" s="151">
        <v>186926066.44999999</v>
      </c>
      <c r="D20" s="151">
        <v>45861.1</v>
      </c>
      <c r="E20" s="151">
        <v>-3874022.1500000004</v>
      </c>
      <c r="F20" s="151">
        <v>104772326.57999997</v>
      </c>
      <c r="G20" s="151">
        <v>116463.56000000017</v>
      </c>
      <c r="H20" s="151">
        <v>696637.83000000007</v>
      </c>
      <c r="I20" s="151">
        <v>-831422.82000000007</v>
      </c>
      <c r="J20" s="151">
        <v>181733.93</v>
      </c>
      <c r="K20" s="151">
        <v>69514.62</v>
      </c>
      <c r="L20" s="151">
        <v>3034557.65</v>
      </c>
      <c r="M20" s="151">
        <v>944529.07000000007</v>
      </c>
      <c r="N20" s="151">
        <v>566997.03</v>
      </c>
      <c r="O20" s="151">
        <v>93309.3</v>
      </c>
      <c r="P20" s="151">
        <v>1324915.2</v>
      </c>
      <c r="Q20" s="151">
        <v>219714.5</v>
      </c>
      <c r="R20" s="151">
        <v>-128707.63</v>
      </c>
      <c r="S20" s="151">
        <v>13800.18</v>
      </c>
      <c r="T20" s="150">
        <f t="shared" si="0"/>
        <v>82808297.88000001</v>
      </c>
      <c r="U20" s="151">
        <v>1915603.99</v>
      </c>
      <c r="V20" s="151">
        <v>71961085.680000007</v>
      </c>
      <c r="W20" s="151">
        <v>8676085.1500000004</v>
      </c>
      <c r="X20" s="151">
        <v>255523.06</v>
      </c>
      <c r="Y20" s="151">
        <v>0</v>
      </c>
      <c r="Z20" s="151">
        <v>0</v>
      </c>
      <c r="AA20" s="151">
        <v>0</v>
      </c>
      <c r="AB20" s="151">
        <v>9344.9599999999991</v>
      </c>
      <c r="AC20" s="151">
        <v>13236.87</v>
      </c>
    </row>
    <row r="21" spans="1:29" ht="13.5" customHeight="1">
      <c r="A21" s="273" t="s">
        <v>106</v>
      </c>
      <c r="B21" s="217" t="s">
        <v>107</v>
      </c>
      <c r="C21" s="150">
        <v>25021584.52</v>
      </c>
      <c r="D21" s="150">
        <v>0</v>
      </c>
      <c r="E21" s="150">
        <v>2814768.3100000005</v>
      </c>
      <c r="F21" s="150">
        <v>12409401.629999999</v>
      </c>
      <c r="G21" s="150">
        <v>1031998.6100000001</v>
      </c>
      <c r="H21" s="150">
        <v>282300.65999999997</v>
      </c>
      <c r="I21" s="150">
        <v>366343.27999999997</v>
      </c>
      <c r="J21" s="150">
        <v>91700.66</v>
      </c>
      <c r="K21" s="150">
        <v>291654.01</v>
      </c>
      <c r="L21" s="150">
        <v>1211994.6400000001</v>
      </c>
      <c r="M21" s="150">
        <v>130587.4</v>
      </c>
      <c r="N21" s="150">
        <v>157815.9</v>
      </c>
      <c r="O21" s="150">
        <v>149919.9</v>
      </c>
      <c r="P21" s="150">
        <v>215471.84</v>
      </c>
      <c r="Q21" s="150">
        <v>180963.65</v>
      </c>
      <c r="R21" s="150">
        <v>171478.84</v>
      </c>
      <c r="S21" s="150">
        <v>205757.11</v>
      </c>
      <c r="T21" s="150">
        <f t="shared" si="0"/>
        <v>7029955.9999999991</v>
      </c>
      <c r="U21" s="150">
        <v>571097.42999999993</v>
      </c>
      <c r="V21" s="150">
        <v>4530202.669999999</v>
      </c>
      <c r="W21" s="150">
        <v>1338632.5100000002</v>
      </c>
      <c r="X21" s="150">
        <v>252163.38</v>
      </c>
      <c r="Y21" s="150">
        <v>310153.01</v>
      </c>
      <c r="Z21" s="150">
        <v>27707</v>
      </c>
      <c r="AA21" s="150">
        <v>0</v>
      </c>
      <c r="AB21" s="150">
        <v>343060.52999999997</v>
      </c>
      <c r="AC21" s="150">
        <v>180404.80000000002</v>
      </c>
    </row>
    <row r="22" spans="1:29">
      <c r="A22" s="274"/>
      <c r="B22" s="217" t="s">
        <v>108</v>
      </c>
      <c r="C22" s="150">
        <v>15357755.93</v>
      </c>
      <c r="D22" s="150">
        <v>0</v>
      </c>
      <c r="E22" s="150">
        <v>1994478.6800000002</v>
      </c>
      <c r="F22" s="150">
        <v>2886035.17</v>
      </c>
      <c r="G22" s="150">
        <v>681445.62000000011</v>
      </c>
      <c r="H22" s="150">
        <v>150837.53999999998</v>
      </c>
      <c r="I22" s="150">
        <v>211499.98</v>
      </c>
      <c r="J22" s="150">
        <v>67627.37</v>
      </c>
      <c r="K22" s="150">
        <v>251480.72999999998</v>
      </c>
      <c r="L22" s="150">
        <v>1061737.3399999999</v>
      </c>
      <c r="M22" s="150">
        <v>103699.98999999999</v>
      </c>
      <c r="N22" s="150">
        <v>110632.52</v>
      </c>
      <c r="O22" s="150">
        <v>127341.61000000002</v>
      </c>
      <c r="P22" s="150">
        <v>138436.63999999998</v>
      </c>
      <c r="Q22" s="150">
        <v>221480.81000000003</v>
      </c>
      <c r="R22" s="150">
        <v>173095.83000000002</v>
      </c>
      <c r="S22" s="150">
        <v>187049.94000000003</v>
      </c>
      <c r="T22" s="150">
        <f t="shared" si="0"/>
        <v>8206767.629999999</v>
      </c>
      <c r="U22" s="150">
        <v>813252.56</v>
      </c>
      <c r="V22" s="150">
        <v>4950465.6899999995</v>
      </c>
      <c r="W22" s="150">
        <v>1413256.8499999999</v>
      </c>
      <c r="X22" s="150">
        <v>282496.37</v>
      </c>
      <c r="Y22" s="150">
        <v>668795.39</v>
      </c>
      <c r="Z22" s="150">
        <v>78500.77</v>
      </c>
      <c r="AA22" s="150">
        <v>0</v>
      </c>
      <c r="AB22" s="150">
        <v>472671.73</v>
      </c>
      <c r="AC22" s="150">
        <v>54619.759999999995</v>
      </c>
    </row>
    <row r="23" spans="1:29">
      <c r="A23" s="274"/>
      <c r="B23" s="217" t="s">
        <v>109</v>
      </c>
      <c r="C23" s="150">
        <v>5051221.1000000006</v>
      </c>
      <c r="D23" s="150">
        <v>0</v>
      </c>
      <c r="E23" s="150">
        <v>1472174.66</v>
      </c>
      <c r="F23" s="150">
        <v>2044343.0299999998</v>
      </c>
      <c r="G23" s="150">
        <v>213269.21000000002</v>
      </c>
      <c r="H23" s="150">
        <v>103219.98000000001</v>
      </c>
      <c r="I23" s="150">
        <v>93726.61</v>
      </c>
      <c r="J23" s="150">
        <v>6779.42</v>
      </c>
      <c r="K23" s="150">
        <v>9543.2000000000007</v>
      </c>
      <c r="L23" s="150">
        <v>81254.61</v>
      </c>
      <c r="M23" s="150">
        <v>7379.9800000000005</v>
      </c>
      <c r="N23" s="150">
        <v>13286.57</v>
      </c>
      <c r="O23" s="150">
        <v>7232.9699999999993</v>
      </c>
      <c r="P23" s="150">
        <v>15755.250000000002</v>
      </c>
      <c r="Q23" s="150">
        <v>9365.65</v>
      </c>
      <c r="R23" s="150">
        <v>25523.659999999996</v>
      </c>
      <c r="S23" s="150">
        <v>2710.5299999999993</v>
      </c>
      <c r="T23" s="150">
        <f t="shared" si="0"/>
        <v>1119745.05</v>
      </c>
      <c r="U23" s="150">
        <v>133175.83000000002</v>
      </c>
      <c r="V23" s="150">
        <v>698216.01</v>
      </c>
      <c r="W23" s="150">
        <v>239703.69</v>
      </c>
      <c r="X23" s="150">
        <v>32940.85</v>
      </c>
      <c r="Y23" s="150">
        <v>15098.27</v>
      </c>
      <c r="Z23" s="150">
        <v>610.4</v>
      </c>
      <c r="AA23" s="150">
        <v>0</v>
      </c>
      <c r="AB23" s="150">
        <v>94502.720000000001</v>
      </c>
      <c r="AC23" s="150">
        <v>25931.82</v>
      </c>
    </row>
    <row r="24" spans="1:29">
      <c r="A24" s="274"/>
      <c r="B24" s="217" t="s">
        <v>110</v>
      </c>
      <c r="C24" s="150">
        <v>2258139.3099999996</v>
      </c>
      <c r="D24" s="150">
        <v>0</v>
      </c>
      <c r="E24" s="150">
        <v>430366.69000000006</v>
      </c>
      <c r="F24" s="150">
        <v>1154862.4099999997</v>
      </c>
      <c r="G24" s="150">
        <v>83282.749999999985</v>
      </c>
      <c r="H24" s="150">
        <v>59321.570000000007</v>
      </c>
      <c r="I24" s="150">
        <v>13033.37</v>
      </c>
      <c r="J24" s="150">
        <v>6127.01</v>
      </c>
      <c r="K24" s="150">
        <v>4800.7999999999993</v>
      </c>
      <c r="L24" s="150">
        <v>24332.170000000002</v>
      </c>
      <c r="M24" s="150">
        <v>2466.3100000000004</v>
      </c>
      <c r="N24" s="150">
        <v>4265.32</v>
      </c>
      <c r="O24" s="150">
        <v>2466.3199999999997</v>
      </c>
      <c r="P24" s="150">
        <v>717.45</v>
      </c>
      <c r="Q24" s="150">
        <v>719.76</v>
      </c>
      <c r="R24" s="150">
        <v>6019.6500000000005</v>
      </c>
      <c r="S24" s="150">
        <v>7677.36</v>
      </c>
      <c r="T24" s="150">
        <f t="shared" si="0"/>
        <v>511083.25000000006</v>
      </c>
      <c r="U24" s="150">
        <v>44787.119999999995</v>
      </c>
      <c r="V24" s="150">
        <v>314552.01000000007</v>
      </c>
      <c r="W24" s="150">
        <v>139968.17000000001</v>
      </c>
      <c r="X24" s="150">
        <v>10407.950000000001</v>
      </c>
      <c r="Y24" s="150">
        <v>1368</v>
      </c>
      <c r="Z24" s="150">
        <v>0</v>
      </c>
      <c r="AA24" s="150">
        <v>0</v>
      </c>
      <c r="AB24" s="150">
        <v>39456.479999999996</v>
      </c>
      <c r="AC24" s="150">
        <v>14755.56</v>
      </c>
    </row>
    <row r="25" spans="1:29">
      <c r="A25" s="274"/>
      <c r="B25" s="217" t="s">
        <v>111</v>
      </c>
      <c r="C25" s="150">
        <v>4412987.63</v>
      </c>
      <c r="D25" s="150">
        <v>0</v>
      </c>
      <c r="E25" s="150">
        <v>2175815.4000000004</v>
      </c>
      <c r="F25" s="150">
        <v>2234411.46</v>
      </c>
      <c r="G25" s="150">
        <v>113.21</v>
      </c>
      <c r="H25" s="150">
        <v>113.21</v>
      </c>
      <c r="I25" s="150">
        <v>0</v>
      </c>
      <c r="J25" s="150">
        <v>0</v>
      </c>
      <c r="K25" s="150">
        <v>0</v>
      </c>
      <c r="L25" s="150">
        <v>1139.6300000000001</v>
      </c>
      <c r="M25" s="150">
        <v>0</v>
      </c>
      <c r="N25" s="150">
        <v>0</v>
      </c>
      <c r="O25" s="150">
        <v>0</v>
      </c>
      <c r="P25" s="150">
        <v>7.55</v>
      </c>
      <c r="Q25" s="150">
        <v>0</v>
      </c>
      <c r="R25" s="150">
        <v>0</v>
      </c>
      <c r="S25" s="150">
        <v>1132.08</v>
      </c>
      <c r="T25" s="150">
        <f t="shared" si="0"/>
        <v>1011.32</v>
      </c>
      <c r="U25" s="150">
        <v>271.7</v>
      </c>
      <c r="V25" s="150">
        <v>384.91</v>
      </c>
      <c r="W25" s="150">
        <v>286.79000000000002</v>
      </c>
      <c r="X25" s="150">
        <v>67.92</v>
      </c>
      <c r="Y25" s="150">
        <v>0</v>
      </c>
      <c r="Z25" s="150">
        <v>0</v>
      </c>
      <c r="AA25" s="150">
        <v>0</v>
      </c>
      <c r="AB25" s="150">
        <v>113.21</v>
      </c>
      <c r="AC25" s="150">
        <v>383.4</v>
      </c>
    </row>
    <row r="26" spans="1:29">
      <c r="A26" s="274"/>
      <c r="B26" s="217" t="s">
        <v>112</v>
      </c>
      <c r="C26" s="150">
        <v>3700423.59</v>
      </c>
      <c r="D26" s="150">
        <v>0</v>
      </c>
      <c r="E26" s="150">
        <v>1005550.5599999999</v>
      </c>
      <c r="F26" s="150">
        <v>1098928.5</v>
      </c>
      <c r="G26" s="150">
        <v>1238760.0900000001</v>
      </c>
      <c r="H26" s="150">
        <v>76969.039999999994</v>
      </c>
      <c r="I26" s="150">
        <v>174088.46</v>
      </c>
      <c r="J26" s="150">
        <v>0</v>
      </c>
      <c r="K26" s="150">
        <v>987702.59000000008</v>
      </c>
      <c r="L26" s="150">
        <v>138571.24</v>
      </c>
      <c r="M26" s="150">
        <v>29175.73</v>
      </c>
      <c r="N26" s="150">
        <v>29175.739999999998</v>
      </c>
      <c r="O26" s="150">
        <v>14583.74</v>
      </c>
      <c r="P26" s="150">
        <v>46239.199999999997</v>
      </c>
      <c r="Q26" s="150">
        <v>11044.23</v>
      </c>
      <c r="R26" s="150">
        <v>4704.6000000000004</v>
      </c>
      <c r="S26" s="150">
        <v>3648</v>
      </c>
      <c r="T26" s="150">
        <f t="shared" si="0"/>
        <v>211317.2</v>
      </c>
      <c r="U26" s="150">
        <v>196725.2</v>
      </c>
      <c r="V26" s="150">
        <v>7296</v>
      </c>
      <c r="W26" s="150">
        <v>7296</v>
      </c>
      <c r="X26" s="150">
        <v>0</v>
      </c>
      <c r="Y26" s="150">
        <v>0</v>
      </c>
      <c r="Z26" s="150">
        <v>0</v>
      </c>
      <c r="AA26" s="150">
        <v>0</v>
      </c>
      <c r="AB26" s="150">
        <v>7296</v>
      </c>
      <c r="AC26" s="150">
        <v>0</v>
      </c>
    </row>
    <row r="27" spans="1:29">
      <c r="A27" s="274"/>
      <c r="B27" s="217" t="s">
        <v>113</v>
      </c>
      <c r="C27" s="150">
        <v>2791515.44</v>
      </c>
      <c r="D27" s="150">
        <v>0</v>
      </c>
      <c r="E27" s="150">
        <v>1325412.0699999998</v>
      </c>
      <c r="F27" s="150">
        <v>818094.21000000008</v>
      </c>
      <c r="G27" s="150">
        <v>66574.179999999993</v>
      </c>
      <c r="H27" s="150">
        <v>0</v>
      </c>
      <c r="I27" s="150">
        <v>0</v>
      </c>
      <c r="J27" s="150">
        <v>66574.179999999993</v>
      </c>
      <c r="K27" s="150">
        <v>0</v>
      </c>
      <c r="L27" s="150">
        <v>225473.93</v>
      </c>
      <c r="M27" s="150">
        <v>69995.47</v>
      </c>
      <c r="N27" s="150">
        <v>86304.28</v>
      </c>
      <c r="O27" s="150">
        <v>69174.179999999993</v>
      </c>
      <c r="P27" s="150">
        <v>0</v>
      </c>
      <c r="Q27" s="150">
        <v>0</v>
      </c>
      <c r="R27" s="150">
        <v>0</v>
      </c>
      <c r="S27" s="150">
        <v>0</v>
      </c>
      <c r="T27" s="150">
        <f t="shared" si="0"/>
        <v>314574.14</v>
      </c>
      <c r="U27" s="150">
        <v>56942.350000000006</v>
      </c>
      <c r="V27" s="150">
        <v>178079.35999999999</v>
      </c>
      <c r="W27" s="150">
        <v>65316.840000000004</v>
      </c>
      <c r="X27" s="150">
        <v>14235.59</v>
      </c>
      <c r="Y27" s="150">
        <v>0</v>
      </c>
      <c r="Z27" s="150">
        <v>0</v>
      </c>
      <c r="AA27" s="150">
        <v>0</v>
      </c>
      <c r="AB27" s="150">
        <v>34773.51</v>
      </c>
      <c r="AC27" s="150">
        <v>6613.4</v>
      </c>
    </row>
    <row r="28" spans="1:29">
      <c r="A28" s="274"/>
      <c r="B28" s="217" t="s">
        <v>114</v>
      </c>
      <c r="C28" s="150">
        <v>946026.92999999993</v>
      </c>
      <c r="D28" s="150">
        <v>0</v>
      </c>
      <c r="E28" s="150">
        <v>129431.75</v>
      </c>
      <c r="F28" s="150">
        <v>434305.93999999994</v>
      </c>
      <c r="G28" s="150">
        <v>28574.43</v>
      </c>
      <c r="H28" s="150">
        <v>24108.35</v>
      </c>
      <c r="I28" s="150">
        <v>1264.08</v>
      </c>
      <c r="J28" s="150">
        <v>453</v>
      </c>
      <c r="K28" s="150">
        <v>2749</v>
      </c>
      <c r="L28" s="150">
        <v>18614.489999999998</v>
      </c>
      <c r="M28" s="150">
        <v>1694.3400000000001</v>
      </c>
      <c r="N28" s="150">
        <v>2460.33</v>
      </c>
      <c r="O28" s="150">
        <v>1563.33</v>
      </c>
      <c r="P28" s="150">
        <v>2305.08</v>
      </c>
      <c r="Q28" s="150">
        <v>1643</v>
      </c>
      <c r="R28" s="150">
        <v>1386</v>
      </c>
      <c r="S28" s="150">
        <v>7562.41</v>
      </c>
      <c r="T28" s="150">
        <f t="shared" si="0"/>
        <v>298607.12</v>
      </c>
      <c r="U28" s="150">
        <v>14321.660000000002</v>
      </c>
      <c r="V28" s="150">
        <v>212653.53</v>
      </c>
      <c r="W28" s="150">
        <v>58894.32</v>
      </c>
      <c r="X28" s="150">
        <v>3539.2</v>
      </c>
      <c r="Y28" s="150">
        <v>6861.16</v>
      </c>
      <c r="Z28" s="150">
        <v>2337.25</v>
      </c>
      <c r="AA28" s="150">
        <v>0</v>
      </c>
      <c r="AB28" s="150">
        <v>34757.279999999999</v>
      </c>
      <c r="AC28" s="150">
        <v>1735.9199999999998</v>
      </c>
    </row>
    <row r="29" spans="1:29">
      <c r="A29" s="274"/>
      <c r="B29" s="217" t="s">
        <v>115</v>
      </c>
      <c r="C29" s="150">
        <v>238129.28</v>
      </c>
      <c r="D29" s="150">
        <v>0</v>
      </c>
      <c r="E29" s="150">
        <v>33214.199999999997</v>
      </c>
      <c r="F29" s="150">
        <v>179752.29</v>
      </c>
      <c r="G29" s="150">
        <v>4737.04</v>
      </c>
      <c r="H29" s="150">
        <v>1705.25</v>
      </c>
      <c r="I29" s="150">
        <v>1166.75</v>
      </c>
      <c r="J29" s="150">
        <v>798</v>
      </c>
      <c r="K29" s="150">
        <v>1067.04</v>
      </c>
      <c r="L29" s="150">
        <v>8221.58</v>
      </c>
      <c r="M29" s="150">
        <v>290.65999999999997</v>
      </c>
      <c r="N29" s="150">
        <v>290.67</v>
      </c>
      <c r="O29" s="150">
        <v>290.67</v>
      </c>
      <c r="P29" s="150">
        <v>1930.8</v>
      </c>
      <c r="Q29" s="150">
        <v>1405.7</v>
      </c>
      <c r="R29" s="150">
        <v>132.4</v>
      </c>
      <c r="S29" s="150">
        <v>3880.68</v>
      </c>
      <c r="T29" s="150">
        <f t="shared" si="0"/>
        <v>7360.67</v>
      </c>
      <c r="U29" s="150">
        <v>862.52</v>
      </c>
      <c r="V29" s="150">
        <v>3740</v>
      </c>
      <c r="W29" s="150">
        <v>1696.82</v>
      </c>
      <c r="X29" s="150">
        <v>530.63</v>
      </c>
      <c r="Y29" s="150">
        <v>530.70000000000005</v>
      </c>
      <c r="Z29" s="150">
        <v>0</v>
      </c>
      <c r="AA29" s="150">
        <v>0</v>
      </c>
      <c r="AB29" s="150">
        <v>840</v>
      </c>
      <c r="AC29" s="150">
        <v>4003.5</v>
      </c>
    </row>
    <row r="30" spans="1:29">
      <c r="A30" s="274"/>
      <c r="B30" s="217" t="s">
        <v>116</v>
      </c>
      <c r="C30" s="150">
        <v>840407.2</v>
      </c>
      <c r="D30" s="150">
        <v>0</v>
      </c>
      <c r="E30" s="150">
        <v>193018.45</v>
      </c>
      <c r="F30" s="150">
        <v>339571.25</v>
      </c>
      <c r="G30" s="150">
        <v>56156.33</v>
      </c>
      <c r="H30" s="150">
        <v>19779.28</v>
      </c>
      <c r="I30" s="150">
        <v>4186.1000000000004</v>
      </c>
      <c r="J30" s="150">
        <v>2766.97</v>
      </c>
      <c r="K30" s="150">
        <v>29423.98</v>
      </c>
      <c r="L30" s="150">
        <v>63662.349999999991</v>
      </c>
      <c r="M30" s="150">
        <v>2819.43</v>
      </c>
      <c r="N30" s="150">
        <v>3973.92</v>
      </c>
      <c r="O30" s="150">
        <v>3947.5299999999997</v>
      </c>
      <c r="P30" s="150">
        <v>4012.6099999999997</v>
      </c>
      <c r="Q30" s="150">
        <v>7200.24</v>
      </c>
      <c r="R30" s="150">
        <v>31714.939999999995</v>
      </c>
      <c r="S30" s="150">
        <v>9993.6799999999985</v>
      </c>
      <c r="T30" s="150">
        <f t="shared" si="0"/>
        <v>173305.2</v>
      </c>
      <c r="U30" s="150">
        <v>60055.780000000006</v>
      </c>
      <c r="V30" s="150">
        <v>42864.87</v>
      </c>
      <c r="W30" s="150">
        <v>41633.799999999996</v>
      </c>
      <c r="X30" s="150">
        <v>19548.43</v>
      </c>
      <c r="Y30" s="150">
        <v>3984.32</v>
      </c>
      <c r="Z30" s="150">
        <v>5218</v>
      </c>
      <c r="AA30" s="150">
        <v>0</v>
      </c>
      <c r="AB30" s="150">
        <v>11680.64</v>
      </c>
      <c r="AC30" s="150">
        <v>3012.98</v>
      </c>
    </row>
    <row r="31" spans="1:29">
      <c r="A31" s="274"/>
      <c r="B31" s="217" t="s">
        <v>117</v>
      </c>
      <c r="C31" s="150">
        <v>2548991.1199999996</v>
      </c>
      <c r="D31" s="150">
        <v>0</v>
      </c>
      <c r="E31" s="150">
        <v>866906.83000000007</v>
      </c>
      <c r="F31" s="150">
        <v>1435754.2999999998</v>
      </c>
      <c r="G31" s="150">
        <v>61001.63</v>
      </c>
      <c r="H31" s="150">
        <v>22294</v>
      </c>
      <c r="I31" s="150">
        <v>33593</v>
      </c>
      <c r="J31" s="150">
        <v>5114.63</v>
      </c>
      <c r="K31" s="150">
        <v>0</v>
      </c>
      <c r="L31" s="150">
        <v>156451.68</v>
      </c>
      <c r="M31" s="150">
        <v>5114.63</v>
      </c>
      <c r="N31" s="150">
        <v>15703.630000000001</v>
      </c>
      <c r="O31" s="150">
        <v>5114.63</v>
      </c>
      <c r="P31" s="150">
        <v>0</v>
      </c>
      <c r="Q31" s="150">
        <v>0</v>
      </c>
      <c r="R31" s="150">
        <v>0</v>
      </c>
      <c r="S31" s="150">
        <v>130518.79000000001</v>
      </c>
      <c r="T31" s="150">
        <f t="shared" si="0"/>
        <v>5711</v>
      </c>
      <c r="U31" s="150">
        <v>0</v>
      </c>
      <c r="V31" s="150">
        <v>1857</v>
      </c>
      <c r="W31" s="150">
        <v>3854</v>
      </c>
      <c r="X31" s="150">
        <v>0</v>
      </c>
      <c r="Y31" s="150">
        <v>0</v>
      </c>
      <c r="Z31" s="150">
        <v>0</v>
      </c>
      <c r="AA31" s="150">
        <v>0</v>
      </c>
      <c r="AB31" s="150">
        <v>23165.68</v>
      </c>
      <c r="AC31" s="150">
        <v>0</v>
      </c>
    </row>
    <row r="32" spans="1:29">
      <c r="A32" s="274"/>
      <c r="B32" s="217" t="s">
        <v>118</v>
      </c>
      <c r="C32" s="150">
        <v>5133968.8600000003</v>
      </c>
      <c r="D32" s="150">
        <v>0</v>
      </c>
      <c r="E32" s="150">
        <v>0</v>
      </c>
      <c r="F32" s="150">
        <v>5133968.8599999994</v>
      </c>
      <c r="G32" s="150">
        <v>0</v>
      </c>
      <c r="H32" s="150">
        <v>0</v>
      </c>
      <c r="I32" s="150">
        <v>0</v>
      </c>
      <c r="J32" s="150">
        <v>0</v>
      </c>
      <c r="K32" s="150">
        <v>0</v>
      </c>
      <c r="L32" s="150">
        <v>0</v>
      </c>
      <c r="M32" s="150">
        <v>0</v>
      </c>
      <c r="N32" s="150">
        <v>0</v>
      </c>
      <c r="O32" s="150">
        <v>0</v>
      </c>
      <c r="P32" s="150">
        <v>0</v>
      </c>
      <c r="Q32" s="150">
        <v>0</v>
      </c>
      <c r="R32" s="150">
        <v>0</v>
      </c>
      <c r="S32" s="150">
        <v>0</v>
      </c>
      <c r="T32" s="150">
        <f t="shared" si="0"/>
        <v>0</v>
      </c>
      <c r="U32" s="150">
        <v>0</v>
      </c>
      <c r="V32" s="150">
        <v>0</v>
      </c>
      <c r="W32" s="150">
        <v>0</v>
      </c>
      <c r="X32" s="150">
        <v>0</v>
      </c>
      <c r="Y32" s="150">
        <v>0</v>
      </c>
      <c r="Z32" s="150">
        <v>0</v>
      </c>
      <c r="AA32" s="150">
        <v>0</v>
      </c>
      <c r="AB32" s="150">
        <v>0</v>
      </c>
      <c r="AC32" s="150">
        <v>0</v>
      </c>
    </row>
    <row r="33" spans="1:29">
      <c r="A33" s="274"/>
      <c r="B33" s="217" t="s">
        <v>119</v>
      </c>
      <c r="C33" s="150">
        <v>82275.72</v>
      </c>
      <c r="D33" s="150">
        <v>0</v>
      </c>
      <c r="E33" s="150">
        <v>0</v>
      </c>
      <c r="F33" s="150">
        <v>50420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400</v>
      </c>
      <c r="M33" s="150">
        <v>0</v>
      </c>
      <c r="N33" s="150">
        <v>0</v>
      </c>
      <c r="O33" s="150">
        <v>0</v>
      </c>
      <c r="P33" s="150">
        <v>0</v>
      </c>
      <c r="Q33" s="150">
        <v>0</v>
      </c>
      <c r="R33" s="150">
        <v>0</v>
      </c>
      <c r="S33" s="150">
        <v>400</v>
      </c>
      <c r="T33" s="150">
        <f t="shared" si="0"/>
        <v>0</v>
      </c>
      <c r="U33" s="150">
        <v>0</v>
      </c>
      <c r="V33" s="150">
        <v>0</v>
      </c>
      <c r="W33" s="150">
        <v>0</v>
      </c>
      <c r="X33" s="150">
        <v>0</v>
      </c>
      <c r="Y33" s="150">
        <v>0</v>
      </c>
      <c r="Z33" s="150">
        <v>0</v>
      </c>
      <c r="AA33" s="150">
        <v>0</v>
      </c>
      <c r="AB33" s="150">
        <v>0</v>
      </c>
      <c r="AC33" s="150">
        <v>31455.72</v>
      </c>
    </row>
    <row r="34" spans="1:29">
      <c r="A34" s="275"/>
      <c r="B34" s="218" t="s">
        <v>99</v>
      </c>
      <c r="C34" s="151">
        <v>68383426.63000001</v>
      </c>
      <c r="D34" s="151">
        <v>0</v>
      </c>
      <c r="E34" s="151">
        <v>12441137.600000001</v>
      </c>
      <c r="F34" s="151">
        <v>30219849.050000001</v>
      </c>
      <c r="G34" s="151">
        <v>3465913.1000000006</v>
      </c>
      <c r="H34" s="151">
        <v>740648.88</v>
      </c>
      <c r="I34" s="151">
        <v>898901.62999999989</v>
      </c>
      <c r="J34" s="151">
        <v>247941.24000000002</v>
      </c>
      <c r="K34" s="151">
        <v>1578421.35</v>
      </c>
      <c r="L34" s="151">
        <v>2991853.6600000006</v>
      </c>
      <c r="M34" s="151">
        <v>353223.94</v>
      </c>
      <c r="N34" s="151">
        <v>423908.87999999995</v>
      </c>
      <c r="O34" s="151">
        <v>381634.88</v>
      </c>
      <c r="P34" s="151">
        <v>424876.42</v>
      </c>
      <c r="Q34" s="151">
        <v>433823.04000000004</v>
      </c>
      <c r="R34" s="151">
        <v>414055.92000000004</v>
      </c>
      <c r="S34" s="151">
        <v>560330.58000000007</v>
      </c>
      <c r="T34" s="150">
        <f t="shared" si="0"/>
        <v>17879438.579999998</v>
      </c>
      <c r="U34" s="151">
        <v>1891492.15</v>
      </c>
      <c r="V34" s="151">
        <v>10940312.049999997</v>
      </c>
      <c r="W34" s="151">
        <v>3310539.7899999996</v>
      </c>
      <c r="X34" s="151">
        <v>615930.31999999995</v>
      </c>
      <c r="Y34" s="151">
        <v>1006790.85</v>
      </c>
      <c r="Z34" s="151">
        <v>114373.42</v>
      </c>
      <c r="AA34" s="151">
        <v>0</v>
      </c>
      <c r="AB34" s="151">
        <v>1062317.78</v>
      </c>
      <c r="AC34" s="151">
        <v>322916.86</v>
      </c>
    </row>
    <row r="35" spans="1:29" ht="18.75" customHeight="1">
      <c r="A35" s="273" t="s">
        <v>120</v>
      </c>
      <c r="B35" s="217" t="s">
        <v>121</v>
      </c>
      <c r="C35" s="150">
        <v>3829831.4799999995</v>
      </c>
      <c r="D35" s="150">
        <v>0</v>
      </c>
      <c r="E35" s="150">
        <v>1002989.37</v>
      </c>
      <c r="F35" s="150">
        <v>2535207.1400000006</v>
      </c>
      <c r="G35" s="150">
        <v>42927.989999999991</v>
      </c>
      <c r="H35" s="150">
        <v>0</v>
      </c>
      <c r="I35" s="150">
        <v>0</v>
      </c>
      <c r="J35" s="150">
        <v>18317.11</v>
      </c>
      <c r="K35" s="150">
        <v>24610.880000000001</v>
      </c>
      <c r="L35" s="150">
        <v>162967.32</v>
      </c>
      <c r="M35" s="150">
        <v>20207.12</v>
      </c>
      <c r="N35" s="150">
        <v>20207.12</v>
      </c>
      <c r="O35" s="150">
        <v>20207.12</v>
      </c>
      <c r="P35" s="150">
        <v>23694.880000000001</v>
      </c>
      <c r="Q35" s="150">
        <v>20353.13</v>
      </c>
      <c r="R35" s="150">
        <v>23658.880000000001</v>
      </c>
      <c r="S35" s="150">
        <v>34639.07</v>
      </c>
      <c r="T35" s="150">
        <f t="shared" si="0"/>
        <v>72988.47</v>
      </c>
      <c r="U35" s="150">
        <v>0</v>
      </c>
      <c r="V35" s="150">
        <v>45068.21</v>
      </c>
      <c r="W35" s="150">
        <v>27920.26</v>
      </c>
      <c r="X35" s="150">
        <v>0</v>
      </c>
      <c r="Y35" s="150">
        <v>0</v>
      </c>
      <c r="Z35" s="150">
        <v>0</v>
      </c>
      <c r="AA35" s="150">
        <v>0</v>
      </c>
      <c r="AB35" s="150">
        <v>12751.19</v>
      </c>
      <c r="AC35" s="150">
        <v>0</v>
      </c>
    </row>
    <row r="36" spans="1:29">
      <c r="A36" s="274"/>
      <c r="B36" s="217" t="s">
        <v>122</v>
      </c>
      <c r="C36" s="150">
        <v>2703382.3499999996</v>
      </c>
      <c r="D36" s="150">
        <v>0</v>
      </c>
      <c r="E36" s="150">
        <v>519311.9800000001</v>
      </c>
      <c r="F36" s="150">
        <v>1690848.8200000003</v>
      </c>
      <c r="G36" s="150">
        <v>89921.12999999999</v>
      </c>
      <c r="H36" s="150">
        <v>32095.879999999997</v>
      </c>
      <c r="I36" s="150">
        <v>6361.23</v>
      </c>
      <c r="J36" s="150">
        <v>8143.8700000000008</v>
      </c>
      <c r="K36" s="150">
        <v>43320.15</v>
      </c>
      <c r="L36" s="150">
        <v>291213.18</v>
      </c>
      <c r="M36" s="150">
        <v>19364.370000000003</v>
      </c>
      <c r="N36" s="150">
        <v>29242.739999999998</v>
      </c>
      <c r="O36" s="150">
        <v>20295.75</v>
      </c>
      <c r="P36" s="150">
        <v>17372.25</v>
      </c>
      <c r="Q36" s="150">
        <v>19313.73</v>
      </c>
      <c r="R36" s="150">
        <v>19628.95</v>
      </c>
      <c r="S36" s="150">
        <v>165995.38999999998</v>
      </c>
      <c r="T36" s="150">
        <f t="shared" si="0"/>
        <v>55787.900000000009</v>
      </c>
      <c r="U36" s="150">
        <v>14903.29</v>
      </c>
      <c r="V36" s="150">
        <v>21324.750000000004</v>
      </c>
      <c r="W36" s="150">
        <v>12627.11</v>
      </c>
      <c r="X36" s="150">
        <v>3972.44</v>
      </c>
      <c r="Y36" s="150">
        <v>2540.31</v>
      </c>
      <c r="Z36" s="150">
        <v>420</v>
      </c>
      <c r="AA36" s="150">
        <v>0</v>
      </c>
      <c r="AB36" s="150">
        <v>17484.75</v>
      </c>
      <c r="AC36" s="150">
        <v>38814.589999999997</v>
      </c>
    </row>
    <row r="37" spans="1:29">
      <c r="A37" s="274"/>
      <c r="B37" s="217" t="s">
        <v>123</v>
      </c>
      <c r="C37" s="150">
        <v>2423422.9700000002</v>
      </c>
      <c r="D37" s="150">
        <v>0</v>
      </c>
      <c r="E37" s="150">
        <v>2177865.17</v>
      </c>
      <c r="F37" s="150">
        <v>0</v>
      </c>
      <c r="G37" s="150">
        <v>0</v>
      </c>
      <c r="H37" s="150">
        <v>0</v>
      </c>
      <c r="I37" s="150">
        <v>0</v>
      </c>
      <c r="J37" s="150">
        <v>0</v>
      </c>
      <c r="K37" s="150">
        <v>0</v>
      </c>
      <c r="L37" s="150">
        <v>0</v>
      </c>
      <c r="M37" s="150">
        <v>0</v>
      </c>
      <c r="N37" s="150">
        <v>0</v>
      </c>
      <c r="O37" s="150">
        <v>0</v>
      </c>
      <c r="P37" s="150">
        <v>0</v>
      </c>
      <c r="Q37" s="150">
        <v>0</v>
      </c>
      <c r="R37" s="150">
        <v>0</v>
      </c>
      <c r="S37" s="150">
        <v>0</v>
      </c>
      <c r="T37" s="150">
        <f t="shared" si="0"/>
        <v>245557.8</v>
      </c>
      <c r="U37" s="150">
        <v>0</v>
      </c>
      <c r="V37" s="150">
        <v>245557.8</v>
      </c>
      <c r="W37" s="150">
        <v>0</v>
      </c>
      <c r="X37" s="150">
        <v>0</v>
      </c>
      <c r="Y37" s="150">
        <v>0</v>
      </c>
      <c r="Z37" s="150">
        <v>0</v>
      </c>
      <c r="AA37" s="150">
        <v>0</v>
      </c>
      <c r="AB37" s="150">
        <v>0</v>
      </c>
      <c r="AC37" s="150">
        <v>0</v>
      </c>
    </row>
    <row r="38" spans="1:29">
      <c r="A38" s="274"/>
      <c r="B38" s="217" t="s">
        <v>124</v>
      </c>
      <c r="C38" s="150">
        <v>2272207.89</v>
      </c>
      <c r="D38" s="150">
        <v>0</v>
      </c>
      <c r="E38" s="150">
        <v>290853.9499999999</v>
      </c>
      <c r="F38" s="150">
        <v>1854399.3399999992</v>
      </c>
      <c r="G38" s="150">
        <v>23301.209999999995</v>
      </c>
      <c r="H38" s="150">
        <v>0</v>
      </c>
      <c r="I38" s="150">
        <v>0</v>
      </c>
      <c r="J38" s="150">
        <v>9162.5099999999984</v>
      </c>
      <c r="K38" s="150">
        <v>14138.699999999999</v>
      </c>
      <c r="L38" s="150">
        <v>86174.96</v>
      </c>
      <c r="M38" s="150">
        <v>10939.729999999998</v>
      </c>
      <c r="N38" s="150">
        <v>10939.72</v>
      </c>
      <c r="O38" s="150">
        <v>10939.72</v>
      </c>
      <c r="P38" s="150">
        <v>14138.699999999999</v>
      </c>
      <c r="Q38" s="150">
        <v>10939.73</v>
      </c>
      <c r="R38" s="150">
        <v>14138.699999999999</v>
      </c>
      <c r="S38" s="150">
        <v>14138.659999999998</v>
      </c>
      <c r="T38" s="150">
        <f t="shared" si="0"/>
        <v>0</v>
      </c>
      <c r="U38" s="150">
        <v>0</v>
      </c>
      <c r="V38" s="150">
        <v>0</v>
      </c>
      <c r="W38" s="150">
        <v>0</v>
      </c>
      <c r="X38" s="150">
        <v>0</v>
      </c>
      <c r="Y38" s="150">
        <v>0</v>
      </c>
      <c r="Z38" s="150">
        <v>0</v>
      </c>
      <c r="AA38" s="150">
        <v>0</v>
      </c>
      <c r="AB38" s="150">
        <v>0</v>
      </c>
      <c r="AC38" s="150">
        <v>17478.43</v>
      </c>
    </row>
    <row r="39" spans="1:29">
      <c r="A39" s="274"/>
      <c r="B39" s="217" t="s">
        <v>125</v>
      </c>
      <c r="C39" s="150">
        <v>245240.56999999998</v>
      </c>
      <c r="D39" s="150">
        <v>0</v>
      </c>
      <c r="E39" s="150">
        <v>245240.56999999998</v>
      </c>
      <c r="F39" s="150">
        <v>0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0</v>
      </c>
      <c r="M39" s="150">
        <v>0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  <c r="T39" s="150">
        <f t="shared" si="0"/>
        <v>0</v>
      </c>
      <c r="U39" s="150">
        <v>0</v>
      </c>
      <c r="V39" s="150">
        <v>0</v>
      </c>
      <c r="W39" s="150">
        <v>0</v>
      </c>
      <c r="X39" s="150">
        <v>0</v>
      </c>
      <c r="Y39" s="150">
        <v>0</v>
      </c>
      <c r="Z39" s="150">
        <v>0</v>
      </c>
      <c r="AA39" s="150">
        <v>0</v>
      </c>
      <c r="AB39" s="150">
        <v>0</v>
      </c>
      <c r="AC39" s="150">
        <v>0</v>
      </c>
    </row>
    <row r="40" spans="1:29">
      <c r="A40" s="274"/>
      <c r="B40" s="217" t="s">
        <v>126</v>
      </c>
      <c r="C40" s="150">
        <v>661280.85000000009</v>
      </c>
      <c r="D40" s="150">
        <v>0</v>
      </c>
      <c r="E40" s="150">
        <v>356412.25</v>
      </c>
      <c r="F40" s="150">
        <v>283979.40000000002</v>
      </c>
      <c r="G40" s="150">
        <v>400</v>
      </c>
      <c r="H40" s="150">
        <v>0</v>
      </c>
      <c r="I40" s="150">
        <v>0</v>
      </c>
      <c r="J40" s="150">
        <v>0</v>
      </c>
      <c r="K40" s="150">
        <v>400</v>
      </c>
      <c r="L40" s="150">
        <v>12412.939999999999</v>
      </c>
      <c r="M40" s="150">
        <v>0</v>
      </c>
      <c r="N40" s="150">
        <v>0</v>
      </c>
      <c r="O40" s="150">
        <v>0</v>
      </c>
      <c r="P40" s="150">
        <v>6020.49</v>
      </c>
      <c r="Q40" s="150">
        <v>0</v>
      </c>
      <c r="R40" s="150">
        <v>0</v>
      </c>
      <c r="S40" s="150">
        <v>6392.45</v>
      </c>
      <c r="T40" s="150">
        <f t="shared" si="0"/>
        <v>1646.26</v>
      </c>
      <c r="U40" s="150">
        <v>0</v>
      </c>
      <c r="V40" s="150">
        <v>741.6</v>
      </c>
      <c r="W40" s="150">
        <v>904.66</v>
      </c>
      <c r="X40" s="150">
        <v>0</v>
      </c>
      <c r="Y40" s="150">
        <v>0</v>
      </c>
      <c r="Z40" s="150">
        <v>0</v>
      </c>
      <c r="AA40" s="150">
        <v>0</v>
      </c>
      <c r="AB40" s="150">
        <v>6100</v>
      </c>
      <c r="AC40" s="150">
        <v>330</v>
      </c>
    </row>
    <row r="41" spans="1:29">
      <c r="A41" s="274"/>
      <c r="B41" s="217" t="s">
        <v>127</v>
      </c>
      <c r="C41" s="150">
        <v>1163726.77</v>
      </c>
      <c r="D41" s="150">
        <v>0</v>
      </c>
      <c r="E41" s="150">
        <v>608096.77</v>
      </c>
      <c r="F41" s="150">
        <v>547630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8000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8000</v>
      </c>
      <c r="T41" s="150">
        <f t="shared" si="0"/>
        <v>0</v>
      </c>
      <c r="U41" s="150">
        <v>0</v>
      </c>
      <c r="V41" s="150">
        <v>0</v>
      </c>
      <c r="W41" s="150">
        <v>0</v>
      </c>
      <c r="X41" s="150">
        <v>0</v>
      </c>
      <c r="Y41" s="150">
        <v>0</v>
      </c>
      <c r="Z41" s="150">
        <v>0</v>
      </c>
      <c r="AA41" s="150">
        <v>0</v>
      </c>
      <c r="AB41" s="150">
        <v>0</v>
      </c>
      <c r="AC41" s="150">
        <v>0</v>
      </c>
    </row>
    <row r="42" spans="1:29">
      <c r="A42" s="274"/>
      <c r="B42" s="217" t="s">
        <v>128</v>
      </c>
      <c r="C42" s="150">
        <v>896027.24</v>
      </c>
      <c r="D42" s="150">
        <v>0</v>
      </c>
      <c r="E42" s="150">
        <v>431999.05000000005</v>
      </c>
      <c r="F42" s="150">
        <v>95004.57</v>
      </c>
      <c r="G42" s="150">
        <v>0</v>
      </c>
      <c r="H42" s="150">
        <v>0</v>
      </c>
      <c r="I42" s="150">
        <v>0</v>
      </c>
      <c r="J42" s="150">
        <v>0</v>
      </c>
      <c r="K42" s="150">
        <v>0</v>
      </c>
      <c r="L42" s="150">
        <v>113207.54</v>
      </c>
      <c r="M42" s="150">
        <v>0</v>
      </c>
      <c r="N42" s="150">
        <v>113207.54</v>
      </c>
      <c r="O42" s="150">
        <v>0</v>
      </c>
      <c r="P42" s="150">
        <v>0</v>
      </c>
      <c r="Q42" s="150">
        <v>0</v>
      </c>
      <c r="R42" s="150">
        <v>0</v>
      </c>
      <c r="S42" s="150">
        <v>0</v>
      </c>
      <c r="T42" s="150">
        <f t="shared" si="0"/>
        <v>255816.08</v>
      </c>
      <c r="U42" s="150">
        <v>0</v>
      </c>
      <c r="V42" s="150">
        <v>226964.63999999998</v>
      </c>
      <c r="W42" s="150">
        <v>28851.440000000002</v>
      </c>
      <c r="X42" s="150">
        <v>0</v>
      </c>
      <c r="Y42" s="150">
        <v>0</v>
      </c>
      <c r="Z42" s="150">
        <v>0</v>
      </c>
      <c r="AA42" s="150">
        <v>0</v>
      </c>
      <c r="AB42" s="150">
        <v>0</v>
      </c>
      <c r="AC42" s="150">
        <v>0</v>
      </c>
    </row>
    <row r="43" spans="1:29">
      <c r="A43" s="274"/>
      <c r="B43" s="217" t="s">
        <v>129</v>
      </c>
      <c r="C43" s="150">
        <v>0</v>
      </c>
      <c r="D43" s="150">
        <v>0</v>
      </c>
      <c r="E43" s="150">
        <v>0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  <c r="T43" s="150">
        <f t="shared" si="0"/>
        <v>0</v>
      </c>
      <c r="U43" s="150">
        <v>0</v>
      </c>
      <c r="V43" s="150">
        <v>0</v>
      </c>
      <c r="W43" s="150">
        <v>0</v>
      </c>
      <c r="X43" s="150">
        <v>0</v>
      </c>
      <c r="Y43" s="150">
        <v>0</v>
      </c>
      <c r="Z43" s="150">
        <v>0</v>
      </c>
      <c r="AA43" s="150">
        <v>0</v>
      </c>
      <c r="AB43" s="150">
        <v>0</v>
      </c>
      <c r="AC43" s="150">
        <v>0</v>
      </c>
    </row>
    <row r="44" spans="1:29">
      <c r="A44" s="274"/>
      <c r="B44" s="217" t="s">
        <v>130</v>
      </c>
      <c r="C44" s="150">
        <v>13270935.84</v>
      </c>
      <c r="D44" s="150">
        <v>0</v>
      </c>
      <c r="E44" s="150">
        <v>8166179.6399999997</v>
      </c>
      <c r="F44" s="150">
        <v>4821748.1199999982</v>
      </c>
      <c r="G44" s="150">
        <v>154827.77999999997</v>
      </c>
      <c r="H44" s="150">
        <v>0</v>
      </c>
      <c r="I44" s="150">
        <v>13181.72</v>
      </c>
      <c r="J44" s="150">
        <v>13181.72</v>
      </c>
      <c r="K44" s="150">
        <v>128464.34</v>
      </c>
      <c r="L44" s="150">
        <v>128180.30000000002</v>
      </c>
      <c r="M44" s="150">
        <v>33959.019999999997</v>
      </c>
      <c r="N44" s="150">
        <v>15945.9</v>
      </c>
      <c r="O44" s="150">
        <v>6146.91</v>
      </c>
      <c r="P44" s="150">
        <v>26363.439999999999</v>
      </c>
      <c r="Q44" s="150">
        <v>0</v>
      </c>
      <c r="R44" s="150">
        <v>35512.769999999997</v>
      </c>
      <c r="S44" s="150">
        <v>10252.26</v>
      </c>
      <c r="T44" s="150">
        <f t="shared" si="0"/>
        <v>0</v>
      </c>
      <c r="U44" s="150">
        <v>0</v>
      </c>
      <c r="V44" s="150">
        <v>0</v>
      </c>
      <c r="W44" s="150">
        <v>0</v>
      </c>
      <c r="X44" s="150">
        <v>0</v>
      </c>
      <c r="Y44" s="150">
        <v>0</v>
      </c>
      <c r="Z44" s="150">
        <v>0</v>
      </c>
      <c r="AA44" s="150">
        <v>0</v>
      </c>
      <c r="AB44" s="150">
        <v>0</v>
      </c>
      <c r="AC44" s="150">
        <v>0</v>
      </c>
    </row>
    <row r="45" spans="1:29">
      <c r="A45" s="274"/>
      <c r="B45" s="219" t="s">
        <v>131</v>
      </c>
      <c r="C45" s="152">
        <v>3461085.3899999992</v>
      </c>
      <c r="D45" s="152">
        <v>0</v>
      </c>
      <c r="E45" s="150">
        <v>1064714.9100000001</v>
      </c>
      <c r="F45" s="150">
        <v>2071973.88</v>
      </c>
      <c r="G45" s="152">
        <v>251774.62999999998</v>
      </c>
      <c r="H45" s="152">
        <v>0</v>
      </c>
      <c r="I45" s="152">
        <v>29750.7</v>
      </c>
      <c r="J45" s="152">
        <v>30882.77</v>
      </c>
      <c r="K45" s="152">
        <v>191141.16</v>
      </c>
      <c r="L45" s="152">
        <v>60779.320000000014</v>
      </c>
      <c r="M45" s="152">
        <v>5397.64</v>
      </c>
      <c r="N45" s="152">
        <v>5397.64</v>
      </c>
      <c r="O45" s="152">
        <v>7533.96</v>
      </c>
      <c r="P45" s="152">
        <v>13315.560000000001</v>
      </c>
      <c r="Q45" s="152">
        <v>14258.960000000001</v>
      </c>
      <c r="R45" s="152">
        <v>13315.560000000001</v>
      </c>
      <c r="S45" s="152">
        <v>1560</v>
      </c>
      <c r="T45" s="150">
        <f t="shared" si="0"/>
        <v>4106.79</v>
      </c>
      <c r="U45" s="152">
        <v>2509.4299999999998</v>
      </c>
      <c r="V45" s="152">
        <v>1220</v>
      </c>
      <c r="W45" s="152">
        <v>0</v>
      </c>
      <c r="X45" s="152">
        <v>377.36</v>
      </c>
      <c r="Y45" s="152">
        <v>0</v>
      </c>
      <c r="Z45" s="152">
        <v>0</v>
      </c>
      <c r="AA45" s="152">
        <v>0</v>
      </c>
      <c r="AB45" s="152">
        <v>5471.7</v>
      </c>
      <c r="AC45" s="152">
        <v>2264.16</v>
      </c>
    </row>
    <row r="46" spans="1:29" ht="13.5" customHeight="1">
      <c r="A46" s="274"/>
      <c r="B46" s="217" t="s">
        <v>132</v>
      </c>
      <c r="C46" s="150">
        <v>35634203.830000006</v>
      </c>
      <c r="D46" s="150">
        <v>0</v>
      </c>
      <c r="E46" s="150">
        <v>2267130.9100000006</v>
      </c>
      <c r="F46" s="150">
        <v>24199386.38000001</v>
      </c>
      <c r="G46" s="150">
        <v>468844.73999999993</v>
      </c>
      <c r="H46" s="150">
        <v>1895</v>
      </c>
      <c r="I46" s="150">
        <v>0</v>
      </c>
      <c r="J46" s="150">
        <v>183251.85</v>
      </c>
      <c r="K46" s="150">
        <v>283697.89</v>
      </c>
      <c r="L46" s="150">
        <v>7863515.4500000011</v>
      </c>
      <c r="M46" s="150">
        <v>234341.58</v>
      </c>
      <c r="N46" s="150">
        <v>235059.45</v>
      </c>
      <c r="O46" s="150">
        <v>234088.58000000002</v>
      </c>
      <c r="P46" s="150">
        <v>295348.37</v>
      </c>
      <c r="Q46" s="150">
        <v>240561.03999999998</v>
      </c>
      <c r="R46" s="150">
        <v>283697.89</v>
      </c>
      <c r="S46" s="150">
        <v>6340418.54</v>
      </c>
      <c r="T46" s="150">
        <f t="shared" si="0"/>
        <v>578251.22</v>
      </c>
      <c r="U46" s="150">
        <v>0</v>
      </c>
      <c r="V46" s="150">
        <v>357808.51999999996</v>
      </c>
      <c r="W46" s="150">
        <v>220358.69999999998</v>
      </c>
      <c r="X46" s="150">
        <v>0</v>
      </c>
      <c r="Y46" s="150">
        <v>84</v>
      </c>
      <c r="Z46" s="150">
        <v>0</v>
      </c>
      <c r="AA46" s="150">
        <v>0</v>
      </c>
      <c r="AB46" s="150">
        <v>113027.13</v>
      </c>
      <c r="AC46" s="150">
        <v>144048</v>
      </c>
    </row>
    <row r="47" spans="1:29">
      <c r="A47" s="274"/>
      <c r="B47" s="217" t="s">
        <v>133</v>
      </c>
      <c r="C47" s="150">
        <v>16217506.449999999</v>
      </c>
      <c r="D47" s="150">
        <v>0</v>
      </c>
      <c r="E47" s="150">
        <v>12257345.210000001</v>
      </c>
      <c r="F47" s="150">
        <v>3368321.3299999991</v>
      </c>
      <c r="G47" s="150">
        <v>6711.29</v>
      </c>
      <c r="H47" s="150">
        <v>0</v>
      </c>
      <c r="I47" s="150">
        <v>0</v>
      </c>
      <c r="J47" s="150">
        <v>1852.93</v>
      </c>
      <c r="K47" s="150">
        <v>4858.3599999999997</v>
      </c>
      <c r="L47" s="150">
        <v>585128.62</v>
      </c>
      <c r="M47" s="150">
        <v>24212.23</v>
      </c>
      <c r="N47" s="150">
        <v>24212.240000000002</v>
      </c>
      <c r="O47" s="150">
        <v>24176.960000000003</v>
      </c>
      <c r="P47" s="150">
        <v>27339.549999999996</v>
      </c>
      <c r="Q47" s="150">
        <v>3769.77</v>
      </c>
      <c r="R47" s="150">
        <v>12174.34</v>
      </c>
      <c r="S47" s="150">
        <v>469243.53</v>
      </c>
      <c r="T47" s="150">
        <f t="shared" si="0"/>
        <v>0</v>
      </c>
      <c r="U47" s="150">
        <v>0</v>
      </c>
      <c r="V47" s="150">
        <v>0</v>
      </c>
      <c r="W47" s="150">
        <v>0</v>
      </c>
      <c r="X47" s="150">
        <v>0</v>
      </c>
      <c r="Y47" s="150">
        <v>0</v>
      </c>
      <c r="Z47" s="150">
        <v>0</v>
      </c>
      <c r="AA47" s="150">
        <v>0</v>
      </c>
      <c r="AB47" s="150">
        <v>0</v>
      </c>
      <c r="AC47" s="150">
        <v>0</v>
      </c>
    </row>
    <row r="48" spans="1:29">
      <c r="A48" s="274"/>
      <c r="B48" s="217" t="s">
        <v>134</v>
      </c>
      <c r="C48" s="150">
        <v>7714999.1300000008</v>
      </c>
      <c r="D48" s="150">
        <v>0</v>
      </c>
      <c r="E48" s="150">
        <v>7026675.0600000005</v>
      </c>
      <c r="F48" s="150">
        <v>581146.62000000011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104032.75000000001</v>
      </c>
      <c r="M48" s="150">
        <v>82600.210000000006</v>
      </c>
      <c r="N48" s="150">
        <v>10716.27</v>
      </c>
      <c r="O48" s="150">
        <v>10716.27</v>
      </c>
      <c r="P48" s="150">
        <v>0</v>
      </c>
      <c r="Q48" s="150">
        <v>0</v>
      </c>
      <c r="R48" s="150">
        <v>0</v>
      </c>
      <c r="S48" s="150">
        <v>0</v>
      </c>
      <c r="T48" s="150">
        <f t="shared" si="0"/>
        <v>0</v>
      </c>
      <c r="U48" s="150">
        <v>0</v>
      </c>
      <c r="V48" s="150">
        <v>0</v>
      </c>
      <c r="W48" s="150">
        <v>0</v>
      </c>
      <c r="X48" s="150">
        <v>0</v>
      </c>
      <c r="Y48" s="150">
        <v>0</v>
      </c>
      <c r="Z48" s="150">
        <v>0</v>
      </c>
      <c r="AA48" s="150">
        <v>0</v>
      </c>
      <c r="AB48" s="150">
        <v>0</v>
      </c>
      <c r="AC48" s="150">
        <v>3144.7000000000003</v>
      </c>
    </row>
    <row r="49" spans="1:29">
      <c r="A49" s="274"/>
      <c r="B49" s="217" t="s">
        <v>135</v>
      </c>
      <c r="C49" s="150">
        <v>7290126.8499999996</v>
      </c>
      <c r="D49" s="150">
        <v>0</v>
      </c>
      <c r="E49" s="150">
        <v>1839711.0899999996</v>
      </c>
      <c r="F49" s="150">
        <v>5078582.41</v>
      </c>
      <c r="G49" s="150">
        <v>119159.64999999998</v>
      </c>
      <c r="H49" s="150">
        <v>9636.090000000002</v>
      </c>
      <c r="I49" s="150">
        <v>1670.26</v>
      </c>
      <c r="J49" s="150">
        <v>32166.13</v>
      </c>
      <c r="K49" s="150">
        <v>75687.17</v>
      </c>
      <c r="L49" s="150">
        <v>235423.5</v>
      </c>
      <c r="M49" s="150">
        <v>28001.789999999997</v>
      </c>
      <c r="N49" s="150">
        <v>27227.110000000004</v>
      </c>
      <c r="O49" s="150">
        <v>28031.43</v>
      </c>
      <c r="P49" s="150">
        <v>61939.990000000013</v>
      </c>
      <c r="Q49" s="150">
        <v>21866.920000000002</v>
      </c>
      <c r="R49" s="150">
        <v>36831.560000000005</v>
      </c>
      <c r="S49" s="150">
        <v>31524.700000000004</v>
      </c>
      <c r="T49" s="150">
        <f t="shared" si="0"/>
        <v>17250.200000000004</v>
      </c>
      <c r="U49" s="150">
        <v>0</v>
      </c>
      <c r="V49" s="150">
        <v>1723.3700000000001</v>
      </c>
      <c r="W49" s="150">
        <v>15526.830000000004</v>
      </c>
      <c r="X49" s="150">
        <v>0</v>
      </c>
      <c r="Y49" s="150">
        <v>0</v>
      </c>
      <c r="Z49" s="150">
        <v>0</v>
      </c>
      <c r="AA49" s="150">
        <v>0</v>
      </c>
      <c r="AB49" s="150">
        <v>0</v>
      </c>
      <c r="AC49" s="150">
        <v>0</v>
      </c>
    </row>
    <row r="50" spans="1:29">
      <c r="A50" s="274"/>
      <c r="B50" s="217" t="s">
        <v>136</v>
      </c>
      <c r="C50" s="150">
        <v>840267.51</v>
      </c>
      <c r="D50" s="150">
        <v>0</v>
      </c>
      <c r="E50" s="150">
        <v>132641.52000000002</v>
      </c>
      <c r="F50" s="150">
        <v>535073.63</v>
      </c>
      <c r="G50" s="150">
        <v>17212.559999999998</v>
      </c>
      <c r="H50" s="150">
        <v>13112.56</v>
      </c>
      <c r="I50" s="150">
        <v>1100</v>
      </c>
      <c r="J50" s="150">
        <v>3000</v>
      </c>
      <c r="K50" s="150">
        <v>0</v>
      </c>
      <c r="L50" s="150">
        <v>155339.79999999999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155339.79999999999</v>
      </c>
      <c r="S50" s="150">
        <v>0</v>
      </c>
      <c r="T50" s="150">
        <f t="shared" si="0"/>
        <v>0</v>
      </c>
      <c r="U50" s="150">
        <v>0</v>
      </c>
      <c r="V50" s="150">
        <v>0</v>
      </c>
      <c r="W50" s="150">
        <v>0</v>
      </c>
      <c r="X50" s="150">
        <v>0</v>
      </c>
      <c r="Y50" s="150">
        <v>0</v>
      </c>
      <c r="Z50" s="150">
        <v>0</v>
      </c>
      <c r="AA50" s="150">
        <v>0</v>
      </c>
      <c r="AB50" s="150">
        <v>0</v>
      </c>
      <c r="AC50" s="150">
        <v>0</v>
      </c>
    </row>
    <row r="51" spans="1:29">
      <c r="A51" s="275"/>
      <c r="B51" s="220" t="s">
        <v>99</v>
      </c>
      <c r="C51" s="153">
        <v>98624245.120000005</v>
      </c>
      <c r="D51" s="153">
        <v>0</v>
      </c>
      <c r="E51" s="153">
        <v>38387167.450000003</v>
      </c>
      <c r="F51" s="153">
        <v>47663301.640000008</v>
      </c>
      <c r="G51" s="153">
        <v>1175080.98</v>
      </c>
      <c r="H51" s="153">
        <v>56739.53</v>
      </c>
      <c r="I51" s="153">
        <v>52063.909999999996</v>
      </c>
      <c r="J51" s="153">
        <v>299958.89</v>
      </c>
      <c r="K51" s="153">
        <v>766318.65</v>
      </c>
      <c r="L51" s="153">
        <v>9806375.6800000016</v>
      </c>
      <c r="M51" s="153">
        <v>459023.68999999994</v>
      </c>
      <c r="N51" s="153">
        <v>492155.73</v>
      </c>
      <c r="O51" s="153">
        <v>362136.70000000007</v>
      </c>
      <c r="P51" s="153">
        <v>485533.23</v>
      </c>
      <c r="Q51" s="153">
        <v>331063.27999999997</v>
      </c>
      <c r="R51" s="153">
        <v>594298.44999999995</v>
      </c>
      <c r="S51" s="153">
        <v>7082164.6000000006</v>
      </c>
      <c r="T51" s="150">
        <f t="shared" si="0"/>
        <v>1231404.72</v>
      </c>
      <c r="U51" s="153">
        <v>17412.72</v>
      </c>
      <c r="V51" s="153">
        <v>900408.89</v>
      </c>
      <c r="W51" s="153">
        <v>306189</v>
      </c>
      <c r="X51" s="153">
        <v>4349.8</v>
      </c>
      <c r="Y51" s="153">
        <v>2624.31</v>
      </c>
      <c r="Z51" s="153">
        <v>420</v>
      </c>
      <c r="AA51" s="153">
        <v>0</v>
      </c>
      <c r="AB51" s="153">
        <v>154834.77000000002</v>
      </c>
      <c r="AC51" s="153">
        <v>206079.88</v>
      </c>
    </row>
    <row r="52" spans="1:29" ht="14.25" thickBot="1">
      <c r="A52" s="14"/>
      <c r="B52" s="221" t="s">
        <v>3</v>
      </c>
      <c r="C52" s="154">
        <f>C51+C34+C20+C14</f>
        <v>643767443.80999994</v>
      </c>
      <c r="D52" s="154">
        <f t="shared" ref="D52:AC52" si="1">D51+D34+D20+D14</f>
        <v>45861.1</v>
      </c>
      <c r="E52" s="154">
        <f t="shared" si="1"/>
        <v>132577341.31</v>
      </c>
      <c r="F52" s="154">
        <f t="shared" si="1"/>
        <v>315544030.42999995</v>
      </c>
      <c r="G52" s="154">
        <f t="shared" si="1"/>
        <v>16802355.529999997</v>
      </c>
      <c r="H52" s="154">
        <f t="shared" si="1"/>
        <v>4974391.209999999</v>
      </c>
      <c r="I52" s="154">
        <f t="shared" si="1"/>
        <v>3091456.12</v>
      </c>
      <c r="J52" s="154">
        <f t="shared" si="1"/>
        <v>2674576.71</v>
      </c>
      <c r="K52" s="154">
        <f t="shared" si="1"/>
        <v>6061931.4900000002</v>
      </c>
      <c r="L52" s="154">
        <f t="shared" si="1"/>
        <v>32019224.300000004</v>
      </c>
      <c r="M52" s="154">
        <f t="shared" si="1"/>
        <v>2837825.94</v>
      </c>
      <c r="N52" s="154">
        <f t="shared" si="1"/>
        <v>3662040.3200000003</v>
      </c>
      <c r="O52" s="154">
        <f t="shared" si="1"/>
        <v>1627249.6600000001</v>
      </c>
      <c r="P52" s="154">
        <f t="shared" si="1"/>
        <v>6919853.129999999</v>
      </c>
      <c r="Q52" s="154">
        <f t="shared" si="1"/>
        <v>3370925.67</v>
      </c>
      <c r="R52" s="154">
        <f t="shared" si="1"/>
        <v>3474902.4299999997</v>
      </c>
      <c r="S52" s="154">
        <f t="shared" si="1"/>
        <v>10126427.15</v>
      </c>
      <c r="T52" s="154">
        <f t="shared" si="1"/>
        <v>134464222.88</v>
      </c>
      <c r="U52" s="154">
        <f t="shared" si="1"/>
        <v>9539968.2600000016</v>
      </c>
      <c r="V52" s="154">
        <f t="shared" si="1"/>
        <v>95499993.700000003</v>
      </c>
      <c r="W52" s="154">
        <f t="shared" si="1"/>
        <v>24540499.619999997</v>
      </c>
      <c r="X52" s="154">
        <f t="shared" si="1"/>
        <v>2817734.5</v>
      </c>
      <c r="Y52" s="154">
        <f t="shared" si="1"/>
        <v>1655135.83</v>
      </c>
      <c r="Z52" s="154">
        <f t="shared" si="1"/>
        <v>410890.97</v>
      </c>
      <c r="AA52" s="154">
        <f t="shared" si="1"/>
        <v>0</v>
      </c>
      <c r="AB52" s="154">
        <f t="shared" si="1"/>
        <v>5442014.6799999988</v>
      </c>
      <c r="AC52" s="154">
        <f t="shared" si="1"/>
        <v>6872393.5800000001</v>
      </c>
    </row>
    <row r="53" spans="1:29">
      <c r="A53" s="17"/>
      <c r="B53" s="18" t="s">
        <v>58</v>
      </c>
      <c r="C53" s="155">
        <v>-4.19095158576965E-8</v>
      </c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19"/>
      <c r="U53" s="19"/>
      <c r="V53" s="24"/>
      <c r="W53" s="24"/>
      <c r="X53" s="24"/>
      <c r="Y53" s="24"/>
      <c r="Z53" s="24"/>
      <c r="AA53" s="24"/>
      <c r="AB53" s="24"/>
      <c r="AC53" s="19"/>
    </row>
    <row r="54" spans="1:29" ht="14.25" thickBot="1">
      <c r="B54" s="156" t="s">
        <v>137</v>
      </c>
      <c r="E54" s="143">
        <v>0</v>
      </c>
    </row>
    <row r="55" spans="1:29">
      <c r="A55" s="17" t="s">
        <v>86</v>
      </c>
      <c r="B55" s="18" t="s">
        <v>87</v>
      </c>
      <c r="C55" s="19" t="s">
        <v>3</v>
      </c>
      <c r="D55" s="19" t="s">
        <v>4</v>
      </c>
      <c r="E55" s="19" t="s">
        <v>5</v>
      </c>
      <c r="F55" s="19" t="s">
        <v>6</v>
      </c>
      <c r="G55" s="19" t="s">
        <v>7</v>
      </c>
      <c r="H55" s="24" t="s">
        <v>8</v>
      </c>
      <c r="I55" s="24" t="s">
        <v>9</v>
      </c>
      <c r="J55" s="24" t="s">
        <v>10</v>
      </c>
      <c r="K55" s="24" t="s">
        <v>11</v>
      </c>
      <c r="L55" s="19" t="s">
        <v>12</v>
      </c>
      <c r="M55" s="24" t="s">
        <v>13</v>
      </c>
      <c r="N55" s="24" t="s">
        <v>14</v>
      </c>
      <c r="O55" s="24" t="s">
        <v>15</v>
      </c>
      <c r="P55" s="24" t="s">
        <v>16</v>
      </c>
      <c r="Q55" s="24" t="s">
        <v>17</v>
      </c>
      <c r="R55" s="24" t="s">
        <v>413</v>
      </c>
      <c r="S55" s="24" t="s">
        <v>410</v>
      </c>
      <c r="T55" s="19" t="s">
        <v>20</v>
      </c>
      <c r="U55" s="24" t="s">
        <v>21</v>
      </c>
      <c r="V55" s="24" t="s">
        <v>22</v>
      </c>
      <c r="W55" s="24" t="s">
        <v>23</v>
      </c>
      <c r="X55" s="24" t="s">
        <v>24</v>
      </c>
      <c r="Y55" s="24" t="s">
        <v>25</v>
      </c>
      <c r="Z55" s="24" t="s">
        <v>26</v>
      </c>
      <c r="AA55" s="24" t="s">
        <v>504</v>
      </c>
      <c r="AB55" s="19" t="s">
        <v>487</v>
      </c>
      <c r="AC55" s="19" t="s">
        <v>486</v>
      </c>
    </row>
    <row r="56" spans="1:29" ht="13.5" customHeight="1">
      <c r="A56" s="279" t="s">
        <v>88</v>
      </c>
      <c r="B56" s="47" t="s">
        <v>89</v>
      </c>
      <c r="C56" s="9">
        <f>SUM(D56:G56)+L56+T56+AC56+AB56</f>
        <v>0</v>
      </c>
      <c r="D56" s="157">
        <f>SUMIFS(考核调整事项表!$C:$C,考核调整事项表!$G:$G,累计考核费用!$B56,考核调整事项表!$D:$D,累计考核费用!D$55)+SUMIFS(考核调整事项表!$E:$E,考核调整事项表!$G:$G,累计考核费用!$B56,考核调整事项表!$F:$F,累计考核费用!D$55)</f>
        <v>0</v>
      </c>
      <c r="E56" s="157">
        <f>SUMIFS(考核调整事项表!$C:$C,考核调整事项表!$G:$G,累计考核费用!$B56,考核调整事项表!$D:$D,累计考核费用!E$55)+SUMIFS(考核调整事项表!$E:$E,考核调整事项表!$G:$G,累计考核费用!$B56,考核调整事项表!$F:$F,累计考核费用!E$55)</f>
        <v>3424599.8000000003</v>
      </c>
      <c r="F56" s="157">
        <f>SUMIFS(考核调整事项表!$C:$C,考核调整事项表!$G:$G,累计考核费用!$B56,考核调整事项表!$D:$D,累计考核费用!F$55)+SUMIFS(考核调整事项表!$E:$E,考核调整事项表!$G:$G,累计考核费用!$B56,考核调整事项表!$F:$F,累计考核费用!F$55)</f>
        <v>-3424599.8000000003</v>
      </c>
      <c r="G56" s="157">
        <f>SUM(H56:K56)</f>
        <v>0</v>
      </c>
      <c r="H56" s="157">
        <f>SUMIFS(考核调整事项表!$C:$C,考核调整事项表!$G:$G,累计考核费用!$B56,考核调整事项表!$D:$D,累计考核费用!H$55)+SUMIFS(考核调整事项表!$E:$E,考核调整事项表!$G:$G,累计考核费用!$B56,考核调整事项表!$F:$F,累计考核费用!H$55)</f>
        <v>0</v>
      </c>
      <c r="I56" s="157">
        <f>SUMIFS(考核调整事项表!$C:$C,考核调整事项表!$G:$G,累计考核费用!$B56,考核调整事项表!$D:$D,累计考核费用!I$55)+SUMIFS(考核调整事项表!$E:$E,考核调整事项表!$G:$G,累计考核费用!$B56,考核调整事项表!$F:$F,累计考核费用!I$55)</f>
        <v>0</v>
      </c>
      <c r="J56" s="157">
        <f>SUMIFS(考核调整事项表!$C:$C,考核调整事项表!$G:$G,累计考核费用!$B56,考核调整事项表!$D:$D,累计考核费用!J$55)+SUMIFS(考核调整事项表!$E:$E,考核调整事项表!$G:$G,累计考核费用!$B56,考核调整事项表!$F:$F,累计考核费用!J$55)</f>
        <v>0</v>
      </c>
      <c r="K56" s="157">
        <f>SUMIFS(考核调整事项表!$C:$C,考核调整事项表!$G:$G,累计考核费用!$B56,考核调整事项表!$D:$D,累计考核费用!K$55)+SUMIFS(考核调整事项表!$E:$E,考核调整事项表!$G:$G,累计考核费用!$B56,考核调整事项表!$F:$F,累计考核费用!K$55)</f>
        <v>0</v>
      </c>
      <c r="L56" s="157">
        <f>SUM(M56:S56)</f>
        <v>0</v>
      </c>
      <c r="M56" s="157">
        <f>SUMIFS(考核调整事项表!$C:$C,考核调整事项表!$G:$G,累计考核费用!$B56,考核调整事项表!$D:$D,累计考核费用!M$55)+SUMIFS(考核调整事项表!$E:$E,考核调整事项表!$G:$G,累计考核费用!$B56,考核调整事项表!$F:$F,累计考核费用!M$55)</f>
        <v>0</v>
      </c>
      <c r="N56" s="157">
        <f>SUMIFS(考核调整事项表!$C:$C,考核调整事项表!$G:$G,累计考核费用!$B56,考核调整事项表!$D:$D,累计考核费用!N$55)+SUMIFS(考核调整事项表!$E:$E,考核调整事项表!$G:$G,累计考核费用!$B56,考核调整事项表!$F:$F,累计考核费用!N$55)</f>
        <v>0</v>
      </c>
      <c r="O56" s="157">
        <f>SUMIFS(考核调整事项表!$C:$C,考核调整事项表!$G:$G,累计考核费用!$B56,考核调整事项表!$D:$D,累计考核费用!O$55)+SUMIFS(考核调整事项表!$E:$E,考核调整事项表!$G:$G,累计考核费用!$B56,考核调整事项表!$F:$F,累计考核费用!O$55)</f>
        <v>0</v>
      </c>
      <c r="P56" s="157">
        <f>SUMIFS(考核调整事项表!$C:$C,考核调整事项表!$G:$G,累计考核费用!$B56,考核调整事项表!$D:$D,累计考核费用!P$55)+SUMIFS(考核调整事项表!$E:$E,考核调整事项表!$G:$G,累计考核费用!$B56,考核调整事项表!$F:$F,累计考核费用!P$55)</f>
        <v>0</v>
      </c>
      <c r="Q56" s="157">
        <f>SUMIFS(考核调整事项表!$C:$C,考核调整事项表!$G:$G,累计考核费用!$B56,考核调整事项表!$D:$D,累计考核费用!Q$55)+SUMIFS(考核调整事项表!$E:$E,考核调整事项表!$G:$G,累计考核费用!$B56,考核调整事项表!$F:$F,累计考核费用!Q$55)</f>
        <v>0</v>
      </c>
      <c r="R56" s="157">
        <f>SUMIFS(考核调整事项表!$C:$C,考核调整事项表!$G:$G,累计考核费用!$B56,考核调整事项表!$D:$D,累计考核费用!R$55)+SUMIFS(考核调整事项表!$E:$E,考核调整事项表!$G:$G,累计考核费用!$B56,考核调整事项表!$F:$F,累计考核费用!R$55)</f>
        <v>0</v>
      </c>
      <c r="S56" s="157">
        <f>SUMIFS(考核调整事项表!$C:$C,考核调整事项表!$G:$G,累计考核费用!$B56,考核调整事项表!$D:$D,累计考核费用!S$55)+SUMIFS(考核调整事项表!$E:$E,考核调整事项表!$G:$G,累计考核费用!$B56,考核调整事项表!$F:$F,累计考核费用!S$55)</f>
        <v>0</v>
      </c>
      <c r="T56" s="160">
        <f>SUM(U56:AA56)</f>
        <v>-1493793.1</v>
      </c>
      <c r="U56" s="157">
        <f>SUMIFS(考核调整事项表!$C:$C,考核调整事项表!$G:$G,累计考核费用!$B56,考核调整事项表!$D:$D,累计考核费用!U$55)+SUMIFS(考核调整事项表!$E:$E,考核调整事项表!$G:$G,累计考核费用!$B56,考核调整事项表!$F:$F,累计考核费用!U$55)</f>
        <v>0</v>
      </c>
      <c r="V56" s="157">
        <f>SUMIFS(考核调整事项表!$C:$C,考核调整事项表!$G:$G,累计考核费用!$B56,考核调整事项表!$D:$D,累计考核费用!V$55)+SUMIFS(考核调整事项表!$E:$E,考核调整事项表!$G:$G,累计考核费用!$B56,考核调整事项表!$F:$F,累计考核费用!V$55)</f>
        <v>0</v>
      </c>
      <c r="W56" s="157">
        <f>SUMIFS(考核调整事项表!$C:$C,考核调整事项表!$G:$G,累计考核费用!$B56,考核调整事项表!$D:$D,累计考核费用!W$55)+SUMIFS(考核调整事项表!$E:$E,考核调整事项表!$G:$G,累计考核费用!$B56,考核调整事项表!$F:$F,累计考核费用!W$55)</f>
        <v>-1493793.1</v>
      </c>
      <c r="X56" s="157">
        <f>SUMIFS(考核调整事项表!$C:$C,考核调整事项表!$G:$G,累计考核费用!$B56,考核调整事项表!$D:$D,累计考核费用!X$55)+SUMIFS(考核调整事项表!$E:$E,考核调整事项表!$G:$G,累计考核费用!$B56,考核调整事项表!$F:$F,累计考核费用!X$55)</f>
        <v>0</v>
      </c>
      <c r="Y56" s="157">
        <f>SUMIFS(考核调整事项表!$C:$C,考核调整事项表!$G:$G,累计考核费用!$B56,考核调整事项表!$D:$D,累计考核费用!Y$55)+SUMIFS(考核调整事项表!$E:$E,考核调整事项表!$G:$G,累计考核费用!$B56,考核调整事项表!$F:$F,累计考核费用!Y$55)</f>
        <v>0</v>
      </c>
      <c r="Z56" s="157">
        <f>SUMIFS(考核调整事项表!$C:$C,考核调整事项表!$G:$G,累计考核费用!$B56,考核调整事项表!$D:$D,累计考核费用!Z$55)+SUMIFS(考核调整事项表!$E:$E,考核调整事项表!$G:$G,累计考核费用!$B56,考核调整事项表!$F:$F,累计考核费用!Z$55)</f>
        <v>0</v>
      </c>
      <c r="AA56" s="157">
        <f>SUMIFS(考核调整事项表!$C:$C,考核调整事项表!$G:$G,累计考核费用!$B56,考核调整事项表!$D:$D,累计考核费用!AA$55)+SUMIFS(考核调整事项表!$E:$E,考核调整事项表!$G:$G,累计考核费用!$B56,考核调整事项表!$F:$F,累计考核费用!AA$55)</f>
        <v>0</v>
      </c>
      <c r="AB56" s="157">
        <f>SUMIFS(考核调整事项表!$C:$C,考核调整事项表!$G:$G,累计考核费用!$B56,考核调整事项表!$D:$D,累计考核费用!AB$55)+SUMIFS(考核调整事项表!$E:$E,考核调整事项表!$G:$G,累计考核费用!$B56,考核调整事项表!$F:$F,累计考核费用!AB$55)</f>
        <v>1493793.1</v>
      </c>
      <c r="AC56" s="157">
        <f>SUMIFS(考核调整事项表!$C:$C,考核调整事项表!$G:$G,累计考核费用!$B56,考核调整事项表!$D:$D,累计考核费用!AC$55)+SUMIFS(考核调整事项表!$E:$E,考核调整事项表!$G:$G,累计考核费用!$B56,考核调整事项表!$F:$F,累计考核费用!AC$55)</f>
        <v>0</v>
      </c>
    </row>
    <row r="57" spans="1:29">
      <c r="A57" s="280"/>
      <c r="B57" s="47" t="s">
        <v>90</v>
      </c>
      <c r="C57" s="9">
        <f t="shared" ref="C57:C65" si="2">SUM(D57:G57)+L57+T57+AC57+AB57</f>
        <v>0</v>
      </c>
      <c r="D57" s="157">
        <f>SUMIFS(考核调整事项表!$C:$C,考核调整事项表!$G:$G,累计考核费用!$B57,考核调整事项表!$D:$D,累计考核费用!D$55)+SUMIFS(考核调整事项表!$E:$E,考核调整事项表!$G:$G,累计考核费用!$B57,考核调整事项表!$F:$F,累计考核费用!D$55)</f>
        <v>0</v>
      </c>
      <c r="E57" s="157">
        <f>SUMIFS(考核调整事项表!$C:$C,考核调整事项表!$G:$G,累计考核费用!$B57,考核调整事项表!$D:$D,累计考核费用!E$55)+SUMIFS(考核调整事项表!$E:$E,考核调整事项表!$G:$G,累计考核费用!$B57,考核调整事项表!$F:$F,累计考核费用!E$55)</f>
        <v>0</v>
      </c>
      <c r="F57" s="157">
        <f>SUMIFS(考核调整事项表!$C:$C,考核调整事项表!$G:$G,累计考核费用!$B57,考核调整事项表!$D:$D,累计考核费用!F$55)+SUMIFS(考核调整事项表!$E:$E,考核调整事项表!$G:$G,累计考核费用!$B57,考核调整事项表!$F:$F,累计考核费用!F$55)</f>
        <v>0</v>
      </c>
      <c r="G57" s="157">
        <f t="shared" ref="G57:G102" si="3">SUM(H57:K57)</f>
        <v>0</v>
      </c>
      <c r="H57" s="157">
        <f>SUMIFS(考核调整事项表!$C:$C,考核调整事项表!$G:$G,累计考核费用!$B57,考核调整事项表!$D:$D,累计考核费用!H$55)+SUMIFS(考核调整事项表!$E:$E,考核调整事项表!$G:$G,累计考核费用!$B57,考核调整事项表!$F:$F,累计考核费用!H$55)</f>
        <v>0</v>
      </c>
      <c r="I57" s="157">
        <f>SUMIFS(考核调整事项表!$C:$C,考核调整事项表!$G:$G,累计考核费用!$B57,考核调整事项表!$D:$D,累计考核费用!I$55)+SUMIFS(考核调整事项表!$E:$E,考核调整事项表!$G:$G,累计考核费用!$B57,考核调整事项表!$F:$F,累计考核费用!I$55)</f>
        <v>0</v>
      </c>
      <c r="J57" s="157">
        <f>SUMIFS(考核调整事项表!$C:$C,考核调整事项表!$G:$G,累计考核费用!$B57,考核调整事项表!$D:$D,累计考核费用!J$55)+SUMIFS(考核调整事项表!$E:$E,考核调整事项表!$G:$G,累计考核费用!$B57,考核调整事项表!$F:$F,累计考核费用!J$55)</f>
        <v>0</v>
      </c>
      <c r="K57" s="157">
        <f>SUMIFS(考核调整事项表!$C:$C,考核调整事项表!$G:$G,累计考核费用!$B57,考核调整事项表!$D:$D,累计考核费用!K$55)+SUMIFS(考核调整事项表!$E:$E,考核调整事项表!$G:$G,累计考核费用!$B57,考核调整事项表!$F:$F,累计考核费用!K$55)</f>
        <v>0</v>
      </c>
      <c r="L57" s="157">
        <f t="shared" ref="L57:L102" si="4">SUM(M57:S57)</f>
        <v>0</v>
      </c>
      <c r="M57" s="157">
        <f>SUMIFS(考核调整事项表!$C:$C,考核调整事项表!$G:$G,累计考核费用!$B57,考核调整事项表!$D:$D,累计考核费用!M$55)+SUMIFS(考核调整事项表!$E:$E,考核调整事项表!$G:$G,累计考核费用!$B57,考核调整事项表!$F:$F,累计考核费用!M$55)</f>
        <v>0</v>
      </c>
      <c r="N57" s="157">
        <f>SUMIFS(考核调整事项表!$C:$C,考核调整事项表!$G:$G,累计考核费用!$B57,考核调整事项表!$D:$D,累计考核费用!N$55)+SUMIFS(考核调整事项表!$E:$E,考核调整事项表!$G:$G,累计考核费用!$B57,考核调整事项表!$F:$F,累计考核费用!N$55)</f>
        <v>0</v>
      </c>
      <c r="O57" s="157">
        <f>SUMIFS(考核调整事项表!$C:$C,考核调整事项表!$G:$G,累计考核费用!$B57,考核调整事项表!$D:$D,累计考核费用!O$55)+SUMIFS(考核调整事项表!$E:$E,考核调整事项表!$G:$G,累计考核费用!$B57,考核调整事项表!$F:$F,累计考核费用!O$55)</f>
        <v>0</v>
      </c>
      <c r="P57" s="157">
        <f>SUMIFS(考核调整事项表!$C:$C,考核调整事项表!$G:$G,累计考核费用!$B57,考核调整事项表!$D:$D,累计考核费用!P$55)+SUMIFS(考核调整事项表!$E:$E,考核调整事项表!$G:$G,累计考核费用!$B57,考核调整事项表!$F:$F,累计考核费用!P$55)</f>
        <v>0</v>
      </c>
      <c r="Q57" s="157">
        <f>SUMIFS(考核调整事项表!$C:$C,考核调整事项表!$G:$G,累计考核费用!$B57,考核调整事项表!$D:$D,累计考核费用!Q$55)+SUMIFS(考核调整事项表!$E:$E,考核调整事项表!$G:$G,累计考核费用!$B57,考核调整事项表!$F:$F,累计考核费用!Q$55)</f>
        <v>0</v>
      </c>
      <c r="R57" s="157">
        <f>SUMIFS(考核调整事项表!$C:$C,考核调整事项表!$G:$G,累计考核费用!$B57,考核调整事项表!$D:$D,累计考核费用!R$55)+SUMIFS(考核调整事项表!$E:$E,考核调整事项表!$G:$G,累计考核费用!$B57,考核调整事项表!$F:$F,累计考核费用!R$55)</f>
        <v>0</v>
      </c>
      <c r="S57" s="157">
        <f>SUMIFS(考核调整事项表!$C:$C,考核调整事项表!$G:$G,累计考核费用!$B57,考核调整事项表!$D:$D,累计考核费用!S$55)+SUMIFS(考核调整事项表!$E:$E,考核调整事项表!$G:$G,累计考核费用!$B57,考核调整事项表!$F:$F,累计考核费用!S$55)</f>
        <v>0</v>
      </c>
      <c r="T57" s="160">
        <f t="shared" ref="T57:T71" si="5">SUM(U57:AA57)</f>
        <v>0</v>
      </c>
      <c r="U57" s="157">
        <f>SUMIFS(考核调整事项表!$C:$C,考核调整事项表!$G:$G,累计考核费用!$B57,考核调整事项表!$D:$D,累计考核费用!U$55)+SUMIFS(考核调整事项表!$E:$E,考核调整事项表!$G:$G,累计考核费用!$B57,考核调整事项表!$F:$F,累计考核费用!U$55)</f>
        <v>0</v>
      </c>
      <c r="V57" s="157">
        <f>SUMIFS(考核调整事项表!$C:$C,考核调整事项表!$G:$G,累计考核费用!$B57,考核调整事项表!$D:$D,累计考核费用!V$55)+SUMIFS(考核调整事项表!$E:$E,考核调整事项表!$G:$G,累计考核费用!$B57,考核调整事项表!$F:$F,累计考核费用!V$55)</f>
        <v>0</v>
      </c>
      <c r="W57" s="157">
        <f>SUMIFS(考核调整事项表!$C:$C,考核调整事项表!$G:$G,累计考核费用!$B57,考核调整事项表!$D:$D,累计考核费用!W$55)+SUMIFS(考核调整事项表!$E:$E,考核调整事项表!$G:$G,累计考核费用!$B57,考核调整事项表!$F:$F,累计考核费用!W$55)</f>
        <v>0</v>
      </c>
      <c r="X57" s="157">
        <f>SUMIFS(考核调整事项表!$C:$C,考核调整事项表!$G:$G,累计考核费用!$B57,考核调整事项表!$D:$D,累计考核费用!X$55)+SUMIFS(考核调整事项表!$E:$E,考核调整事项表!$G:$G,累计考核费用!$B57,考核调整事项表!$F:$F,累计考核费用!X$55)</f>
        <v>0</v>
      </c>
      <c r="Y57" s="157">
        <f>SUMIFS(考核调整事项表!$C:$C,考核调整事项表!$G:$G,累计考核费用!$B57,考核调整事项表!$D:$D,累计考核费用!Y$55)+SUMIFS(考核调整事项表!$E:$E,考核调整事项表!$G:$G,累计考核费用!$B57,考核调整事项表!$F:$F,累计考核费用!Y$55)</f>
        <v>0</v>
      </c>
      <c r="Z57" s="157">
        <f>SUMIFS(考核调整事项表!$C:$C,考核调整事项表!$G:$G,累计考核费用!$B57,考核调整事项表!$D:$D,累计考核费用!Z$55)+SUMIFS(考核调整事项表!$E:$E,考核调整事项表!$G:$G,累计考核费用!$B57,考核调整事项表!$F:$F,累计考核费用!Z$55)</f>
        <v>0</v>
      </c>
      <c r="AA57" s="157">
        <f>SUMIFS(考核调整事项表!$C:$C,考核调整事项表!$G:$G,累计考核费用!$B57,考核调整事项表!$D:$D,累计考核费用!AA$55)+SUMIFS(考核调整事项表!$E:$E,考核调整事项表!$G:$G,累计考核费用!$B57,考核调整事项表!$F:$F,累计考核费用!AA$55)</f>
        <v>0</v>
      </c>
      <c r="AB57" s="157">
        <f>SUMIFS(考核调整事项表!$C:$C,考核调整事项表!$G:$G,累计考核费用!$B57,考核调整事项表!$D:$D,累计考核费用!AB$55)+SUMIFS(考核调整事项表!$E:$E,考核调整事项表!$G:$G,累计考核费用!$B57,考核调整事项表!$F:$F,累计考核费用!AB$55)</f>
        <v>0</v>
      </c>
      <c r="AC57" s="157">
        <f>SUMIFS(考核调整事项表!$C:$C,考核调整事项表!$G:$G,累计考核费用!$B57,考核调整事项表!$D:$D,累计考核费用!AC$55)+SUMIFS(考核调整事项表!$E:$E,考核调整事项表!$G:$G,累计考核费用!$B57,考核调整事项表!$F:$F,累计考核费用!AC$55)</f>
        <v>0</v>
      </c>
    </row>
    <row r="58" spans="1:29">
      <c r="A58" s="280"/>
      <c r="B58" s="47" t="s">
        <v>91</v>
      </c>
      <c r="C58" s="9">
        <f t="shared" si="2"/>
        <v>0</v>
      </c>
      <c r="D58" s="157">
        <f>SUMIFS(考核调整事项表!$C:$C,考核调整事项表!$G:$G,累计考核费用!$B58,考核调整事项表!$D:$D,累计考核费用!D$55)+SUMIFS(考核调整事项表!$E:$E,考核调整事项表!$G:$G,累计考核费用!$B58,考核调整事项表!$F:$F,累计考核费用!D$55)</f>
        <v>0</v>
      </c>
      <c r="E58" s="157">
        <f>SUMIFS(考核调整事项表!$C:$C,考核调整事项表!$G:$G,累计考核费用!$B58,考核调整事项表!$D:$D,累计考核费用!E$55)+SUMIFS(考核调整事项表!$E:$E,考核调整事项表!$G:$G,累计考核费用!$B58,考核调整事项表!$F:$F,累计考核费用!E$55)</f>
        <v>0</v>
      </c>
      <c r="F58" s="157">
        <f>SUMIFS(考核调整事项表!$C:$C,考核调整事项表!$G:$G,累计考核费用!$B58,考核调整事项表!$D:$D,累计考核费用!F$55)+SUMIFS(考核调整事项表!$E:$E,考核调整事项表!$G:$G,累计考核费用!$B58,考核调整事项表!$F:$F,累计考核费用!F$55)</f>
        <v>0</v>
      </c>
      <c r="G58" s="157">
        <f t="shared" si="3"/>
        <v>0</v>
      </c>
      <c r="H58" s="157">
        <f>SUMIFS(考核调整事项表!$C:$C,考核调整事项表!$G:$G,累计考核费用!$B58,考核调整事项表!$D:$D,累计考核费用!H$55)+SUMIFS(考核调整事项表!$E:$E,考核调整事项表!$G:$G,累计考核费用!$B58,考核调整事项表!$F:$F,累计考核费用!H$55)</f>
        <v>0</v>
      </c>
      <c r="I58" s="157">
        <f>SUMIFS(考核调整事项表!$C:$C,考核调整事项表!$G:$G,累计考核费用!$B58,考核调整事项表!$D:$D,累计考核费用!I$55)+SUMIFS(考核调整事项表!$E:$E,考核调整事项表!$G:$G,累计考核费用!$B58,考核调整事项表!$F:$F,累计考核费用!I$55)</f>
        <v>0</v>
      </c>
      <c r="J58" s="157">
        <f>SUMIFS(考核调整事项表!$C:$C,考核调整事项表!$G:$G,累计考核费用!$B58,考核调整事项表!$D:$D,累计考核费用!J$55)+SUMIFS(考核调整事项表!$E:$E,考核调整事项表!$G:$G,累计考核费用!$B58,考核调整事项表!$F:$F,累计考核费用!J$55)</f>
        <v>0</v>
      </c>
      <c r="K58" s="157">
        <f>SUMIFS(考核调整事项表!$C:$C,考核调整事项表!$G:$G,累计考核费用!$B58,考核调整事项表!$D:$D,累计考核费用!K$55)+SUMIFS(考核调整事项表!$E:$E,考核调整事项表!$G:$G,累计考核费用!$B58,考核调整事项表!$F:$F,累计考核费用!K$55)</f>
        <v>0</v>
      </c>
      <c r="L58" s="157">
        <f t="shared" si="4"/>
        <v>0</v>
      </c>
      <c r="M58" s="157">
        <f>SUMIFS(考核调整事项表!$C:$C,考核调整事项表!$G:$G,累计考核费用!$B58,考核调整事项表!$D:$D,累计考核费用!M$55)+SUMIFS(考核调整事项表!$E:$E,考核调整事项表!$G:$G,累计考核费用!$B58,考核调整事项表!$F:$F,累计考核费用!M$55)</f>
        <v>0</v>
      </c>
      <c r="N58" s="157">
        <f>SUMIFS(考核调整事项表!$C:$C,考核调整事项表!$G:$G,累计考核费用!$B58,考核调整事项表!$D:$D,累计考核费用!N$55)+SUMIFS(考核调整事项表!$E:$E,考核调整事项表!$G:$G,累计考核费用!$B58,考核调整事项表!$F:$F,累计考核费用!N$55)</f>
        <v>0</v>
      </c>
      <c r="O58" s="157">
        <f>SUMIFS(考核调整事项表!$C:$C,考核调整事项表!$G:$G,累计考核费用!$B58,考核调整事项表!$D:$D,累计考核费用!O$55)+SUMIFS(考核调整事项表!$E:$E,考核调整事项表!$G:$G,累计考核费用!$B58,考核调整事项表!$F:$F,累计考核费用!O$55)</f>
        <v>0</v>
      </c>
      <c r="P58" s="157">
        <f>SUMIFS(考核调整事项表!$C:$C,考核调整事项表!$G:$G,累计考核费用!$B58,考核调整事项表!$D:$D,累计考核费用!P$55)+SUMIFS(考核调整事项表!$E:$E,考核调整事项表!$G:$G,累计考核费用!$B58,考核调整事项表!$F:$F,累计考核费用!P$55)</f>
        <v>0</v>
      </c>
      <c r="Q58" s="157">
        <f>SUMIFS(考核调整事项表!$C:$C,考核调整事项表!$G:$G,累计考核费用!$B58,考核调整事项表!$D:$D,累计考核费用!Q$55)+SUMIFS(考核调整事项表!$E:$E,考核调整事项表!$G:$G,累计考核费用!$B58,考核调整事项表!$F:$F,累计考核费用!Q$55)</f>
        <v>0</v>
      </c>
      <c r="R58" s="157">
        <f>SUMIFS(考核调整事项表!$C:$C,考核调整事项表!$G:$G,累计考核费用!$B58,考核调整事项表!$D:$D,累计考核费用!R$55)+SUMIFS(考核调整事项表!$E:$E,考核调整事项表!$G:$G,累计考核费用!$B58,考核调整事项表!$F:$F,累计考核费用!R$55)</f>
        <v>0</v>
      </c>
      <c r="S58" s="157">
        <f>SUMIFS(考核调整事项表!$C:$C,考核调整事项表!$G:$G,累计考核费用!$B58,考核调整事项表!$D:$D,累计考核费用!S$55)+SUMIFS(考核调整事项表!$E:$E,考核调整事项表!$G:$G,累计考核费用!$B58,考核调整事项表!$F:$F,累计考核费用!S$55)</f>
        <v>0</v>
      </c>
      <c r="T58" s="160">
        <f t="shared" si="5"/>
        <v>0</v>
      </c>
      <c r="U58" s="157">
        <f>SUMIFS(考核调整事项表!$C:$C,考核调整事项表!$G:$G,累计考核费用!$B58,考核调整事项表!$D:$D,累计考核费用!U$55)+SUMIFS(考核调整事项表!$E:$E,考核调整事项表!$G:$G,累计考核费用!$B58,考核调整事项表!$F:$F,累计考核费用!U$55)</f>
        <v>0</v>
      </c>
      <c r="V58" s="157">
        <f>SUMIFS(考核调整事项表!$C:$C,考核调整事项表!$G:$G,累计考核费用!$B58,考核调整事项表!$D:$D,累计考核费用!V$55)+SUMIFS(考核调整事项表!$E:$E,考核调整事项表!$G:$G,累计考核费用!$B58,考核调整事项表!$F:$F,累计考核费用!V$55)</f>
        <v>0</v>
      </c>
      <c r="W58" s="157">
        <f>SUMIFS(考核调整事项表!$C:$C,考核调整事项表!$G:$G,累计考核费用!$B58,考核调整事项表!$D:$D,累计考核费用!W$55)+SUMIFS(考核调整事项表!$E:$E,考核调整事项表!$G:$G,累计考核费用!$B58,考核调整事项表!$F:$F,累计考核费用!W$55)</f>
        <v>0</v>
      </c>
      <c r="X58" s="157">
        <f>SUMIFS(考核调整事项表!$C:$C,考核调整事项表!$G:$G,累计考核费用!$B58,考核调整事项表!$D:$D,累计考核费用!X$55)+SUMIFS(考核调整事项表!$E:$E,考核调整事项表!$G:$G,累计考核费用!$B58,考核调整事项表!$F:$F,累计考核费用!X$55)</f>
        <v>0</v>
      </c>
      <c r="Y58" s="157">
        <f>SUMIFS(考核调整事项表!$C:$C,考核调整事项表!$G:$G,累计考核费用!$B58,考核调整事项表!$D:$D,累计考核费用!Y$55)+SUMIFS(考核调整事项表!$E:$E,考核调整事项表!$G:$G,累计考核费用!$B58,考核调整事项表!$F:$F,累计考核费用!Y$55)</f>
        <v>0</v>
      </c>
      <c r="Z58" s="157">
        <f>SUMIFS(考核调整事项表!$C:$C,考核调整事项表!$G:$G,累计考核费用!$B58,考核调整事项表!$D:$D,累计考核费用!Z$55)+SUMIFS(考核调整事项表!$E:$E,考核调整事项表!$G:$G,累计考核费用!$B58,考核调整事项表!$F:$F,累计考核费用!Z$55)</f>
        <v>0</v>
      </c>
      <c r="AA58" s="157">
        <f>SUMIFS(考核调整事项表!$C:$C,考核调整事项表!$G:$G,累计考核费用!$B58,考核调整事项表!$D:$D,累计考核费用!AA$55)+SUMIFS(考核调整事项表!$E:$E,考核调整事项表!$G:$G,累计考核费用!$B58,考核调整事项表!$F:$F,累计考核费用!AA$55)</f>
        <v>0</v>
      </c>
      <c r="AB58" s="157">
        <f>SUMIFS(考核调整事项表!$C:$C,考核调整事项表!$G:$G,累计考核费用!$B58,考核调整事项表!$D:$D,累计考核费用!AB$55)+SUMIFS(考核调整事项表!$E:$E,考核调整事项表!$G:$G,累计考核费用!$B58,考核调整事项表!$F:$F,累计考核费用!AB$55)</f>
        <v>0</v>
      </c>
      <c r="AC58" s="157">
        <f>SUMIFS(考核调整事项表!$C:$C,考核调整事项表!$G:$G,累计考核费用!$B58,考核调整事项表!$D:$D,累计考核费用!AC$55)+SUMIFS(考核调整事项表!$E:$E,考核调整事项表!$G:$G,累计考核费用!$B58,考核调整事项表!$F:$F,累计考核费用!AC$55)</f>
        <v>0</v>
      </c>
    </row>
    <row r="59" spans="1:29">
      <c r="A59" s="280"/>
      <c r="B59" s="47" t="s">
        <v>92</v>
      </c>
      <c r="C59" s="9">
        <f t="shared" si="2"/>
        <v>0</v>
      </c>
      <c r="D59" s="157">
        <f>SUMIFS(考核调整事项表!$C:$C,考核调整事项表!$G:$G,累计考核费用!$B59,考核调整事项表!$D:$D,累计考核费用!D$55)+SUMIFS(考核调整事项表!$E:$E,考核调整事项表!$G:$G,累计考核费用!$B59,考核调整事项表!$F:$F,累计考核费用!D$55)</f>
        <v>0</v>
      </c>
      <c r="E59" s="157">
        <f>SUMIFS(考核调整事项表!$C:$C,考核调整事项表!$G:$G,累计考核费用!$B59,考核调整事项表!$D:$D,累计考核费用!E$55)+SUMIFS(考核调整事项表!$E:$E,考核调整事项表!$G:$G,累计考核费用!$B59,考核调整事项表!$F:$F,累计考核费用!E$55)</f>
        <v>0</v>
      </c>
      <c r="F59" s="157">
        <f>SUMIFS(考核调整事项表!$C:$C,考核调整事项表!$G:$G,累计考核费用!$B59,考核调整事项表!$D:$D,累计考核费用!F$55)+SUMIFS(考核调整事项表!$E:$E,考核调整事项表!$G:$G,累计考核费用!$B59,考核调整事项表!$F:$F,累计考核费用!F$55)</f>
        <v>0</v>
      </c>
      <c r="G59" s="157">
        <f t="shared" si="3"/>
        <v>0</v>
      </c>
      <c r="H59" s="157">
        <f>SUMIFS(考核调整事项表!$C:$C,考核调整事项表!$G:$G,累计考核费用!$B59,考核调整事项表!$D:$D,累计考核费用!H$55)+SUMIFS(考核调整事项表!$E:$E,考核调整事项表!$G:$G,累计考核费用!$B59,考核调整事项表!$F:$F,累计考核费用!H$55)</f>
        <v>0</v>
      </c>
      <c r="I59" s="157">
        <f>SUMIFS(考核调整事项表!$C:$C,考核调整事项表!$G:$G,累计考核费用!$B59,考核调整事项表!$D:$D,累计考核费用!I$55)+SUMIFS(考核调整事项表!$E:$E,考核调整事项表!$G:$G,累计考核费用!$B59,考核调整事项表!$F:$F,累计考核费用!I$55)</f>
        <v>0</v>
      </c>
      <c r="J59" s="157">
        <f>SUMIFS(考核调整事项表!$C:$C,考核调整事项表!$G:$G,累计考核费用!$B59,考核调整事项表!$D:$D,累计考核费用!J$55)+SUMIFS(考核调整事项表!$E:$E,考核调整事项表!$G:$G,累计考核费用!$B59,考核调整事项表!$F:$F,累计考核费用!J$55)</f>
        <v>0</v>
      </c>
      <c r="K59" s="157">
        <f>SUMIFS(考核调整事项表!$C:$C,考核调整事项表!$G:$G,累计考核费用!$B59,考核调整事项表!$D:$D,累计考核费用!K$55)+SUMIFS(考核调整事项表!$E:$E,考核调整事项表!$G:$G,累计考核费用!$B59,考核调整事项表!$F:$F,累计考核费用!K$55)</f>
        <v>0</v>
      </c>
      <c r="L59" s="157">
        <f t="shared" si="4"/>
        <v>0</v>
      </c>
      <c r="M59" s="157">
        <f>SUMIFS(考核调整事项表!$C:$C,考核调整事项表!$G:$G,累计考核费用!$B59,考核调整事项表!$D:$D,累计考核费用!M$55)+SUMIFS(考核调整事项表!$E:$E,考核调整事项表!$G:$G,累计考核费用!$B59,考核调整事项表!$F:$F,累计考核费用!M$55)</f>
        <v>0</v>
      </c>
      <c r="N59" s="157">
        <f>SUMIFS(考核调整事项表!$C:$C,考核调整事项表!$G:$G,累计考核费用!$B59,考核调整事项表!$D:$D,累计考核费用!N$55)+SUMIFS(考核调整事项表!$E:$E,考核调整事项表!$G:$G,累计考核费用!$B59,考核调整事项表!$F:$F,累计考核费用!N$55)</f>
        <v>0</v>
      </c>
      <c r="O59" s="157">
        <f>SUMIFS(考核调整事项表!$C:$C,考核调整事项表!$G:$G,累计考核费用!$B59,考核调整事项表!$D:$D,累计考核费用!O$55)+SUMIFS(考核调整事项表!$E:$E,考核调整事项表!$G:$G,累计考核费用!$B59,考核调整事项表!$F:$F,累计考核费用!O$55)</f>
        <v>0</v>
      </c>
      <c r="P59" s="157">
        <f>SUMIFS(考核调整事项表!$C:$C,考核调整事项表!$G:$G,累计考核费用!$B59,考核调整事项表!$D:$D,累计考核费用!P$55)+SUMIFS(考核调整事项表!$E:$E,考核调整事项表!$G:$G,累计考核费用!$B59,考核调整事项表!$F:$F,累计考核费用!P$55)</f>
        <v>0</v>
      </c>
      <c r="Q59" s="157">
        <f>SUMIFS(考核调整事项表!$C:$C,考核调整事项表!$G:$G,累计考核费用!$B59,考核调整事项表!$D:$D,累计考核费用!Q$55)+SUMIFS(考核调整事项表!$E:$E,考核调整事项表!$G:$G,累计考核费用!$B59,考核调整事项表!$F:$F,累计考核费用!Q$55)</f>
        <v>0</v>
      </c>
      <c r="R59" s="157">
        <f>SUMIFS(考核调整事项表!$C:$C,考核调整事项表!$G:$G,累计考核费用!$B59,考核调整事项表!$D:$D,累计考核费用!R$55)+SUMIFS(考核调整事项表!$E:$E,考核调整事项表!$G:$G,累计考核费用!$B59,考核调整事项表!$F:$F,累计考核费用!R$55)</f>
        <v>0</v>
      </c>
      <c r="S59" s="157">
        <f>SUMIFS(考核调整事项表!$C:$C,考核调整事项表!$G:$G,累计考核费用!$B59,考核调整事项表!$D:$D,累计考核费用!S$55)+SUMIFS(考核调整事项表!$E:$E,考核调整事项表!$G:$G,累计考核费用!$B59,考核调整事项表!$F:$F,累计考核费用!S$55)</f>
        <v>0</v>
      </c>
      <c r="T59" s="160">
        <f t="shared" si="5"/>
        <v>0</v>
      </c>
      <c r="U59" s="157">
        <f>SUMIFS(考核调整事项表!$C:$C,考核调整事项表!$G:$G,累计考核费用!$B59,考核调整事项表!$D:$D,累计考核费用!U$55)+SUMIFS(考核调整事项表!$E:$E,考核调整事项表!$G:$G,累计考核费用!$B59,考核调整事项表!$F:$F,累计考核费用!U$55)</f>
        <v>0</v>
      </c>
      <c r="V59" s="157">
        <f>SUMIFS(考核调整事项表!$C:$C,考核调整事项表!$G:$G,累计考核费用!$B59,考核调整事项表!$D:$D,累计考核费用!V$55)+SUMIFS(考核调整事项表!$E:$E,考核调整事项表!$G:$G,累计考核费用!$B59,考核调整事项表!$F:$F,累计考核费用!V$55)</f>
        <v>0</v>
      </c>
      <c r="W59" s="157">
        <f>SUMIFS(考核调整事项表!$C:$C,考核调整事项表!$G:$G,累计考核费用!$B59,考核调整事项表!$D:$D,累计考核费用!W$55)+SUMIFS(考核调整事项表!$E:$E,考核调整事项表!$G:$G,累计考核费用!$B59,考核调整事项表!$F:$F,累计考核费用!W$55)</f>
        <v>-3584.9</v>
      </c>
      <c r="X59" s="157">
        <f>SUMIFS(考核调整事项表!$C:$C,考核调整事项表!$G:$G,累计考核费用!$B59,考核调整事项表!$D:$D,累计考核费用!X$55)+SUMIFS(考核调整事项表!$E:$E,考核调整事项表!$G:$G,累计考核费用!$B59,考核调整事项表!$F:$F,累计考核费用!X$55)</f>
        <v>0</v>
      </c>
      <c r="Y59" s="157">
        <f>SUMIFS(考核调整事项表!$C:$C,考核调整事项表!$G:$G,累计考核费用!$B59,考核调整事项表!$D:$D,累计考核费用!Y$55)+SUMIFS(考核调整事项表!$E:$E,考核调整事项表!$G:$G,累计考核费用!$B59,考核调整事项表!$F:$F,累计考核费用!Y$55)</f>
        <v>0</v>
      </c>
      <c r="Z59" s="157">
        <f>SUMIFS(考核调整事项表!$C:$C,考核调整事项表!$G:$G,累计考核费用!$B59,考核调整事项表!$D:$D,累计考核费用!Z$55)+SUMIFS(考核调整事项表!$E:$E,考核调整事项表!$G:$G,累计考核费用!$B59,考核调整事项表!$F:$F,累计考核费用!Z$55)</f>
        <v>0</v>
      </c>
      <c r="AA59" s="157">
        <f>SUMIFS(考核调整事项表!$C:$C,考核调整事项表!$G:$G,累计考核费用!$B59,考核调整事项表!$D:$D,累计考核费用!AA$55)+SUMIFS(考核调整事项表!$E:$E,考核调整事项表!$G:$G,累计考核费用!$B59,考核调整事项表!$F:$F,累计考核费用!AA$55)</f>
        <v>3584.9</v>
      </c>
      <c r="AB59" s="157">
        <f>SUMIFS(考核调整事项表!$C:$C,考核调整事项表!$G:$G,累计考核费用!$B59,考核调整事项表!$D:$D,累计考核费用!AB$55)+SUMIFS(考核调整事项表!$E:$E,考核调整事项表!$G:$G,累计考核费用!$B59,考核调整事项表!$F:$F,累计考核费用!AB$55)</f>
        <v>0</v>
      </c>
      <c r="AC59" s="157">
        <f>SUMIFS(考核调整事项表!$C:$C,考核调整事项表!$G:$G,累计考核费用!$B59,考核调整事项表!$D:$D,累计考核费用!AC$55)+SUMIFS(考核调整事项表!$E:$E,考核调整事项表!$G:$G,累计考核费用!$B59,考核调整事项表!$F:$F,累计考核费用!AC$55)</f>
        <v>0</v>
      </c>
    </row>
    <row r="60" spans="1:29">
      <c r="A60" s="280"/>
      <c r="B60" s="47" t="s">
        <v>93</v>
      </c>
      <c r="C60" s="9">
        <f t="shared" si="2"/>
        <v>0</v>
      </c>
      <c r="D60" s="157">
        <f>SUMIFS(考核调整事项表!$C:$C,考核调整事项表!$G:$G,累计考核费用!$B60,考核调整事项表!$D:$D,累计考核费用!D$55)+SUMIFS(考核调整事项表!$E:$E,考核调整事项表!$G:$G,累计考核费用!$B60,考核调整事项表!$F:$F,累计考核费用!D$55)</f>
        <v>0</v>
      </c>
      <c r="E60" s="157">
        <f>SUMIFS(考核调整事项表!$C:$C,考核调整事项表!$G:$G,累计考核费用!$B60,考核调整事项表!$D:$D,累计考核费用!E$55)+SUMIFS(考核调整事项表!$E:$E,考核调整事项表!$G:$G,累计考核费用!$B60,考核调整事项表!$F:$F,累计考核费用!E$55)</f>
        <v>0</v>
      </c>
      <c r="F60" s="157">
        <f>SUMIFS(考核调整事项表!$C:$C,考核调整事项表!$G:$G,累计考核费用!$B60,考核调整事项表!$D:$D,累计考核费用!F$55)+SUMIFS(考核调整事项表!$E:$E,考核调整事项表!$G:$G,累计考核费用!$B60,考核调整事项表!$F:$F,累计考核费用!F$55)</f>
        <v>0</v>
      </c>
      <c r="G60" s="157">
        <f t="shared" si="3"/>
        <v>0</v>
      </c>
      <c r="H60" s="157">
        <f>SUMIFS(考核调整事项表!$C:$C,考核调整事项表!$G:$G,累计考核费用!$B60,考核调整事项表!$D:$D,累计考核费用!H$55)+SUMIFS(考核调整事项表!$E:$E,考核调整事项表!$G:$G,累计考核费用!$B60,考核调整事项表!$F:$F,累计考核费用!H$55)</f>
        <v>0</v>
      </c>
      <c r="I60" s="157">
        <f>SUMIFS(考核调整事项表!$C:$C,考核调整事项表!$G:$G,累计考核费用!$B60,考核调整事项表!$D:$D,累计考核费用!I$55)+SUMIFS(考核调整事项表!$E:$E,考核调整事项表!$G:$G,累计考核费用!$B60,考核调整事项表!$F:$F,累计考核费用!I$55)</f>
        <v>0</v>
      </c>
      <c r="J60" s="157">
        <f>SUMIFS(考核调整事项表!$C:$C,考核调整事项表!$G:$G,累计考核费用!$B60,考核调整事项表!$D:$D,累计考核费用!J$55)+SUMIFS(考核调整事项表!$E:$E,考核调整事项表!$G:$G,累计考核费用!$B60,考核调整事项表!$F:$F,累计考核费用!J$55)</f>
        <v>0</v>
      </c>
      <c r="K60" s="157">
        <f>SUMIFS(考核调整事项表!$C:$C,考核调整事项表!$G:$G,累计考核费用!$B60,考核调整事项表!$D:$D,累计考核费用!K$55)+SUMIFS(考核调整事项表!$E:$E,考核调整事项表!$G:$G,累计考核费用!$B60,考核调整事项表!$F:$F,累计考核费用!K$55)</f>
        <v>0</v>
      </c>
      <c r="L60" s="157">
        <f t="shared" si="4"/>
        <v>0</v>
      </c>
      <c r="M60" s="157">
        <f>SUMIFS(考核调整事项表!$C:$C,考核调整事项表!$G:$G,累计考核费用!$B60,考核调整事项表!$D:$D,累计考核费用!M$55)+SUMIFS(考核调整事项表!$E:$E,考核调整事项表!$G:$G,累计考核费用!$B60,考核调整事项表!$F:$F,累计考核费用!M$55)</f>
        <v>0</v>
      </c>
      <c r="N60" s="157">
        <f>SUMIFS(考核调整事项表!$C:$C,考核调整事项表!$G:$G,累计考核费用!$B60,考核调整事项表!$D:$D,累计考核费用!N$55)+SUMIFS(考核调整事项表!$E:$E,考核调整事项表!$G:$G,累计考核费用!$B60,考核调整事项表!$F:$F,累计考核费用!N$55)</f>
        <v>0</v>
      </c>
      <c r="O60" s="157">
        <f>SUMIFS(考核调整事项表!$C:$C,考核调整事项表!$G:$G,累计考核费用!$B60,考核调整事项表!$D:$D,累计考核费用!O$55)+SUMIFS(考核调整事项表!$E:$E,考核调整事项表!$G:$G,累计考核费用!$B60,考核调整事项表!$F:$F,累计考核费用!O$55)</f>
        <v>0</v>
      </c>
      <c r="P60" s="157">
        <f>SUMIFS(考核调整事项表!$C:$C,考核调整事项表!$G:$G,累计考核费用!$B60,考核调整事项表!$D:$D,累计考核费用!P$55)+SUMIFS(考核调整事项表!$E:$E,考核调整事项表!$G:$G,累计考核费用!$B60,考核调整事项表!$F:$F,累计考核费用!P$55)</f>
        <v>0</v>
      </c>
      <c r="Q60" s="157">
        <f>SUMIFS(考核调整事项表!$C:$C,考核调整事项表!$G:$G,累计考核费用!$B60,考核调整事项表!$D:$D,累计考核费用!Q$55)+SUMIFS(考核调整事项表!$E:$E,考核调整事项表!$G:$G,累计考核费用!$B60,考核调整事项表!$F:$F,累计考核费用!Q$55)</f>
        <v>0</v>
      </c>
      <c r="R60" s="157">
        <f>SUMIFS(考核调整事项表!$C:$C,考核调整事项表!$G:$G,累计考核费用!$B60,考核调整事项表!$D:$D,累计考核费用!R$55)+SUMIFS(考核调整事项表!$E:$E,考核调整事项表!$G:$G,累计考核费用!$B60,考核调整事项表!$F:$F,累计考核费用!R$55)</f>
        <v>0</v>
      </c>
      <c r="S60" s="157">
        <f>SUMIFS(考核调整事项表!$C:$C,考核调整事项表!$G:$G,累计考核费用!$B60,考核调整事项表!$D:$D,累计考核费用!S$55)+SUMIFS(考核调整事项表!$E:$E,考核调整事项表!$G:$G,累计考核费用!$B60,考核调整事项表!$F:$F,累计考核费用!S$55)</f>
        <v>0</v>
      </c>
      <c r="T60" s="160">
        <f t="shared" si="5"/>
        <v>0</v>
      </c>
      <c r="U60" s="157">
        <f>SUMIFS(考核调整事项表!$C:$C,考核调整事项表!$G:$G,累计考核费用!$B60,考核调整事项表!$D:$D,累计考核费用!U$55)+SUMIFS(考核调整事项表!$E:$E,考核调整事项表!$G:$G,累计考核费用!$B60,考核调整事项表!$F:$F,累计考核费用!U$55)</f>
        <v>0</v>
      </c>
      <c r="V60" s="157">
        <f>SUMIFS(考核调整事项表!$C:$C,考核调整事项表!$G:$G,累计考核费用!$B60,考核调整事项表!$D:$D,累计考核费用!V$55)+SUMIFS(考核调整事项表!$E:$E,考核调整事项表!$G:$G,累计考核费用!$B60,考核调整事项表!$F:$F,累计考核费用!V$55)</f>
        <v>0</v>
      </c>
      <c r="W60" s="157">
        <f>SUMIFS(考核调整事项表!$C:$C,考核调整事项表!$G:$G,累计考核费用!$B60,考核调整事项表!$D:$D,累计考核费用!W$55)+SUMIFS(考核调整事项表!$E:$E,考核调整事项表!$G:$G,累计考核费用!$B60,考核调整事项表!$F:$F,累计考核费用!W$55)</f>
        <v>0</v>
      </c>
      <c r="X60" s="157">
        <f>SUMIFS(考核调整事项表!$C:$C,考核调整事项表!$G:$G,累计考核费用!$B60,考核调整事项表!$D:$D,累计考核费用!X$55)+SUMIFS(考核调整事项表!$E:$E,考核调整事项表!$G:$G,累计考核费用!$B60,考核调整事项表!$F:$F,累计考核费用!X$55)</f>
        <v>0</v>
      </c>
      <c r="Y60" s="157">
        <f>SUMIFS(考核调整事项表!$C:$C,考核调整事项表!$G:$G,累计考核费用!$B60,考核调整事项表!$D:$D,累计考核费用!Y$55)+SUMIFS(考核调整事项表!$E:$E,考核调整事项表!$G:$G,累计考核费用!$B60,考核调整事项表!$F:$F,累计考核费用!Y$55)</f>
        <v>0</v>
      </c>
      <c r="Z60" s="157">
        <f>SUMIFS(考核调整事项表!$C:$C,考核调整事项表!$G:$G,累计考核费用!$B60,考核调整事项表!$D:$D,累计考核费用!Z$55)+SUMIFS(考核调整事项表!$E:$E,考核调整事项表!$G:$G,累计考核费用!$B60,考核调整事项表!$F:$F,累计考核费用!Z$55)</f>
        <v>0</v>
      </c>
      <c r="AA60" s="157">
        <f>SUMIFS(考核调整事项表!$C:$C,考核调整事项表!$G:$G,累计考核费用!$B60,考核调整事项表!$D:$D,累计考核费用!AA$55)+SUMIFS(考核调整事项表!$E:$E,考核调整事项表!$G:$G,累计考核费用!$B60,考核调整事项表!$F:$F,累计考核费用!AA$55)</f>
        <v>0</v>
      </c>
      <c r="AB60" s="157">
        <f>SUMIFS(考核调整事项表!$C:$C,考核调整事项表!$G:$G,累计考核费用!$B60,考核调整事项表!$D:$D,累计考核费用!AB$55)+SUMIFS(考核调整事项表!$E:$E,考核调整事项表!$G:$G,累计考核费用!$B60,考核调整事项表!$F:$F,累计考核费用!AB$55)</f>
        <v>0</v>
      </c>
      <c r="AC60" s="157">
        <f>SUMIFS(考核调整事项表!$C:$C,考核调整事项表!$G:$G,累计考核费用!$B60,考核调整事项表!$D:$D,累计考核费用!AC$55)+SUMIFS(考核调整事项表!$E:$E,考核调整事项表!$G:$G,累计考核费用!$B60,考核调整事项表!$F:$F,累计考核费用!AC$55)</f>
        <v>0</v>
      </c>
    </row>
    <row r="61" spans="1:29">
      <c r="A61" s="280"/>
      <c r="B61" s="47" t="s">
        <v>94</v>
      </c>
      <c r="C61" s="9">
        <f t="shared" si="2"/>
        <v>0</v>
      </c>
      <c r="D61" s="157">
        <f>SUMIFS(考核调整事项表!$C:$C,考核调整事项表!$G:$G,累计考核费用!$B61,考核调整事项表!$D:$D,累计考核费用!D$55)+SUMIFS(考核调整事项表!$E:$E,考核调整事项表!$G:$G,累计考核费用!$B61,考核调整事项表!$F:$F,累计考核费用!D$55)</f>
        <v>0</v>
      </c>
      <c r="E61" s="157">
        <f>SUMIFS(考核调整事项表!$C:$C,考核调整事项表!$G:$G,累计考核费用!$B61,考核调整事项表!$D:$D,累计考核费用!E$55)+SUMIFS(考核调整事项表!$E:$E,考核调整事项表!$G:$G,累计考核费用!$B61,考核调整事项表!$F:$F,累计考核费用!E$55)</f>
        <v>0</v>
      </c>
      <c r="F61" s="157">
        <f>SUMIFS(考核调整事项表!$C:$C,考核调整事项表!$G:$G,累计考核费用!$B61,考核调整事项表!$D:$D,累计考核费用!F$55)+SUMIFS(考核调整事项表!$E:$E,考核调整事项表!$G:$G,累计考核费用!$B61,考核调整事项表!$F:$F,累计考核费用!F$55)</f>
        <v>0</v>
      </c>
      <c r="G61" s="157">
        <f t="shared" si="3"/>
        <v>0</v>
      </c>
      <c r="H61" s="157">
        <f>SUMIFS(考核调整事项表!$C:$C,考核调整事项表!$G:$G,累计考核费用!$B61,考核调整事项表!$D:$D,累计考核费用!H$55)+SUMIFS(考核调整事项表!$E:$E,考核调整事项表!$G:$G,累计考核费用!$B61,考核调整事项表!$F:$F,累计考核费用!H$55)</f>
        <v>0</v>
      </c>
      <c r="I61" s="157">
        <f>SUMIFS(考核调整事项表!$C:$C,考核调整事项表!$G:$G,累计考核费用!$B61,考核调整事项表!$D:$D,累计考核费用!I$55)+SUMIFS(考核调整事项表!$E:$E,考核调整事项表!$G:$G,累计考核费用!$B61,考核调整事项表!$F:$F,累计考核费用!I$55)</f>
        <v>0</v>
      </c>
      <c r="J61" s="157">
        <f>SUMIFS(考核调整事项表!$C:$C,考核调整事项表!$G:$G,累计考核费用!$B61,考核调整事项表!$D:$D,累计考核费用!J$55)+SUMIFS(考核调整事项表!$E:$E,考核调整事项表!$G:$G,累计考核费用!$B61,考核调整事项表!$F:$F,累计考核费用!J$55)</f>
        <v>0</v>
      </c>
      <c r="K61" s="157">
        <f>SUMIFS(考核调整事项表!$C:$C,考核调整事项表!$G:$G,累计考核费用!$B61,考核调整事项表!$D:$D,累计考核费用!K$55)+SUMIFS(考核调整事项表!$E:$E,考核调整事项表!$G:$G,累计考核费用!$B61,考核调整事项表!$F:$F,累计考核费用!K$55)</f>
        <v>0</v>
      </c>
      <c r="L61" s="157">
        <f t="shared" si="4"/>
        <v>0</v>
      </c>
      <c r="M61" s="157">
        <f>SUMIFS(考核调整事项表!$C:$C,考核调整事项表!$G:$G,累计考核费用!$B61,考核调整事项表!$D:$D,累计考核费用!M$55)+SUMIFS(考核调整事项表!$E:$E,考核调整事项表!$G:$G,累计考核费用!$B61,考核调整事项表!$F:$F,累计考核费用!M$55)</f>
        <v>0</v>
      </c>
      <c r="N61" s="157">
        <f>SUMIFS(考核调整事项表!$C:$C,考核调整事项表!$G:$G,累计考核费用!$B61,考核调整事项表!$D:$D,累计考核费用!N$55)+SUMIFS(考核调整事项表!$E:$E,考核调整事项表!$G:$G,累计考核费用!$B61,考核调整事项表!$F:$F,累计考核费用!N$55)</f>
        <v>0</v>
      </c>
      <c r="O61" s="157">
        <f>SUMIFS(考核调整事项表!$C:$C,考核调整事项表!$G:$G,累计考核费用!$B61,考核调整事项表!$D:$D,累计考核费用!O$55)+SUMIFS(考核调整事项表!$E:$E,考核调整事项表!$G:$G,累计考核费用!$B61,考核调整事项表!$F:$F,累计考核费用!O$55)</f>
        <v>0</v>
      </c>
      <c r="P61" s="157">
        <f>SUMIFS(考核调整事项表!$C:$C,考核调整事项表!$G:$G,累计考核费用!$B61,考核调整事项表!$D:$D,累计考核费用!P$55)+SUMIFS(考核调整事项表!$E:$E,考核调整事项表!$G:$G,累计考核费用!$B61,考核调整事项表!$F:$F,累计考核费用!P$55)</f>
        <v>0</v>
      </c>
      <c r="Q61" s="157">
        <f>SUMIFS(考核调整事项表!$C:$C,考核调整事项表!$G:$G,累计考核费用!$B61,考核调整事项表!$D:$D,累计考核费用!Q$55)+SUMIFS(考核调整事项表!$E:$E,考核调整事项表!$G:$G,累计考核费用!$B61,考核调整事项表!$F:$F,累计考核费用!Q$55)</f>
        <v>0</v>
      </c>
      <c r="R61" s="157">
        <f>SUMIFS(考核调整事项表!$C:$C,考核调整事项表!$G:$G,累计考核费用!$B61,考核调整事项表!$D:$D,累计考核费用!R$55)+SUMIFS(考核调整事项表!$E:$E,考核调整事项表!$G:$G,累计考核费用!$B61,考核调整事项表!$F:$F,累计考核费用!R$55)</f>
        <v>0</v>
      </c>
      <c r="S61" s="157">
        <f>SUMIFS(考核调整事项表!$C:$C,考核调整事项表!$G:$G,累计考核费用!$B61,考核调整事项表!$D:$D,累计考核费用!S$55)+SUMIFS(考核调整事项表!$E:$E,考核调整事项表!$G:$G,累计考核费用!$B61,考核调整事项表!$F:$F,累计考核费用!S$55)</f>
        <v>0</v>
      </c>
      <c r="T61" s="160">
        <f t="shared" si="5"/>
        <v>0</v>
      </c>
      <c r="U61" s="157">
        <f>SUMIFS(考核调整事项表!$C:$C,考核调整事项表!$G:$G,累计考核费用!$B61,考核调整事项表!$D:$D,累计考核费用!U$55)+SUMIFS(考核调整事项表!$E:$E,考核调整事项表!$G:$G,累计考核费用!$B61,考核调整事项表!$F:$F,累计考核费用!U$55)</f>
        <v>0</v>
      </c>
      <c r="V61" s="157">
        <f>SUMIFS(考核调整事项表!$C:$C,考核调整事项表!$G:$G,累计考核费用!$B61,考核调整事项表!$D:$D,累计考核费用!V$55)+SUMIFS(考核调整事项表!$E:$E,考核调整事项表!$G:$G,累计考核费用!$B61,考核调整事项表!$F:$F,累计考核费用!V$55)</f>
        <v>0</v>
      </c>
      <c r="W61" s="157">
        <f>SUMIFS(考核调整事项表!$C:$C,考核调整事项表!$G:$G,累计考核费用!$B61,考核调整事项表!$D:$D,累计考核费用!W$55)+SUMIFS(考核调整事项表!$E:$E,考核调整事项表!$G:$G,累计考核费用!$B61,考核调整事项表!$F:$F,累计考核费用!W$55)</f>
        <v>0</v>
      </c>
      <c r="X61" s="157">
        <f>SUMIFS(考核调整事项表!$C:$C,考核调整事项表!$G:$G,累计考核费用!$B61,考核调整事项表!$D:$D,累计考核费用!X$55)+SUMIFS(考核调整事项表!$E:$E,考核调整事项表!$G:$G,累计考核费用!$B61,考核调整事项表!$F:$F,累计考核费用!X$55)</f>
        <v>0</v>
      </c>
      <c r="Y61" s="157">
        <f>SUMIFS(考核调整事项表!$C:$C,考核调整事项表!$G:$G,累计考核费用!$B61,考核调整事项表!$D:$D,累计考核费用!Y$55)+SUMIFS(考核调整事项表!$E:$E,考核调整事项表!$G:$G,累计考核费用!$B61,考核调整事项表!$F:$F,累计考核费用!Y$55)</f>
        <v>0</v>
      </c>
      <c r="Z61" s="157">
        <f>SUMIFS(考核调整事项表!$C:$C,考核调整事项表!$G:$G,累计考核费用!$B61,考核调整事项表!$D:$D,累计考核费用!Z$55)+SUMIFS(考核调整事项表!$E:$E,考核调整事项表!$G:$G,累计考核费用!$B61,考核调整事项表!$F:$F,累计考核费用!Z$55)</f>
        <v>0</v>
      </c>
      <c r="AA61" s="157">
        <f>SUMIFS(考核调整事项表!$C:$C,考核调整事项表!$G:$G,累计考核费用!$B61,考核调整事项表!$D:$D,累计考核费用!AA$55)+SUMIFS(考核调整事项表!$E:$E,考核调整事项表!$G:$G,累计考核费用!$B61,考核调整事项表!$F:$F,累计考核费用!AA$55)</f>
        <v>0</v>
      </c>
      <c r="AB61" s="157">
        <f>SUMIFS(考核调整事项表!$C:$C,考核调整事项表!$G:$G,累计考核费用!$B61,考核调整事项表!$D:$D,累计考核费用!AB$55)+SUMIFS(考核调整事项表!$E:$E,考核调整事项表!$G:$G,累计考核费用!$B61,考核调整事项表!$F:$F,累计考核费用!AB$55)</f>
        <v>0</v>
      </c>
      <c r="AC61" s="157">
        <f>SUMIFS(考核调整事项表!$C:$C,考核调整事项表!$G:$G,累计考核费用!$B61,考核调整事项表!$D:$D,累计考核费用!AC$55)+SUMIFS(考核调整事项表!$E:$E,考核调整事项表!$G:$G,累计考核费用!$B61,考核调整事项表!$F:$F,累计考核费用!AC$55)</f>
        <v>0</v>
      </c>
    </row>
    <row r="62" spans="1:29">
      <c r="A62" s="280"/>
      <c r="B62" s="47" t="s">
        <v>95</v>
      </c>
      <c r="C62" s="9">
        <f t="shared" si="2"/>
        <v>0</v>
      </c>
      <c r="D62" s="157">
        <f>SUMIFS(考核调整事项表!$C:$C,考核调整事项表!$G:$G,累计考核费用!$B62,考核调整事项表!$D:$D,累计考核费用!D$55)+SUMIFS(考核调整事项表!$E:$E,考核调整事项表!$G:$G,累计考核费用!$B62,考核调整事项表!$F:$F,累计考核费用!D$55)</f>
        <v>0</v>
      </c>
      <c r="E62" s="157">
        <f>SUMIFS(考核调整事项表!$C:$C,考核调整事项表!$G:$G,累计考核费用!$B62,考核调整事项表!$D:$D,累计考核费用!E$55)+SUMIFS(考核调整事项表!$E:$E,考核调整事项表!$G:$G,累计考核费用!$B62,考核调整事项表!$F:$F,累计考核费用!E$55)</f>
        <v>0</v>
      </c>
      <c r="F62" s="157">
        <f>SUMIFS(考核调整事项表!$C:$C,考核调整事项表!$G:$G,累计考核费用!$B62,考核调整事项表!$D:$D,累计考核费用!F$55)+SUMIFS(考核调整事项表!$E:$E,考核调整事项表!$G:$G,累计考核费用!$B62,考核调整事项表!$F:$F,累计考核费用!F$55)</f>
        <v>0</v>
      </c>
      <c r="G62" s="157">
        <f t="shared" si="3"/>
        <v>0</v>
      </c>
      <c r="H62" s="157">
        <f>SUMIFS(考核调整事项表!$C:$C,考核调整事项表!$G:$G,累计考核费用!$B62,考核调整事项表!$D:$D,累计考核费用!H$55)+SUMIFS(考核调整事项表!$E:$E,考核调整事项表!$G:$G,累计考核费用!$B62,考核调整事项表!$F:$F,累计考核费用!H$55)</f>
        <v>0</v>
      </c>
      <c r="I62" s="157">
        <f>SUMIFS(考核调整事项表!$C:$C,考核调整事项表!$G:$G,累计考核费用!$B62,考核调整事项表!$D:$D,累计考核费用!I$55)+SUMIFS(考核调整事项表!$E:$E,考核调整事项表!$G:$G,累计考核费用!$B62,考核调整事项表!$F:$F,累计考核费用!I$55)</f>
        <v>0</v>
      </c>
      <c r="J62" s="157">
        <f>SUMIFS(考核调整事项表!$C:$C,考核调整事项表!$G:$G,累计考核费用!$B62,考核调整事项表!$D:$D,累计考核费用!J$55)+SUMIFS(考核调整事项表!$E:$E,考核调整事项表!$G:$G,累计考核费用!$B62,考核调整事项表!$F:$F,累计考核费用!J$55)</f>
        <v>0</v>
      </c>
      <c r="K62" s="157">
        <f>SUMIFS(考核调整事项表!$C:$C,考核调整事项表!$G:$G,累计考核费用!$B62,考核调整事项表!$D:$D,累计考核费用!K$55)+SUMIFS(考核调整事项表!$E:$E,考核调整事项表!$G:$G,累计考核费用!$B62,考核调整事项表!$F:$F,累计考核费用!K$55)</f>
        <v>0</v>
      </c>
      <c r="L62" s="157">
        <f t="shared" si="4"/>
        <v>0</v>
      </c>
      <c r="M62" s="157">
        <f>SUMIFS(考核调整事项表!$C:$C,考核调整事项表!$G:$G,累计考核费用!$B62,考核调整事项表!$D:$D,累计考核费用!M$55)+SUMIFS(考核调整事项表!$E:$E,考核调整事项表!$G:$G,累计考核费用!$B62,考核调整事项表!$F:$F,累计考核费用!M$55)</f>
        <v>0</v>
      </c>
      <c r="N62" s="157">
        <f>SUMIFS(考核调整事项表!$C:$C,考核调整事项表!$G:$G,累计考核费用!$B62,考核调整事项表!$D:$D,累计考核费用!N$55)+SUMIFS(考核调整事项表!$E:$E,考核调整事项表!$G:$G,累计考核费用!$B62,考核调整事项表!$F:$F,累计考核费用!N$55)</f>
        <v>0</v>
      </c>
      <c r="O62" s="157">
        <f>SUMIFS(考核调整事项表!$C:$C,考核调整事项表!$G:$G,累计考核费用!$B62,考核调整事项表!$D:$D,累计考核费用!O$55)+SUMIFS(考核调整事项表!$E:$E,考核调整事项表!$G:$G,累计考核费用!$B62,考核调整事项表!$F:$F,累计考核费用!O$55)</f>
        <v>0</v>
      </c>
      <c r="P62" s="157">
        <f>SUMIFS(考核调整事项表!$C:$C,考核调整事项表!$G:$G,累计考核费用!$B62,考核调整事项表!$D:$D,累计考核费用!P$55)+SUMIFS(考核调整事项表!$E:$E,考核调整事项表!$G:$G,累计考核费用!$B62,考核调整事项表!$F:$F,累计考核费用!P$55)</f>
        <v>0</v>
      </c>
      <c r="Q62" s="157">
        <f>SUMIFS(考核调整事项表!$C:$C,考核调整事项表!$G:$G,累计考核费用!$B62,考核调整事项表!$D:$D,累计考核费用!Q$55)+SUMIFS(考核调整事项表!$E:$E,考核调整事项表!$G:$G,累计考核费用!$B62,考核调整事项表!$F:$F,累计考核费用!Q$55)</f>
        <v>0</v>
      </c>
      <c r="R62" s="157">
        <f>SUMIFS(考核调整事项表!$C:$C,考核调整事项表!$G:$G,累计考核费用!$B62,考核调整事项表!$D:$D,累计考核费用!R$55)+SUMIFS(考核调整事项表!$E:$E,考核调整事项表!$G:$G,累计考核费用!$B62,考核调整事项表!$F:$F,累计考核费用!R$55)</f>
        <v>0</v>
      </c>
      <c r="S62" s="157">
        <f>SUMIFS(考核调整事项表!$C:$C,考核调整事项表!$G:$G,累计考核费用!$B62,考核调整事项表!$D:$D,累计考核费用!S$55)+SUMIFS(考核调整事项表!$E:$E,考核调整事项表!$G:$G,累计考核费用!$B62,考核调整事项表!$F:$F,累计考核费用!S$55)</f>
        <v>0</v>
      </c>
      <c r="T62" s="160">
        <f t="shared" si="5"/>
        <v>0</v>
      </c>
      <c r="U62" s="157">
        <f>SUMIFS(考核调整事项表!$C:$C,考核调整事项表!$G:$G,累计考核费用!$B62,考核调整事项表!$D:$D,累计考核费用!U$55)+SUMIFS(考核调整事项表!$E:$E,考核调整事项表!$G:$G,累计考核费用!$B62,考核调整事项表!$F:$F,累计考核费用!U$55)</f>
        <v>0</v>
      </c>
      <c r="V62" s="157">
        <f>SUMIFS(考核调整事项表!$C:$C,考核调整事项表!$G:$G,累计考核费用!$B62,考核调整事项表!$D:$D,累计考核费用!V$55)+SUMIFS(考核调整事项表!$E:$E,考核调整事项表!$G:$G,累计考核费用!$B62,考核调整事项表!$F:$F,累计考核费用!V$55)</f>
        <v>0</v>
      </c>
      <c r="W62" s="157">
        <f>SUMIFS(考核调整事项表!$C:$C,考核调整事项表!$G:$G,累计考核费用!$B62,考核调整事项表!$D:$D,累计考核费用!W$55)+SUMIFS(考核调整事项表!$E:$E,考核调整事项表!$G:$G,累计考核费用!$B62,考核调整事项表!$F:$F,累计考核费用!W$55)</f>
        <v>0</v>
      </c>
      <c r="X62" s="157">
        <f>SUMIFS(考核调整事项表!$C:$C,考核调整事项表!$G:$G,累计考核费用!$B62,考核调整事项表!$D:$D,累计考核费用!X$55)+SUMIFS(考核调整事项表!$E:$E,考核调整事项表!$G:$G,累计考核费用!$B62,考核调整事项表!$F:$F,累计考核费用!X$55)</f>
        <v>0</v>
      </c>
      <c r="Y62" s="157">
        <f>SUMIFS(考核调整事项表!$C:$C,考核调整事项表!$G:$G,累计考核费用!$B62,考核调整事项表!$D:$D,累计考核费用!Y$55)+SUMIFS(考核调整事项表!$E:$E,考核调整事项表!$G:$G,累计考核费用!$B62,考核调整事项表!$F:$F,累计考核费用!Y$55)</f>
        <v>0</v>
      </c>
      <c r="Z62" s="157">
        <f>SUMIFS(考核调整事项表!$C:$C,考核调整事项表!$G:$G,累计考核费用!$B62,考核调整事项表!$D:$D,累计考核费用!Z$55)+SUMIFS(考核调整事项表!$E:$E,考核调整事项表!$G:$G,累计考核费用!$B62,考核调整事项表!$F:$F,累计考核费用!Z$55)</f>
        <v>0</v>
      </c>
      <c r="AA62" s="157">
        <f>SUMIFS(考核调整事项表!$C:$C,考核调整事项表!$G:$G,累计考核费用!$B62,考核调整事项表!$D:$D,累计考核费用!AA$55)+SUMIFS(考核调整事项表!$E:$E,考核调整事项表!$G:$G,累计考核费用!$B62,考核调整事项表!$F:$F,累计考核费用!AA$55)</f>
        <v>0</v>
      </c>
      <c r="AB62" s="157">
        <f>SUMIFS(考核调整事项表!$C:$C,考核调整事项表!$G:$G,累计考核费用!$B62,考核调整事项表!$D:$D,累计考核费用!AB$55)+SUMIFS(考核调整事项表!$E:$E,考核调整事项表!$G:$G,累计考核费用!$B62,考核调整事项表!$F:$F,累计考核费用!AB$55)</f>
        <v>0</v>
      </c>
      <c r="AC62" s="157">
        <f>SUMIFS(考核调整事项表!$C:$C,考核调整事项表!$G:$G,累计考核费用!$B62,考核调整事项表!$D:$D,累计考核费用!AC$55)+SUMIFS(考核调整事项表!$E:$E,考核调整事项表!$G:$G,累计考核费用!$B62,考核调整事项表!$F:$F,累计考核费用!AC$55)</f>
        <v>0</v>
      </c>
    </row>
    <row r="63" spans="1:29">
      <c r="A63" s="280"/>
      <c r="B63" s="47" t="s">
        <v>96</v>
      </c>
      <c r="C63" s="9">
        <f t="shared" si="2"/>
        <v>0</v>
      </c>
      <c r="D63" s="157">
        <f>SUMIFS(考核调整事项表!$C:$C,考核调整事项表!$G:$G,累计考核费用!$B63,考核调整事项表!$D:$D,累计考核费用!D$55)+SUMIFS(考核调整事项表!$E:$E,考核调整事项表!$G:$G,累计考核费用!$B63,考核调整事项表!$F:$F,累计考核费用!D$55)</f>
        <v>0</v>
      </c>
      <c r="E63" s="157">
        <f>SUMIFS(考核调整事项表!$C:$C,考核调整事项表!$G:$G,累计考核费用!$B63,考核调整事项表!$D:$D,累计考核费用!E$55)+SUMIFS(考核调整事项表!$E:$E,考核调整事项表!$G:$G,累计考核费用!$B63,考核调整事项表!$F:$F,累计考核费用!E$55)</f>
        <v>0</v>
      </c>
      <c r="F63" s="157">
        <f>SUMIFS(考核调整事项表!$C:$C,考核调整事项表!$G:$G,累计考核费用!$B63,考核调整事项表!$D:$D,累计考核费用!F$55)+SUMIFS(考核调整事项表!$E:$E,考核调整事项表!$G:$G,累计考核费用!$B63,考核调整事项表!$F:$F,累计考核费用!F$55)</f>
        <v>0</v>
      </c>
      <c r="G63" s="157">
        <f t="shared" si="3"/>
        <v>0</v>
      </c>
      <c r="H63" s="157">
        <f>SUMIFS(考核调整事项表!$C:$C,考核调整事项表!$G:$G,累计考核费用!$B63,考核调整事项表!$D:$D,累计考核费用!H$55)+SUMIFS(考核调整事项表!$E:$E,考核调整事项表!$G:$G,累计考核费用!$B63,考核调整事项表!$F:$F,累计考核费用!H$55)</f>
        <v>0</v>
      </c>
      <c r="I63" s="157">
        <f>SUMIFS(考核调整事项表!$C:$C,考核调整事项表!$G:$G,累计考核费用!$B63,考核调整事项表!$D:$D,累计考核费用!I$55)+SUMIFS(考核调整事项表!$E:$E,考核调整事项表!$G:$G,累计考核费用!$B63,考核调整事项表!$F:$F,累计考核费用!I$55)</f>
        <v>0</v>
      </c>
      <c r="J63" s="157">
        <f>SUMIFS(考核调整事项表!$C:$C,考核调整事项表!$G:$G,累计考核费用!$B63,考核调整事项表!$D:$D,累计考核费用!J$55)+SUMIFS(考核调整事项表!$E:$E,考核调整事项表!$G:$G,累计考核费用!$B63,考核调整事项表!$F:$F,累计考核费用!J$55)</f>
        <v>0</v>
      </c>
      <c r="K63" s="157">
        <f>SUMIFS(考核调整事项表!$C:$C,考核调整事项表!$G:$G,累计考核费用!$B63,考核调整事项表!$D:$D,累计考核费用!K$55)+SUMIFS(考核调整事项表!$E:$E,考核调整事项表!$G:$G,累计考核费用!$B63,考核调整事项表!$F:$F,累计考核费用!K$55)</f>
        <v>0</v>
      </c>
      <c r="L63" s="157">
        <f t="shared" si="4"/>
        <v>0</v>
      </c>
      <c r="M63" s="157">
        <f>SUMIFS(考核调整事项表!$C:$C,考核调整事项表!$G:$G,累计考核费用!$B63,考核调整事项表!$D:$D,累计考核费用!M$55)+SUMIFS(考核调整事项表!$E:$E,考核调整事项表!$G:$G,累计考核费用!$B63,考核调整事项表!$F:$F,累计考核费用!M$55)</f>
        <v>0</v>
      </c>
      <c r="N63" s="157">
        <f>SUMIFS(考核调整事项表!$C:$C,考核调整事项表!$G:$G,累计考核费用!$B63,考核调整事项表!$D:$D,累计考核费用!N$55)+SUMIFS(考核调整事项表!$E:$E,考核调整事项表!$G:$G,累计考核费用!$B63,考核调整事项表!$F:$F,累计考核费用!N$55)</f>
        <v>0</v>
      </c>
      <c r="O63" s="157">
        <f>SUMIFS(考核调整事项表!$C:$C,考核调整事项表!$G:$G,累计考核费用!$B63,考核调整事项表!$D:$D,累计考核费用!O$55)+SUMIFS(考核调整事项表!$E:$E,考核调整事项表!$G:$G,累计考核费用!$B63,考核调整事项表!$F:$F,累计考核费用!O$55)</f>
        <v>0</v>
      </c>
      <c r="P63" s="157">
        <f>SUMIFS(考核调整事项表!$C:$C,考核调整事项表!$G:$G,累计考核费用!$B63,考核调整事项表!$D:$D,累计考核费用!P$55)+SUMIFS(考核调整事项表!$E:$E,考核调整事项表!$G:$G,累计考核费用!$B63,考核调整事项表!$F:$F,累计考核费用!P$55)</f>
        <v>0</v>
      </c>
      <c r="Q63" s="157">
        <f>SUMIFS(考核调整事项表!$C:$C,考核调整事项表!$G:$G,累计考核费用!$B63,考核调整事项表!$D:$D,累计考核费用!Q$55)+SUMIFS(考核调整事项表!$E:$E,考核调整事项表!$G:$G,累计考核费用!$B63,考核调整事项表!$F:$F,累计考核费用!Q$55)</f>
        <v>0</v>
      </c>
      <c r="R63" s="157">
        <f>SUMIFS(考核调整事项表!$C:$C,考核调整事项表!$G:$G,累计考核费用!$B63,考核调整事项表!$D:$D,累计考核费用!R$55)+SUMIFS(考核调整事项表!$E:$E,考核调整事项表!$G:$G,累计考核费用!$B63,考核调整事项表!$F:$F,累计考核费用!R$55)</f>
        <v>0</v>
      </c>
      <c r="S63" s="157">
        <f>SUMIFS(考核调整事项表!$C:$C,考核调整事项表!$G:$G,累计考核费用!$B63,考核调整事项表!$D:$D,累计考核费用!S$55)+SUMIFS(考核调整事项表!$E:$E,考核调整事项表!$G:$G,累计考核费用!$B63,考核调整事项表!$F:$F,累计考核费用!S$55)</f>
        <v>0</v>
      </c>
      <c r="T63" s="160">
        <f t="shared" si="5"/>
        <v>0</v>
      </c>
      <c r="U63" s="157">
        <f>SUMIFS(考核调整事项表!$C:$C,考核调整事项表!$G:$G,累计考核费用!$B63,考核调整事项表!$D:$D,累计考核费用!U$55)+SUMIFS(考核调整事项表!$E:$E,考核调整事项表!$G:$G,累计考核费用!$B63,考核调整事项表!$F:$F,累计考核费用!U$55)</f>
        <v>0</v>
      </c>
      <c r="V63" s="157">
        <f>SUMIFS(考核调整事项表!$C:$C,考核调整事项表!$G:$G,累计考核费用!$B63,考核调整事项表!$D:$D,累计考核费用!V$55)+SUMIFS(考核调整事项表!$E:$E,考核调整事项表!$G:$G,累计考核费用!$B63,考核调整事项表!$F:$F,累计考核费用!V$55)</f>
        <v>0</v>
      </c>
      <c r="W63" s="157">
        <f>SUMIFS(考核调整事项表!$C:$C,考核调整事项表!$G:$G,累计考核费用!$B63,考核调整事项表!$D:$D,累计考核费用!W$55)+SUMIFS(考核调整事项表!$E:$E,考核调整事项表!$G:$G,累计考核费用!$B63,考核调整事项表!$F:$F,累计考核费用!W$55)</f>
        <v>0</v>
      </c>
      <c r="X63" s="157">
        <f>SUMIFS(考核调整事项表!$C:$C,考核调整事项表!$G:$G,累计考核费用!$B63,考核调整事项表!$D:$D,累计考核费用!X$55)+SUMIFS(考核调整事项表!$E:$E,考核调整事项表!$G:$G,累计考核费用!$B63,考核调整事项表!$F:$F,累计考核费用!X$55)</f>
        <v>0</v>
      </c>
      <c r="Y63" s="157">
        <f>SUMIFS(考核调整事项表!$C:$C,考核调整事项表!$G:$G,累计考核费用!$B63,考核调整事项表!$D:$D,累计考核费用!Y$55)+SUMIFS(考核调整事项表!$E:$E,考核调整事项表!$G:$G,累计考核费用!$B63,考核调整事项表!$F:$F,累计考核费用!Y$55)</f>
        <v>0</v>
      </c>
      <c r="Z63" s="157">
        <f>SUMIFS(考核调整事项表!$C:$C,考核调整事项表!$G:$G,累计考核费用!$B63,考核调整事项表!$D:$D,累计考核费用!Z$55)+SUMIFS(考核调整事项表!$E:$E,考核调整事项表!$G:$G,累计考核费用!$B63,考核调整事项表!$F:$F,累计考核费用!Z$55)</f>
        <v>0</v>
      </c>
      <c r="AA63" s="157">
        <f>SUMIFS(考核调整事项表!$C:$C,考核调整事项表!$G:$G,累计考核费用!$B63,考核调整事项表!$D:$D,累计考核费用!AA$55)+SUMIFS(考核调整事项表!$E:$E,考核调整事项表!$G:$G,累计考核费用!$B63,考核调整事项表!$F:$F,累计考核费用!AA$55)</f>
        <v>0</v>
      </c>
      <c r="AB63" s="157">
        <f>SUMIFS(考核调整事项表!$C:$C,考核调整事项表!$G:$G,累计考核费用!$B63,考核调整事项表!$D:$D,累计考核费用!AB$55)+SUMIFS(考核调整事项表!$E:$E,考核调整事项表!$G:$G,累计考核费用!$B63,考核调整事项表!$F:$F,累计考核费用!AB$55)</f>
        <v>0</v>
      </c>
      <c r="AC63" s="157">
        <f>SUMIFS(考核调整事项表!$C:$C,考核调整事项表!$G:$G,累计考核费用!$B63,考核调整事项表!$D:$D,累计考核费用!AC$55)+SUMIFS(考核调整事项表!$E:$E,考核调整事项表!$G:$G,累计考核费用!$B63,考核调整事项表!$F:$F,累计考核费用!AC$55)</f>
        <v>0</v>
      </c>
    </row>
    <row r="64" spans="1:29">
      <c r="A64" s="280"/>
      <c r="B64" s="47" t="s">
        <v>97</v>
      </c>
      <c r="C64" s="9">
        <f t="shared" si="2"/>
        <v>0</v>
      </c>
      <c r="D64" s="157">
        <f>SUMIFS(考核调整事项表!$C:$C,考核调整事项表!$G:$G,累计考核费用!$B64,考核调整事项表!$D:$D,累计考核费用!D$55)+SUMIFS(考核调整事项表!$E:$E,考核调整事项表!$G:$G,累计考核费用!$B64,考核调整事项表!$F:$F,累计考核费用!D$55)</f>
        <v>0</v>
      </c>
      <c r="E64" s="157">
        <f>SUMIFS(考核调整事项表!$C:$C,考核调整事项表!$G:$G,累计考核费用!$B64,考核调整事项表!$D:$D,累计考核费用!E$55)+SUMIFS(考核调整事项表!$E:$E,考核调整事项表!$G:$G,累计考核费用!$B64,考核调整事项表!$F:$F,累计考核费用!E$55)</f>
        <v>0</v>
      </c>
      <c r="F64" s="157">
        <f>SUMIFS(考核调整事项表!$C:$C,考核调整事项表!$G:$G,累计考核费用!$B64,考核调整事项表!$D:$D,累计考核费用!F$55)+SUMIFS(考核调整事项表!$E:$E,考核调整事项表!$G:$G,累计考核费用!$B64,考核调整事项表!$F:$F,累计考核费用!F$55)</f>
        <v>0</v>
      </c>
      <c r="G64" s="157">
        <f t="shared" si="3"/>
        <v>0</v>
      </c>
      <c r="H64" s="157">
        <f>SUMIFS(考核调整事项表!$C:$C,考核调整事项表!$G:$G,累计考核费用!$B64,考核调整事项表!$D:$D,累计考核费用!H$55)+SUMIFS(考核调整事项表!$E:$E,考核调整事项表!$G:$G,累计考核费用!$B64,考核调整事项表!$F:$F,累计考核费用!H$55)</f>
        <v>0</v>
      </c>
      <c r="I64" s="157">
        <f>SUMIFS(考核调整事项表!$C:$C,考核调整事项表!$G:$G,累计考核费用!$B64,考核调整事项表!$D:$D,累计考核费用!I$55)+SUMIFS(考核调整事项表!$E:$E,考核调整事项表!$G:$G,累计考核费用!$B64,考核调整事项表!$F:$F,累计考核费用!I$55)</f>
        <v>0</v>
      </c>
      <c r="J64" s="157">
        <f>SUMIFS(考核调整事项表!$C:$C,考核调整事项表!$G:$G,累计考核费用!$B64,考核调整事项表!$D:$D,累计考核费用!J$55)+SUMIFS(考核调整事项表!$E:$E,考核调整事项表!$G:$G,累计考核费用!$B64,考核调整事项表!$F:$F,累计考核费用!J$55)</f>
        <v>0</v>
      </c>
      <c r="K64" s="157">
        <f>SUMIFS(考核调整事项表!$C:$C,考核调整事项表!$G:$G,累计考核费用!$B64,考核调整事项表!$D:$D,累计考核费用!K$55)+SUMIFS(考核调整事项表!$E:$E,考核调整事项表!$G:$G,累计考核费用!$B64,考核调整事项表!$F:$F,累计考核费用!K$55)</f>
        <v>0</v>
      </c>
      <c r="L64" s="157">
        <f t="shared" si="4"/>
        <v>0</v>
      </c>
      <c r="M64" s="157">
        <f>SUMIFS(考核调整事项表!$C:$C,考核调整事项表!$G:$G,累计考核费用!$B64,考核调整事项表!$D:$D,累计考核费用!M$55)+SUMIFS(考核调整事项表!$E:$E,考核调整事项表!$G:$G,累计考核费用!$B64,考核调整事项表!$F:$F,累计考核费用!M$55)</f>
        <v>0</v>
      </c>
      <c r="N64" s="157">
        <f>SUMIFS(考核调整事项表!$C:$C,考核调整事项表!$G:$G,累计考核费用!$B64,考核调整事项表!$D:$D,累计考核费用!N$55)+SUMIFS(考核调整事项表!$E:$E,考核调整事项表!$G:$G,累计考核费用!$B64,考核调整事项表!$F:$F,累计考核费用!N$55)</f>
        <v>0</v>
      </c>
      <c r="O64" s="157">
        <f>SUMIFS(考核调整事项表!$C:$C,考核调整事项表!$G:$G,累计考核费用!$B64,考核调整事项表!$D:$D,累计考核费用!O$55)+SUMIFS(考核调整事项表!$E:$E,考核调整事项表!$G:$G,累计考核费用!$B64,考核调整事项表!$F:$F,累计考核费用!O$55)</f>
        <v>0</v>
      </c>
      <c r="P64" s="157">
        <f>SUMIFS(考核调整事项表!$C:$C,考核调整事项表!$G:$G,累计考核费用!$B64,考核调整事项表!$D:$D,累计考核费用!P$55)+SUMIFS(考核调整事项表!$E:$E,考核调整事项表!$G:$G,累计考核费用!$B64,考核调整事项表!$F:$F,累计考核费用!P$55)</f>
        <v>0</v>
      </c>
      <c r="Q64" s="157">
        <f>SUMIFS(考核调整事项表!$C:$C,考核调整事项表!$G:$G,累计考核费用!$B64,考核调整事项表!$D:$D,累计考核费用!Q$55)+SUMIFS(考核调整事项表!$E:$E,考核调整事项表!$G:$G,累计考核费用!$B64,考核调整事项表!$F:$F,累计考核费用!Q$55)</f>
        <v>0</v>
      </c>
      <c r="R64" s="157">
        <f>SUMIFS(考核调整事项表!$C:$C,考核调整事项表!$G:$G,累计考核费用!$B64,考核调整事项表!$D:$D,累计考核费用!R$55)+SUMIFS(考核调整事项表!$E:$E,考核调整事项表!$G:$G,累计考核费用!$B64,考核调整事项表!$F:$F,累计考核费用!R$55)</f>
        <v>0</v>
      </c>
      <c r="S64" s="157">
        <f>SUMIFS(考核调整事项表!$C:$C,考核调整事项表!$G:$G,累计考核费用!$B64,考核调整事项表!$D:$D,累计考核费用!S$55)+SUMIFS(考核调整事项表!$E:$E,考核调整事项表!$G:$G,累计考核费用!$B64,考核调整事项表!$F:$F,累计考核费用!S$55)</f>
        <v>0</v>
      </c>
      <c r="T64" s="160">
        <f t="shared" si="5"/>
        <v>0</v>
      </c>
      <c r="U64" s="157">
        <f>SUMIFS(考核调整事项表!$C:$C,考核调整事项表!$G:$G,累计考核费用!$B64,考核调整事项表!$D:$D,累计考核费用!U$55)+SUMIFS(考核调整事项表!$E:$E,考核调整事项表!$G:$G,累计考核费用!$B64,考核调整事项表!$F:$F,累计考核费用!U$55)</f>
        <v>0</v>
      </c>
      <c r="V64" s="157">
        <f>SUMIFS(考核调整事项表!$C:$C,考核调整事项表!$G:$G,累计考核费用!$B64,考核调整事项表!$D:$D,累计考核费用!V$55)+SUMIFS(考核调整事项表!$E:$E,考核调整事项表!$G:$G,累计考核费用!$B64,考核调整事项表!$F:$F,累计考核费用!V$55)</f>
        <v>0</v>
      </c>
      <c r="W64" s="157">
        <f>SUMIFS(考核调整事项表!$C:$C,考核调整事项表!$G:$G,累计考核费用!$B64,考核调整事项表!$D:$D,累计考核费用!W$55)+SUMIFS(考核调整事项表!$E:$E,考核调整事项表!$G:$G,累计考核费用!$B64,考核调整事项表!$F:$F,累计考核费用!W$55)</f>
        <v>0</v>
      </c>
      <c r="X64" s="157">
        <f>SUMIFS(考核调整事项表!$C:$C,考核调整事项表!$G:$G,累计考核费用!$B64,考核调整事项表!$D:$D,累计考核费用!X$55)+SUMIFS(考核调整事项表!$E:$E,考核调整事项表!$G:$G,累计考核费用!$B64,考核调整事项表!$F:$F,累计考核费用!X$55)</f>
        <v>0</v>
      </c>
      <c r="Y64" s="157">
        <f>SUMIFS(考核调整事项表!$C:$C,考核调整事项表!$G:$G,累计考核费用!$B64,考核调整事项表!$D:$D,累计考核费用!Y$55)+SUMIFS(考核调整事项表!$E:$E,考核调整事项表!$G:$G,累计考核费用!$B64,考核调整事项表!$F:$F,累计考核费用!Y$55)</f>
        <v>0</v>
      </c>
      <c r="Z64" s="157">
        <f>SUMIFS(考核调整事项表!$C:$C,考核调整事项表!$G:$G,累计考核费用!$B64,考核调整事项表!$D:$D,累计考核费用!Z$55)+SUMIFS(考核调整事项表!$E:$E,考核调整事项表!$G:$G,累计考核费用!$B64,考核调整事项表!$F:$F,累计考核费用!Z$55)</f>
        <v>0</v>
      </c>
      <c r="AA64" s="157">
        <f>SUMIFS(考核调整事项表!$C:$C,考核调整事项表!$G:$G,累计考核费用!$B64,考核调整事项表!$D:$D,累计考核费用!AA$55)+SUMIFS(考核调整事项表!$E:$E,考核调整事项表!$G:$G,累计考核费用!$B64,考核调整事项表!$F:$F,累计考核费用!AA$55)</f>
        <v>0</v>
      </c>
      <c r="AB64" s="157">
        <f>SUMIFS(考核调整事项表!$C:$C,考核调整事项表!$G:$G,累计考核费用!$B64,考核调整事项表!$D:$D,累计考核费用!AB$55)+SUMIFS(考核调整事项表!$E:$E,考核调整事项表!$G:$G,累计考核费用!$B64,考核调整事项表!$F:$F,累计考核费用!AB$55)</f>
        <v>0</v>
      </c>
      <c r="AC64" s="157">
        <f>SUMIFS(考核调整事项表!$C:$C,考核调整事项表!$G:$G,累计考核费用!$B64,考核调整事项表!$D:$D,累计考核费用!AC$55)+SUMIFS(考核调整事项表!$E:$E,考核调整事项表!$G:$G,累计考核费用!$B64,考核调整事项表!$F:$F,累计考核费用!AC$55)</f>
        <v>0</v>
      </c>
    </row>
    <row r="65" spans="1:29">
      <c r="A65" s="280"/>
      <c r="B65" s="47" t="s">
        <v>98</v>
      </c>
      <c r="C65" s="9">
        <f t="shared" si="2"/>
        <v>0</v>
      </c>
      <c r="D65" s="157">
        <f>SUMIFS(考核调整事项表!$C:$C,考核调整事项表!$G:$G,累计考核费用!$B65,考核调整事项表!$D:$D,累计考核费用!D$55)+SUMIFS(考核调整事项表!$E:$E,考核调整事项表!$G:$G,累计考核费用!$B65,考核调整事项表!$F:$F,累计考核费用!D$55)</f>
        <v>0</v>
      </c>
      <c r="E65" s="157">
        <f>SUMIFS(考核调整事项表!$C:$C,考核调整事项表!$G:$G,累计考核费用!$B65,考核调整事项表!$D:$D,累计考核费用!E$55)+SUMIFS(考核调整事项表!$E:$E,考核调整事项表!$G:$G,累计考核费用!$B65,考核调整事项表!$F:$F,累计考核费用!E$55)</f>
        <v>0</v>
      </c>
      <c r="F65" s="157">
        <f>SUMIFS(考核调整事项表!$C:$C,考核调整事项表!$G:$G,累计考核费用!$B65,考核调整事项表!$D:$D,累计考核费用!F$55)+SUMIFS(考核调整事项表!$E:$E,考核调整事项表!$G:$G,累计考核费用!$B65,考核调整事项表!$F:$F,累计考核费用!F$55)</f>
        <v>0</v>
      </c>
      <c r="G65" s="157">
        <f t="shared" si="3"/>
        <v>0</v>
      </c>
      <c r="H65" s="157">
        <f>SUMIFS(考核调整事项表!$C:$C,考核调整事项表!$G:$G,累计考核费用!$B65,考核调整事项表!$D:$D,累计考核费用!H$55)+SUMIFS(考核调整事项表!$E:$E,考核调整事项表!$G:$G,累计考核费用!$B65,考核调整事项表!$F:$F,累计考核费用!H$55)</f>
        <v>0</v>
      </c>
      <c r="I65" s="157">
        <f>SUMIFS(考核调整事项表!$C:$C,考核调整事项表!$G:$G,累计考核费用!$B65,考核调整事项表!$D:$D,累计考核费用!I$55)+SUMIFS(考核调整事项表!$E:$E,考核调整事项表!$G:$G,累计考核费用!$B65,考核调整事项表!$F:$F,累计考核费用!I$55)</f>
        <v>0</v>
      </c>
      <c r="J65" s="157">
        <f>SUMIFS(考核调整事项表!$C:$C,考核调整事项表!$G:$G,累计考核费用!$B65,考核调整事项表!$D:$D,累计考核费用!J$55)+SUMIFS(考核调整事项表!$E:$E,考核调整事项表!$G:$G,累计考核费用!$B65,考核调整事项表!$F:$F,累计考核费用!J$55)</f>
        <v>0</v>
      </c>
      <c r="K65" s="157">
        <f>SUMIFS(考核调整事项表!$C:$C,考核调整事项表!$G:$G,累计考核费用!$B65,考核调整事项表!$D:$D,累计考核费用!K$55)+SUMIFS(考核调整事项表!$E:$E,考核调整事项表!$G:$G,累计考核费用!$B65,考核调整事项表!$F:$F,累计考核费用!K$55)</f>
        <v>0</v>
      </c>
      <c r="L65" s="157">
        <f t="shared" si="4"/>
        <v>0</v>
      </c>
      <c r="M65" s="157">
        <f>SUMIFS(考核调整事项表!$C:$C,考核调整事项表!$G:$G,累计考核费用!$B65,考核调整事项表!$D:$D,累计考核费用!M$55)+SUMIFS(考核调整事项表!$E:$E,考核调整事项表!$G:$G,累计考核费用!$B65,考核调整事项表!$F:$F,累计考核费用!M$55)</f>
        <v>0</v>
      </c>
      <c r="N65" s="157">
        <f>SUMIFS(考核调整事项表!$C:$C,考核调整事项表!$G:$G,累计考核费用!$B65,考核调整事项表!$D:$D,累计考核费用!N$55)+SUMIFS(考核调整事项表!$E:$E,考核调整事项表!$G:$G,累计考核费用!$B65,考核调整事项表!$F:$F,累计考核费用!N$55)</f>
        <v>0</v>
      </c>
      <c r="O65" s="157">
        <f>SUMIFS(考核调整事项表!$C:$C,考核调整事项表!$G:$G,累计考核费用!$B65,考核调整事项表!$D:$D,累计考核费用!O$55)+SUMIFS(考核调整事项表!$E:$E,考核调整事项表!$G:$G,累计考核费用!$B65,考核调整事项表!$F:$F,累计考核费用!O$55)</f>
        <v>0</v>
      </c>
      <c r="P65" s="157">
        <f>SUMIFS(考核调整事项表!$C:$C,考核调整事项表!$G:$G,累计考核费用!$B65,考核调整事项表!$D:$D,累计考核费用!P$55)+SUMIFS(考核调整事项表!$E:$E,考核调整事项表!$G:$G,累计考核费用!$B65,考核调整事项表!$F:$F,累计考核费用!P$55)</f>
        <v>0</v>
      </c>
      <c r="Q65" s="157">
        <f>SUMIFS(考核调整事项表!$C:$C,考核调整事项表!$G:$G,累计考核费用!$B65,考核调整事项表!$D:$D,累计考核费用!Q$55)+SUMIFS(考核调整事项表!$E:$E,考核调整事项表!$G:$G,累计考核费用!$B65,考核调整事项表!$F:$F,累计考核费用!Q$55)</f>
        <v>0</v>
      </c>
      <c r="R65" s="157">
        <f>SUMIFS(考核调整事项表!$C:$C,考核调整事项表!$G:$G,累计考核费用!$B65,考核调整事项表!$D:$D,累计考核费用!R$55)+SUMIFS(考核调整事项表!$E:$E,考核调整事项表!$G:$G,累计考核费用!$B65,考核调整事项表!$F:$F,累计考核费用!R$55)</f>
        <v>0</v>
      </c>
      <c r="S65" s="157">
        <f>SUMIFS(考核调整事项表!$C:$C,考核调整事项表!$G:$G,累计考核费用!$B65,考核调整事项表!$D:$D,累计考核费用!S$55)+SUMIFS(考核调整事项表!$E:$E,考核调整事项表!$G:$G,累计考核费用!$B65,考核调整事项表!$F:$F,累计考核费用!S$55)</f>
        <v>0</v>
      </c>
      <c r="T65" s="160">
        <f t="shared" si="5"/>
        <v>0</v>
      </c>
      <c r="U65" s="157">
        <f>SUMIFS(考核调整事项表!$C:$C,考核调整事项表!$G:$G,累计考核费用!$B65,考核调整事项表!$D:$D,累计考核费用!U$55)+SUMIFS(考核调整事项表!$E:$E,考核调整事项表!$G:$G,累计考核费用!$B65,考核调整事项表!$F:$F,累计考核费用!U$55)</f>
        <v>0</v>
      </c>
      <c r="V65" s="157">
        <f>SUMIFS(考核调整事项表!$C:$C,考核调整事项表!$G:$G,累计考核费用!$B65,考核调整事项表!$D:$D,累计考核费用!V$55)+SUMIFS(考核调整事项表!$E:$E,考核调整事项表!$G:$G,累计考核费用!$B65,考核调整事项表!$F:$F,累计考核费用!V$55)</f>
        <v>0</v>
      </c>
      <c r="W65" s="157">
        <f>SUMIFS(考核调整事项表!$C:$C,考核调整事项表!$G:$G,累计考核费用!$B65,考核调整事项表!$D:$D,累计考核费用!W$55)+SUMIFS(考核调整事项表!$E:$E,考核调整事项表!$G:$G,累计考核费用!$B65,考核调整事项表!$F:$F,累计考核费用!W$55)</f>
        <v>0</v>
      </c>
      <c r="X65" s="157">
        <f>SUMIFS(考核调整事项表!$C:$C,考核调整事项表!$G:$G,累计考核费用!$B65,考核调整事项表!$D:$D,累计考核费用!X$55)+SUMIFS(考核调整事项表!$E:$E,考核调整事项表!$G:$G,累计考核费用!$B65,考核调整事项表!$F:$F,累计考核费用!X$55)</f>
        <v>0</v>
      </c>
      <c r="Y65" s="157">
        <f>SUMIFS(考核调整事项表!$C:$C,考核调整事项表!$G:$G,累计考核费用!$B65,考核调整事项表!$D:$D,累计考核费用!Y$55)+SUMIFS(考核调整事项表!$E:$E,考核调整事项表!$G:$G,累计考核费用!$B65,考核调整事项表!$F:$F,累计考核费用!Y$55)</f>
        <v>0</v>
      </c>
      <c r="Z65" s="157">
        <f>SUMIFS(考核调整事项表!$C:$C,考核调整事项表!$G:$G,累计考核费用!$B65,考核调整事项表!$D:$D,累计考核费用!Z$55)+SUMIFS(考核调整事项表!$E:$E,考核调整事项表!$G:$G,累计考核费用!$B65,考核调整事项表!$F:$F,累计考核费用!Z$55)</f>
        <v>0</v>
      </c>
      <c r="AA65" s="157">
        <f>SUMIFS(考核调整事项表!$C:$C,考核调整事项表!$G:$G,累计考核费用!$B65,考核调整事项表!$D:$D,累计考核费用!AA$55)+SUMIFS(考核调整事项表!$E:$E,考核调整事项表!$G:$G,累计考核费用!$B65,考核调整事项表!$F:$F,累计考核费用!AA$55)</f>
        <v>0</v>
      </c>
      <c r="AB65" s="157">
        <f>SUMIFS(考核调整事项表!$C:$C,考核调整事项表!$G:$G,累计考核费用!$B65,考核调整事项表!$D:$D,累计考核费用!AB$55)+SUMIFS(考核调整事项表!$E:$E,考核调整事项表!$G:$G,累计考核费用!$B65,考核调整事项表!$F:$F,累计考核费用!AB$55)</f>
        <v>0</v>
      </c>
      <c r="AC65" s="157">
        <f>SUMIFS(考核调整事项表!$C:$C,考核调整事项表!$G:$G,累计考核费用!$B65,考核调整事项表!$D:$D,累计考核费用!AC$55)+SUMIFS(考核调整事项表!$E:$E,考核调整事项表!$G:$G,累计考核费用!$B65,考核调整事项表!$F:$F,累计考核费用!AC$55)</f>
        <v>0</v>
      </c>
    </row>
    <row r="66" spans="1:29" ht="13.5" customHeight="1">
      <c r="A66" s="281"/>
      <c r="B66" s="57" t="s">
        <v>99</v>
      </c>
      <c r="C66" s="161">
        <f>SUM(C56:C65)</f>
        <v>0</v>
      </c>
      <c r="D66" s="161">
        <f t="shared" ref="D66:AC66" si="6">SUM(D56:D65)</f>
        <v>0</v>
      </c>
      <c r="E66" s="161">
        <f t="shared" si="6"/>
        <v>3424599.8000000003</v>
      </c>
      <c r="F66" s="161">
        <f t="shared" si="6"/>
        <v>-3424599.8000000003</v>
      </c>
      <c r="G66" s="161">
        <f t="shared" si="6"/>
        <v>0</v>
      </c>
      <c r="H66" s="161">
        <f t="shared" si="6"/>
        <v>0</v>
      </c>
      <c r="I66" s="161">
        <f t="shared" si="6"/>
        <v>0</v>
      </c>
      <c r="J66" s="161">
        <f t="shared" si="6"/>
        <v>0</v>
      </c>
      <c r="K66" s="161">
        <f t="shared" si="6"/>
        <v>0</v>
      </c>
      <c r="L66" s="161">
        <f t="shared" si="6"/>
        <v>0</v>
      </c>
      <c r="M66" s="161">
        <f t="shared" si="6"/>
        <v>0</v>
      </c>
      <c r="N66" s="161">
        <f t="shared" si="6"/>
        <v>0</v>
      </c>
      <c r="O66" s="161">
        <f t="shared" si="6"/>
        <v>0</v>
      </c>
      <c r="P66" s="161">
        <f t="shared" si="6"/>
        <v>0</v>
      </c>
      <c r="Q66" s="161">
        <f t="shared" si="6"/>
        <v>0</v>
      </c>
      <c r="R66" s="161">
        <f t="shared" si="6"/>
        <v>0</v>
      </c>
      <c r="S66" s="161">
        <f t="shared" si="6"/>
        <v>0</v>
      </c>
      <c r="T66" s="161">
        <f t="shared" si="6"/>
        <v>-1493793.1</v>
      </c>
      <c r="U66" s="161">
        <f t="shared" si="6"/>
        <v>0</v>
      </c>
      <c r="V66" s="161">
        <f t="shared" si="6"/>
        <v>0</v>
      </c>
      <c r="W66" s="161">
        <f t="shared" si="6"/>
        <v>-1497378</v>
      </c>
      <c r="X66" s="161">
        <f t="shared" si="6"/>
        <v>0</v>
      </c>
      <c r="Y66" s="161">
        <f t="shared" si="6"/>
        <v>0</v>
      </c>
      <c r="Z66" s="161">
        <f t="shared" si="6"/>
        <v>0</v>
      </c>
      <c r="AA66" s="161">
        <f t="shared" ref="AA66" si="7">SUM(AA56:AA65)</f>
        <v>3584.9</v>
      </c>
      <c r="AB66" s="161">
        <f t="shared" si="6"/>
        <v>1493793.1</v>
      </c>
      <c r="AC66" s="161">
        <f t="shared" si="6"/>
        <v>0</v>
      </c>
    </row>
    <row r="67" spans="1:29" ht="13.5" customHeight="1">
      <c r="A67" s="276" t="s">
        <v>100</v>
      </c>
      <c r="B67" s="47" t="s">
        <v>101</v>
      </c>
      <c r="C67" s="9">
        <f>SUM(D67:G67)+L67+T67+AC67+AB67</f>
        <v>0</v>
      </c>
      <c r="D67" s="157">
        <f>SUMIFS(考核调整事项表!$C:$C,考核调整事项表!$G:$G,累计考核费用!$B67,考核调整事项表!$D:$D,累计考核费用!D$55)+SUMIFS(考核调整事项表!$E:$E,考核调整事项表!$G:$G,累计考核费用!$B67,考核调整事项表!$F:$F,累计考核费用!D$55)</f>
        <v>-1927722.16</v>
      </c>
      <c r="E67" s="157">
        <f>SUMIFS(考核调整事项表!$C:$C,考核调整事项表!$G:$G,累计考核费用!$B67,考核调整事项表!$D:$D,累计考核费用!E$55)+SUMIFS(考核调整事项表!$E:$E,考核调整事项表!$G:$G,累计考核费用!$B67,考核调整事项表!$F:$F,累计考核费用!E$55)</f>
        <v>0</v>
      </c>
      <c r="F67" s="157">
        <f>SUMIFS(考核调整事项表!$C:$C,考核调整事项表!$G:$G,累计考核费用!$B67,考核调整事项表!$D:$D,累计考核费用!F$55)+SUMIFS(考核调整事项表!$E:$E,考核调整事项表!$G:$G,累计考核费用!$B67,考核调整事项表!$F:$F,累计考核费用!F$55)</f>
        <v>0</v>
      </c>
      <c r="G67" s="157">
        <f t="shared" si="3"/>
        <v>1927722.1600000001</v>
      </c>
      <c r="H67" s="157">
        <f>SUMIFS(考核调整事项表!$C:$C,考核调整事项表!$G:$G,累计考核费用!$B67,考核调整事项表!$D:$D,累计考核费用!H$55)+SUMIFS(考核调整事项表!$E:$E,考核调整事项表!$G:$G,累计考核费用!$B67,考核调整事项表!$F:$F,累计考核费用!H$55)</f>
        <v>-656829.9</v>
      </c>
      <c r="I67" s="157">
        <f>SUMIFS(考核调整事项表!$C:$C,考核调整事项表!$G:$G,累计考核费用!$B67,考核调整事项表!$D:$D,累计考核费用!I$55)+SUMIFS(考核调整事项表!$E:$E,考核调整事项表!$G:$G,累计考核费用!$B67,考核调整事项表!$F:$F,累计考核费用!I$55)</f>
        <v>0</v>
      </c>
      <c r="J67" s="157">
        <f>SUMIFS(考核调整事项表!$C:$C,考核调整事项表!$G:$G,累计考核费用!$B67,考核调整事项表!$D:$D,累计考核费用!J$55)+SUMIFS(考核调整事项表!$E:$E,考核调整事项表!$G:$G,累计考核费用!$B67,考核调整事项表!$F:$F,累计考核费用!J$55)</f>
        <v>1559934.56</v>
      </c>
      <c r="K67" s="157">
        <f>SUMIFS(考核调整事项表!$C:$C,考核调整事项表!$G:$G,累计考核费用!$B67,考核调整事项表!$D:$D,累计考核费用!K$55)+SUMIFS(考核调整事项表!$E:$E,考核调整事项表!$G:$G,累计考核费用!$B67,考核调整事项表!$F:$F,累计考核费用!K$55)</f>
        <v>1024617.5</v>
      </c>
      <c r="L67" s="157">
        <f t="shared" si="4"/>
        <v>0</v>
      </c>
      <c r="M67" s="157">
        <f>SUMIFS(考核调整事项表!$C:$C,考核调整事项表!$G:$G,累计考核费用!$B67,考核调整事项表!$D:$D,累计考核费用!M$55)+SUMIFS(考核调整事项表!$E:$E,考核调整事项表!$G:$G,累计考核费用!$B67,考核调整事项表!$F:$F,累计考核费用!M$55)</f>
        <v>0</v>
      </c>
      <c r="N67" s="157">
        <f>SUMIFS(考核调整事项表!$C:$C,考核调整事项表!$G:$G,累计考核费用!$B67,考核调整事项表!$D:$D,累计考核费用!N$55)+SUMIFS(考核调整事项表!$E:$E,考核调整事项表!$G:$G,累计考核费用!$B67,考核调整事项表!$F:$F,累计考核费用!N$55)</f>
        <v>0</v>
      </c>
      <c r="O67" s="157">
        <f>SUMIFS(考核调整事项表!$C:$C,考核调整事项表!$G:$G,累计考核费用!$B67,考核调整事项表!$D:$D,累计考核费用!O$55)+SUMIFS(考核调整事项表!$E:$E,考核调整事项表!$G:$G,累计考核费用!$B67,考核调整事项表!$F:$F,累计考核费用!O$55)</f>
        <v>0</v>
      </c>
      <c r="P67" s="157">
        <f>SUMIFS(考核调整事项表!$C:$C,考核调整事项表!$G:$G,累计考核费用!$B67,考核调整事项表!$D:$D,累计考核费用!P$55)+SUMIFS(考核调整事项表!$E:$E,考核调整事项表!$G:$G,累计考核费用!$B67,考核调整事项表!$F:$F,累计考核费用!P$55)</f>
        <v>0</v>
      </c>
      <c r="Q67" s="157">
        <f>SUMIFS(考核调整事项表!$C:$C,考核调整事项表!$G:$G,累计考核费用!$B67,考核调整事项表!$D:$D,累计考核费用!Q$55)+SUMIFS(考核调整事项表!$E:$E,考核调整事项表!$G:$G,累计考核费用!$B67,考核调整事项表!$F:$F,累计考核费用!Q$55)</f>
        <v>0</v>
      </c>
      <c r="R67" s="157">
        <f>SUMIFS(考核调整事项表!$C:$C,考核调整事项表!$G:$G,累计考核费用!$B67,考核调整事项表!$D:$D,累计考核费用!R$55)+SUMIFS(考核调整事项表!$E:$E,考核调整事项表!$G:$G,累计考核费用!$B67,考核调整事项表!$F:$F,累计考核费用!R$55)</f>
        <v>0</v>
      </c>
      <c r="S67" s="157">
        <f>SUMIFS(考核调整事项表!$C:$C,考核调整事项表!$G:$G,累计考核费用!$B67,考核调整事项表!$D:$D,累计考核费用!S$55)+SUMIFS(考核调整事项表!$E:$E,考核调整事项表!$G:$G,累计考核费用!$B67,考核调整事项表!$F:$F,累计考核费用!S$55)</f>
        <v>0</v>
      </c>
      <c r="T67" s="160">
        <f t="shared" si="5"/>
        <v>0</v>
      </c>
      <c r="U67" s="157">
        <f>SUMIFS(考核调整事项表!$C:$C,考核调整事项表!$G:$G,累计考核费用!$B67,考核调整事项表!$D:$D,累计考核费用!U$55)+SUMIFS(考核调整事项表!$E:$E,考核调整事项表!$G:$G,累计考核费用!$B67,考核调整事项表!$F:$F,累计考核费用!U$55)</f>
        <v>0</v>
      </c>
      <c r="V67" s="157">
        <f>SUMIFS(考核调整事项表!$C:$C,考核调整事项表!$G:$G,累计考核费用!$B67,考核调整事项表!$D:$D,累计考核费用!V$55)+SUMIFS(考核调整事项表!$E:$E,考核调整事项表!$G:$G,累计考核费用!$B67,考核调整事项表!$F:$F,累计考核费用!V$55)</f>
        <v>0</v>
      </c>
      <c r="W67" s="157">
        <f>SUMIFS(考核调整事项表!$C:$C,考核调整事项表!$G:$G,累计考核费用!$B67,考核调整事项表!$D:$D,累计考核费用!W$55)+SUMIFS(考核调整事项表!$E:$E,考核调整事项表!$G:$G,累计考核费用!$B67,考核调整事项表!$F:$F,累计考核费用!W$55)</f>
        <v>0</v>
      </c>
      <c r="X67" s="157">
        <f>SUMIFS(考核调整事项表!$C:$C,考核调整事项表!$G:$G,累计考核费用!$B67,考核调整事项表!$D:$D,累计考核费用!X$55)+SUMIFS(考核调整事项表!$E:$E,考核调整事项表!$G:$G,累计考核费用!$B67,考核调整事项表!$F:$F,累计考核费用!X$55)</f>
        <v>0</v>
      </c>
      <c r="Y67" s="157">
        <f>SUMIFS(考核调整事项表!$C:$C,考核调整事项表!$G:$G,累计考核费用!$B67,考核调整事项表!$D:$D,累计考核费用!Y$55)+SUMIFS(考核调整事项表!$E:$E,考核调整事项表!$G:$G,累计考核费用!$B67,考核调整事项表!$F:$F,累计考核费用!Y$55)</f>
        <v>0</v>
      </c>
      <c r="Z67" s="157">
        <f>SUMIFS(考核调整事项表!$C:$C,考核调整事项表!$G:$G,累计考核费用!$B67,考核调整事项表!$D:$D,累计考核费用!Z$55)+SUMIFS(考核调整事项表!$E:$E,考核调整事项表!$G:$G,累计考核费用!$B67,考核调整事项表!$F:$F,累计考核费用!Z$55)</f>
        <v>0</v>
      </c>
      <c r="AA67" s="157">
        <f>SUMIFS(考核调整事项表!$C:$C,考核调整事项表!$G:$G,累计考核费用!$B67,考核调整事项表!$D:$D,累计考核费用!AA$55)+SUMIFS(考核调整事项表!$E:$E,考核调整事项表!$G:$G,累计考核费用!$B67,考核调整事项表!$F:$F,累计考核费用!AA$55)</f>
        <v>0</v>
      </c>
      <c r="AB67" s="157">
        <f>SUMIFS(考核调整事项表!$C:$C,考核调整事项表!$G:$G,累计考核费用!$B67,考核调整事项表!$D:$D,累计考核费用!AB$55)+SUMIFS(考核调整事项表!$E:$E,考核调整事项表!$G:$G,累计考核费用!$B67,考核调整事项表!$F:$F,累计考核费用!AB$55)</f>
        <v>0</v>
      </c>
      <c r="AC67" s="157">
        <f>SUMIFS(考核调整事项表!$C:$C,考核调整事项表!$G:$G,累计考核费用!$B67,考核调整事项表!$D:$D,累计考核费用!AC$55)+SUMIFS(考核调整事项表!$E:$E,考核调整事项表!$G:$G,累计考核费用!$B67,考核调整事项表!$F:$F,累计考核费用!AC$55)</f>
        <v>0</v>
      </c>
    </row>
    <row r="68" spans="1:29">
      <c r="A68" s="277"/>
      <c r="B68" s="47" t="s">
        <v>102</v>
      </c>
      <c r="C68" s="9">
        <f>SUM(D68:G68)+L68+T68+AC68+AB68</f>
        <v>0</v>
      </c>
      <c r="D68" s="157">
        <f>SUMIFS(考核调整事项表!$C:$C,考核调整事项表!$G:$G,累计考核费用!$B68,考核调整事项表!$D:$D,累计考核费用!D$55)+SUMIFS(考核调整事项表!$E:$E,考核调整事项表!$G:$G,累计考核费用!$B68,考核调整事项表!$F:$F,累计考核费用!D$55)</f>
        <v>8718662.6199999992</v>
      </c>
      <c r="E68" s="157">
        <f>SUMIFS(考核调整事项表!$C:$C,考核调整事项表!$G:$G,累计考核费用!$B68,考核调整事项表!$D:$D,累计考核费用!E$55)+SUMIFS(考核调整事项表!$E:$E,考核调整事项表!$G:$G,累计考核费用!$B68,考核调整事项表!$F:$F,累计考核费用!E$55)</f>
        <v>18135464.329999998</v>
      </c>
      <c r="F68" s="157">
        <f>SUMIFS(考核调整事项表!$C:$C,考核调整事项表!$G:$G,累计考核费用!$B68,考核调整事项表!$D:$D,累计考核费用!F$55)+SUMIFS(考核调整事项表!$E:$E,考核调整事项表!$G:$G,累计考核费用!$B68,考核调整事项表!$F:$F,累计考核费用!F$55)</f>
        <v>-8663062.6199999992</v>
      </c>
      <c r="G68" s="157">
        <f t="shared" si="3"/>
        <v>-606</v>
      </c>
      <c r="H68" s="157">
        <f>SUMIFS(考核调整事项表!$C:$C,考核调整事项表!$G:$G,累计考核费用!$B68,考核调整事项表!$D:$D,累计考核费用!H$55)+SUMIFS(考核调整事项表!$E:$E,考核调整事项表!$G:$G,累计考核费用!$B68,考核调整事项表!$F:$F,累计考核费用!H$55)</f>
        <v>0</v>
      </c>
      <c r="I68" s="157">
        <f>SUMIFS(考核调整事项表!$C:$C,考核调整事项表!$G:$G,累计考核费用!$B68,考核调整事项表!$D:$D,累计考核费用!I$55)+SUMIFS(考核调整事项表!$E:$E,考核调整事项表!$G:$G,累计考核费用!$B68,考核调整事项表!$F:$F,累计考核费用!I$55)</f>
        <v>0</v>
      </c>
      <c r="J68" s="157">
        <f>SUMIFS(考核调整事项表!$C:$C,考核调整事项表!$G:$G,累计考核费用!$B68,考核调整事项表!$D:$D,累计考核费用!J$55)+SUMIFS(考核调整事项表!$E:$E,考核调整事项表!$G:$G,累计考核费用!$B68,考核调整事项表!$F:$F,累计考核费用!J$55)</f>
        <v>0</v>
      </c>
      <c r="K68" s="157">
        <f>SUMIFS(考核调整事项表!$C:$C,考核调整事项表!$G:$G,累计考核费用!$B68,考核调整事项表!$D:$D,累计考核费用!K$55)+SUMIFS(考核调整事项表!$E:$E,考核调整事项表!$G:$G,累计考核费用!$B68,考核调整事项表!$F:$F,累计考核费用!K$55)</f>
        <v>-606</v>
      </c>
      <c r="L68" s="157">
        <f t="shared" si="4"/>
        <v>0</v>
      </c>
      <c r="M68" s="157">
        <f>SUMIFS(考核调整事项表!$C:$C,考核调整事项表!$G:$G,累计考核费用!$B68,考核调整事项表!$D:$D,累计考核费用!M$55)+SUMIFS(考核调整事项表!$E:$E,考核调整事项表!$G:$G,累计考核费用!$B68,考核调整事项表!$F:$F,累计考核费用!M$55)</f>
        <v>0</v>
      </c>
      <c r="N68" s="157">
        <f>SUMIFS(考核调整事项表!$C:$C,考核调整事项表!$G:$G,累计考核费用!$B68,考核调整事项表!$D:$D,累计考核费用!N$55)+SUMIFS(考核调整事项表!$E:$E,考核调整事项表!$G:$G,累计考核费用!$B68,考核调整事项表!$F:$F,累计考核费用!N$55)</f>
        <v>0</v>
      </c>
      <c r="O68" s="157">
        <f>SUMIFS(考核调整事项表!$C:$C,考核调整事项表!$G:$G,累计考核费用!$B68,考核调整事项表!$D:$D,累计考核费用!O$55)+SUMIFS(考核调整事项表!$E:$E,考核调整事项表!$G:$G,累计考核费用!$B68,考核调整事项表!$F:$F,累计考核费用!O$55)</f>
        <v>0</v>
      </c>
      <c r="P68" s="157">
        <f>SUMIFS(考核调整事项表!$C:$C,考核调整事项表!$G:$G,累计考核费用!$B68,考核调整事项表!$D:$D,累计考核费用!P$55)+SUMIFS(考核调整事项表!$E:$E,考核调整事项表!$G:$G,累计考核费用!$B68,考核调整事项表!$F:$F,累计考核费用!P$55)</f>
        <v>0</v>
      </c>
      <c r="Q68" s="157">
        <f>SUMIFS(考核调整事项表!$C:$C,考核调整事项表!$G:$G,累计考核费用!$B68,考核调整事项表!$D:$D,累计考核费用!Q$55)+SUMIFS(考核调整事项表!$E:$E,考核调整事项表!$G:$G,累计考核费用!$B68,考核调整事项表!$F:$F,累计考核费用!Q$55)</f>
        <v>0</v>
      </c>
      <c r="R68" s="157">
        <f>SUMIFS(考核调整事项表!$C:$C,考核调整事项表!$G:$G,累计考核费用!$B68,考核调整事项表!$D:$D,累计考核费用!R$55)+SUMIFS(考核调整事项表!$E:$E,考核调整事项表!$G:$G,累计考核费用!$B68,考核调整事项表!$F:$F,累计考核费用!R$55)</f>
        <v>0</v>
      </c>
      <c r="S68" s="157">
        <f>SUMIFS(考核调整事项表!$C:$C,考核调整事项表!$G:$G,累计考核费用!$B68,考核调整事项表!$D:$D,累计考核费用!S$55)+SUMIFS(考核调整事项表!$E:$E,考核调整事项表!$G:$G,累计考核费用!$B68,考核调整事项表!$F:$F,累计考核费用!S$55)</f>
        <v>0</v>
      </c>
      <c r="T68" s="160">
        <f t="shared" si="5"/>
        <v>-18190458.329999998</v>
      </c>
      <c r="U68" s="157">
        <f>SUMIFS(考核调整事项表!$C:$C,考核调整事项表!$G:$G,累计考核费用!$B68,考核调整事项表!$D:$D,累计考核费用!U$55)+SUMIFS(考核调整事项表!$E:$E,考核调整事项表!$G:$G,累计考核费用!$B68,考核调整事项表!$F:$F,累计考核费用!U$55)</f>
        <v>-54994</v>
      </c>
      <c r="V68" s="157">
        <f>SUMIFS(考核调整事项表!$C:$C,考核调整事项表!$G:$G,累计考核费用!$B68,考核调整事项表!$D:$D,累计考核费用!V$55)+SUMIFS(考核调整事项表!$E:$E,考核调整事项表!$G:$G,累计考核费用!$B68,考核调整事项表!$F:$F,累计考核费用!V$55)</f>
        <v>-16382200</v>
      </c>
      <c r="W68" s="157">
        <f>SUMIFS(考核调整事项表!$C:$C,考核调整事项表!$G:$G,累计考核费用!$B68,考核调整事项表!$D:$D,累计考核费用!W$55)+SUMIFS(考核调整事项表!$E:$E,考核调整事项表!$G:$G,累计考核费用!$B68,考核调整事项表!$F:$F,累计考核费用!W$55)</f>
        <v>-1753264.33</v>
      </c>
      <c r="X68" s="157">
        <f>SUMIFS(考核调整事项表!$C:$C,考核调整事项表!$G:$G,累计考核费用!$B68,考核调整事项表!$D:$D,累计考核费用!X$55)+SUMIFS(考核调整事项表!$E:$E,考核调整事项表!$G:$G,累计考核费用!$B68,考核调整事项表!$F:$F,累计考核费用!X$55)</f>
        <v>0</v>
      </c>
      <c r="Y68" s="157">
        <f>SUMIFS(考核调整事项表!$C:$C,考核调整事项表!$G:$G,累计考核费用!$B68,考核调整事项表!$D:$D,累计考核费用!Y$55)+SUMIFS(考核调整事项表!$E:$E,考核调整事项表!$G:$G,累计考核费用!$B68,考核调整事项表!$F:$F,累计考核费用!Y$55)</f>
        <v>0</v>
      </c>
      <c r="Z68" s="157">
        <f>SUMIFS(考核调整事项表!$C:$C,考核调整事项表!$G:$G,累计考核费用!$B68,考核调整事项表!$D:$D,累计考核费用!Z$55)+SUMIFS(考核调整事项表!$E:$E,考核调整事项表!$G:$G,累计考核费用!$B68,考核调整事项表!$F:$F,累计考核费用!Z$55)</f>
        <v>0</v>
      </c>
      <c r="AA68" s="157">
        <f>SUMIFS(考核调整事项表!$C:$C,考核调整事项表!$G:$G,累计考核费用!$B68,考核调整事项表!$D:$D,累计考核费用!AA$55)+SUMIFS(考核调整事项表!$E:$E,考核调整事项表!$G:$G,累计考核费用!$B68,考核调整事项表!$F:$F,累计考核费用!AA$55)</f>
        <v>0</v>
      </c>
      <c r="AB68" s="157">
        <f>SUMIFS(考核调整事项表!$C:$C,考核调整事项表!$G:$G,累计考核费用!$B68,考核调整事项表!$D:$D,累计考核费用!AB$55)+SUMIFS(考核调整事项表!$E:$E,考核调整事项表!$G:$G,累计考核费用!$B68,考核调整事项表!$F:$F,累计考核费用!AB$55)</f>
        <v>0</v>
      </c>
      <c r="AC68" s="157">
        <f>SUMIFS(考核调整事项表!$C:$C,考核调整事项表!$G:$G,累计考核费用!$B68,考核调整事项表!$D:$D,累计考核费用!AC$55)+SUMIFS(考核调整事项表!$E:$E,考核调整事项表!$G:$G,累计考核费用!$B68,考核调整事项表!$F:$F,累计考核费用!AC$55)</f>
        <v>0</v>
      </c>
    </row>
    <row r="69" spans="1:29">
      <c r="A69" s="277"/>
      <c r="B69" s="47" t="s">
        <v>103</v>
      </c>
      <c r="C69" s="9">
        <f>SUM(D69:G69)+L69+T69+AC69+AB69</f>
        <v>-6.9121597334742546E-11</v>
      </c>
      <c r="D69" s="157">
        <f>SUMIFS(考核调整事项表!$C:$C,考核调整事项表!$G:$G,累计考核费用!$B69,考核调整事项表!$D:$D,累计考核费用!D$55)+SUMIFS(考核调整事项表!$E:$E,考核调整事项表!$G:$G,累计考核费用!$B69,考核调整事项表!$F:$F,累计考核费用!D$55)</f>
        <v>-210970.33</v>
      </c>
      <c r="E69" s="157">
        <f>SUMIFS(考核调整事项表!$C:$C,考核调整事项表!$G:$G,累计考核费用!$B69,考核调整事项表!$D:$D,累计考核费用!E$55)+SUMIFS(考核调整事项表!$E:$E,考核调整事项表!$G:$G,累计考核费用!$B69,考核调整事项表!$F:$F,累计考核费用!E$55)</f>
        <v>-204135.94</v>
      </c>
      <c r="F69" s="157">
        <f>SUMIFS(考核调整事项表!$C:$C,考核调整事项表!$G:$G,累计考核费用!$B69,考核调整事项表!$D:$D,累计考核费用!F$55)+SUMIFS(考核调整事项表!$E:$E,考核调整事项表!$G:$G,累计考核费用!$B69,考核调整事项表!$F:$F,累计考核费用!F$55)</f>
        <v>485796.49</v>
      </c>
      <c r="G69" s="157">
        <f>SUM(H69:K69)</f>
        <v>-215323.3</v>
      </c>
      <c r="H69" s="157">
        <f>SUMIFS(考核调整事项表!$C:$C,考核调整事项表!$G:$G,累计考核费用!$B69,考核调整事项表!$D:$D,累计考核费用!H$55)+SUMIFS(考核调整事项表!$E:$E,考核调整事项表!$G:$G,累计考核费用!$B69,考核调整事项表!$F:$F,累计考核费用!H$55)</f>
        <v>-39120.499999999993</v>
      </c>
      <c r="I69" s="157">
        <f>SUMIFS(考核调整事项表!$C:$C,考核调整事项表!$G:$G,累计考核费用!$B69,考核调整事项表!$D:$D,累计考核费用!I$55)+SUMIFS(考核调整事项表!$E:$E,考核调整事项表!$G:$G,累计考核费用!$B69,考核调整事项表!$F:$F,累计考核费用!I$55)</f>
        <v>0</v>
      </c>
      <c r="J69" s="157">
        <f>SUMIFS(考核调整事项表!$C:$C,考核调整事项表!$G:$G,累计考核费用!$B69,考核调整事项表!$D:$D,累计考核费用!J$55)+SUMIFS(考核调整事项表!$E:$E,考核调整事项表!$G:$G,累计考核费用!$B69,考核调整事项表!$F:$F,累计考核费用!J$55)</f>
        <v>-52012.85</v>
      </c>
      <c r="K69" s="157">
        <f>SUMIFS(考核调整事项表!$C:$C,考核调整事项表!$G:$G,累计考核费用!$B69,考核调整事项表!$D:$D,累计考核费用!K$55)+SUMIFS(考核调整事项表!$E:$E,考核调整事项表!$G:$G,累计考核费用!$B69,考核调整事项表!$F:$F,累计考核费用!K$55)</f>
        <v>-124189.94999999998</v>
      </c>
      <c r="L69" s="157">
        <f t="shared" si="4"/>
        <v>160727.09999999995</v>
      </c>
      <c r="M69" s="157">
        <f>SUMIFS(考核调整事项表!$C:$C,考核调整事项表!$G:$G,累计考核费用!$B69,考核调整事项表!$D:$D,累计考核费用!M$55)+SUMIFS(考核调整事项表!$E:$E,考核调整事项表!$G:$G,累计考核费用!$B69,考核调整事项表!$F:$F,累计考核费用!M$55)</f>
        <v>-102430.15</v>
      </c>
      <c r="N69" s="157">
        <f>SUMIFS(考核调整事项表!$C:$C,考核调整事项表!$G:$G,累计考核费用!$B69,考核调整事项表!$D:$D,累计考核费用!N$55)+SUMIFS(考核调整事项表!$E:$E,考核调整事项表!$G:$G,累计考核费用!$B69,考核调整事项表!$F:$F,累计考核费用!N$55)</f>
        <v>-36303.22</v>
      </c>
      <c r="O69" s="157">
        <f>SUMIFS(考核调整事项表!$C:$C,考核调整事项表!$G:$G,累计考核费用!$B69,考核调整事项表!$D:$D,累计考核费用!O$55)+SUMIFS(考核调整事项表!$E:$E,考核调整事项表!$G:$G,累计考核费用!$B69,考核调整事项表!$F:$F,累计考核费用!O$55)</f>
        <v>4867.239999999998</v>
      </c>
      <c r="P69" s="157">
        <f>SUMIFS(考核调整事项表!$C:$C,考核调整事项表!$G:$G,累计考核费用!$B69,考核调整事项表!$D:$D,累计考核费用!P$55)+SUMIFS(考核调整事项表!$E:$E,考核调整事项表!$G:$G,累计考核费用!$B69,考核调整事项表!$F:$F,累计考核费用!P$55)</f>
        <v>112438.37999999998</v>
      </c>
      <c r="Q69" s="157">
        <f>SUMIFS(考核调整事项表!$C:$C,考核调整事项表!$G:$G,累计考核费用!$B69,考核调整事项表!$D:$D,累计考核费用!Q$55)+SUMIFS(考核调整事项表!$E:$E,考核调整事项表!$G:$G,累计考核费用!$B69,考核调整事项表!$F:$F,累计考核费用!Q$55)</f>
        <v>909.12</v>
      </c>
      <c r="R69" s="157">
        <f>SUMIFS(考核调整事项表!$C:$C,考核调整事项表!$G:$G,累计考核费用!$B69,考核调整事项表!$D:$D,累计考核费用!R$55)+SUMIFS(考核调整事项表!$E:$E,考核调整事项表!$G:$G,累计考核费用!$B69,考核调整事项表!$F:$F,累计考核费用!R$55)</f>
        <v>181245.72999999998</v>
      </c>
      <c r="S69" s="157">
        <f>SUMIFS(考核调整事项表!$C:$C,考核调整事项表!$G:$G,累计考核费用!$B69,考核调整事项表!$D:$D,累计考核费用!S$55)+SUMIFS(考核调整事项表!$E:$E,考核调整事项表!$G:$G,累计考核费用!$B69,考核调整事项表!$F:$F,累计考核费用!S$55)</f>
        <v>0</v>
      </c>
      <c r="T69" s="160">
        <f t="shared" si="5"/>
        <v>-6188.3600000000006</v>
      </c>
      <c r="U69" s="157">
        <f>SUMIFS(考核调整事项表!$C:$C,考核调整事项表!$G:$G,累计考核费用!$B69,考核调整事项表!$D:$D,累计考核费用!U$55)+SUMIFS(考核调整事项表!$E:$E,考核调整事项表!$G:$G,累计考核费用!$B69,考核调整事项表!$F:$F,累计考核费用!U$55)</f>
        <v>-47476.840000000004</v>
      </c>
      <c r="V69" s="157">
        <f>SUMIFS(考核调整事项表!$C:$C,考核调整事项表!$G:$G,累计考核费用!$B69,考核调整事项表!$D:$D,累计考核费用!V$55)+SUMIFS(考核调整事项表!$E:$E,考核调整事项表!$G:$G,累计考核费用!$B69,考核调整事项表!$F:$F,累计考核费用!V$55)</f>
        <v>69435.63</v>
      </c>
      <c r="W69" s="157">
        <f>SUMIFS(考核调整事项表!$C:$C,考核调整事项表!$G:$G,累计考核费用!$B69,考核调整事项表!$D:$D,累计考核费用!W$55)+SUMIFS(考核调整事项表!$E:$E,考核调整事项表!$G:$G,累计考核费用!$B69,考核调整事项表!$F:$F,累计考核费用!W$55)</f>
        <v>-28147.15</v>
      </c>
      <c r="X69" s="157">
        <f>SUMIFS(考核调整事项表!$C:$C,考核调整事项表!$G:$G,累计考核费用!$B69,考核调整事项表!$D:$D,累计考核费用!X$55)+SUMIFS(考核调整事项表!$E:$E,考核调整事项表!$G:$G,累计考核费用!$B69,考核调整事项表!$F:$F,累计考核费用!X$55)</f>
        <v>0</v>
      </c>
      <c r="Y69" s="157">
        <f>SUMIFS(考核调整事项表!$C:$C,考核调整事项表!$G:$G,累计考核费用!$B69,考核调整事项表!$D:$D,累计考核费用!Y$55)+SUMIFS(考核调整事项表!$E:$E,考核调整事项表!$G:$G,累计考核费用!$B69,考核调整事项表!$F:$F,累计考核费用!Y$55)</f>
        <v>0</v>
      </c>
      <c r="Z69" s="157">
        <f>SUMIFS(考核调整事项表!$C:$C,考核调整事项表!$G:$G,累计考核费用!$B69,考核调整事项表!$D:$D,累计考核费用!Z$55)+SUMIFS(考核调整事项表!$E:$E,考核调整事项表!$G:$G,累计考核费用!$B69,考核调整事项表!$F:$F,累计考核费用!Z$55)</f>
        <v>0</v>
      </c>
      <c r="AA69" s="157">
        <f>SUMIFS(考核调整事项表!$C:$C,考核调整事项表!$G:$G,累计考核费用!$B69,考核调整事项表!$D:$D,累计考核费用!AA$55)+SUMIFS(考核调整事项表!$E:$E,考核调整事项表!$G:$G,累计考核费用!$B69,考核调整事项表!$F:$F,累计考核费用!AA$55)</f>
        <v>0</v>
      </c>
      <c r="AB69" s="157">
        <f>SUMIFS(考核调整事项表!$C:$C,考核调整事项表!$G:$G,累计考核费用!$B69,考核调整事项表!$D:$D,累计考核费用!AB$55)+SUMIFS(考核调整事项表!$E:$E,考核调整事项表!$G:$G,累计考核费用!$B69,考核调整事项表!$F:$F,累计考核费用!AB$55)</f>
        <v>-9905.66</v>
      </c>
      <c r="AC69" s="157">
        <f>SUMIFS(考核调整事项表!$C:$C,考核调整事项表!$G:$G,累计考核费用!$B69,考核调整事项表!$D:$D,累计考核费用!AC$55)+SUMIFS(考核调整事项表!$E:$E,考核调整事项表!$G:$G,累计考核费用!$B69,考核调整事项表!$F:$F,累计考核费用!AC$55)</f>
        <v>0</v>
      </c>
    </row>
    <row r="70" spans="1:29">
      <c r="A70" s="277"/>
      <c r="B70" s="47" t="s">
        <v>104</v>
      </c>
      <c r="C70" s="9">
        <f t="shared" ref="C70" si="8">SUM(D70:G70)+L70+T70+AC70+AB70</f>
        <v>0</v>
      </c>
      <c r="D70" s="157">
        <f>SUMIFS(考核调整事项表!$C:$C,考核调整事项表!$G:$G,累计考核费用!$B70,考核调整事项表!$D:$D,累计考核费用!D$55)+SUMIFS(考核调整事项表!$E:$E,考核调整事项表!$G:$G,累计考核费用!$B70,考核调整事项表!$F:$F,累计考核费用!D$55)</f>
        <v>0</v>
      </c>
      <c r="E70" s="157">
        <f>SUMIFS(考核调整事项表!$C:$C,考核调整事项表!$G:$G,累计考核费用!$B70,考核调整事项表!$D:$D,累计考核费用!E$55)+SUMIFS(考核调整事项表!$E:$E,考核调整事项表!$G:$G,累计考核费用!$B70,考核调整事项表!$F:$F,累计考核费用!E$55)</f>
        <v>0</v>
      </c>
      <c r="F70" s="157">
        <f>SUMIFS(考核调整事项表!$C:$C,考核调整事项表!$G:$G,累计考核费用!$B70,考核调整事项表!$D:$D,累计考核费用!F$55)+SUMIFS(考核调整事项表!$E:$E,考核调整事项表!$G:$G,累计考核费用!$B70,考核调整事项表!$F:$F,累计考核费用!F$55)</f>
        <v>0</v>
      </c>
      <c r="G70" s="157">
        <f t="shared" si="3"/>
        <v>0</v>
      </c>
      <c r="H70" s="157">
        <f>SUMIFS(考核调整事项表!$C:$C,考核调整事项表!$G:$G,累计考核费用!$B70,考核调整事项表!$D:$D,累计考核费用!H$55)+SUMIFS(考核调整事项表!$E:$E,考核调整事项表!$G:$G,累计考核费用!$B70,考核调整事项表!$F:$F,累计考核费用!H$55)</f>
        <v>0</v>
      </c>
      <c r="I70" s="157">
        <f>SUMIFS(考核调整事项表!$C:$C,考核调整事项表!$G:$G,累计考核费用!$B70,考核调整事项表!$D:$D,累计考核费用!I$55)+SUMIFS(考核调整事项表!$E:$E,考核调整事项表!$G:$G,累计考核费用!$B70,考核调整事项表!$F:$F,累计考核费用!I$55)</f>
        <v>0</v>
      </c>
      <c r="J70" s="157">
        <f>SUMIFS(考核调整事项表!$C:$C,考核调整事项表!$G:$G,累计考核费用!$B70,考核调整事项表!$D:$D,累计考核费用!J$55)+SUMIFS(考核调整事项表!$E:$E,考核调整事项表!$G:$G,累计考核费用!$B70,考核调整事项表!$F:$F,累计考核费用!J$55)</f>
        <v>0</v>
      </c>
      <c r="K70" s="157">
        <f>SUMIFS(考核调整事项表!$C:$C,考核调整事项表!$G:$G,累计考核费用!$B70,考核调整事项表!$D:$D,累计考核费用!K$55)+SUMIFS(考核调整事项表!$E:$E,考核调整事项表!$G:$G,累计考核费用!$B70,考核调整事项表!$F:$F,累计考核费用!K$55)</f>
        <v>0</v>
      </c>
      <c r="L70" s="157">
        <f t="shared" si="4"/>
        <v>0</v>
      </c>
      <c r="M70" s="157">
        <f>SUMIFS(考核调整事项表!$C:$C,考核调整事项表!$G:$G,累计考核费用!$B70,考核调整事项表!$D:$D,累计考核费用!M$55)+SUMIFS(考核调整事项表!$E:$E,考核调整事项表!$G:$G,累计考核费用!$B70,考核调整事项表!$F:$F,累计考核费用!M$55)</f>
        <v>0</v>
      </c>
      <c r="N70" s="157">
        <f>SUMIFS(考核调整事项表!$C:$C,考核调整事项表!$G:$G,累计考核费用!$B70,考核调整事项表!$D:$D,累计考核费用!N$55)+SUMIFS(考核调整事项表!$E:$E,考核调整事项表!$G:$G,累计考核费用!$B70,考核调整事项表!$F:$F,累计考核费用!N$55)</f>
        <v>0</v>
      </c>
      <c r="O70" s="157">
        <f>SUMIFS(考核调整事项表!$C:$C,考核调整事项表!$G:$G,累计考核费用!$B70,考核调整事项表!$D:$D,累计考核费用!O$55)+SUMIFS(考核调整事项表!$E:$E,考核调整事项表!$G:$G,累计考核费用!$B70,考核调整事项表!$F:$F,累计考核费用!O$55)</f>
        <v>0</v>
      </c>
      <c r="P70" s="157">
        <f>SUMIFS(考核调整事项表!$C:$C,考核调整事项表!$G:$G,累计考核费用!$B70,考核调整事项表!$D:$D,累计考核费用!P$55)+SUMIFS(考核调整事项表!$E:$E,考核调整事项表!$G:$G,累计考核费用!$B70,考核调整事项表!$F:$F,累计考核费用!P$55)</f>
        <v>0</v>
      </c>
      <c r="Q70" s="157">
        <f>SUMIFS(考核调整事项表!$C:$C,考核调整事项表!$G:$G,累计考核费用!$B70,考核调整事项表!$D:$D,累计考核费用!Q$55)+SUMIFS(考核调整事项表!$E:$E,考核调整事项表!$G:$G,累计考核费用!$B70,考核调整事项表!$F:$F,累计考核费用!Q$55)</f>
        <v>0</v>
      </c>
      <c r="R70" s="157">
        <f>SUMIFS(考核调整事项表!$C:$C,考核调整事项表!$G:$G,累计考核费用!$B70,考核调整事项表!$D:$D,累计考核费用!R$55)+SUMIFS(考核调整事项表!$E:$E,考核调整事项表!$G:$G,累计考核费用!$B70,考核调整事项表!$F:$F,累计考核费用!R$55)</f>
        <v>0</v>
      </c>
      <c r="S70" s="157">
        <f>SUMIFS(考核调整事项表!$C:$C,考核调整事项表!$G:$G,累计考核费用!$B70,考核调整事项表!$D:$D,累计考核费用!S$55)+SUMIFS(考核调整事项表!$E:$E,考核调整事项表!$G:$G,累计考核费用!$B70,考核调整事项表!$F:$F,累计考核费用!S$55)</f>
        <v>0</v>
      </c>
      <c r="T70" s="160">
        <f t="shared" si="5"/>
        <v>0</v>
      </c>
      <c r="U70" s="157">
        <f>SUMIFS(考核调整事项表!$C:$C,考核调整事项表!$G:$G,累计考核费用!$B70,考核调整事项表!$D:$D,累计考核费用!U$55)+SUMIFS(考核调整事项表!$E:$E,考核调整事项表!$G:$G,累计考核费用!$B70,考核调整事项表!$F:$F,累计考核费用!U$55)</f>
        <v>0</v>
      </c>
      <c r="V70" s="157">
        <f>SUMIFS(考核调整事项表!$C:$C,考核调整事项表!$G:$G,累计考核费用!$B70,考核调整事项表!$D:$D,累计考核费用!V$55)+SUMIFS(考核调整事项表!$E:$E,考核调整事项表!$G:$G,累计考核费用!$B70,考核调整事项表!$F:$F,累计考核费用!V$55)</f>
        <v>0</v>
      </c>
      <c r="W70" s="157">
        <f>SUMIFS(考核调整事项表!$C:$C,考核调整事项表!$G:$G,累计考核费用!$B70,考核调整事项表!$D:$D,累计考核费用!W$55)+SUMIFS(考核调整事项表!$E:$E,考核调整事项表!$G:$G,累计考核费用!$B70,考核调整事项表!$F:$F,累计考核费用!W$55)</f>
        <v>0</v>
      </c>
      <c r="X70" s="157">
        <f>SUMIFS(考核调整事项表!$C:$C,考核调整事项表!$G:$G,累计考核费用!$B70,考核调整事项表!$D:$D,累计考核费用!X$55)+SUMIFS(考核调整事项表!$E:$E,考核调整事项表!$G:$G,累计考核费用!$B70,考核调整事项表!$F:$F,累计考核费用!X$55)</f>
        <v>0</v>
      </c>
      <c r="Y70" s="157">
        <f>SUMIFS(考核调整事项表!$C:$C,考核调整事项表!$G:$G,累计考核费用!$B70,考核调整事项表!$D:$D,累计考核费用!Y$55)+SUMIFS(考核调整事项表!$E:$E,考核调整事项表!$G:$G,累计考核费用!$B70,考核调整事项表!$F:$F,累计考核费用!Y$55)</f>
        <v>0</v>
      </c>
      <c r="Z70" s="157">
        <f>SUMIFS(考核调整事项表!$C:$C,考核调整事项表!$G:$G,累计考核费用!$B70,考核调整事项表!$D:$D,累计考核费用!Z$55)+SUMIFS(考核调整事项表!$E:$E,考核调整事项表!$G:$G,累计考核费用!$B70,考核调整事项表!$F:$F,累计考核费用!Z$55)</f>
        <v>0</v>
      </c>
      <c r="AA70" s="157">
        <f>SUMIFS(考核调整事项表!$C:$C,考核调整事项表!$G:$G,累计考核费用!$B70,考核调整事项表!$D:$D,累计考核费用!AA$55)+SUMIFS(考核调整事项表!$E:$E,考核调整事项表!$G:$G,累计考核费用!$B70,考核调整事项表!$F:$F,累计考核费用!AA$55)</f>
        <v>0</v>
      </c>
      <c r="AB70" s="157">
        <f>SUMIFS(考核调整事项表!$C:$C,考核调整事项表!$G:$G,累计考核费用!$B70,考核调整事项表!$D:$D,累计考核费用!AB$55)+SUMIFS(考核调整事项表!$E:$E,考核调整事项表!$G:$G,累计考核费用!$B70,考核调整事项表!$F:$F,累计考核费用!AB$55)</f>
        <v>0</v>
      </c>
      <c r="AC70" s="157">
        <f>SUMIFS(考核调整事项表!$C:$C,考核调整事项表!$G:$G,累计考核费用!$B70,考核调整事项表!$D:$D,累计考核费用!AC$55)+SUMIFS(考核调整事项表!$E:$E,考核调整事项表!$G:$G,累计考核费用!$B70,考核调整事项表!$F:$F,累计考核费用!AC$55)</f>
        <v>0</v>
      </c>
    </row>
    <row r="71" spans="1:29" ht="13.5" customHeight="1">
      <c r="A71" s="277"/>
      <c r="B71" s="47" t="s">
        <v>105</v>
      </c>
      <c r="C71" s="9">
        <f>SUM(D71:G71)+L71+T71+AC71+AB71</f>
        <v>0</v>
      </c>
      <c r="D71" s="157">
        <f>SUMIFS(考核调整事项表!$C:$C,考核调整事项表!$G:$G,累计考核费用!$B71,考核调整事项表!$D:$D,累计考核费用!D$55)+SUMIFS(考核调整事项表!$E:$E,考核调整事项表!$G:$G,累计考核费用!$B71,考核调整事项表!$F:$F,累计考核费用!D$55)</f>
        <v>0</v>
      </c>
      <c r="E71" s="157">
        <f>SUMIFS(考核调整事项表!$C:$C,考核调整事项表!$G:$G,累计考核费用!$B71,考核调整事项表!$D:$D,累计考核费用!E$55)+SUMIFS(考核调整事项表!$E:$E,考核调整事项表!$G:$G,累计考核费用!$B71,考核调整事项表!$F:$F,累计考核费用!E$55)</f>
        <v>0</v>
      </c>
      <c r="F71" s="157">
        <f>SUMIFS(考核调整事项表!$C:$C,考核调整事项表!$G:$G,累计考核费用!$B71,考核调整事项表!$D:$D,累计考核费用!F$55)+SUMIFS(考核调整事项表!$E:$E,考核调整事项表!$G:$G,累计考核费用!$B71,考核调整事项表!$F:$F,累计考核费用!F$55)</f>
        <v>0</v>
      </c>
      <c r="G71" s="157">
        <f t="shared" si="3"/>
        <v>0</v>
      </c>
      <c r="H71" s="157">
        <f>SUMIFS(考核调整事项表!$C:$C,考核调整事项表!$G:$G,累计考核费用!$B71,考核调整事项表!$D:$D,累计考核费用!H$55)+SUMIFS(考核调整事项表!$E:$E,考核调整事项表!$G:$G,累计考核费用!$B71,考核调整事项表!$F:$F,累计考核费用!H$55)</f>
        <v>0</v>
      </c>
      <c r="I71" s="157">
        <f>SUMIFS(考核调整事项表!$C:$C,考核调整事项表!$G:$G,累计考核费用!$B71,考核调整事项表!$D:$D,累计考核费用!I$55)+SUMIFS(考核调整事项表!$E:$E,考核调整事项表!$G:$G,累计考核费用!$B71,考核调整事项表!$F:$F,累计考核费用!I$55)</f>
        <v>0</v>
      </c>
      <c r="J71" s="157">
        <f>SUMIFS(考核调整事项表!$C:$C,考核调整事项表!$G:$G,累计考核费用!$B71,考核调整事项表!$D:$D,累计考核费用!J$55)+SUMIFS(考核调整事项表!$E:$E,考核调整事项表!$G:$G,累计考核费用!$B71,考核调整事项表!$F:$F,累计考核费用!J$55)</f>
        <v>0</v>
      </c>
      <c r="K71" s="157">
        <f>SUMIFS(考核调整事项表!$C:$C,考核调整事项表!$G:$G,累计考核费用!$B71,考核调整事项表!$D:$D,累计考核费用!K$55)+SUMIFS(考核调整事项表!$E:$E,考核调整事项表!$G:$G,累计考核费用!$B71,考核调整事项表!$F:$F,累计考核费用!K$55)</f>
        <v>0</v>
      </c>
      <c r="L71" s="157">
        <f t="shared" si="4"/>
        <v>0</v>
      </c>
      <c r="M71" s="157">
        <f>SUMIFS(考核调整事项表!$C:$C,考核调整事项表!$G:$G,累计考核费用!$B71,考核调整事项表!$D:$D,累计考核费用!M$55)+SUMIFS(考核调整事项表!$E:$E,考核调整事项表!$G:$G,累计考核费用!$B71,考核调整事项表!$F:$F,累计考核费用!M$55)</f>
        <v>0</v>
      </c>
      <c r="N71" s="157">
        <f>SUMIFS(考核调整事项表!$C:$C,考核调整事项表!$G:$G,累计考核费用!$B71,考核调整事项表!$D:$D,累计考核费用!N$55)+SUMIFS(考核调整事项表!$E:$E,考核调整事项表!$G:$G,累计考核费用!$B71,考核调整事项表!$F:$F,累计考核费用!N$55)</f>
        <v>0</v>
      </c>
      <c r="O71" s="157">
        <f>SUMIFS(考核调整事项表!$C:$C,考核调整事项表!$G:$G,累计考核费用!$B71,考核调整事项表!$D:$D,累计考核费用!O$55)+SUMIFS(考核调整事项表!$E:$E,考核调整事项表!$G:$G,累计考核费用!$B71,考核调整事项表!$F:$F,累计考核费用!O$55)</f>
        <v>0</v>
      </c>
      <c r="P71" s="157">
        <f>SUMIFS(考核调整事项表!$C:$C,考核调整事项表!$G:$G,累计考核费用!$B71,考核调整事项表!$D:$D,累计考核费用!P$55)+SUMIFS(考核调整事项表!$E:$E,考核调整事项表!$G:$G,累计考核费用!$B71,考核调整事项表!$F:$F,累计考核费用!P$55)</f>
        <v>0</v>
      </c>
      <c r="Q71" s="157">
        <f>SUMIFS(考核调整事项表!$C:$C,考核调整事项表!$G:$G,累计考核费用!$B71,考核调整事项表!$D:$D,累计考核费用!Q$55)+SUMIFS(考核调整事项表!$E:$E,考核调整事项表!$G:$G,累计考核费用!$B71,考核调整事项表!$F:$F,累计考核费用!Q$55)</f>
        <v>0</v>
      </c>
      <c r="R71" s="157">
        <f>SUMIFS(考核调整事项表!$C:$C,考核调整事项表!$G:$G,累计考核费用!$B71,考核调整事项表!$D:$D,累计考核费用!R$55)+SUMIFS(考核调整事项表!$E:$E,考核调整事项表!$G:$G,累计考核费用!$B71,考核调整事项表!$F:$F,累计考核费用!R$55)</f>
        <v>0</v>
      </c>
      <c r="S71" s="157">
        <f>SUMIFS(考核调整事项表!$C:$C,考核调整事项表!$G:$G,累计考核费用!$B71,考核调整事项表!$D:$D,累计考核费用!S$55)+SUMIFS(考核调整事项表!$E:$E,考核调整事项表!$G:$G,累计考核费用!$B71,考核调整事项表!$F:$F,累计考核费用!S$55)</f>
        <v>0</v>
      </c>
      <c r="T71" s="160">
        <f t="shared" si="5"/>
        <v>0</v>
      </c>
      <c r="U71" s="157">
        <f>SUMIFS(考核调整事项表!$C:$C,考核调整事项表!$G:$G,累计考核费用!$B71,考核调整事项表!$D:$D,累计考核费用!U$55)+SUMIFS(考核调整事项表!$E:$E,考核调整事项表!$G:$G,累计考核费用!$B71,考核调整事项表!$F:$F,累计考核费用!U$55)</f>
        <v>0</v>
      </c>
      <c r="V71" s="157">
        <f>SUMIFS(考核调整事项表!$C:$C,考核调整事项表!$G:$G,累计考核费用!$B71,考核调整事项表!$D:$D,累计考核费用!V$55)+SUMIFS(考核调整事项表!$E:$E,考核调整事项表!$G:$G,累计考核费用!$B71,考核调整事项表!$F:$F,累计考核费用!V$55)</f>
        <v>0</v>
      </c>
      <c r="W71" s="157">
        <f>SUMIFS(考核调整事项表!$C:$C,考核调整事项表!$G:$G,累计考核费用!$B71,考核调整事项表!$D:$D,累计考核费用!W$55)+SUMIFS(考核调整事项表!$E:$E,考核调整事项表!$G:$G,累计考核费用!$B71,考核调整事项表!$F:$F,累计考核费用!W$55)</f>
        <v>0</v>
      </c>
      <c r="X71" s="157">
        <f>SUMIFS(考核调整事项表!$C:$C,考核调整事项表!$G:$G,累计考核费用!$B71,考核调整事项表!$D:$D,累计考核费用!X$55)+SUMIFS(考核调整事项表!$E:$E,考核调整事项表!$G:$G,累计考核费用!$B71,考核调整事项表!$F:$F,累计考核费用!X$55)</f>
        <v>0</v>
      </c>
      <c r="Y71" s="157">
        <f>SUMIFS(考核调整事项表!$C:$C,考核调整事项表!$G:$G,累计考核费用!$B71,考核调整事项表!$D:$D,累计考核费用!Y$55)+SUMIFS(考核调整事项表!$E:$E,考核调整事项表!$G:$G,累计考核费用!$B71,考核调整事项表!$F:$F,累计考核费用!Y$55)</f>
        <v>0</v>
      </c>
      <c r="Z71" s="157">
        <f>SUMIFS(考核调整事项表!$C:$C,考核调整事项表!$G:$G,累计考核费用!$B71,考核调整事项表!$D:$D,累计考核费用!Z$55)+SUMIFS(考核调整事项表!$E:$E,考核调整事项表!$G:$G,累计考核费用!$B71,考核调整事项表!$F:$F,累计考核费用!Z$55)</f>
        <v>0</v>
      </c>
      <c r="AA71" s="157">
        <f>SUMIFS(考核调整事项表!$C:$C,考核调整事项表!$G:$G,累计考核费用!$B71,考核调整事项表!$D:$D,累计考核费用!AA$55)+SUMIFS(考核调整事项表!$E:$E,考核调整事项表!$G:$G,累计考核费用!$B71,考核调整事项表!$F:$F,累计考核费用!AA$55)</f>
        <v>0</v>
      </c>
      <c r="AB71" s="157">
        <f>SUMIFS(考核调整事项表!$C:$C,考核调整事项表!$G:$G,累计考核费用!$B71,考核调整事项表!$D:$D,累计考核费用!AB$55)+SUMIFS(考核调整事项表!$E:$E,考核调整事项表!$G:$G,累计考核费用!$B71,考核调整事项表!$F:$F,累计考核费用!AB$55)</f>
        <v>0</v>
      </c>
      <c r="AC71" s="157">
        <f>SUMIFS(考核调整事项表!$C:$C,考核调整事项表!$G:$G,累计考核费用!$B71,考核调整事项表!$D:$D,累计考核费用!AC$55)+SUMIFS(考核调整事项表!$E:$E,考核调整事项表!$G:$G,累计考核费用!$B71,考核调整事项表!$F:$F,累计考核费用!AC$55)</f>
        <v>0</v>
      </c>
    </row>
    <row r="72" spans="1:29">
      <c r="A72" s="278"/>
      <c r="B72" s="57" t="s">
        <v>99</v>
      </c>
      <c r="C72" s="161">
        <f>SUM(C67:C71)</f>
        <v>-6.9121597334742546E-11</v>
      </c>
      <c r="D72" s="161">
        <f t="shared" ref="D72:AC72" si="9">SUM(D67:D71)</f>
        <v>6579970.129999999</v>
      </c>
      <c r="E72" s="161">
        <f t="shared" si="9"/>
        <v>17931328.389999997</v>
      </c>
      <c r="F72" s="161">
        <f t="shared" si="9"/>
        <v>-8177266.129999999</v>
      </c>
      <c r="G72" s="161">
        <f t="shared" si="9"/>
        <v>1711792.86</v>
      </c>
      <c r="H72" s="161">
        <f t="shared" si="9"/>
        <v>-695950.4</v>
      </c>
      <c r="I72" s="161">
        <f t="shared" si="9"/>
        <v>0</v>
      </c>
      <c r="J72" s="161">
        <f t="shared" si="9"/>
        <v>1507921.71</v>
      </c>
      <c r="K72" s="161">
        <f t="shared" si="9"/>
        <v>899821.55</v>
      </c>
      <c r="L72" s="161">
        <f t="shared" si="9"/>
        <v>160727.09999999995</v>
      </c>
      <c r="M72" s="161">
        <f t="shared" si="9"/>
        <v>-102430.15</v>
      </c>
      <c r="N72" s="161">
        <f t="shared" si="9"/>
        <v>-36303.22</v>
      </c>
      <c r="O72" s="161">
        <f t="shared" si="9"/>
        <v>4867.239999999998</v>
      </c>
      <c r="P72" s="161">
        <f t="shared" si="9"/>
        <v>112438.37999999998</v>
      </c>
      <c r="Q72" s="161">
        <f t="shared" si="9"/>
        <v>909.12</v>
      </c>
      <c r="R72" s="161">
        <f t="shared" si="9"/>
        <v>181245.72999999998</v>
      </c>
      <c r="S72" s="161">
        <f t="shared" si="9"/>
        <v>0</v>
      </c>
      <c r="T72" s="161">
        <f t="shared" si="9"/>
        <v>-18196646.689999998</v>
      </c>
      <c r="U72" s="161">
        <f t="shared" si="9"/>
        <v>-102470.84</v>
      </c>
      <c r="V72" s="161">
        <f t="shared" si="9"/>
        <v>-16312764.369999999</v>
      </c>
      <c r="W72" s="161">
        <f t="shared" si="9"/>
        <v>-1781411.48</v>
      </c>
      <c r="X72" s="161">
        <f t="shared" si="9"/>
        <v>0</v>
      </c>
      <c r="Y72" s="161">
        <f t="shared" si="9"/>
        <v>0</v>
      </c>
      <c r="Z72" s="161">
        <f t="shared" si="9"/>
        <v>0</v>
      </c>
      <c r="AA72" s="161">
        <f t="shared" ref="AA72" si="10">SUM(AA67:AA71)</f>
        <v>0</v>
      </c>
      <c r="AB72" s="161">
        <f t="shared" si="9"/>
        <v>-9905.66</v>
      </c>
      <c r="AC72" s="161">
        <f t="shared" si="9"/>
        <v>0</v>
      </c>
    </row>
    <row r="73" spans="1:29" ht="13.5" customHeight="1">
      <c r="A73" s="273" t="s">
        <v>106</v>
      </c>
      <c r="B73" s="47" t="s">
        <v>107</v>
      </c>
      <c r="C73" s="9">
        <f>SUM(D73:G73)+L73+T73+AC73+AB73</f>
        <v>0</v>
      </c>
      <c r="D73" s="157">
        <f>SUMIFS(考核调整事项表!$C:$C,考核调整事项表!$G:$G,累计考核费用!$B73,考核调整事项表!$D:$D,累计考核费用!D$55)+SUMIFS(考核调整事项表!$E:$E,考核调整事项表!$G:$G,累计考核费用!$B73,考核调整事项表!$F:$F,累计考核费用!D$55)</f>
        <v>5182</v>
      </c>
      <c r="E73" s="157">
        <f>SUMIFS(考核调整事项表!$C:$C,考核调整事项表!$G:$G,累计考核费用!$B73,考核调整事项表!$D:$D,累计考核费用!E$55)+SUMIFS(考核调整事项表!$E:$E,考核调整事项表!$G:$G,累计考核费用!$B73,考核调整事项表!$F:$F,累计考核费用!E$55)</f>
        <v>-675144.48</v>
      </c>
      <c r="F73" s="157">
        <f>SUMIFS(考核调整事项表!$C:$C,考核调整事项表!$G:$G,累计考核费用!$B73,考核调整事项表!$D:$D,累计考核费用!F$55)+SUMIFS(考核调整事项表!$E:$E,考核调整事项表!$G:$G,累计考核费用!$B73,考核调整事项表!$F:$F,累计考核费用!F$55)</f>
        <v>-694106.52</v>
      </c>
      <c r="G73" s="157">
        <f t="shared" si="3"/>
        <v>74845.5</v>
      </c>
      <c r="H73" s="157">
        <f>SUMIFS(考核调整事项表!$C:$C,考核调整事项表!$G:$G,累计考核费用!$B73,考核调整事项表!$D:$D,累计考核费用!H$55)+SUMIFS(考核调整事项表!$E:$E,考核调整事项表!$G:$G,累计考核费用!$B73,考核调整事项表!$F:$F,累计考核费用!H$55)</f>
        <v>53230</v>
      </c>
      <c r="I73" s="157">
        <f>SUMIFS(考核调整事项表!$C:$C,考核调整事项表!$G:$G,累计考核费用!$B73,考核调整事项表!$D:$D,累计考核费用!I$55)+SUMIFS(考核调整事项表!$E:$E,考核调整事项表!$G:$G,累计考核费用!$B73,考核调整事项表!$F:$F,累计考核费用!I$55)</f>
        <v>24700</v>
      </c>
      <c r="J73" s="157">
        <f>SUMIFS(考核调整事项表!$C:$C,考核调整事项表!$G:$G,累计考核费用!$B73,考核调整事项表!$D:$D,累计考核费用!J$55)+SUMIFS(考核调整事项表!$E:$E,考核调整事项表!$G:$G,累计考核费用!$B73,考核调整事项表!$F:$F,累计考核费用!J$55)</f>
        <v>2097.5</v>
      </c>
      <c r="K73" s="157">
        <f>SUMIFS(考核调整事项表!$C:$C,考核调整事项表!$G:$G,累计考核费用!$B73,考核调整事项表!$D:$D,累计考核费用!K$55)+SUMIFS(考核调整事项表!$E:$E,考核调整事项表!$G:$G,累计考核费用!$B73,考核调整事项表!$F:$F,累计考核费用!K$55)</f>
        <v>-5182</v>
      </c>
      <c r="L73" s="157">
        <f>SUM(M73:S73)</f>
        <v>57313.5</v>
      </c>
      <c r="M73" s="157">
        <f>SUMIFS(考核调整事项表!$C:$C,考核调整事项表!$G:$G,累计考核费用!$B73,考核调整事项表!$D:$D,累计考核费用!M$55)+SUMIFS(考核调整事项表!$E:$E,考核调整事项表!$G:$G,累计考核费用!$B73,考核调整事项表!$F:$F,累计考核费用!M$55)</f>
        <v>2097.5</v>
      </c>
      <c r="N73" s="157">
        <f>SUMIFS(考核调整事项表!$C:$C,考核调整事项表!$G:$G,累计考核费用!$B73,考核调整事项表!$D:$D,累计考核费用!N$55)+SUMIFS(考核调整事项表!$E:$E,考核调整事项表!$G:$G,累计考核费用!$B73,考核调整事项表!$F:$F,累计考核费用!N$55)</f>
        <v>7872.5</v>
      </c>
      <c r="O73" s="157">
        <f>SUMIFS(考核调整事项表!$C:$C,考核调整事项表!$G:$G,累计考核费用!$B73,考核调整事项表!$D:$D,累计考核费用!O$55)+SUMIFS(考核调整事项表!$E:$E,考核调整事项表!$G:$G,累计考核费用!$B73,考核调整事项表!$F:$F,累计考核费用!O$55)</f>
        <v>2097.5</v>
      </c>
      <c r="P73" s="157">
        <f>SUMIFS(考核调整事项表!$C:$C,考核调整事项表!$G:$G,累计考核费用!$B73,考核调整事项表!$D:$D,累计考核费用!P$55)+SUMIFS(考核调整事项表!$E:$E,考核调整事项表!$G:$G,累计考核费用!$B73,考核调整事项表!$F:$F,累计考核费用!P$55)</f>
        <v>14212</v>
      </c>
      <c r="Q73" s="157">
        <f>SUMIFS(考核调整事项表!$C:$C,考核调整事项表!$G:$G,累计考核费用!$B73,考核调整事项表!$D:$D,累计考核费用!Q$55)+SUMIFS(考核调整事项表!$E:$E,考核调整事项表!$G:$G,累计考核费用!$B73,考核调整事项表!$F:$F,累计考核费用!Q$55)</f>
        <v>2328</v>
      </c>
      <c r="R73" s="157">
        <f>SUMIFS(考核调整事项表!$C:$C,考核调整事项表!$G:$G,累计考核费用!$B73,考核调整事项表!$D:$D,累计考核费用!R$55)+SUMIFS(考核调整事项表!$E:$E,考核调整事项表!$G:$G,累计考核费用!$B73,考核调整事项表!$F:$F,累计考核费用!R$55)</f>
        <v>28706</v>
      </c>
      <c r="S73" s="157">
        <f>SUMIFS(考核调整事项表!$C:$C,考核调整事项表!$G:$G,累计考核费用!$B73,考核调整事项表!$D:$D,累计考核费用!S$55)+SUMIFS(考核调整事项表!$E:$E,考核调整事项表!$G:$G,累计考核费用!$B73,考核调整事项表!$F:$F,累计考核费用!S$55)</f>
        <v>0</v>
      </c>
      <c r="T73" s="160">
        <f>SUM(U73:AA73)</f>
        <v>1231910</v>
      </c>
      <c r="U73" s="157">
        <f>SUMIFS(考核调整事项表!$C:$C,考核调整事项表!$G:$G,累计考核费用!$B73,考核调整事项表!$D:$D,累计考核费用!U$55)+SUMIFS(考核调整事项表!$E:$E,考核调整事项表!$G:$G,累计考核费用!$B73,考核调整事项表!$F:$F,累计考核费用!U$55)</f>
        <v>154360</v>
      </c>
      <c r="V73" s="157">
        <f>SUMIFS(考核调整事项表!$C:$C,考核调整事项表!$G:$G,累计考核费用!$B73,考核调整事项表!$D:$D,累计考核费用!V$55)+SUMIFS(考核调整事项表!$E:$E,考核调整事项表!$G:$G,累计考核费用!$B73,考核调整事项表!$F:$F,累计考核费用!V$55)</f>
        <v>931112</v>
      </c>
      <c r="W73" s="157">
        <f>SUMIFS(考核调整事项表!$C:$C,考核调整事项表!$G:$G,累计考核费用!$B73,考核调整事项表!$D:$D,累计考核费用!W$55)+SUMIFS(考核调整事项表!$E:$E,考核调整事项表!$G:$G,累计考核费用!$B73,考核调整事项表!$F:$F,累计考核费用!W$55)</f>
        <v>100178.93</v>
      </c>
      <c r="X73" s="157">
        <f>SUMIFS(考核调整事项表!$C:$C,考核调整事项表!$G:$G,累计考核费用!$B73,考核调整事项表!$D:$D,累计考核费用!X$55)+SUMIFS(考核调整事项表!$E:$E,考核调整事项表!$G:$G,累计考核费用!$B73,考核调整事项表!$F:$F,累计考核费用!X$55)</f>
        <v>0</v>
      </c>
      <c r="Y73" s="157">
        <f>SUMIFS(考核调整事项表!$C:$C,考核调整事项表!$G:$G,累计考核费用!$B73,考核调整事项表!$D:$D,累计考核费用!Y$55)+SUMIFS(考核调整事项表!$E:$E,考核调整事项表!$G:$G,累计考核费用!$B73,考核调整事项表!$F:$F,累计考核费用!Y$55)</f>
        <v>0</v>
      </c>
      <c r="Z73" s="157">
        <f>SUMIFS(考核调整事项表!$C:$C,考核调整事项表!$G:$G,累计考核费用!$B73,考核调整事项表!$D:$D,累计考核费用!Z$55)+SUMIFS(考核调整事项表!$E:$E,考核调整事项表!$G:$G,累计考核费用!$B73,考核调整事项表!$F:$F,累计考核费用!Z$55)</f>
        <v>0</v>
      </c>
      <c r="AA73" s="157">
        <f>SUMIFS(考核调整事项表!$C:$C,考核调整事项表!$G:$G,累计考核费用!$B73,考核调整事项表!$D:$D,累计考核费用!AA$55)+SUMIFS(考核调整事项表!$E:$E,考核调整事项表!$G:$G,累计考核费用!$B73,考核调整事项表!$F:$F,累计考核费用!AA$55)</f>
        <v>46259.07</v>
      </c>
      <c r="AB73" s="157">
        <f>SUMIFS(考核调整事项表!$C:$C,考核调整事项表!$G:$G,累计考核费用!$B73,考核调整事项表!$D:$D,累计考核费用!AB$55)+SUMIFS(考核调整事项表!$E:$E,考核调整事项表!$G:$G,累计考核费用!$B73,考核调整事项表!$F:$F,累计考核费用!AB$55)</f>
        <v>0</v>
      </c>
      <c r="AC73" s="157">
        <f>SUMIFS(考核调整事项表!$C:$C,考核调整事项表!$G:$G,累计考核费用!$B73,考核调整事项表!$D:$D,累计考核费用!AC$55)+SUMIFS(考核调整事项表!$E:$E,考核调整事项表!$G:$G,累计考核费用!$B73,考核调整事项表!$F:$F,累计考核费用!AC$55)</f>
        <v>0</v>
      </c>
    </row>
    <row r="74" spans="1:29">
      <c r="A74" s="274"/>
      <c r="B74" s="47" t="s">
        <v>108</v>
      </c>
      <c r="C74" s="9">
        <f t="shared" ref="C74:C76" si="11">SUM(D74:G74)+L74+T74+AC74+AB74</f>
        <v>0</v>
      </c>
      <c r="D74" s="157">
        <f>SUMIFS(考核调整事项表!$C:$C,考核调整事项表!$G:$G,累计考核费用!$B74,考核调整事项表!$D:$D,累计考核费用!D$55)+SUMIFS(考核调整事项表!$E:$E,考核调整事项表!$G:$G,累计考核费用!$B74,考核调整事项表!$F:$F,累计考核费用!D$55)</f>
        <v>42673.5</v>
      </c>
      <c r="E74" s="157">
        <f>SUMIFS(考核调整事项表!$C:$C,考核调整事项表!$G:$G,累计考核费用!$B74,考核调整事项表!$D:$D,累计考核费用!E$55)+SUMIFS(考核调整事项表!$E:$E,考核调整事项表!$G:$G,累计考核费用!$B74,考核调整事项表!$F:$F,累计考核费用!E$55)</f>
        <v>0</v>
      </c>
      <c r="F74" s="157">
        <f>SUMIFS(考核调整事项表!$C:$C,考核调整事项表!$G:$G,累计考核费用!$B74,考核调整事项表!$D:$D,累计考核费用!F$55)+SUMIFS(考核调整事项表!$E:$E,考核调整事项表!$G:$G,累计考核费用!$B74,考核调整事项表!$F:$F,累计考核费用!F$55)</f>
        <v>0</v>
      </c>
      <c r="G74" s="157">
        <f t="shared" si="3"/>
        <v>-42673.5</v>
      </c>
      <c r="H74" s="157">
        <f>SUMIFS(考核调整事项表!$C:$C,考核调整事项表!$G:$G,累计考核费用!$B74,考核调整事项表!$D:$D,累计考核费用!H$55)+SUMIFS(考核调整事项表!$E:$E,考核调整事项表!$G:$G,累计考核费用!$B74,考核调整事项表!$F:$F,累计考核费用!H$55)</f>
        <v>0</v>
      </c>
      <c r="I74" s="157">
        <f>SUMIFS(考核调整事项表!$C:$C,考核调整事项表!$G:$G,累计考核费用!$B74,考核调整事项表!$D:$D,累计考核费用!I$55)+SUMIFS(考核调整事项表!$E:$E,考核调整事项表!$G:$G,累计考核费用!$B74,考核调整事项表!$F:$F,累计考核费用!I$55)</f>
        <v>0</v>
      </c>
      <c r="J74" s="157">
        <f>SUMIFS(考核调整事项表!$C:$C,考核调整事项表!$G:$G,累计考核费用!$B74,考核调整事项表!$D:$D,累计考核费用!J$55)+SUMIFS(考核调整事项表!$E:$E,考核调整事项表!$G:$G,累计考核费用!$B74,考核调整事项表!$F:$F,累计考核费用!J$55)</f>
        <v>0</v>
      </c>
      <c r="K74" s="157">
        <f>SUMIFS(考核调整事项表!$C:$C,考核调整事项表!$G:$G,累计考核费用!$B74,考核调整事项表!$D:$D,累计考核费用!K$55)+SUMIFS(考核调整事项表!$E:$E,考核调整事项表!$G:$G,累计考核费用!$B74,考核调整事项表!$F:$F,累计考核费用!K$55)</f>
        <v>-42673.5</v>
      </c>
      <c r="L74" s="157">
        <f t="shared" si="4"/>
        <v>0</v>
      </c>
      <c r="M74" s="157">
        <f>SUMIFS(考核调整事项表!$C:$C,考核调整事项表!$G:$G,累计考核费用!$B74,考核调整事项表!$D:$D,累计考核费用!M$55)+SUMIFS(考核调整事项表!$E:$E,考核调整事项表!$G:$G,累计考核费用!$B74,考核调整事项表!$F:$F,累计考核费用!M$55)</f>
        <v>0</v>
      </c>
      <c r="N74" s="157">
        <f>SUMIFS(考核调整事项表!$C:$C,考核调整事项表!$G:$G,累计考核费用!$B74,考核调整事项表!$D:$D,累计考核费用!N$55)+SUMIFS(考核调整事项表!$E:$E,考核调整事项表!$G:$G,累计考核费用!$B74,考核调整事项表!$F:$F,累计考核费用!N$55)</f>
        <v>0</v>
      </c>
      <c r="O74" s="157">
        <f>SUMIFS(考核调整事项表!$C:$C,考核调整事项表!$G:$G,累计考核费用!$B74,考核调整事项表!$D:$D,累计考核费用!O$55)+SUMIFS(考核调整事项表!$E:$E,考核调整事项表!$G:$G,累计考核费用!$B74,考核调整事项表!$F:$F,累计考核费用!O$55)</f>
        <v>0</v>
      </c>
      <c r="P74" s="157">
        <f>SUMIFS(考核调整事项表!$C:$C,考核调整事项表!$G:$G,累计考核费用!$B74,考核调整事项表!$D:$D,累计考核费用!P$55)+SUMIFS(考核调整事项表!$E:$E,考核调整事项表!$G:$G,累计考核费用!$B74,考核调整事项表!$F:$F,累计考核费用!P$55)</f>
        <v>0</v>
      </c>
      <c r="Q74" s="157">
        <f>SUMIFS(考核调整事项表!$C:$C,考核调整事项表!$G:$G,累计考核费用!$B74,考核调整事项表!$D:$D,累计考核费用!Q$55)+SUMIFS(考核调整事项表!$E:$E,考核调整事项表!$G:$G,累计考核费用!$B74,考核调整事项表!$F:$F,累计考核费用!Q$55)</f>
        <v>0</v>
      </c>
      <c r="R74" s="157">
        <f>SUMIFS(考核调整事项表!$C:$C,考核调整事项表!$G:$G,累计考核费用!$B74,考核调整事项表!$D:$D,累计考核费用!R$55)+SUMIFS(考核调整事项表!$E:$E,考核调整事项表!$G:$G,累计考核费用!$B74,考核调整事项表!$F:$F,累计考核费用!R$55)</f>
        <v>0</v>
      </c>
      <c r="S74" s="157">
        <f>SUMIFS(考核调整事项表!$C:$C,考核调整事项表!$G:$G,累计考核费用!$B74,考核调整事项表!$D:$D,累计考核费用!S$55)+SUMIFS(考核调整事项表!$E:$E,考核调整事项表!$G:$G,累计考核费用!$B74,考核调整事项表!$F:$F,累计考核费用!S$55)</f>
        <v>0</v>
      </c>
      <c r="T74" s="160">
        <f>SUM(U74:AA74)</f>
        <v>0</v>
      </c>
      <c r="U74" s="157">
        <f>SUMIFS(考核调整事项表!$C:$C,考核调整事项表!$G:$G,累计考核费用!$B74,考核调整事项表!$D:$D,累计考核费用!U$55)+SUMIFS(考核调整事项表!$E:$E,考核调整事项表!$G:$G,累计考核费用!$B74,考核调整事项表!$F:$F,累计考核费用!U$55)</f>
        <v>0</v>
      </c>
      <c r="V74" s="157">
        <f>SUMIFS(考核调整事项表!$C:$C,考核调整事项表!$G:$G,累计考核费用!$B74,考核调整事项表!$D:$D,累计考核费用!V$55)+SUMIFS(考核调整事项表!$E:$E,考核调整事项表!$G:$G,累计考核费用!$B74,考核调整事项表!$F:$F,累计考核费用!V$55)</f>
        <v>0</v>
      </c>
      <c r="W74" s="157">
        <f>SUMIFS(考核调整事项表!$C:$C,考核调整事项表!$G:$G,累计考核费用!$B74,考核调整事项表!$D:$D,累计考核费用!W$55)+SUMIFS(考核调整事项表!$E:$E,考核调整事项表!$G:$G,累计考核费用!$B74,考核调整事项表!$F:$F,累计考核费用!W$55)</f>
        <v>-95388.82</v>
      </c>
      <c r="X74" s="157">
        <f>SUMIFS(考核调整事项表!$C:$C,考核调整事项表!$G:$G,累计考核费用!$B74,考核调整事项表!$D:$D,累计考核费用!X$55)+SUMIFS(考核调整事项表!$E:$E,考核调整事项表!$G:$G,累计考核费用!$B74,考核调整事项表!$F:$F,累计考核费用!X$55)</f>
        <v>0</v>
      </c>
      <c r="Y74" s="157">
        <f>SUMIFS(考核调整事项表!$C:$C,考核调整事项表!$G:$G,累计考核费用!$B74,考核调整事项表!$D:$D,累计考核费用!Y$55)+SUMIFS(考核调整事项表!$E:$E,考核调整事项表!$G:$G,累计考核费用!$B74,考核调整事项表!$F:$F,累计考核费用!Y$55)</f>
        <v>0</v>
      </c>
      <c r="Z74" s="157">
        <f>SUMIFS(考核调整事项表!$C:$C,考核调整事项表!$G:$G,累计考核费用!$B74,考核调整事项表!$D:$D,累计考核费用!Z$55)+SUMIFS(考核调整事项表!$E:$E,考核调整事项表!$G:$G,累计考核费用!$B74,考核调整事项表!$F:$F,累计考核费用!Z$55)</f>
        <v>0</v>
      </c>
      <c r="AA74" s="157">
        <f>SUMIFS(考核调整事项表!$C:$C,考核调整事项表!$G:$G,累计考核费用!$B74,考核调整事项表!$D:$D,累计考核费用!AA$55)+SUMIFS(考核调整事项表!$E:$E,考核调整事项表!$G:$G,累计考核费用!$B74,考核调整事项表!$F:$F,累计考核费用!AA$55)</f>
        <v>95388.82</v>
      </c>
      <c r="AB74" s="157">
        <f>SUMIFS(考核调整事项表!$C:$C,考核调整事项表!$G:$G,累计考核费用!$B74,考核调整事项表!$D:$D,累计考核费用!AB$55)+SUMIFS(考核调整事项表!$E:$E,考核调整事项表!$G:$G,累计考核费用!$B74,考核调整事项表!$F:$F,累计考核费用!AB$55)</f>
        <v>0</v>
      </c>
      <c r="AC74" s="157">
        <f>SUMIFS(考核调整事项表!$C:$C,考核调整事项表!$G:$G,累计考核费用!$B74,考核调整事项表!$D:$D,累计考核费用!AC$55)+SUMIFS(考核调整事项表!$E:$E,考核调整事项表!$G:$G,累计考核费用!$B74,考核调整事项表!$F:$F,累计考核费用!AC$55)</f>
        <v>0</v>
      </c>
    </row>
    <row r="75" spans="1:29">
      <c r="A75" s="274"/>
      <c r="B75" s="47" t="s">
        <v>109</v>
      </c>
      <c r="C75" s="9">
        <f t="shared" si="11"/>
        <v>0</v>
      </c>
      <c r="D75" s="157">
        <f>SUMIFS(考核调整事项表!$C:$C,考核调整事项表!$G:$G,累计考核费用!$B75,考核调整事项表!$D:$D,累计考核费用!D$55)+SUMIFS(考核调整事项表!$E:$E,考核调整事项表!$G:$G,累计考核费用!$B75,考核调整事项表!$F:$F,累计考核费用!D$55)</f>
        <v>0</v>
      </c>
      <c r="E75" s="157">
        <f>SUMIFS(考核调整事项表!$C:$C,考核调整事项表!$G:$G,累计考核费用!$B75,考核调整事项表!$D:$D,累计考核费用!E$55)+SUMIFS(考核调整事项表!$E:$E,考核调整事项表!$G:$G,累计考核费用!$B75,考核调整事项表!$F:$F,累计考核费用!E$55)</f>
        <v>0</v>
      </c>
      <c r="F75" s="157">
        <f>SUMIFS(考核调整事项表!$C:$C,考核调整事项表!$G:$G,累计考核费用!$B75,考核调整事项表!$D:$D,累计考核费用!F$55)+SUMIFS(考核调整事项表!$E:$E,考核调整事项表!$G:$G,累计考核费用!$B75,考核调整事项表!$F:$F,累计考核费用!F$55)</f>
        <v>0</v>
      </c>
      <c r="G75" s="157">
        <f t="shared" si="3"/>
        <v>0</v>
      </c>
      <c r="H75" s="157">
        <f>SUMIFS(考核调整事项表!$C:$C,考核调整事项表!$G:$G,累计考核费用!$B75,考核调整事项表!$D:$D,累计考核费用!H$55)+SUMIFS(考核调整事项表!$E:$E,考核调整事项表!$G:$G,累计考核费用!$B75,考核调整事项表!$F:$F,累计考核费用!H$55)</f>
        <v>0</v>
      </c>
      <c r="I75" s="157">
        <f>SUMIFS(考核调整事项表!$C:$C,考核调整事项表!$G:$G,累计考核费用!$B75,考核调整事项表!$D:$D,累计考核费用!I$55)+SUMIFS(考核调整事项表!$E:$E,考核调整事项表!$G:$G,累计考核费用!$B75,考核调整事项表!$F:$F,累计考核费用!I$55)</f>
        <v>0</v>
      </c>
      <c r="J75" s="157">
        <f>SUMIFS(考核调整事项表!$C:$C,考核调整事项表!$G:$G,累计考核费用!$B75,考核调整事项表!$D:$D,累计考核费用!J$55)+SUMIFS(考核调整事项表!$E:$E,考核调整事项表!$G:$G,累计考核费用!$B75,考核调整事项表!$F:$F,累计考核费用!J$55)</f>
        <v>0</v>
      </c>
      <c r="K75" s="157">
        <f>SUMIFS(考核调整事项表!$C:$C,考核调整事项表!$G:$G,累计考核费用!$B75,考核调整事项表!$D:$D,累计考核费用!K$55)+SUMIFS(考核调整事项表!$E:$E,考核调整事项表!$G:$G,累计考核费用!$B75,考核调整事项表!$F:$F,累计考核费用!K$55)</f>
        <v>0</v>
      </c>
      <c r="L75" s="157">
        <f t="shared" si="4"/>
        <v>0</v>
      </c>
      <c r="M75" s="157">
        <f>SUMIFS(考核调整事项表!$C:$C,考核调整事项表!$G:$G,累计考核费用!$B75,考核调整事项表!$D:$D,累计考核费用!M$55)+SUMIFS(考核调整事项表!$E:$E,考核调整事项表!$G:$G,累计考核费用!$B75,考核调整事项表!$F:$F,累计考核费用!M$55)</f>
        <v>0</v>
      </c>
      <c r="N75" s="157">
        <f>SUMIFS(考核调整事项表!$C:$C,考核调整事项表!$G:$G,累计考核费用!$B75,考核调整事项表!$D:$D,累计考核费用!N$55)+SUMIFS(考核调整事项表!$E:$E,考核调整事项表!$G:$G,累计考核费用!$B75,考核调整事项表!$F:$F,累计考核费用!N$55)</f>
        <v>0</v>
      </c>
      <c r="O75" s="157">
        <f>SUMIFS(考核调整事项表!$C:$C,考核调整事项表!$G:$G,累计考核费用!$B75,考核调整事项表!$D:$D,累计考核费用!O$55)+SUMIFS(考核调整事项表!$E:$E,考核调整事项表!$G:$G,累计考核费用!$B75,考核调整事项表!$F:$F,累计考核费用!O$55)</f>
        <v>0</v>
      </c>
      <c r="P75" s="157">
        <f>SUMIFS(考核调整事项表!$C:$C,考核调整事项表!$G:$G,累计考核费用!$B75,考核调整事项表!$D:$D,累计考核费用!P$55)+SUMIFS(考核调整事项表!$E:$E,考核调整事项表!$G:$G,累计考核费用!$B75,考核调整事项表!$F:$F,累计考核费用!P$55)</f>
        <v>0</v>
      </c>
      <c r="Q75" s="157">
        <f>SUMIFS(考核调整事项表!$C:$C,考核调整事项表!$G:$G,累计考核费用!$B75,考核调整事项表!$D:$D,累计考核费用!Q$55)+SUMIFS(考核调整事项表!$E:$E,考核调整事项表!$G:$G,累计考核费用!$B75,考核调整事项表!$F:$F,累计考核费用!Q$55)</f>
        <v>0</v>
      </c>
      <c r="R75" s="157">
        <f>SUMIFS(考核调整事项表!$C:$C,考核调整事项表!$G:$G,累计考核费用!$B75,考核调整事项表!$D:$D,累计考核费用!R$55)+SUMIFS(考核调整事项表!$E:$E,考核调整事项表!$G:$G,累计考核费用!$B75,考核调整事项表!$F:$F,累计考核费用!R$55)</f>
        <v>0</v>
      </c>
      <c r="S75" s="157">
        <f>SUMIFS(考核调整事项表!$C:$C,考核调整事项表!$G:$G,累计考核费用!$B75,考核调整事项表!$D:$D,累计考核费用!S$55)+SUMIFS(考核调整事项表!$E:$E,考核调整事项表!$G:$G,累计考核费用!$B75,考核调整事项表!$F:$F,累计考核费用!S$55)</f>
        <v>0</v>
      </c>
      <c r="T75" s="160">
        <f t="shared" ref="T75:T85" si="12">SUM(U75:AA75)</f>
        <v>0</v>
      </c>
      <c r="U75" s="157">
        <f>SUMIFS(考核调整事项表!$C:$C,考核调整事项表!$G:$G,累计考核费用!$B75,考核调整事项表!$D:$D,累计考核费用!U$55)+SUMIFS(考核调整事项表!$E:$E,考核调整事项表!$G:$G,累计考核费用!$B75,考核调整事项表!$F:$F,累计考核费用!U$55)</f>
        <v>0</v>
      </c>
      <c r="V75" s="157">
        <f>SUMIFS(考核调整事项表!$C:$C,考核调整事项表!$G:$G,累计考核费用!$B75,考核调整事项表!$D:$D,累计考核费用!V$55)+SUMIFS(考核调整事项表!$E:$E,考核调整事项表!$G:$G,累计考核费用!$B75,考核调整事项表!$F:$F,累计考核费用!V$55)</f>
        <v>0</v>
      </c>
      <c r="W75" s="157">
        <f>SUMIFS(考核调整事项表!$C:$C,考核调整事项表!$G:$G,累计考核费用!$B75,考核调整事项表!$D:$D,累计考核费用!W$55)+SUMIFS(考核调整事项表!$E:$E,考核调整事项表!$G:$G,累计考核费用!$B75,考核调整事项表!$F:$F,累计考核费用!W$55)</f>
        <v>0</v>
      </c>
      <c r="X75" s="157">
        <f>SUMIFS(考核调整事项表!$C:$C,考核调整事项表!$G:$G,累计考核费用!$B75,考核调整事项表!$D:$D,累计考核费用!X$55)+SUMIFS(考核调整事项表!$E:$E,考核调整事项表!$G:$G,累计考核费用!$B75,考核调整事项表!$F:$F,累计考核费用!X$55)</f>
        <v>0</v>
      </c>
      <c r="Y75" s="157">
        <f>SUMIFS(考核调整事项表!$C:$C,考核调整事项表!$G:$G,累计考核费用!$B75,考核调整事项表!$D:$D,累计考核费用!Y$55)+SUMIFS(考核调整事项表!$E:$E,考核调整事项表!$G:$G,累计考核费用!$B75,考核调整事项表!$F:$F,累计考核费用!Y$55)</f>
        <v>0</v>
      </c>
      <c r="Z75" s="157">
        <f>SUMIFS(考核调整事项表!$C:$C,考核调整事项表!$G:$G,累计考核费用!$B75,考核调整事项表!$D:$D,累计考核费用!Z$55)+SUMIFS(考核调整事项表!$E:$E,考核调整事项表!$G:$G,累计考核费用!$B75,考核调整事项表!$F:$F,累计考核费用!Z$55)</f>
        <v>0</v>
      </c>
      <c r="AA75" s="157">
        <f>SUMIFS(考核调整事项表!$C:$C,考核调整事项表!$G:$G,累计考核费用!$B75,考核调整事项表!$D:$D,累计考核费用!AA$55)+SUMIFS(考核调整事项表!$E:$E,考核调整事项表!$G:$G,累计考核费用!$B75,考核调整事项表!$F:$F,累计考核费用!AA$55)</f>
        <v>0</v>
      </c>
      <c r="AB75" s="157">
        <f>SUMIFS(考核调整事项表!$C:$C,考核调整事项表!$G:$G,累计考核费用!$B75,考核调整事项表!$D:$D,累计考核费用!AB$55)+SUMIFS(考核调整事项表!$E:$E,考核调整事项表!$G:$G,累计考核费用!$B75,考核调整事项表!$F:$F,累计考核费用!AB$55)</f>
        <v>0</v>
      </c>
      <c r="AC75" s="157">
        <f>SUMIFS(考核调整事项表!$C:$C,考核调整事项表!$G:$G,累计考核费用!$B75,考核调整事项表!$D:$D,累计考核费用!AC$55)+SUMIFS(考核调整事项表!$E:$E,考核调整事项表!$G:$G,累计考核费用!$B75,考核调整事项表!$F:$F,累计考核费用!AC$55)</f>
        <v>0</v>
      </c>
    </row>
    <row r="76" spans="1:29">
      <c r="A76" s="274"/>
      <c r="B76" s="47" t="s">
        <v>110</v>
      </c>
      <c r="C76" s="9">
        <f t="shared" si="11"/>
        <v>0</v>
      </c>
      <c r="D76" s="157">
        <f>SUMIFS(考核调整事项表!$C:$C,考核调整事项表!$G:$G,累计考核费用!$B76,考核调整事项表!$D:$D,累计考核费用!D$55)+SUMIFS(考核调整事项表!$E:$E,考核调整事项表!$G:$G,累计考核费用!$B76,考核调整事项表!$F:$F,累计考核费用!D$55)</f>
        <v>0</v>
      </c>
      <c r="E76" s="157">
        <f>SUMIFS(考核调整事项表!$C:$C,考核调整事项表!$G:$G,累计考核费用!$B76,考核调整事项表!$D:$D,累计考核费用!E$55)+SUMIFS(考核调整事项表!$E:$E,考核调整事项表!$G:$G,累计考核费用!$B76,考核调整事项表!$F:$F,累计考核费用!E$55)</f>
        <v>0</v>
      </c>
      <c r="F76" s="157">
        <f>SUMIFS(考核调整事项表!$C:$C,考核调整事项表!$G:$G,累计考核费用!$B76,考核调整事项表!$D:$D,累计考核费用!F$55)+SUMIFS(考核调整事项表!$E:$E,考核调整事项表!$G:$G,累计考核费用!$B76,考核调整事项表!$F:$F,累计考核费用!F$55)</f>
        <v>0</v>
      </c>
      <c r="G76" s="157">
        <f t="shared" si="3"/>
        <v>0</v>
      </c>
      <c r="H76" s="157">
        <f>SUMIFS(考核调整事项表!$C:$C,考核调整事项表!$G:$G,累计考核费用!$B76,考核调整事项表!$D:$D,累计考核费用!H$55)+SUMIFS(考核调整事项表!$E:$E,考核调整事项表!$G:$G,累计考核费用!$B76,考核调整事项表!$F:$F,累计考核费用!H$55)</f>
        <v>0</v>
      </c>
      <c r="I76" s="157">
        <f>SUMIFS(考核调整事项表!$C:$C,考核调整事项表!$G:$G,累计考核费用!$B76,考核调整事项表!$D:$D,累计考核费用!I$55)+SUMIFS(考核调整事项表!$E:$E,考核调整事项表!$G:$G,累计考核费用!$B76,考核调整事项表!$F:$F,累计考核费用!I$55)</f>
        <v>0</v>
      </c>
      <c r="J76" s="157">
        <f>SUMIFS(考核调整事项表!$C:$C,考核调整事项表!$G:$G,累计考核费用!$B76,考核调整事项表!$D:$D,累计考核费用!J$55)+SUMIFS(考核调整事项表!$E:$E,考核调整事项表!$G:$G,累计考核费用!$B76,考核调整事项表!$F:$F,累计考核费用!J$55)</f>
        <v>0</v>
      </c>
      <c r="K76" s="157">
        <f>SUMIFS(考核调整事项表!$C:$C,考核调整事项表!$G:$G,累计考核费用!$B76,考核调整事项表!$D:$D,累计考核费用!K$55)+SUMIFS(考核调整事项表!$E:$E,考核调整事项表!$G:$G,累计考核费用!$B76,考核调整事项表!$F:$F,累计考核费用!K$55)</f>
        <v>0</v>
      </c>
      <c r="L76" s="157">
        <f t="shared" si="4"/>
        <v>0</v>
      </c>
      <c r="M76" s="157">
        <f>SUMIFS(考核调整事项表!$C:$C,考核调整事项表!$G:$G,累计考核费用!$B76,考核调整事项表!$D:$D,累计考核费用!M$55)+SUMIFS(考核调整事项表!$E:$E,考核调整事项表!$G:$G,累计考核费用!$B76,考核调整事项表!$F:$F,累计考核费用!M$55)</f>
        <v>0</v>
      </c>
      <c r="N76" s="157">
        <f>SUMIFS(考核调整事项表!$C:$C,考核调整事项表!$G:$G,累计考核费用!$B76,考核调整事项表!$D:$D,累计考核费用!N$55)+SUMIFS(考核调整事项表!$E:$E,考核调整事项表!$G:$G,累计考核费用!$B76,考核调整事项表!$F:$F,累计考核费用!N$55)</f>
        <v>0</v>
      </c>
      <c r="O76" s="157">
        <f>SUMIFS(考核调整事项表!$C:$C,考核调整事项表!$G:$G,累计考核费用!$B76,考核调整事项表!$D:$D,累计考核费用!O$55)+SUMIFS(考核调整事项表!$E:$E,考核调整事项表!$G:$G,累计考核费用!$B76,考核调整事项表!$F:$F,累计考核费用!O$55)</f>
        <v>0</v>
      </c>
      <c r="P76" s="157">
        <f>SUMIFS(考核调整事项表!$C:$C,考核调整事项表!$G:$G,累计考核费用!$B76,考核调整事项表!$D:$D,累计考核费用!P$55)+SUMIFS(考核调整事项表!$E:$E,考核调整事项表!$G:$G,累计考核费用!$B76,考核调整事项表!$F:$F,累计考核费用!P$55)</f>
        <v>0</v>
      </c>
      <c r="Q76" s="157">
        <f>SUMIFS(考核调整事项表!$C:$C,考核调整事项表!$G:$G,累计考核费用!$B76,考核调整事项表!$D:$D,累计考核费用!Q$55)+SUMIFS(考核调整事项表!$E:$E,考核调整事项表!$G:$G,累计考核费用!$B76,考核调整事项表!$F:$F,累计考核费用!Q$55)</f>
        <v>0</v>
      </c>
      <c r="R76" s="157">
        <f>SUMIFS(考核调整事项表!$C:$C,考核调整事项表!$G:$G,累计考核费用!$B76,考核调整事项表!$D:$D,累计考核费用!R$55)+SUMIFS(考核调整事项表!$E:$E,考核调整事项表!$G:$G,累计考核费用!$B76,考核调整事项表!$F:$F,累计考核费用!R$55)</f>
        <v>0</v>
      </c>
      <c r="S76" s="157">
        <f>SUMIFS(考核调整事项表!$C:$C,考核调整事项表!$G:$G,累计考核费用!$B76,考核调整事项表!$D:$D,累计考核费用!S$55)+SUMIFS(考核调整事项表!$E:$E,考核调整事项表!$G:$G,累计考核费用!$B76,考核调整事项表!$F:$F,累计考核费用!S$55)</f>
        <v>0</v>
      </c>
      <c r="T76" s="160">
        <f t="shared" si="12"/>
        <v>0</v>
      </c>
      <c r="U76" s="157">
        <f>SUMIFS(考核调整事项表!$C:$C,考核调整事项表!$G:$G,累计考核费用!$B76,考核调整事项表!$D:$D,累计考核费用!U$55)+SUMIFS(考核调整事项表!$E:$E,考核调整事项表!$G:$G,累计考核费用!$B76,考核调整事项表!$F:$F,累计考核费用!U$55)</f>
        <v>0</v>
      </c>
      <c r="V76" s="157">
        <f>SUMIFS(考核调整事项表!$C:$C,考核调整事项表!$G:$G,累计考核费用!$B76,考核调整事项表!$D:$D,累计考核费用!V$55)+SUMIFS(考核调整事项表!$E:$E,考核调整事项表!$G:$G,累计考核费用!$B76,考核调整事项表!$F:$F,累计考核费用!V$55)</f>
        <v>0</v>
      </c>
      <c r="W76" s="157">
        <f>SUMIFS(考核调整事项表!$C:$C,考核调整事项表!$G:$G,累计考核费用!$B76,考核调整事项表!$D:$D,累计考核费用!W$55)+SUMIFS(考核调整事项表!$E:$E,考核调整事项表!$G:$G,累计考核费用!$B76,考核调整事项表!$F:$F,累计考核费用!W$55)</f>
        <v>0</v>
      </c>
      <c r="X76" s="157">
        <f>SUMIFS(考核调整事项表!$C:$C,考核调整事项表!$G:$G,累计考核费用!$B76,考核调整事项表!$D:$D,累计考核费用!X$55)+SUMIFS(考核调整事项表!$E:$E,考核调整事项表!$G:$G,累计考核费用!$B76,考核调整事项表!$F:$F,累计考核费用!X$55)</f>
        <v>0</v>
      </c>
      <c r="Y76" s="157">
        <f>SUMIFS(考核调整事项表!$C:$C,考核调整事项表!$G:$G,累计考核费用!$B76,考核调整事项表!$D:$D,累计考核费用!Y$55)+SUMIFS(考核调整事项表!$E:$E,考核调整事项表!$G:$G,累计考核费用!$B76,考核调整事项表!$F:$F,累计考核费用!Y$55)</f>
        <v>0</v>
      </c>
      <c r="Z76" s="157">
        <f>SUMIFS(考核调整事项表!$C:$C,考核调整事项表!$G:$G,累计考核费用!$B76,考核调整事项表!$D:$D,累计考核费用!Z$55)+SUMIFS(考核调整事项表!$E:$E,考核调整事项表!$G:$G,累计考核费用!$B76,考核调整事项表!$F:$F,累计考核费用!Z$55)</f>
        <v>0</v>
      </c>
      <c r="AA76" s="157">
        <f>SUMIFS(考核调整事项表!$C:$C,考核调整事项表!$G:$G,累计考核费用!$B76,考核调整事项表!$D:$D,累计考核费用!AA$55)+SUMIFS(考核调整事项表!$E:$E,考核调整事项表!$G:$G,累计考核费用!$B76,考核调整事项表!$F:$F,累计考核费用!AA$55)</f>
        <v>0</v>
      </c>
      <c r="AB76" s="157">
        <f>SUMIFS(考核调整事项表!$C:$C,考核调整事项表!$G:$G,累计考核费用!$B76,考核调整事项表!$D:$D,累计考核费用!AB$55)+SUMIFS(考核调整事项表!$E:$E,考核调整事项表!$G:$G,累计考核费用!$B76,考核调整事项表!$F:$F,累计考核费用!AB$55)</f>
        <v>0</v>
      </c>
      <c r="AC76" s="157">
        <f>SUMIFS(考核调整事项表!$C:$C,考核调整事项表!$G:$G,累计考核费用!$B76,考核调整事项表!$D:$D,累计考核费用!AC$55)+SUMIFS(考核调整事项表!$E:$E,考核调整事项表!$G:$G,累计考核费用!$B76,考核调整事项表!$F:$F,累计考核费用!AC$55)</f>
        <v>0</v>
      </c>
    </row>
    <row r="77" spans="1:29">
      <c r="A77" s="274"/>
      <c r="B77" s="47" t="s">
        <v>111</v>
      </c>
      <c r="C77" s="9">
        <f>SUM(D77:G77)+L77+T77+AC77+AB77</f>
        <v>0</v>
      </c>
      <c r="D77" s="157">
        <f>SUMIFS(考核调整事项表!$C:$C,考核调整事项表!$G:$G,累计考核费用!$B77,考核调整事项表!$D:$D,累计考核费用!D$55)+SUMIFS(考核调整事项表!$E:$E,考核调整事项表!$G:$G,累计考核费用!$B77,考核调整事项表!$F:$F,累计考核费用!D$55)</f>
        <v>0</v>
      </c>
      <c r="E77" s="157">
        <f>SUMIFS(考核调整事项表!$C:$C,考核调整事项表!$G:$G,累计考核费用!$B77,考核调整事项表!$D:$D,累计考核费用!E$55)+SUMIFS(考核调整事项表!$E:$E,考核调整事项表!$G:$G,累计考核费用!$B77,考核调整事项表!$F:$F,累计考核费用!E$55)</f>
        <v>0</v>
      </c>
      <c r="F77" s="157">
        <f>SUMIFS(考核调整事项表!$C:$C,考核调整事项表!$G:$G,累计考核费用!$B77,考核调整事项表!$D:$D,累计考核费用!F$55)+SUMIFS(考核调整事项表!$E:$E,考核调整事项表!$G:$G,累计考核费用!$B77,考核调整事项表!$F:$F,累计考核费用!F$55)</f>
        <v>0</v>
      </c>
      <c r="G77" s="157">
        <f t="shared" si="3"/>
        <v>0</v>
      </c>
      <c r="H77" s="157">
        <f>SUMIFS(考核调整事项表!$C:$C,考核调整事项表!$G:$G,累计考核费用!$B77,考核调整事项表!$D:$D,累计考核费用!H$55)+SUMIFS(考核调整事项表!$E:$E,考核调整事项表!$G:$G,累计考核费用!$B77,考核调整事项表!$F:$F,累计考核费用!H$55)</f>
        <v>0</v>
      </c>
      <c r="I77" s="157">
        <f>SUMIFS(考核调整事项表!$C:$C,考核调整事项表!$G:$G,累计考核费用!$B77,考核调整事项表!$D:$D,累计考核费用!I$55)+SUMIFS(考核调整事项表!$E:$E,考核调整事项表!$G:$G,累计考核费用!$B77,考核调整事项表!$F:$F,累计考核费用!I$55)</f>
        <v>0</v>
      </c>
      <c r="J77" s="157">
        <f>SUMIFS(考核调整事项表!$C:$C,考核调整事项表!$G:$G,累计考核费用!$B77,考核调整事项表!$D:$D,累计考核费用!J$55)+SUMIFS(考核调整事项表!$E:$E,考核调整事项表!$G:$G,累计考核费用!$B77,考核调整事项表!$F:$F,累计考核费用!J$55)</f>
        <v>0</v>
      </c>
      <c r="K77" s="157">
        <f>SUMIFS(考核调整事项表!$C:$C,考核调整事项表!$G:$G,累计考核费用!$B77,考核调整事项表!$D:$D,累计考核费用!K$55)+SUMIFS(考核调整事项表!$E:$E,考核调整事项表!$G:$G,累计考核费用!$B77,考核调整事项表!$F:$F,累计考核费用!K$55)</f>
        <v>0</v>
      </c>
      <c r="L77" s="157">
        <f t="shared" si="4"/>
        <v>0</v>
      </c>
      <c r="M77" s="157">
        <f>SUMIFS(考核调整事项表!$C:$C,考核调整事项表!$G:$G,累计考核费用!$B77,考核调整事项表!$D:$D,累计考核费用!M$55)+SUMIFS(考核调整事项表!$E:$E,考核调整事项表!$G:$G,累计考核费用!$B77,考核调整事项表!$F:$F,累计考核费用!M$55)</f>
        <v>0</v>
      </c>
      <c r="N77" s="157">
        <f>SUMIFS(考核调整事项表!$C:$C,考核调整事项表!$G:$G,累计考核费用!$B77,考核调整事项表!$D:$D,累计考核费用!N$55)+SUMIFS(考核调整事项表!$E:$E,考核调整事项表!$G:$G,累计考核费用!$B77,考核调整事项表!$F:$F,累计考核费用!N$55)</f>
        <v>0</v>
      </c>
      <c r="O77" s="157">
        <f>SUMIFS(考核调整事项表!$C:$C,考核调整事项表!$G:$G,累计考核费用!$B77,考核调整事项表!$D:$D,累计考核费用!O$55)+SUMIFS(考核调整事项表!$E:$E,考核调整事项表!$G:$G,累计考核费用!$B77,考核调整事项表!$F:$F,累计考核费用!O$55)</f>
        <v>0</v>
      </c>
      <c r="P77" s="157">
        <f>SUMIFS(考核调整事项表!$C:$C,考核调整事项表!$G:$G,累计考核费用!$B77,考核调整事项表!$D:$D,累计考核费用!P$55)+SUMIFS(考核调整事项表!$E:$E,考核调整事项表!$G:$G,累计考核费用!$B77,考核调整事项表!$F:$F,累计考核费用!P$55)</f>
        <v>0</v>
      </c>
      <c r="Q77" s="157">
        <f>SUMIFS(考核调整事项表!$C:$C,考核调整事项表!$G:$G,累计考核费用!$B77,考核调整事项表!$D:$D,累计考核费用!Q$55)+SUMIFS(考核调整事项表!$E:$E,考核调整事项表!$G:$G,累计考核费用!$B77,考核调整事项表!$F:$F,累计考核费用!Q$55)</f>
        <v>0</v>
      </c>
      <c r="R77" s="157">
        <f>SUMIFS(考核调整事项表!$C:$C,考核调整事项表!$G:$G,累计考核费用!$B77,考核调整事项表!$D:$D,累计考核费用!R$55)+SUMIFS(考核调整事项表!$E:$E,考核调整事项表!$G:$G,累计考核费用!$B77,考核调整事项表!$F:$F,累计考核费用!R$55)</f>
        <v>0</v>
      </c>
      <c r="S77" s="157">
        <f>SUMIFS(考核调整事项表!$C:$C,考核调整事项表!$G:$G,累计考核费用!$B77,考核调整事项表!$D:$D,累计考核费用!S$55)+SUMIFS(考核调整事项表!$E:$E,考核调整事项表!$G:$G,累计考核费用!$B77,考核调整事项表!$F:$F,累计考核费用!S$55)</f>
        <v>0</v>
      </c>
      <c r="T77" s="160">
        <f t="shared" si="12"/>
        <v>0</v>
      </c>
      <c r="U77" s="157">
        <f>SUMIFS(考核调整事项表!$C:$C,考核调整事项表!$G:$G,累计考核费用!$B77,考核调整事项表!$D:$D,累计考核费用!U$55)+SUMIFS(考核调整事项表!$E:$E,考核调整事项表!$G:$G,累计考核费用!$B77,考核调整事项表!$F:$F,累计考核费用!U$55)</f>
        <v>0</v>
      </c>
      <c r="V77" s="157">
        <f>SUMIFS(考核调整事项表!$C:$C,考核调整事项表!$G:$G,累计考核费用!$B77,考核调整事项表!$D:$D,累计考核费用!V$55)+SUMIFS(考核调整事项表!$E:$E,考核调整事项表!$G:$G,累计考核费用!$B77,考核调整事项表!$F:$F,累计考核费用!V$55)</f>
        <v>0</v>
      </c>
      <c r="W77" s="157">
        <f>SUMIFS(考核调整事项表!$C:$C,考核调整事项表!$G:$G,累计考核费用!$B77,考核调整事项表!$D:$D,累计考核费用!W$55)+SUMIFS(考核调整事项表!$E:$E,考核调整事项表!$G:$G,累计考核费用!$B77,考核调整事项表!$F:$F,累计考核费用!W$55)</f>
        <v>0</v>
      </c>
      <c r="X77" s="157">
        <f>SUMIFS(考核调整事项表!$C:$C,考核调整事项表!$G:$G,累计考核费用!$B77,考核调整事项表!$D:$D,累计考核费用!X$55)+SUMIFS(考核调整事项表!$E:$E,考核调整事项表!$G:$G,累计考核费用!$B77,考核调整事项表!$F:$F,累计考核费用!X$55)</f>
        <v>0</v>
      </c>
      <c r="Y77" s="157">
        <f>SUMIFS(考核调整事项表!$C:$C,考核调整事项表!$G:$G,累计考核费用!$B77,考核调整事项表!$D:$D,累计考核费用!Y$55)+SUMIFS(考核调整事项表!$E:$E,考核调整事项表!$G:$G,累计考核费用!$B77,考核调整事项表!$F:$F,累计考核费用!Y$55)</f>
        <v>0</v>
      </c>
      <c r="Z77" s="157">
        <f>SUMIFS(考核调整事项表!$C:$C,考核调整事项表!$G:$G,累计考核费用!$B77,考核调整事项表!$D:$D,累计考核费用!Z$55)+SUMIFS(考核调整事项表!$E:$E,考核调整事项表!$G:$G,累计考核费用!$B77,考核调整事项表!$F:$F,累计考核费用!Z$55)</f>
        <v>0</v>
      </c>
      <c r="AA77" s="157">
        <f>SUMIFS(考核调整事项表!$C:$C,考核调整事项表!$G:$G,累计考核费用!$B77,考核调整事项表!$D:$D,累计考核费用!AA$55)+SUMIFS(考核调整事项表!$E:$E,考核调整事项表!$G:$G,累计考核费用!$B77,考核调整事项表!$F:$F,累计考核费用!AA$55)</f>
        <v>0</v>
      </c>
      <c r="AB77" s="157">
        <f>SUMIFS(考核调整事项表!$C:$C,考核调整事项表!$G:$G,累计考核费用!$B77,考核调整事项表!$D:$D,累计考核费用!AB$55)+SUMIFS(考核调整事项表!$E:$E,考核调整事项表!$G:$G,累计考核费用!$B77,考核调整事项表!$F:$F,累计考核费用!AB$55)</f>
        <v>0</v>
      </c>
      <c r="AC77" s="157">
        <f>SUMIFS(考核调整事项表!$C:$C,考核调整事项表!$G:$G,累计考核费用!$B77,考核调整事项表!$D:$D,累计考核费用!AC$55)+SUMIFS(考核调整事项表!$E:$E,考核调整事项表!$G:$G,累计考核费用!$B77,考核调整事项表!$F:$F,累计考核费用!AC$55)</f>
        <v>0</v>
      </c>
    </row>
    <row r="78" spans="1:29">
      <c r="A78" s="274"/>
      <c r="B78" s="47" t="s">
        <v>112</v>
      </c>
      <c r="C78" s="9">
        <f t="shared" ref="C78:C85" si="13">SUM(D78:G78)+L78+T78+AC78+AB78</f>
        <v>0</v>
      </c>
      <c r="D78" s="157">
        <f>SUMIFS(考核调整事项表!$C:$C,考核调整事项表!$G:$G,累计考核费用!$B78,考核调整事项表!$D:$D,累计考核费用!D$55)+SUMIFS(考核调整事项表!$E:$E,考核调整事项表!$G:$G,累计考核费用!$B78,考核调整事项表!$F:$F,累计考核费用!D$55)</f>
        <v>815533.98</v>
      </c>
      <c r="E78" s="157">
        <f>SUMIFS(考核调整事项表!$C:$C,考核调整事项表!$G:$G,累计考核费用!$B78,考核调整事项表!$D:$D,累计考核费用!E$55)+SUMIFS(考核调整事项表!$E:$E,考核调整事项表!$G:$G,累计考核费用!$B78,考核调整事项表!$F:$F,累计考核费用!E$55)</f>
        <v>0</v>
      </c>
      <c r="F78" s="157">
        <f>SUMIFS(考核调整事项表!$C:$C,考核调整事项表!$G:$G,累计考核费用!$B78,考核调整事项表!$D:$D,累计考核费用!F$55)+SUMIFS(考核调整事项表!$E:$E,考核调整事项表!$G:$G,累计考核费用!$B78,考核调整事项表!$F:$F,累计考核费用!F$55)</f>
        <v>69673.039999999994</v>
      </c>
      <c r="G78" s="157">
        <f t="shared" si="3"/>
        <v>-885207.02</v>
      </c>
      <c r="H78" s="157">
        <f>SUMIFS(考核调整事项表!$C:$C,考核调整事项表!$G:$G,累计考核费用!$B78,考核调整事项表!$D:$D,累计考核费用!H$55)+SUMIFS(考核调整事项表!$E:$E,考核调整事项表!$G:$G,累计考核费用!$B78,考核调整事项表!$F:$F,累计考核费用!H$55)</f>
        <v>-69673.039999999994</v>
      </c>
      <c r="I78" s="157">
        <f>SUMIFS(考核调整事项表!$C:$C,考核调整事项表!$G:$G,累计考核费用!$B78,考核调整事项表!$D:$D,累计考核费用!I$55)+SUMIFS(考核调整事项表!$E:$E,考核调整事项表!$G:$G,累计考核费用!$B78,考核调整事项表!$F:$F,累计考核费用!I$55)</f>
        <v>0</v>
      </c>
      <c r="J78" s="157">
        <f>SUMIFS(考核调整事项表!$C:$C,考核调整事项表!$G:$G,累计考核费用!$B78,考核调整事项表!$D:$D,累计考核费用!J$55)+SUMIFS(考核调整事项表!$E:$E,考核调整事项表!$G:$G,累计考核费用!$B78,考核调整事项表!$F:$F,累计考核费用!J$55)</f>
        <v>0</v>
      </c>
      <c r="K78" s="157">
        <f>SUMIFS(考核调整事项表!$C:$C,考核调整事项表!$G:$G,累计考核费用!$B78,考核调整事项表!$D:$D,累计考核费用!K$55)+SUMIFS(考核调整事项表!$E:$E,考核调整事项表!$G:$G,累计考核费用!$B78,考核调整事项表!$F:$F,累计考核费用!K$55)</f>
        <v>-815533.98</v>
      </c>
      <c r="L78" s="157">
        <f t="shared" si="4"/>
        <v>0</v>
      </c>
      <c r="M78" s="157">
        <f>SUMIFS(考核调整事项表!$C:$C,考核调整事项表!$G:$G,累计考核费用!$B78,考核调整事项表!$D:$D,累计考核费用!M$55)+SUMIFS(考核调整事项表!$E:$E,考核调整事项表!$G:$G,累计考核费用!$B78,考核调整事项表!$F:$F,累计考核费用!M$55)</f>
        <v>0</v>
      </c>
      <c r="N78" s="157">
        <f>SUMIFS(考核调整事项表!$C:$C,考核调整事项表!$G:$G,累计考核费用!$B78,考核调整事项表!$D:$D,累计考核费用!N$55)+SUMIFS(考核调整事项表!$E:$E,考核调整事项表!$G:$G,累计考核费用!$B78,考核调整事项表!$F:$F,累计考核费用!N$55)</f>
        <v>0</v>
      </c>
      <c r="O78" s="157">
        <f>SUMIFS(考核调整事项表!$C:$C,考核调整事项表!$G:$G,累计考核费用!$B78,考核调整事项表!$D:$D,累计考核费用!O$55)+SUMIFS(考核调整事项表!$E:$E,考核调整事项表!$G:$G,累计考核费用!$B78,考核调整事项表!$F:$F,累计考核费用!O$55)</f>
        <v>0</v>
      </c>
      <c r="P78" s="157">
        <f>SUMIFS(考核调整事项表!$C:$C,考核调整事项表!$G:$G,累计考核费用!$B78,考核调整事项表!$D:$D,累计考核费用!P$55)+SUMIFS(考核调整事项表!$E:$E,考核调整事项表!$G:$G,累计考核费用!$B78,考核调整事项表!$F:$F,累计考核费用!P$55)</f>
        <v>0</v>
      </c>
      <c r="Q78" s="157">
        <f>SUMIFS(考核调整事项表!$C:$C,考核调整事项表!$G:$G,累计考核费用!$B78,考核调整事项表!$D:$D,累计考核费用!Q$55)+SUMIFS(考核调整事项表!$E:$E,考核调整事项表!$G:$G,累计考核费用!$B78,考核调整事项表!$F:$F,累计考核费用!Q$55)</f>
        <v>0</v>
      </c>
      <c r="R78" s="157">
        <f>SUMIFS(考核调整事项表!$C:$C,考核调整事项表!$G:$G,累计考核费用!$B78,考核调整事项表!$D:$D,累计考核费用!R$55)+SUMIFS(考核调整事项表!$E:$E,考核调整事项表!$G:$G,累计考核费用!$B78,考核调整事项表!$F:$F,累计考核费用!R$55)</f>
        <v>0</v>
      </c>
      <c r="S78" s="157">
        <f>SUMIFS(考核调整事项表!$C:$C,考核调整事项表!$G:$G,累计考核费用!$B78,考核调整事项表!$D:$D,累计考核费用!S$55)+SUMIFS(考核调整事项表!$E:$E,考核调整事项表!$G:$G,累计考核费用!$B78,考核调整事项表!$F:$F,累计考核费用!S$55)</f>
        <v>0</v>
      </c>
      <c r="T78" s="160">
        <f t="shared" si="12"/>
        <v>0</v>
      </c>
      <c r="U78" s="157">
        <f>SUMIFS(考核调整事项表!$C:$C,考核调整事项表!$G:$G,累计考核费用!$B78,考核调整事项表!$D:$D,累计考核费用!U$55)+SUMIFS(考核调整事项表!$E:$E,考核调整事项表!$G:$G,累计考核费用!$B78,考核调整事项表!$F:$F,累计考核费用!U$55)</f>
        <v>0</v>
      </c>
      <c r="V78" s="157">
        <f>SUMIFS(考核调整事项表!$C:$C,考核调整事项表!$G:$G,累计考核费用!$B78,考核调整事项表!$D:$D,累计考核费用!V$55)+SUMIFS(考核调整事项表!$E:$E,考核调整事项表!$G:$G,累计考核费用!$B78,考核调整事项表!$F:$F,累计考核费用!V$55)</f>
        <v>0</v>
      </c>
      <c r="W78" s="157">
        <f>SUMIFS(考核调整事项表!$C:$C,考核调整事项表!$G:$G,累计考核费用!$B78,考核调整事项表!$D:$D,累计考核费用!W$55)+SUMIFS(考核调整事项表!$E:$E,考核调整事项表!$G:$G,累计考核费用!$B78,考核调整事项表!$F:$F,累计考核费用!W$55)</f>
        <v>0</v>
      </c>
      <c r="X78" s="157">
        <f>SUMIFS(考核调整事项表!$C:$C,考核调整事项表!$G:$G,累计考核费用!$B78,考核调整事项表!$D:$D,累计考核费用!X$55)+SUMIFS(考核调整事项表!$E:$E,考核调整事项表!$G:$G,累计考核费用!$B78,考核调整事项表!$F:$F,累计考核费用!X$55)</f>
        <v>0</v>
      </c>
      <c r="Y78" s="157">
        <f>SUMIFS(考核调整事项表!$C:$C,考核调整事项表!$G:$G,累计考核费用!$B78,考核调整事项表!$D:$D,累计考核费用!Y$55)+SUMIFS(考核调整事项表!$E:$E,考核调整事项表!$G:$G,累计考核费用!$B78,考核调整事项表!$F:$F,累计考核费用!Y$55)</f>
        <v>0</v>
      </c>
      <c r="Z78" s="157">
        <f>SUMIFS(考核调整事项表!$C:$C,考核调整事项表!$G:$G,累计考核费用!$B78,考核调整事项表!$D:$D,累计考核费用!Z$55)+SUMIFS(考核调整事项表!$E:$E,考核调整事项表!$G:$G,累计考核费用!$B78,考核调整事项表!$F:$F,累计考核费用!Z$55)</f>
        <v>0</v>
      </c>
      <c r="AA78" s="157">
        <f>SUMIFS(考核调整事项表!$C:$C,考核调整事项表!$G:$G,累计考核费用!$B78,考核调整事项表!$D:$D,累计考核费用!AA$55)+SUMIFS(考核调整事项表!$E:$E,考核调整事项表!$G:$G,累计考核费用!$B78,考核调整事项表!$F:$F,累计考核费用!AA$55)</f>
        <v>0</v>
      </c>
      <c r="AB78" s="157">
        <f>SUMIFS(考核调整事项表!$C:$C,考核调整事项表!$G:$G,累计考核费用!$B78,考核调整事项表!$D:$D,累计考核费用!AB$55)+SUMIFS(考核调整事项表!$E:$E,考核调整事项表!$G:$G,累计考核费用!$B78,考核调整事项表!$F:$F,累计考核费用!AB$55)</f>
        <v>0</v>
      </c>
      <c r="AC78" s="157">
        <f>SUMIFS(考核调整事项表!$C:$C,考核调整事项表!$G:$G,累计考核费用!$B78,考核调整事项表!$D:$D,累计考核费用!AC$55)+SUMIFS(考核调整事项表!$E:$E,考核调整事项表!$G:$G,累计考核费用!$B78,考核调整事项表!$F:$F,累计考核费用!AC$55)</f>
        <v>0</v>
      </c>
    </row>
    <row r="79" spans="1:29">
      <c r="A79" s="274"/>
      <c r="B79" s="47" t="s">
        <v>113</v>
      </c>
      <c r="C79" s="9">
        <f t="shared" si="13"/>
        <v>0</v>
      </c>
      <c r="D79" s="157">
        <f>SUMIFS(考核调整事项表!$C:$C,考核调整事项表!$G:$G,累计考核费用!$B79,考核调整事项表!$D:$D,累计考核费用!D$55)+SUMIFS(考核调整事项表!$E:$E,考核调整事项表!$G:$G,累计考核费用!$B79,考核调整事项表!$F:$F,累计考核费用!D$55)</f>
        <v>0</v>
      </c>
      <c r="E79" s="157">
        <f>SUMIFS(考核调整事项表!$C:$C,考核调整事项表!$G:$G,累计考核费用!$B79,考核调整事项表!$D:$D,累计考核费用!E$55)+SUMIFS(考核调整事项表!$E:$E,考核调整事项表!$G:$G,累计考核费用!$B79,考核调整事项表!$F:$F,累计考核费用!E$55)</f>
        <v>0</v>
      </c>
      <c r="F79" s="157">
        <f>SUMIFS(考核调整事项表!$C:$C,考核调整事项表!$G:$G,累计考核费用!$B79,考核调整事项表!$D:$D,累计考核费用!F$55)+SUMIFS(考核调整事项表!$E:$E,考核调整事项表!$G:$G,累计考核费用!$B79,考核调整事项表!$F:$F,累计考核费用!F$55)</f>
        <v>0</v>
      </c>
      <c r="G79" s="157">
        <f t="shared" si="3"/>
        <v>0</v>
      </c>
      <c r="H79" s="157">
        <f>SUMIFS(考核调整事项表!$C:$C,考核调整事项表!$G:$G,累计考核费用!$B79,考核调整事项表!$D:$D,累计考核费用!H$55)+SUMIFS(考核调整事项表!$E:$E,考核调整事项表!$G:$G,累计考核费用!$B79,考核调整事项表!$F:$F,累计考核费用!H$55)</f>
        <v>0</v>
      </c>
      <c r="I79" s="157">
        <f>SUMIFS(考核调整事项表!$C:$C,考核调整事项表!$G:$G,累计考核费用!$B79,考核调整事项表!$D:$D,累计考核费用!I$55)+SUMIFS(考核调整事项表!$E:$E,考核调整事项表!$G:$G,累计考核费用!$B79,考核调整事项表!$F:$F,累计考核费用!I$55)</f>
        <v>0</v>
      </c>
      <c r="J79" s="157">
        <f>SUMIFS(考核调整事项表!$C:$C,考核调整事项表!$G:$G,累计考核费用!$B79,考核调整事项表!$D:$D,累计考核费用!J$55)+SUMIFS(考核调整事项表!$E:$E,考核调整事项表!$G:$G,累计考核费用!$B79,考核调整事项表!$F:$F,累计考核费用!J$55)</f>
        <v>0</v>
      </c>
      <c r="K79" s="157">
        <f>SUMIFS(考核调整事项表!$C:$C,考核调整事项表!$G:$G,累计考核费用!$B79,考核调整事项表!$D:$D,累计考核费用!K$55)+SUMIFS(考核调整事项表!$E:$E,考核调整事项表!$G:$G,累计考核费用!$B79,考核调整事项表!$F:$F,累计考核费用!K$55)</f>
        <v>0</v>
      </c>
      <c r="L79" s="157">
        <f t="shared" si="4"/>
        <v>0</v>
      </c>
      <c r="M79" s="157">
        <f>SUMIFS(考核调整事项表!$C:$C,考核调整事项表!$G:$G,累计考核费用!$B79,考核调整事项表!$D:$D,累计考核费用!M$55)+SUMIFS(考核调整事项表!$E:$E,考核调整事项表!$G:$G,累计考核费用!$B79,考核调整事项表!$F:$F,累计考核费用!M$55)</f>
        <v>0</v>
      </c>
      <c r="N79" s="157">
        <f>SUMIFS(考核调整事项表!$C:$C,考核调整事项表!$G:$G,累计考核费用!$B79,考核调整事项表!$D:$D,累计考核费用!N$55)+SUMIFS(考核调整事项表!$E:$E,考核调整事项表!$G:$G,累计考核费用!$B79,考核调整事项表!$F:$F,累计考核费用!N$55)</f>
        <v>0</v>
      </c>
      <c r="O79" s="157">
        <f>SUMIFS(考核调整事项表!$C:$C,考核调整事项表!$G:$G,累计考核费用!$B79,考核调整事项表!$D:$D,累计考核费用!O$55)+SUMIFS(考核调整事项表!$E:$E,考核调整事项表!$G:$G,累计考核费用!$B79,考核调整事项表!$F:$F,累计考核费用!O$55)</f>
        <v>0</v>
      </c>
      <c r="P79" s="157">
        <f>SUMIFS(考核调整事项表!$C:$C,考核调整事项表!$G:$G,累计考核费用!$B79,考核调整事项表!$D:$D,累计考核费用!P$55)+SUMIFS(考核调整事项表!$E:$E,考核调整事项表!$G:$G,累计考核费用!$B79,考核调整事项表!$F:$F,累计考核费用!P$55)</f>
        <v>0</v>
      </c>
      <c r="Q79" s="157">
        <f>SUMIFS(考核调整事项表!$C:$C,考核调整事项表!$G:$G,累计考核费用!$B79,考核调整事项表!$D:$D,累计考核费用!Q$55)+SUMIFS(考核调整事项表!$E:$E,考核调整事项表!$G:$G,累计考核费用!$B79,考核调整事项表!$F:$F,累计考核费用!Q$55)</f>
        <v>0</v>
      </c>
      <c r="R79" s="157">
        <f>SUMIFS(考核调整事项表!$C:$C,考核调整事项表!$G:$G,累计考核费用!$B79,考核调整事项表!$D:$D,累计考核费用!R$55)+SUMIFS(考核调整事项表!$E:$E,考核调整事项表!$G:$G,累计考核费用!$B79,考核调整事项表!$F:$F,累计考核费用!R$55)</f>
        <v>0</v>
      </c>
      <c r="S79" s="157">
        <f>SUMIFS(考核调整事项表!$C:$C,考核调整事项表!$G:$G,累计考核费用!$B79,考核调整事项表!$D:$D,累计考核费用!S$55)+SUMIFS(考核调整事项表!$E:$E,考核调整事项表!$G:$G,累计考核费用!$B79,考核调整事项表!$F:$F,累计考核费用!S$55)</f>
        <v>0</v>
      </c>
      <c r="T79" s="160">
        <f t="shared" si="12"/>
        <v>0</v>
      </c>
      <c r="U79" s="157">
        <f>SUMIFS(考核调整事项表!$C:$C,考核调整事项表!$G:$G,累计考核费用!$B79,考核调整事项表!$D:$D,累计考核费用!U$55)+SUMIFS(考核调整事项表!$E:$E,考核调整事项表!$G:$G,累计考核费用!$B79,考核调整事项表!$F:$F,累计考核费用!U$55)</f>
        <v>0</v>
      </c>
      <c r="V79" s="157">
        <f>SUMIFS(考核调整事项表!$C:$C,考核调整事项表!$G:$G,累计考核费用!$B79,考核调整事项表!$D:$D,累计考核费用!V$55)+SUMIFS(考核调整事项表!$E:$E,考核调整事项表!$G:$G,累计考核费用!$B79,考核调整事项表!$F:$F,累计考核费用!V$55)</f>
        <v>0</v>
      </c>
      <c r="W79" s="157">
        <f>SUMIFS(考核调整事项表!$C:$C,考核调整事项表!$G:$G,累计考核费用!$B79,考核调整事项表!$D:$D,累计考核费用!W$55)+SUMIFS(考核调整事项表!$E:$E,考核调整事项表!$G:$G,累计考核费用!$B79,考核调整事项表!$F:$F,累计考核费用!W$55)</f>
        <v>0</v>
      </c>
      <c r="X79" s="157">
        <f>SUMIFS(考核调整事项表!$C:$C,考核调整事项表!$G:$G,累计考核费用!$B79,考核调整事项表!$D:$D,累计考核费用!X$55)+SUMIFS(考核调整事项表!$E:$E,考核调整事项表!$G:$G,累计考核费用!$B79,考核调整事项表!$F:$F,累计考核费用!X$55)</f>
        <v>0</v>
      </c>
      <c r="Y79" s="157">
        <f>SUMIFS(考核调整事项表!$C:$C,考核调整事项表!$G:$G,累计考核费用!$B79,考核调整事项表!$D:$D,累计考核费用!Y$55)+SUMIFS(考核调整事项表!$E:$E,考核调整事项表!$G:$G,累计考核费用!$B79,考核调整事项表!$F:$F,累计考核费用!Y$55)</f>
        <v>0</v>
      </c>
      <c r="Z79" s="157">
        <f>SUMIFS(考核调整事项表!$C:$C,考核调整事项表!$G:$G,累计考核费用!$B79,考核调整事项表!$D:$D,累计考核费用!Z$55)+SUMIFS(考核调整事项表!$E:$E,考核调整事项表!$G:$G,累计考核费用!$B79,考核调整事项表!$F:$F,累计考核费用!Z$55)</f>
        <v>0</v>
      </c>
      <c r="AA79" s="157">
        <f>SUMIFS(考核调整事项表!$C:$C,考核调整事项表!$G:$G,累计考核费用!$B79,考核调整事项表!$D:$D,累计考核费用!AA$55)+SUMIFS(考核调整事项表!$E:$E,考核调整事项表!$G:$G,累计考核费用!$B79,考核调整事项表!$F:$F,累计考核费用!AA$55)</f>
        <v>0</v>
      </c>
      <c r="AB79" s="157">
        <f>SUMIFS(考核调整事项表!$C:$C,考核调整事项表!$G:$G,累计考核费用!$B79,考核调整事项表!$D:$D,累计考核费用!AB$55)+SUMIFS(考核调整事项表!$E:$E,考核调整事项表!$G:$G,累计考核费用!$B79,考核调整事项表!$F:$F,累计考核费用!AB$55)</f>
        <v>0</v>
      </c>
      <c r="AC79" s="157">
        <f>SUMIFS(考核调整事项表!$C:$C,考核调整事项表!$G:$G,累计考核费用!$B79,考核调整事项表!$D:$D,累计考核费用!AC$55)+SUMIFS(考核调整事项表!$E:$E,考核调整事项表!$G:$G,累计考核费用!$B79,考核调整事项表!$F:$F,累计考核费用!AC$55)</f>
        <v>0</v>
      </c>
    </row>
    <row r="80" spans="1:29">
      <c r="A80" s="274"/>
      <c r="B80" s="47" t="s">
        <v>114</v>
      </c>
      <c r="C80" s="9">
        <f t="shared" si="13"/>
        <v>0</v>
      </c>
      <c r="D80" s="157">
        <f>SUMIFS(考核调整事项表!$C:$C,考核调整事项表!$G:$G,累计考核费用!$B80,考核调整事项表!$D:$D,累计考核费用!D$55)+SUMIFS(考核调整事项表!$E:$E,考核调整事项表!$G:$G,累计考核费用!$B80,考核调整事项表!$F:$F,累计考核费用!D$55)</f>
        <v>0</v>
      </c>
      <c r="E80" s="157">
        <f>SUMIFS(考核调整事项表!$C:$C,考核调整事项表!$G:$G,累计考核费用!$B80,考核调整事项表!$D:$D,累计考核费用!E$55)+SUMIFS(考核调整事项表!$E:$E,考核调整事项表!$G:$G,累计考核费用!$B80,考核调整事项表!$F:$F,累计考核费用!E$55)</f>
        <v>0</v>
      </c>
      <c r="F80" s="157">
        <f>SUMIFS(考核调整事项表!$C:$C,考核调整事项表!$G:$G,累计考核费用!$B80,考核调整事项表!$D:$D,累计考核费用!F$55)+SUMIFS(考核调整事项表!$E:$E,考核调整事项表!$G:$G,累计考核费用!$B80,考核调整事项表!$F:$F,累计考核费用!F$55)</f>
        <v>0</v>
      </c>
      <c r="G80" s="157">
        <f t="shared" si="3"/>
        <v>0</v>
      </c>
      <c r="H80" s="157">
        <f>SUMIFS(考核调整事项表!$C:$C,考核调整事项表!$G:$G,累计考核费用!$B80,考核调整事项表!$D:$D,累计考核费用!H$55)+SUMIFS(考核调整事项表!$E:$E,考核调整事项表!$G:$G,累计考核费用!$B80,考核调整事项表!$F:$F,累计考核费用!H$55)</f>
        <v>0</v>
      </c>
      <c r="I80" s="157">
        <f>SUMIFS(考核调整事项表!$C:$C,考核调整事项表!$G:$G,累计考核费用!$B80,考核调整事项表!$D:$D,累计考核费用!I$55)+SUMIFS(考核调整事项表!$E:$E,考核调整事项表!$G:$G,累计考核费用!$B80,考核调整事项表!$F:$F,累计考核费用!I$55)</f>
        <v>0</v>
      </c>
      <c r="J80" s="157">
        <f>SUMIFS(考核调整事项表!$C:$C,考核调整事项表!$G:$G,累计考核费用!$B80,考核调整事项表!$D:$D,累计考核费用!J$55)+SUMIFS(考核调整事项表!$E:$E,考核调整事项表!$G:$G,累计考核费用!$B80,考核调整事项表!$F:$F,累计考核费用!J$55)</f>
        <v>0</v>
      </c>
      <c r="K80" s="157">
        <f>SUMIFS(考核调整事项表!$C:$C,考核调整事项表!$G:$G,累计考核费用!$B80,考核调整事项表!$D:$D,累计考核费用!K$55)+SUMIFS(考核调整事项表!$E:$E,考核调整事项表!$G:$G,累计考核费用!$B80,考核调整事项表!$F:$F,累计考核费用!K$55)</f>
        <v>0</v>
      </c>
      <c r="L80" s="157">
        <f t="shared" si="4"/>
        <v>0</v>
      </c>
      <c r="M80" s="157">
        <f>SUMIFS(考核调整事项表!$C:$C,考核调整事项表!$G:$G,累计考核费用!$B80,考核调整事项表!$D:$D,累计考核费用!M$55)+SUMIFS(考核调整事项表!$E:$E,考核调整事项表!$G:$G,累计考核费用!$B80,考核调整事项表!$F:$F,累计考核费用!M$55)</f>
        <v>0</v>
      </c>
      <c r="N80" s="157">
        <f>SUMIFS(考核调整事项表!$C:$C,考核调整事项表!$G:$G,累计考核费用!$B80,考核调整事项表!$D:$D,累计考核费用!N$55)+SUMIFS(考核调整事项表!$E:$E,考核调整事项表!$G:$G,累计考核费用!$B80,考核调整事项表!$F:$F,累计考核费用!N$55)</f>
        <v>0</v>
      </c>
      <c r="O80" s="157">
        <f>SUMIFS(考核调整事项表!$C:$C,考核调整事项表!$G:$G,累计考核费用!$B80,考核调整事项表!$D:$D,累计考核费用!O$55)+SUMIFS(考核调整事项表!$E:$E,考核调整事项表!$G:$G,累计考核费用!$B80,考核调整事项表!$F:$F,累计考核费用!O$55)</f>
        <v>0</v>
      </c>
      <c r="P80" s="157">
        <f>SUMIFS(考核调整事项表!$C:$C,考核调整事项表!$G:$G,累计考核费用!$B80,考核调整事项表!$D:$D,累计考核费用!P$55)+SUMIFS(考核调整事项表!$E:$E,考核调整事项表!$G:$G,累计考核费用!$B80,考核调整事项表!$F:$F,累计考核费用!P$55)</f>
        <v>0</v>
      </c>
      <c r="Q80" s="157">
        <f>SUMIFS(考核调整事项表!$C:$C,考核调整事项表!$G:$G,累计考核费用!$B80,考核调整事项表!$D:$D,累计考核费用!Q$55)+SUMIFS(考核调整事项表!$E:$E,考核调整事项表!$G:$G,累计考核费用!$B80,考核调整事项表!$F:$F,累计考核费用!Q$55)</f>
        <v>0</v>
      </c>
      <c r="R80" s="157">
        <f>SUMIFS(考核调整事项表!$C:$C,考核调整事项表!$G:$G,累计考核费用!$B80,考核调整事项表!$D:$D,累计考核费用!R$55)+SUMIFS(考核调整事项表!$E:$E,考核调整事项表!$G:$G,累计考核费用!$B80,考核调整事项表!$F:$F,累计考核费用!R$55)</f>
        <v>0</v>
      </c>
      <c r="S80" s="157">
        <f>SUMIFS(考核调整事项表!$C:$C,考核调整事项表!$G:$G,累计考核费用!$B80,考核调整事项表!$D:$D,累计考核费用!S$55)+SUMIFS(考核调整事项表!$E:$E,考核调整事项表!$G:$G,累计考核费用!$B80,考核调整事项表!$F:$F,累计考核费用!S$55)</f>
        <v>0</v>
      </c>
      <c r="T80" s="160">
        <f t="shared" si="12"/>
        <v>0</v>
      </c>
      <c r="U80" s="157">
        <f>SUMIFS(考核调整事项表!$C:$C,考核调整事项表!$G:$G,累计考核费用!$B80,考核调整事项表!$D:$D,累计考核费用!U$55)+SUMIFS(考核调整事项表!$E:$E,考核调整事项表!$G:$G,累计考核费用!$B80,考核调整事项表!$F:$F,累计考核费用!U$55)</f>
        <v>0</v>
      </c>
      <c r="V80" s="157">
        <f>SUMIFS(考核调整事项表!$C:$C,考核调整事项表!$G:$G,累计考核费用!$B80,考核调整事项表!$D:$D,累计考核费用!V$55)+SUMIFS(考核调整事项表!$E:$E,考核调整事项表!$G:$G,累计考核费用!$B80,考核调整事项表!$F:$F,累计考核费用!V$55)</f>
        <v>0</v>
      </c>
      <c r="W80" s="157">
        <f>SUMIFS(考核调整事项表!$C:$C,考核调整事项表!$G:$G,累计考核费用!$B80,考核调整事项表!$D:$D,累计考核费用!W$55)+SUMIFS(考核调整事项表!$E:$E,考核调整事项表!$G:$G,累计考核费用!$B80,考核调整事项表!$F:$F,累计考核费用!W$55)</f>
        <v>0</v>
      </c>
      <c r="X80" s="157">
        <f>SUMIFS(考核调整事项表!$C:$C,考核调整事项表!$G:$G,累计考核费用!$B80,考核调整事项表!$D:$D,累计考核费用!X$55)+SUMIFS(考核调整事项表!$E:$E,考核调整事项表!$G:$G,累计考核费用!$B80,考核调整事项表!$F:$F,累计考核费用!X$55)</f>
        <v>0</v>
      </c>
      <c r="Y80" s="157">
        <f>SUMIFS(考核调整事项表!$C:$C,考核调整事项表!$G:$G,累计考核费用!$B80,考核调整事项表!$D:$D,累计考核费用!Y$55)+SUMIFS(考核调整事项表!$E:$E,考核调整事项表!$G:$G,累计考核费用!$B80,考核调整事项表!$F:$F,累计考核费用!Y$55)</f>
        <v>0</v>
      </c>
      <c r="Z80" s="157">
        <f>SUMIFS(考核调整事项表!$C:$C,考核调整事项表!$G:$G,累计考核费用!$B80,考核调整事项表!$D:$D,累计考核费用!Z$55)+SUMIFS(考核调整事项表!$E:$E,考核调整事项表!$G:$G,累计考核费用!$B80,考核调整事项表!$F:$F,累计考核费用!Z$55)</f>
        <v>0</v>
      </c>
      <c r="AA80" s="157">
        <f>SUMIFS(考核调整事项表!$C:$C,考核调整事项表!$G:$G,累计考核费用!$B80,考核调整事项表!$D:$D,累计考核费用!AA$55)+SUMIFS(考核调整事项表!$E:$E,考核调整事项表!$G:$G,累计考核费用!$B80,考核调整事项表!$F:$F,累计考核费用!AA$55)</f>
        <v>0</v>
      </c>
      <c r="AB80" s="157">
        <f>SUMIFS(考核调整事项表!$C:$C,考核调整事项表!$G:$G,累计考核费用!$B80,考核调整事项表!$D:$D,累计考核费用!AB$55)+SUMIFS(考核调整事项表!$E:$E,考核调整事项表!$G:$G,累计考核费用!$B80,考核调整事项表!$F:$F,累计考核费用!AB$55)</f>
        <v>0</v>
      </c>
      <c r="AC80" s="157">
        <f>SUMIFS(考核调整事项表!$C:$C,考核调整事项表!$G:$G,累计考核费用!$B80,考核调整事项表!$D:$D,累计考核费用!AC$55)+SUMIFS(考核调整事项表!$E:$E,考核调整事项表!$G:$G,累计考核费用!$B80,考核调整事项表!$F:$F,累计考核费用!AC$55)</f>
        <v>0</v>
      </c>
    </row>
    <row r="81" spans="1:29">
      <c r="A81" s="274"/>
      <c r="B81" s="47" t="s">
        <v>115</v>
      </c>
      <c r="C81" s="9">
        <f t="shared" si="13"/>
        <v>0</v>
      </c>
      <c r="D81" s="157">
        <f>SUMIFS(考核调整事项表!$C:$C,考核调整事项表!$G:$G,累计考核费用!$B81,考核调整事项表!$D:$D,累计考核费用!D$55)+SUMIFS(考核调整事项表!$E:$E,考核调整事项表!$G:$G,累计考核费用!$B81,考核调整事项表!$F:$F,累计考核费用!D$55)</f>
        <v>0</v>
      </c>
      <c r="E81" s="157">
        <f>SUMIFS(考核调整事项表!$C:$C,考核调整事项表!$G:$G,累计考核费用!$B81,考核调整事项表!$D:$D,累计考核费用!E$55)+SUMIFS(考核调整事项表!$E:$E,考核调整事项表!$G:$G,累计考核费用!$B81,考核调整事项表!$F:$F,累计考核费用!E$55)</f>
        <v>0</v>
      </c>
      <c r="F81" s="157">
        <f>SUMIFS(考核调整事项表!$C:$C,考核调整事项表!$G:$G,累计考核费用!$B81,考核调整事项表!$D:$D,累计考核费用!F$55)+SUMIFS(考核调整事项表!$E:$E,考核调整事项表!$G:$G,累计考核费用!$B81,考核调整事项表!$F:$F,累计考核费用!F$55)</f>
        <v>0</v>
      </c>
      <c r="G81" s="157">
        <f t="shared" si="3"/>
        <v>0</v>
      </c>
      <c r="H81" s="157">
        <f>SUMIFS(考核调整事项表!$C:$C,考核调整事项表!$G:$G,累计考核费用!$B81,考核调整事项表!$D:$D,累计考核费用!H$55)+SUMIFS(考核调整事项表!$E:$E,考核调整事项表!$G:$G,累计考核费用!$B81,考核调整事项表!$F:$F,累计考核费用!H$55)</f>
        <v>0</v>
      </c>
      <c r="I81" s="157">
        <f>SUMIFS(考核调整事项表!$C:$C,考核调整事项表!$G:$G,累计考核费用!$B81,考核调整事项表!$D:$D,累计考核费用!I$55)+SUMIFS(考核调整事项表!$E:$E,考核调整事项表!$G:$G,累计考核费用!$B81,考核调整事项表!$F:$F,累计考核费用!I$55)</f>
        <v>0</v>
      </c>
      <c r="J81" s="157">
        <f>SUMIFS(考核调整事项表!$C:$C,考核调整事项表!$G:$G,累计考核费用!$B81,考核调整事项表!$D:$D,累计考核费用!J$55)+SUMIFS(考核调整事项表!$E:$E,考核调整事项表!$G:$G,累计考核费用!$B81,考核调整事项表!$F:$F,累计考核费用!J$55)</f>
        <v>0</v>
      </c>
      <c r="K81" s="157">
        <f>SUMIFS(考核调整事项表!$C:$C,考核调整事项表!$G:$G,累计考核费用!$B81,考核调整事项表!$D:$D,累计考核费用!K$55)+SUMIFS(考核调整事项表!$E:$E,考核调整事项表!$G:$G,累计考核费用!$B81,考核调整事项表!$F:$F,累计考核费用!K$55)</f>
        <v>0</v>
      </c>
      <c r="L81" s="157">
        <f t="shared" si="4"/>
        <v>0</v>
      </c>
      <c r="M81" s="157">
        <f>SUMIFS(考核调整事项表!$C:$C,考核调整事项表!$G:$G,累计考核费用!$B81,考核调整事项表!$D:$D,累计考核费用!M$55)+SUMIFS(考核调整事项表!$E:$E,考核调整事项表!$G:$G,累计考核费用!$B81,考核调整事项表!$F:$F,累计考核费用!M$55)</f>
        <v>0</v>
      </c>
      <c r="N81" s="157">
        <f>SUMIFS(考核调整事项表!$C:$C,考核调整事项表!$G:$G,累计考核费用!$B81,考核调整事项表!$D:$D,累计考核费用!N$55)+SUMIFS(考核调整事项表!$E:$E,考核调整事项表!$G:$G,累计考核费用!$B81,考核调整事项表!$F:$F,累计考核费用!N$55)</f>
        <v>0</v>
      </c>
      <c r="O81" s="157">
        <f>SUMIFS(考核调整事项表!$C:$C,考核调整事项表!$G:$G,累计考核费用!$B81,考核调整事项表!$D:$D,累计考核费用!O$55)+SUMIFS(考核调整事项表!$E:$E,考核调整事项表!$G:$G,累计考核费用!$B81,考核调整事项表!$F:$F,累计考核费用!O$55)</f>
        <v>0</v>
      </c>
      <c r="P81" s="157">
        <f>SUMIFS(考核调整事项表!$C:$C,考核调整事项表!$G:$G,累计考核费用!$B81,考核调整事项表!$D:$D,累计考核费用!P$55)+SUMIFS(考核调整事项表!$E:$E,考核调整事项表!$G:$G,累计考核费用!$B81,考核调整事项表!$F:$F,累计考核费用!P$55)</f>
        <v>0</v>
      </c>
      <c r="Q81" s="157">
        <f>SUMIFS(考核调整事项表!$C:$C,考核调整事项表!$G:$G,累计考核费用!$B81,考核调整事项表!$D:$D,累计考核费用!Q$55)+SUMIFS(考核调整事项表!$E:$E,考核调整事项表!$G:$G,累计考核费用!$B81,考核调整事项表!$F:$F,累计考核费用!Q$55)</f>
        <v>0</v>
      </c>
      <c r="R81" s="157">
        <f>SUMIFS(考核调整事项表!$C:$C,考核调整事项表!$G:$G,累计考核费用!$B81,考核调整事项表!$D:$D,累计考核费用!R$55)+SUMIFS(考核调整事项表!$E:$E,考核调整事项表!$G:$G,累计考核费用!$B81,考核调整事项表!$F:$F,累计考核费用!R$55)</f>
        <v>0</v>
      </c>
      <c r="S81" s="157">
        <f>SUMIFS(考核调整事项表!$C:$C,考核调整事项表!$G:$G,累计考核费用!$B81,考核调整事项表!$D:$D,累计考核费用!S$55)+SUMIFS(考核调整事项表!$E:$E,考核调整事项表!$G:$G,累计考核费用!$B81,考核调整事项表!$F:$F,累计考核费用!S$55)</f>
        <v>0</v>
      </c>
      <c r="T81" s="160">
        <f t="shared" si="12"/>
        <v>0</v>
      </c>
      <c r="U81" s="157">
        <f>SUMIFS(考核调整事项表!$C:$C,考核调整事项表!$G:$G,累计考核费用!$B81,考核调整事项表!$D:$D,累计考核费用!U$55)+SUMIFS(考核调整事项表!$E:$E,考核调整事项表!$G:$G,累计考核费用!$B81,考核调整事项表!$F:$F,累计考核费用!U$55)</f>
        <v>0</v>
      </c>
      <c r="V81" s="157">
        <f>SUMIFS(考核调整事项表!$C:$C,考核调整事项表!$G:$G,累计考核费用!$B81,考核调整事项表!$D:$D,累计考核费用!V$55)+SUMIFS(考核调整事项表!$E:$E,考核调整事项表!$G:$G,累计考核费用!$B81,考核调整事项表!$F:$F,累计考核费用!V$55)</f>
        <v>0</v>
      </c>
      <c r="W81" s="157">
        <f>SUMIFS(考核调整事项表!$C:$C,考核调整事项表!$G:$G,累计考核费用!$B81,考核调整事项表!$D:$D,累计考核费用!W$55)+SUMIFS(考核调整事项表!$E:$E,考核调整事项表!$G:$G,累计考核费用!$B81,考核调整事项表!$F:$F,累计考核费用!W$55)</f>
        <v>0</v>
      </c>
      <c r="X81" s="157">
        <f>SUMIFS(考核调整事项表!$C:$C,考核调整事项表!$G:$G,累计考核费用!$B81,考核调整事项表!$D:$D,累计考核费用!X$55)+SUMIFS(考核调整事项表!$E:$E,考核调整事项表!$G:$G,累计考核费用!$B81,考核调整事项表!$F:$F,累计考核费用!X$55)</f>
        <v>0</v>
      </c>
      <c r="Y81" s="157">
        <f>SUMIFS(考核调整事项表!$C:$C,考核调整事项表!$G:$G,累计考核费用!$B81,考核调整事项表!$D:$D,累计考核费用!Y$55)+SUMIFS(考核调整事项表!$E:$E,考核调整事项表!$G:$G,累计考核费用!$B81,考核调整事项表!$F:$F,累计考核费用!Y$55)</f>
        <v>0</v>
      </c>
      <c r="Z81" s="157">
        <f>SUMIFS(考核调整事项表!$C:$C,考核调整事项表!$G:$G,累计考核费用!$B81,考核调整事项表!$D:$D,累计考核费用!Z$55)+SUMIFS(考核调整事项表!$E:$E,考核调整事项表!$G:$G,累计考核费用!$B81,考核调整事项表!$F:$F,累计考核费用!Z$55)</f>
        <v>0</v>
      </c>
      <c r="AA81" s="157">
        <f>SUMIFS(考核调整事项表!$C:$C,考核调整事项表!$G:$G,累计考核费用!$B81,考核调整事项表!$D:$D,累计考核费用!AA$55)+SUMIFS(考核调整事项表!$E:$E,考核调整事项表!$G:$G,累计考核费用!$B81,考核调整事项表!$F:$F,累计考核费用!AA$55)</f>
        <v>0</v>
      </c>
      <c r="AB81" s="157">
        <f>SUMIFS(考核调整事项表!$C:$C,考核调整事项表!$G:$G,累计考核费用!$B81,考核调整事项表!$D:$D,累计考核费用!AB$55)+SUMIFS(考核调整事项表!$E:$E,考核调整事项表!$G:$G,累计考核费用!$B81,考核调整事项表!$F:$F,累计考核费用!AB$55)</f>
        <v>0</v>
      </c>
      <c r="AC81" s="157">
        <f>SUMIFS(考核调整事项表!$C:$C,考核调整事项表!$G:$G,累计考核费用!$B81,考核调整事项表!$D:$D,累计考核费用!AC$55)+SUMIFS(考核调整事项表!$E:$E,考核调整事项表!$G:$G,累计考核费用!$B81,考核调整事项表!$F:$F,累计考核费用!AC$55)</f>
        <v>0</v>
      </c>
    </row>
    <row r="82" spans="1:29">
      <c r="A82" s="274"/>
      <c r="B82" s="47" t="s">
        <v>116</v>
      </c>
      <c r="C82" s="9">
        <f t="shared" si="13"/>
        <v>0</v>
      </c>
      <c r="D82" s="157">
        <f>SUMIFS(考核调整事项表!$C:$C,考核调整事项表!$G:$G,累计考核费用!$B82,考核调整事项表!$D:$D,累计考核费用!D$55)+SUMIFS(考核调整事项表!$E:$E,考核调整事项表!$G:$G,累计考核费用!$B82,考核调整事项表!$F:$F,累计考核费用!D$55)</f>
        <v>0</v>
      </c>
      <c r="E82" s="157">
        <f>SUMIFS(考核调整事项表!$C:$C,考核调整事项表!$G:$G,累计考核费用!$B82,考核调整事项表!$D:$D,累计考核费用!E$55)+SUMIFS(考核调整事项表!$E:$E,考核调整事项表!$G:$G,累计考核费用!$B82,考核调整事项表!$F:$F,累计考核费用!E$55)</f>
        <v>0</v>
      </c>
      <c r="F82" s="157">
        <f>SUMIFS(考核调整事项表!$C:$C,考核调整事项表!$G:$G,累计考核费用!$B82,考核调整事项表!$D:$D,累计考核费用!F$55)+SUMIFS(考核调整事项表!$E:$E,考核调整事项表!$G:$G,累计考核费用!$B82,考核调整事项表!$F:$F,累计考核费用!F$55)</f>
        <v>0</v>
      </c>
      <c r="G82" s="157">
        <f t="shared" si="3"/>
        <v>0</v>
      </c>
      <c r="H82" s="157">
        <f>SUMIFS(考核调整事项表!$C:$C,考核调整事项表!$G:$G,累计考核费用!$B82,考核调整事项表!$D:$D,累计考核费用!H$55)+SUMIFS(考核调整事项表!$E:$E,考核调整事项表!$G:$G,累计考核费用!$B82,考核调整事项表!$F:$F,累计考核费用!H$55)</f>
        <v>0</v>
      </c>
      <c r="I82" s="157">
        <f>SUMIFS(考核调整事项表!$C:$C,考核调整事项表!$G:$G,累计考核费用!$B82,考核调整事项表!$D:$D,累计考核费用!I$55)+SUMIFS(考核调整事项表!$E:$E,考核调整事项表!$G:$G,累计考核费用!$B82,考核调整事项表!$F:$F,累计考核费用!I$55)</f>
        <v>0</v>
      </c>
      <c r="J82" s="157">
        <f>SUMIFS(考核调整事项表!$C:$C,考核调整事项表!$G:$G,累计考核费用!$B82,考核调整事项表!$D:$D,累计考核费用!J$55)+SUMIFS(考核调整事项表!$E:$E,考核调整事项表!$G:$G,累计考核费用!$B82,考核调整事项表!$F:$F,累计考核费用!J$55)</f>
        <v>0</v>
      </c>
      <c r="K82" s="157">
        <f>SUMIFS(考核调整事项表!$C:$C,考核调整事项表!$G:$G,累计考核费用!$B82,考核调整事项表!$D:$D,累计考核费用!K$55)+SUMIFS(考核调整事项表!$E:$E,考核调整事项表!$G:$G,累计考核费用!$B82,考核调整事项表!$F:$F,累计考核费用!K$55)</f>
        <v>0</v>
      </c>
      <c r="L82" s="157">
        <f t="shared" si="4"/>
        <v>0</v>
      </c>
      <c r="M82" s="157">
        <f>SUMIFS(考核调整事项表!$C:$C,考核调整事项表!$G:$G,累计考核费用!$B82,考核调整事项表!$D:$D,累计考核费用!M$55)+SUMIFS(考核调整事项表!$E:$E,考核调整事项表!$G:$G,累计考核费用!$B82,考核调整事项表!$F:$F,累计考核费用!M$55)</f>
        <v>0</v>
      </c>
      <c r="N82" s="157">
        <f>SUMIFS(考核调整事项表!$C:$C,考核调整事项表!$G:$G,累计考核费用!$B82,考核调整事项表!$D:$D,累计考核费用!N$55)+SUMIFS(考核调整事项表!$E:$E,考核调整事项表!$G:$G,累计考核费用!$B82,考核调整事项表!$F:$F,累计考核费用!N$55)</f>
        <v>0</v>
      </c>
      <c r="O82" s="157">
        <f>SUMIFS(考核调整事项表!$C:$C,考核调整事项表!$G:$G,累计考核费用!$B82,考核调整事项表!$D:$D,累计考核费用!O$55)+SUMIFS(考核调整事项表!$E:$E,考核调整事项表!$G:$G,累计考核费用!$B82,考核调整事项表!$F:$F,累计考核费用!O$55)</f>
        <v>0</v>
      </c>
      <c r="P82" s="157">
        <f>SUMIFS(考核调整事项表!$C:$C,考核调整事项表!$G:$G,累计考核费用!$B82,考核调整事项表!$D:$D,累计考核费用!P$55)+SUMIFS(考核调整事项表!$E:$E,考核调整事项表!$G:$G,累计考核费用!$B82,考核调整事项表!$F:$F,累计考核费用!P$55)</f>
        <v>0</v>
      </c>
      <c r="Q82" s="157">
        <f>SUMIFS(考核调整事项表!$C:$C,考核调整事项表!$G:$G,累计考核费用!$B82,考核调整事项表!$D:$D,累计考核费用!Q$55)+SUMIFS(考核调整事项表!$E:$E,考核调整事项表!$G:$G,累计考核费用!$B82,考核调整事项表!$F:$F,累计考核费用!Q$55)</f>
        <v>0</v>
      </c>
      <c r="R82" s="157">
        <f>SUMIFS(考核调整事项表!$C:$C,考核调整事项表!$G:$G,累计考核费用!$B82,考核调整事项表!$D:$D,累计考核费用!R$55)+SUMIFS(考核调整事项表!$E:$E,考核调整事项表!$G:$G,累计考核费用!$B82,考核调整事项表!$F:$F,累计考核费用!R$55)</f>
        <v>0</v>
      </c>
      <c r="S82" s="157">
        <f>SUMIFS(考核调整事项表!$C:$C,考核调整事项表!$G:$G,累计考核费用!$B82,考核调整事项表!$D:$D,累计考核费用!S$55)+SUMIFS(考核调整事项表!$E:$E,考核调整事项表!$G:$G,累计考核费用!$B82,考核调整事项表!$F:$F,累计考核费用!S$55)</f>
        <v>0</v>
      </c>
      <c r="T82" s="160">
        <f t="shared" si="12"/>
        <v>0</v>
      </c>
      <c r="U82" s="157">
        <f>SUMIFS(考核调整事项表!$C:$C,考核调整事项表!$G:$G,累计考核费用!$B82,考核调整事项表!$D:$D,累计考核费用!U$55)+SUMIFS(考核调整事项表!$E:$E,考核调整事项表!$G:$G,累计考核费用!$B82,考核调整事项表!$F:$F,累计考核费用!U$55)</f>
        <v>0</v>
      </c>
      <c r="V82" s="157">
        <f>SUMIFS(考核调整事项表!$C:$C,考核调整事项表!$G:$G,累计考核费用!$B82,考核调整事项表!$D:$D,累计考核费用!V$55)+SUMIFS(考核调整事项表!$E:$E,考核调整事项表!$G:$G,累计考核费用!$B82,考核调整事项表!$F:$F,累计考核费用!V$55)</f>
        <v>0</v>
      </c>
      <c r="W82" s="157">
        <f>SUMIFS(考核调整事项表!$C:$C,考核调整事项表!$G:$G,累计考核费用!$B82,考核调整事项表!$D:$D,累计考核费用!W$55)+SUMIFS(考核调整事项表!$E:$E,考核调整事项表!$G:$G,累计考核费用!$B82,考核调整事项表!$F:$F,累计考核费用!W$55)</f>
        <v>0</v>
      </c>
      <c r="X82" s="157">
        <f>SUMIFS(考核调整事项表!$C:$C,考核调整事项表!$G:$G,累计考核费用!$B82,考核调整事项表!$D:$D,累计考核费用!X$55)+SUMIFS(考核调整事项表!$E:$E,考核调整事项表!$G:$G,累计考核费用!$B82,考核调整事项表!$F:$F,累计考核费用!X$55)</f>
        <v>0</v>
      </c>
      <c r="Y82" s="157">
        <f>SUMIFS(考核调整事项表!$C:$C,考核调整事项表!$G:$G,累计考核费用!$B82,考核调整事项表!$D:$D,累计考核费用!Y$55)+SUMIFS(考核调整事项表!$E:$E,考核调整事项表!$G:$G,累计考核费用!$B82,考核调整事项表!$F:$F,累计考核费用!Y$55)</f>
        <v>0</v>
      </c>
      <c r="Z82" s="157">
        <f>SUMIFS(考核调整事项表!$C:$C,考核调整事项表!$G:$G,累计考核费用!$B82,考核调整事项表!$D:$D,累计考核费用!Z$55)+SUMIFS(考核调整事项表!$E:$E,考核调整事项表!$G:$G,累计考核费用!$B82,考核调整事项表!$F:$F,累计考核费用!Z$55)</f>
        <v>0</v>
      </c>
      <c r="AA82" s="157">
        <f>SUMIFS(考核调整事项表!$C:$C,考核调整事项表!$G:$G,累计考核费用!$B82,考核调整事项表!$D:$D,累计考核费用!AA$55)+SUMIFS(考核调整事项表!$E:$E,考核调整事项表!$G:$G,累计考核费用!$B82,考核调整事项表!$F:$F,累计考核费用!AA$55)</f>
        <v>0</v>
      </c>
      <c r="AB82" s="157">
        <f>SUMIFS(考核调整事项表!$C:$C,考核调整事项表!$G:$G,累计考核费用!$B82,考核调整事项表!$D:$D,累计考核费用!AB$55)+SUMIFS(考核调整事项表!$E:$E,考核调整事项表!$G:$G,累计考核费用!$B82,考核调整事项表!$F:$F,累计考核费用!AB$55)</f>
        <v>0</v>
      </c>
      <c r="AC82" s="157">
        <f>SUMIFS(考核调整事项表!$C:$C,考核调整事项表!$G:$G,累计考核费用!$B82,考核调整事项表!$D:$D,累计考核费用!AC$55)+SUMIFS(考核调整事项表!$E:$E,考核调整事项表!$G:$G,累计考核费用!$B82,考核调整事项表!$F:$F,累计考核费用!AC$55)</f>
        <v>0</v>
      </c>
    </row>
    <row r="83" spans="1:29">
      <c r="A83" s="274"/>
      <c r="B83" s="47" t="s">
        <v>117</v>
      </c>
      <c r="C83" s="9">
        <f t="shared" si="13"/>
        <v>0</v>
      </c>
      <c r="D83" s="157">
        <f>SUMIFS(考核调整事项表!$C:$C,考核调整事项表!$G:$G,累计考核费用!$B83,考核调整事项表!$D:$D,累计考核费用!D$55)+SUMIFS(考核调整事项表!$E:$E,考核调整事项表!$G:$G,累计考核费用!$B83,考核调整事项表!$F:$F,累计考核费用!D$55)</f>
        <v>0</v>
      </c>
      <c r="E83" s="157">
        <f>SUMIFS(考核调整事项表!$C:$C,考核调整事项表!$G:$G,累计考核费用!$B83,考核调整事项表!$D:$D,累计考核费用!E$55)+SUMIFS(考核调整事项表!$E:$E,考核调整事项表!$G:$G,累计考核费用!$B83,考核调整事项表!$F:$F,累计考核费用!E$55)</f>
        <v>0</v>
      </c>
      <c r="F83" s="157">
        <f>SUMIFS(考核调整事项表!$C:$C,考核调整事项表!$G:$G,累计考核费用!$B83,考核调整事项表!$D:$D,累计考核费用!F$55)+SUMIFS(考核调整事项表!$E:$E,考核调整事项表!$G:$G,累计考核费用!$B83,考核调整事项表!$F:$F,累计考核费用!F$55)</f>
        <v>0</v>
      </c>
      <c r="G83" s="157">
        <f t="shared" si="3"/>
        <v>0</v>
      </c>
      <c r="H83" s="157">
        <f>SUMIFS(考核调整事项表!$C:$C,考核调整事项表!$G:$G,累计考核费用!$B83,考核调整事项表!$D:$D,累计考核费用!H$55)+SUMIFS(考核调整事项表!$E:$E,考核调整事项表!$G:$G,累计考核费用!$B83,考核调整事项表!$F:$F,累计考核费用!H$55)</f>
        <v>0</v>
      </c>
      <c r="I83" s="157">
        <f>SUMIFS(考核调整事项表!$C:$C,考核调整事项表!$G:$G,累计考核费用!$B83,考核调整事项表!$D:$D,累计考核费用!I$55)+SUMIFS(考核调整事项表!$E:$E,考核调整事项表!$G:$G,累计考核费用!$B83,考核调整事项表!$F:$F,累计考核费用!I$55)</f>
        <v>0</v>
      </c>
      <c r="J83" s="157">
        <f>SUMIFS(考核调整事项表!$C:$C,考核调整事项表!$G:$G,累计考核费用!$B83,考核调整事项表!$D:$D,累计考核费用!J$55)+SUMIFS(考核调整事项表!$E:$E,考核调整事项表!$G:$G,累计考核费用!$B83,考核调整事项表!$F:$F,累计考核费用!J$55)</f>
        <v>0</v>
      </c>
      <c r="K83" s="157">
        <f>SUMIFS(考核调整事项表!$C:$C,考核调整事项表!$G:$G,累计考核费用!$B83,考核调整事项表!$D:$D,累计考核费用!K$55)+SUMIFS(考核调整事项表!$E:$E,考核调整事项表!$G:$G,累计考核费用!$B83,考核调整事项表!$F:$F,累计考核费用!K$55)</f>
        <v>0</v>
      </c>
      <c r="L83" s="157">
        <f t="shared" si="4"/>
        <v>0</v>
      </c>
      <c r="M83" s="157">
        <f>SUMIFS(考核调整事项表!$C:$C,考核调整事项表!$G:$G,累计考核费用!$B83,考核调整事项表!$D:$D,累计考核费用!M$55)+SUMIFS(考核调整事项表!$E:$E,考核调整事项表!$G:$G,累计考核费用!$B83,考核调整事项表!$F:$F,累计考核费用!M$55)</f>
        <v>0</v>
      </c>
      <c r="N83" s="157">
        <f>SUMIFS(考核调整事项表!$C:$C,考核调整事项表!$G:$G,累计考核费用!$B83,考核调整事项表!$D:$D,累计考核费用!N$55)+SUMIFS(考核调整事项表!$E:$E,考核调整事项表!$G:$G,累计考核费用!$B83,考核调整事项表!$F:$F,累计考核费用!N$55)</f>
        <v>0</v>
      </c>
      <c r="O83" s="157">
        <f>SUMIFS(考核调整事项表!$C:$C,考核调整事项表!$G:$G,累计考核费用!$B83,考核调整事项表!$D:$D,累计考核费用!O$55)+SUMIFS(考核调整事项表!$E:$E,考核调整事项表!$G:$G,累计考核费用!$B83,考核调整事项表!$F:$F,累计考核费用!O$55)</f>
        <v>0</v>
      </c>
      <c r="P83" s="157">
        <f>SUMIFS(考核调整事项表!$C:$C,考核调整事项表!$G:$G,累计考核费用!$B83,考核调整事项表!$D:$D,累计考核费用!P$55)+SUMIFS(考核调整事项表!$E:$E,考核调整事项表!$G:$G,累计考核费用!$B83,考核调整事项表!$F:$F,累计考核费用!P$55)</f>
        <v>0</v>
      </c>
      <c r="Q83" s="157">
        <f>SUMIFS(考核调整事项表!$C:$C,考核调整事项表!$G:$G,累计考核费用!$B83,考核调整事项表!$D:$D,累计考核费用!Q$55)+SUMIFS(考核调整事项表!$E:$E,考核调整事项表!$G:$G,累计考核费用!$B83,考核调整事项表!$F:$F,累计考核费用!Q$55)</f>
        <v>0</v>
      </c>
      <c r="R83" s="157">
        <f>SUMIFS(考核调整事项表!$C:$C,考核调整事项表!$G:$G,累计考核费用!$B83,考核调整事项表!$D:$D,累计考核费用!R$55)+SUMIFS(考核调整事项表!$E:$E,考核调整事项表!$G:$G,累计考核费用!$B83,考核调整事项表!$F:$F,累计考核费用!R$55)</f>
        <v>0</v>
      </c>
      <c r="S83" s="157">
        <f>SUMIFS(考核调整事项表!$C:$C,考核调整事项表!$G:$G,累计考核费用!$B83,考核调整事项表!$D:$D,累计考核费用!S$55)+SUMIFS(考核调整事项表!$E:$E,考核调整事项表!$G:$G,累计考核费用!$B83,考核调整事项表!$F:$F,累计考核费用!S$55)</f>
        <v>0</v>
      </c>
      <c r="T83" s="160">
        <f t="shared" si="12"/>
        <v>0</v>
      </c>
      <c r="U83" s="157">
        <f>SUMIFS(考核调整事项表!$C:$C,考核调整事项表!$G:$G,累计考核费用!$B83,考核调整事项表!$D:$D,累计考核费用!U$55)+SUMIFS(考核调整事项表!$E:$E,考核调整事项表!$G:$G,累计考核费用!$B83,考核调整事项表!$F:$F,累计考核费用!U$55)</f>
        <v>0</v>
      </c>
      <c r="V83" s="157">
        <f>SUMIFS(考核调整事项表!$C:$C,考核调整事项表!$G:$G,累计考核费用!$B83,考核调整事项表!$D:$D,累计考核费用!V$55)+SUMIFS(考核调整事项表!$E:$E,考核调整事项表!$G:$G,累计考核费用!$B83,考核调整事项表!$F:$F,累计考核费用!V$55)</f>
        <v>0</v>
      </c>
      <c r="W83" s="157">
        <f>SUMIFS(考核调整事项表!$C:$C,考核调整事项表!$G:$G,累计考核费用!$B83,考核调整事项表!$D:$D,累计考核费用!W$55)+SUMIFS(考核调整事项表!$E:$E,考核调整事项表!$G:$G,累计考核费用!$B83,考核调整事项表!$F:$F,累计考核费用!W$55)</f>
        <v>0</v>
      </c>
      <c r="X83" s="157">
        <f>SUMIFS(考核调整事项表!$C:$C,考核调整事项表!$G:$G,累计考核费用!$B83,考核调整事项表!$D:$D,累计考核费用!X$55)+SUMIFS(考核调整事项表!$E:$E,考核调整事项表!$G:$G,累计考核费用!$B83,考核调整事项表!$F:$F,累计考核费用!X$55)</f>
        <v>0</v>
      </c>
      <c r="Y83" s="157">
        <f>SUMIFS(考核调整事项表!$C:$C,考核调整事项表!$G:$G,累计考核费用!$B83,考核调整事项表!$D:$D,累计考核费用!Y$55)+SUMIFS(考核调整事项表!$E:$E,考核调整事项表!$G:$G,累计考核费用!$B83,考核调整事项表!$F:$F,累计考核费用!Y$55)</f>
        <v>0</v>
      </c>
      <c r="Z83" s="157">
        <f>SUMIFS(考核调整事项表!$C:$C,考核调整事项表!$G:$G,累计考核费用!$B83,考核调整事项表!$D:$D,累计考核费用!Z$55)+SUMIFS(考核调整事项表!$E:$E,考核调整事项表!$G:$G,累计考核费用!$B83,考核调整事项表!$F:$F,累计考核费用!Z$55)</f>
        <v>0</v>
      </c>
      <c r="AA83" s="157">
        <f>SUMIFS(考核调整事项表!$C:$C,考核调整事项表!$G:$G,累计考核费用!$B83,考核调整事项表!$D:$D,累计考核费用!AA$55)+SUMIFS(考核调整事项表!$E:$E,考核调整事项表!$G:$G,累计考核费用!$B83,考核调整事项表!$F:$F,累计考核费用!AA$55)</f>
        <v>0</v>
      </c>
      <c r="AB83" s="157">
        <f>SUMIFS(考核调整事项表!$C:$C,考核调整事项表!$G:$G,累计考核费用!$B83,考核调整事项表!$D:$D,累计考核费用!AB$55)+SUMIFS(考核调整事项表!$E:$E,考核调整事项表!$G:$G,累计考核费用!$B83,考核调整事项表!$F:$F,累计考核费用!AB$55)</f>
        <v>0</v>
      </c>
      <c r="AC83" s="157">
        <f>SUMIFS(考核调整事项表!$C:$C,考核调整事项表!$G:$G,累计考核费用!$B83,考核调整事项表!$D:$D,累计考核费用!AC$55)+SUMIFS(考核调整事项表!$E:$E,考核调整事项表!$G:$G,累计考核费用!$B83,考核调整事项表!$F:$F,累计考核费用!AC$55)</f>
        <v>0</v>
      </c>
    </row>
    <row r="84" spans="1:29">
      <c r="A84" s="274"/>
      <c r="B84" s="47" t="s">
        <v>118</v>
      </c>
      <c r="C84" s="9">
        <f t="shared" si="13"/>
        <v>0</v>
      </c>
      <c r="D84" s="157">
        <f>SUMIFS(考核调整事项表!$C:$C,考核调整事项表!$G:$G,累计考核费用!$B84,考核调整事项表!$D:$D,累计考核费用!D$55)+SUMIFS(考核调整事项表!$E:$E,考核调整事项表!$G:$G,累计考核费用!$B84,考核调整事项表!$F:$F,累计考核费用!D$55)</f>
        <v>0</v>
      </c>
      <c r="E84" s="157">
        <f>SUMIFS(考核调整事项表!$C:$C,考核调整事项表!$G:$G,累计考核费用!$B84,考核调整事项表!$D:$D,累计考核费用!E$55)+SUMIFS(考核调整事项表!$E:$E,考核调整事项表!$G:$G,累计考核费用!$B84,考核调整事项表!$F:$F,累计考核费用!E$55)</f>
        <v>0</v>
      </c>
      <c r="F84" s="157">
        <f>SUMIFS(考核调整事项表!$C:$C,考核调整事项表!$G:$G,累计考核费用!$B84,考核调整事项表!$D:$D,累计考核费用!F$55)+SUMIFS(考核调整事项表!$E:$E,考核调整事项表!$G:$G,累计考核费用!$B84,考核调整事项表!$F:$F,累计考核费用!F$55)</f>
        <v>0</v>
      </c>
      <c r="G84" s="157">
        <f t="shared" si="3"/>
        <v>0</v>
      </c>
      <c r="H84" s="157">
        <f>SUMIFS(考核调整事项表!$C:$C,考核调整事项表!$G:$G,累计考核费用!$B84,考核调整事项表!$D:$D,累计考核费用!H$55)+SUMIFS(考核调整事项表!$E:$E,考核调整事项表!$G:$G,累计考核费用!$B84,考核调整事项表!$F:$F,累计考核费用!H$55)</f>
        <v>0</v>
      </c>
      <c r="I84" s="157">
        <f>SUMIFS(考核调整事项表!$C:$C,考核调整事项表!$G:$G,累计考核费用!$B84,考核调整事项表!$D:$D,累计考核费用!I$55)+SUMIFS(考核调整事项表!$E:$E,考核调整事项表!$G:$G,累计考核费用!$B84,考核调整事项表!$F:$F,累计考核费用!I$55)</f>
        <v>0</v>
      </c>
      <c r="J84" s="157">
        <f>SUMIFS(考核调整事项表!$C:$C,考核调整事项表!$G:$G,累计考核费用!$B84,考核调整事项表!$D:$D,累计考核费用!J$55)+SUMIFS(考核调整事项表!$E:$E,考核调整事项表!$G:$G,累计考核费用!$B84,考核调整事项表!$F:$F,累计考核费用!J$55)</f>
        <v>0</v>
      </c>
      <c r="K84" s="157">
        <f>SUMIFS(考核调整事项表!$C:$C,考核调整事项表!$G:$G,累计考核费用!$B84,考核调整事项表!$D:$D,累计考核费用!K$55)+SUMIFS(考核调整事项表!$E:$E,考核调整事项表!$G:$G,累计考核费用!$B84,考核调整事项表!$F:$F,累计考核费用!K$55)</f>
        <v>0</v>
      </c>
      <c r="L84" s="157">
        <f t="shared" si="4"/>
        <v>0</v>
      </c>
      <c r="M84" s="157">
        <f>SUMIFS(考核调整事项表!$C:$C,考核调整事项表!$G:$G,累计考核费用!$B84,考核调整事项表!$D:$D,累计考核费用!M$55)+SUMIFS(考核调整事项表!$E:$E,考核调整事项表!$G:$G,累计考核费用!$B84,考核调整事项表!$F:$F,累计考核费用!M$55)</f>
        <v>0</v>
      </c>
      <c r="N84" s="157">
        <f>SUMIFS(考核调整事项表!$C:$C,考核调整事项表!$G:$G,累计考核费用!$B84,考核调整事项表!$D:$D,累计考核费用!N$55)+SUMIFS(考核调整事项表!$E:$E,考核调整事项表!$G:$G,累计考核费用!$B84,考核调整事项表!$F:$F,累计考核费用!N$55)</f>
        <v>0</v>
      </c>
      <c r="O84" s="157">
        <f>SUMIFS(考核调整事项表!$C:$C,考核调整事项表!$G:$G,累计考核费用!$B84,考核调整事项表!$D:$D,累计考核费用!O$55)+SUMIFS(考核调整事项表!$E:$E,考核调整事项表!$G:$G,累计考核费用!$B84,考核调整事项表!$F:$F,累计考核费用!O$55)</f>
        <v>0</v>
      </c>
      <c r="P84" s="157">
        <f>SUMIFS(考核调整事项表!$C:$C,考核调整事项表!$G:$G,累计考核费用!$B84,考核调整事项表!$D:$D,累计考核费用!P$55)+SUMIFS(考核调整事项表!$E:$E,考核调整事项表!$G:$G,累计考核费用!$B84,考核调整事项表!$F:$F,累计考核费用!P$55)</f>
        <v>0</v>
      </c>
      <c r="Q84" s="157">
        <f>SUMIFS(考核调整事项表!$C:$C,考核调整事项表!$G:$G,累计考核费用!$B84,考核调整事项表!$D:$D,累计考核费用!Q$55)+SUMIFS(考核调整事项表!$E:$E,考核调整事项表!$G:$G,累计考核费用!$B84,考核调整事项表!$F:$F,累计考核费用!Q$55)</f>
        <v>0</v>
      </c>
      <c r="R84" s="157">
        <f>SUMIFS(考核调整事项表!$C:$C,考核调整事项表!$G:$G,累计考核费用!$B84,考核调整事项表!$D:$D,累计考核费用!R$55)+SUMIFS(考核调整事项表!$E:$E,考核调整事项表!$G:$G,累计考核费用!$B84,考核调整事项表!$F:$F,累计考核费用!R$55)</f>
        <v>0</v>
      </c>
      <c r="S84" s="157">
        <f>SUMIFS(考核调整事项表!$C:$C,考核调整事项表!$G:$G,累计考核费用!$B84,考核调整事项表!$D:$D,累计考核费用!S$55)+SUMIFS(考核调整事项表!$E:$E,考核调整事项表!$G:$G,累计考核费用!$B84,考核调整事项表!$F:$F,累计考核费用!S$55)</f>
        <v>0</v>
      </c>
      <c r="T84" s="160">
        <f t="shared" si="12"/>
        <v>0</v>
      </c>
      <c r="U84" s="157">
        <f>SUMIFS(考核调整事项表!$C:$C,考核调整事项表!$G:$G,累计考核费用!$B84,考核调整事项表!$D:$D,累计考核费用!U$55)+SUMIFS(考核调整事项表!$E:$E,考核调整事项表!$G:$G,累计考核费用!$B84,考核调整事项表!$F:$F,累计考核费用!U$55)</f>
        <v>0</v>
      </c>
      <c r="V84" s="157">
        <f>SUMIFS(考核调整事项表!$C:$C,考核调整事项表!$G:$G,累计考核费用!$B84,考核调整事项表!$D:$D,累计考核费用!V$55)+SUMIFS(考核调整事项表!$E:$E,考核调整事项表!$G:$G,累计考核费用!$B84,考核调整事项表!$F:$F,累计考核费用!V$55)</f>
        <v>0</v>
      </c>
      <c r="W84" s="157">
        <f>SUMIFS(考核调整事项表!$C:$C,考核调整事项表!$G:$G,累计考核费用!$B84,考核调整事项表!$D:$D,累计考核费用!W$55)+SUMIFS(考核调整事项表!$E:$E,考核调整事项表!$G:$G,累计考核费用!$B84,考核调整事项表!$F:$F,累计考核费用!W$55)</f>
        <v>0</v>
      </c>
      <c r="X84" s="157">
        <f>SUMIFS(考核调整事项表!$C:$C,考核调整事项表!$G:$G,累计考核费用!$B84,考核调整事项表!$D:$D,累计考核费用!X$55)+SUMIFS(考核调整事项表!$E:$E,考核调整事项表!$G:$G,累计考核费用!$B84,考核调整事项表!$F:$F,累计考核费用!X$55)</f>
        <v>0</v>
      </c>
      <c r="Y84" s="157">
        <f>SUMIFS(考核调整事项表!$C:$C,考核调整事项表!$G:$G,累计考核费用!$B84,考核调整事项表!$D:$D,累计考核费用!Y$55)+SUMIFS(考核调整事项表!$E:$E,考核调整事项表!$G:$G,累计考核费用!$B84,考核调整事项表!$F:$F,累计考核费用!Y$55)</f>
        <v>0</v>
      </c>
      <c r="Z84" s="157">
        <f>SUMIFS(考核调整事项表!$C:$C,考核调整事项表!$G:$G,累计考核费用!$B84,考核调整事项表!$D:$D,累计考核费用!Z$55)+SUMIFS(考核调整事项表!$E:$E,考核调整事项表!$G:$G,累计考核费用!$B84,考核调整事项表!$F:$F,累计考核费用!Z$55)</f>
        <v>0</v>
      </c>
      <c r="AA84" s="157">
        <f>SUMIFS(考核调整事项表!$C:$C,考核调整事项表!$G:$G,累计考核费用!$B84,考核调整事项表!$D:$D,累计考核费用!AA$55)+SUMIFS(考核调整事项表!$E:$E,考核调整事项表!$G:$G,累计考核费用!$B84,考核调整事项表!$F:$F,累计考核费用!AA$55)</f>
        <v>0</v>
      </c>
      <c r="AB84" s="157">
        <f>SUMIFS(考核调整事项表!$C:$C,考核调整事项表!$G:$G,累计考核费用!$B84,考核调整事项表!$D:$D,累计考核费用!AB$55)+SUMIFS(考核调整事项表!$E:$E,考核调整事项表!$G:$G,累计考核费用!$B84,考核调整事项表!$F:$F,累计考核费用!AB$55)</f>
        <v>0</v>
      </c>
      <c r="AC84" s="157">
        <f>SUMIFS(考核调整事项表!$C:$C,考核调整事项表!$G:$G,累计考核费用!$B84,考核调整事项表!$D:$D,累计考核费用!AC$55)+SUMIFS(考核调整事项表!$E:$E,考核调整事项表!$G:$G,累计考核费用!$B84,考核调整事项表!$F:$F,累计考核费用!AC$55)</f>
        <v>0</v>
      </c>
    </row>
    <row r="85" spans="1:29">
      <c r="A85" s="274"/>
      <c r="B85" s="47" t="s">
        <v>119</v>
      </c>
      <c r="C85" s="9">
        <f t="shared" si="13"/>
        <v>0</v>
      </c>
      <c r="D85" s="157">
        <f>SUMIFS(考核调整事项表!$C:$C,考核调整事项表!$G:$G,累计考核费用!$B85,考核调整事项表!$D:$D,累计考核费用!D$55)+SUMIFS(考核调整事项表!$E:$E,考核调整事项表!$G:$G,累计考核费用!$B85,考核调整事项表!$F:$F,累计考核费用!D$55)</f>
        <v>0</v>
      </c>
      <c r="E85" s="157">
        <f>SUMIFS(考核调整事项表!$C:$C,考核调整事项表!$G:$G,累计考核费用!$B85,考核调整事项表!$D:$D,累计考核费用!E$55)+SUMIFS(考核调整事项表!$E:$E,考核调整事项表!$G:$G,累计考核费用!$B85,考核调整事项表!$F:$F,累计考核费用!E$55)</f>
        <v>0</v>
      </c>
      <c r="F85" s="157">
        <f>SUMIFS(考核调整事项表!$C:$C,考核调整事项表!$G:$G,累计考核费用!$B85,考核调整事项表!$D:$D,累计考核费用!F$55)+SUMIFS(考核调整事项表!$E:$E,考核调整事项表!$G:$G,累计考核费用!$B85,考核调整事项表!$F:$F,累计考核费用!F$55)</f>
        <v>0</v>
      </c>
      <c r="G85" s="157">
        <f t="shared" si="3"/>
        <v>0</v>
      </c>
      <c r="H85" s="157">
        <f>SUMIFS(考核调整事项表!$C:$C,考核调整事项表!$G:$G,累计考核费用!$B85,考核调整事项表!$D:$D,累计考核费用!H$55)+SUMIFS(考核调整事项表!$E:$E,考核调整事项表!$G:$G,累计考核费用!$B85,考核调整事项表!$F:$F,累计考核费用!H$55)</f>
        <v>0</v>
      </c>
      <c r="I85" s="157">
        <f>SUMIFS(考核调整事项表!$C:$C,考核调整事项表!$G:$G,累计考核费用!$B85,考核调整事项表!$D:$D,累计考核费用!I$55)+SUMIFS(考核调整事项表!$E:$E,考核调整事项表!$G:$G,累计考核费用!$B85,考核调整事项表!$F:$F,累计考核费用!I$55)</f>
        <v>0</v>
      </c>
      <c r="J85" s="157">
        <f>SUMIFS(考核调整事项表!$C:$C,考核调整事项表!$G:$G,累计考核费用!$B85,考核调整事项表!$D:$D,累计考核费用!J$55)+SUMIFS(考核调整事项表!$E:$E,考核调整事项表!$G:$G,累计考核费用!$B85,考核调整事项表!$F:$F,累计考核费用!J$55)</f>
        <v>0</v>
      </c>
      <c r="K85" s="157">
        <f>SUMIFS(考核调整事项表!$C:$C,考核调整事项表!$G:$G,累计考核费用!$B85,考核调整事项表!$D:$D,累计考核费用!K$55)+SUMIFS(考核调整事项表!$E:$E,考核调整事项表!$G:$G,累计考核费用!$B85,考核调整事项表!$F:$F,累计考核费用!K$55)</f>
        <v>0</v>
      </c>
      <c r="L85" s="157">
        <f t="shared" si="4"/>
        <v>0</v>
      </c>
      <c r="M85" s="157">
        <f>SUMIFS(考核调整事项表!$C:$C,考核调整事项表!$G:$G,累计考核费用!$B85,考核调整事项表!$D:$D,累计考核费用!M$55)+SUMIFS(考核调整事项表!$E:$E,考核调整事项表!$G:$G,累计考核费用!$B85,考核调整事项表!$F:$F,累计考核费用!M$55)</f>
        <v>0</v>
      </c>
      <c r="N85" s="157">
        <f>SUMIFS(考核调整事项表!$C:$C,考核调整事项表!$G:$G,累计考核费用!$B85,考核调整事项表!$D:$D,累计考核费用!N$55)+SUMIFS(考核调整事项表!$E:$E,考核调整事项表!$G:$G,累计考核费用!$B85,考核调整事项表!$F:$F,累计考核费用!N$55)</f>
        <v>0</v>
      </c>
      <c r="O85" s="157">
        <f>SUMIFS(考核调整事项表!$C:$C,考核调整事项表!$G:$G,累计考核费用!$B85,考核调整事项表!$D:$D,累计考核费用!O$55)+SUMIFS(考核调整事项表!$E:$E,考核调整事项表!$G:$G,累计考核费用!$B85,考核调整事项表!$F:$F,累计考核费用!O$55)</f>
        <v>0</v>
      </c>
      <c r="P85" s="157">
        <f>SUMIFS(考核调整事项表!$C:$C,考核调整事项表!$G:$G,累计考核费用!$B85,考核调整事项表!$D:$D,累计考核费用!P$55)+SUMIFS(考核调整事项表!$E:$E,考核调整事项表!$G:$G,累计考核费用!$B85,考核调整事项表!$F:$F,累计考核费用!P$55)</f>
        <v>0</v>
      </c>
      <c r="Q85" s="157">
        <f>SUMIFS(考核调整事项表!$C:$C,考核调整事项表!$G:$G,累计考核费用!$B85,考核调整事项表!$D:$D,累计考核费用!Q$55)+SUMIFS(考核调整事项表!$E:$E,考核调整事项表!$G:$G,累计考核费用!$B85,考核调整事项表!$F:$F,累计考核费用!Q$55)</f>
        <v>0</v>
      </c>
      <c r="R85" s="157">
        <f>SUMIFS(考核调整事项表!$C:$C,考核调整事项表!$G:$G,累计考核费用!$B85,考核调整事项表!$D:$D,累计考核费用!R$55)+SUMIFS(考核调整事项表!$E:$E,考核调整事项表!$G:$G,累计考核费用!$B85,考核调整事项表!$F:$F,累计考核费用!R$55)</f>
        <v>0</v>
      </c>
      <c r="S85" s="157">
        <f>SUMIFS(考核调整事项表!$C:$C,考核调整事项表!$G:$G,累计考核费用!$B85,考核调整事项表!$D:$D,累计考核费用!S$55)+SUMIFS(考核调整事项表!$E:$E,考核调整事项表!$G:$G,累计考核费用!$B85,考核调整事项表!$F:$F,累计考核费用!S$55)</f>
        <v>0</v>
      </c>
      <c r="T85" s="160">
        <f t="shared" si="12"/>
        <v>0</v>
      </c>
      <c r="U85" s="157">
        <f>SUMIFS(考核调整事项表!$C:$C,考核调整事项表!$G:$G,累计考核费用!$B85,考核调整事项表!$D:$D,累计考核费用!U$55)+SUMIFS(考核调整事项表!$E:$E,考核调整事项表!$G:$G,累计考核费用!$B85,考核调整事项表!$F:$F,累计考核费用!U$55)</f>
        <v>0</v>
      </c>
      <c r="V85" s="157">
        <f>SUMIFS(考核调整事项表!$C:$C,考核调整事项表!$G:$G,累计考核费用!$B85,考核调整事项表!$D:$D,累计考核费用!V$55)+SUMIFS(考核调整事项表!$E:$E,考核调整事项表!$G:$G,累计考核费用!$B85,考核调整事项表!$F:$F,累计考核费用!V$55)</f>
        <v>0</v>
      </c>
      <c r="W85" s="157">
        <f>SUMIFS(考核调整事项表!$C:$C,考核调整事项表!$G:$G,累计考核费用!$B85,考核调整事项表!$D:$D,累计考核费用!W$55)+SUMIFS(考核调整事项表!$E:$E,考核调整事项表!$G:$G,累计考核费用!$B85,考核调整事项表!$F:$F,累计考核费用!W$55)</f>
        <v>0</v>
      </c>
      <c r="X85" s="157">
        <f>SUMIFS(考核调整事项表!$C:$C,考核调整事项表!$G:$G,累计考核费用!$B85,考核调整事项表!$D:$D,累计考核费用!X$55)+SUMIFS(考核调整事项表!$E:$E,考核调整事项表!$G:$G,累计考核费用!$B85,考核调整事项表!$F:$F,累计考核费用!X$55)</f>
        <v>0</v>
      </c>
      <c r="Y85" s="157">
        <f>SUMIFS(考核调整事项表!$C:$C,考核调整事项表!$G:$G,累计考核费用!$B85,考核调整事项表!$D:$D,累计考核费用!Y$55)+SUMIFS(考核调整事项表!$E:$E,考核调整事项表!$G:$G,累计考核费用!$B85,考核调整事项表!$F:$F,累计考核费用!Y$55)</f>
        <v>0</v>
      </c>
      <c r="Z85" s="157">
        <f>SUMIFS(考核调整事项表!$C:$C,考核调整事项表!$G:$G,累计考核费用!$B85,考核调整事项表!$D:$D,累计考核费用!Z$55)+SUMIFS(考核调整事项表!$E:$E,考核调整事项表!$G:$G,累计考核费用!$B85,考核调整事项表!$F:$F,累计考核费用!Z$55)</f>
        <v>0</v>
      </c>
      <c r="AA85" s="157">
        <f>SUMIFS(考核调整事项表!$C:$C,考核调整事项表!$G:$G,累计考核费用!$B85,考核调整事项表!$D:$D,累计考核费用!AA$55)+SUMIFS(考核调整事项表!$E:$E,考核调整事项表!$G:$G,累计考核费用!$B85,考核调整事项表!$F:$F,累计考核费用!AA$55)</f>
        <v>0</v>
      </c>
      <c r="AB85" s="157">
        <f>SUMIFS(考核调整事项表!$C:$C,考核调整事项表!$G:$G,累计考核费用!$B85,考核调整事项表!$D:$D,累计考核费用!AB$55)+SUMIFS(考核调整事项表!$E:$E,考核调整事项表!$G:$G,累计考核费用!$B85,考核调整事项表!$F:$F,累计考核费用!AB$55)</f>
        <v>0</v>
      </c>
      <c r="AC85" s="157">
        <f>SUMIFS(考核调整事项表!$C:$C,考核调整事项表!$G:$G,累计考核费用!$B85,考核调整事项表!$D:$D,累计考核费用!AC$55)+SUMIFS(考核调整事项表!$E:$E,考核调整事项表!$G:$G,累计考核费用!$B85,考核调整事项表!$F:$F,累计考核费用!AC$55)</f>
        <v>0</v>
      </c>
    </row>
    <row r="86" spans="1:29">
      <c r="A86" s="275"/>
      <c r="B86" s="57" t="s">
        <v>99</v>
      </c>
      <c r="C86" s="161">
        <f>SUM(C73:C85)</f>
        <v>0</v>
      </c>
      <c r="D86" s="161">
        <f t="shared" ref="D86:AC86" si="14">SUM(D73:D85)</f>
        <v>863389.48</v>
      </c>
      <c r="E86" s="161">
        <f t="shared" si="14"/>
        <v>-675144.48</v>
      </c>
      <c r="F86" s="161">
        <f t="shared" si="14"/>
        <v>-624433.48</v>
      </c>
      <c r="G86" s="161">
        <f t="shared" si="14"/>
        <v>-853035.02</v>
      </c>
      <c r="H86" s="161">
        <f t="shared" si="14"/>
        <v>-16443.039999999994</v>
      </c>
      <c r="I86" s="161">
        <f t="shared" si="14"/>
        <v>24700</v>
      </c>
      <c r="J86" s="161">
        <f t="shared" si="14"/>
        <v>2097.5</v>
      </c>
      <c r="K86" s="161">
        <f t="shared" si="14"/>
        <v>-863389.48</v>
      </c>
      <c r="L86" s="161">
        <f t="shared" si="14"/>
        <v>57313.5</v>
      </c>
      <c r="M86" s="161">
        <f t="shared" si="14"/>
        <v>2097.5</v>
      </c>
      <c r="N86" s="161">
        <f t="shared" si="14"/>
        <v>7872.5</v>
      </c>
      <c r="O86" s="161">
        <f t="shared" si="14"/>
        <v>2097.5</v>
      </c>
      <c r="P86" s="161">
        <f t="shared" si="14"/>
        <v>14212</v>
      </c>
      <c r="Q86" s="161">
        <f t="shared" si="14"/>
        <v>2328</v>
      </c>
      <c r="R86" s="161">
        <f t="shared" si="14"/>
        <v>28706</v>
      </c>
      <c r="S86" s="161">
        <f t="shared" si="14"/>
        <v>0</v>
      </c>
      <c r="T86" s="161">
        <f t="shared" si="14"/>
        <v>1231910</v>
      </c>
      <c r="U86" s="161">
        <f t="shared" si="14"/>
        <v>154360</v>
      </c>
      <c r="V86" s="161">
        <f t="shared" si="14"/>
        <v>931112</v>
      </c>
      <c r="W86" s="161">
        <f t="shared" si="14"/>
        <v>4790.109999999986</v>
      </c>
      <c r="X86" s="161">
        <f t="shared" si="14"/>
        <v>0</v>
      </c>
      <c r="Y86" s="161">
        <f t="shared" si="14"/>
        <v>0</v>
      </c>
      <c r="Z86" s="161">
        <f t="shared" si="14"/>
        <v>0</v>
      </c>
      <c r="AA86" s="161">
        <f t="shared" ref="AA86" si="15">SUM(AA73:AA85)</f>
        <v>141647.89000000001</v>
      </c>
      <c r="AB86" s="161">
        <f t="shared" si="14"/>
        <v>0</v>
      </c>
      <c r="AC86" s="161">
        <f t="shared" si="14"/>
        <v>0</v>
      </c>
    </row>
    <row r="87" spans="1:29" ht="13.5" customHeight="1">
      <c r="A87" s="273" t="s">
        <v>120</v>
      </c>
      <c r="B87" s="47" t="s">
        <v>121</v>
      </c>
      <c r="C87" s="9">
        <f t="shared" ref="C87:C88" si="16">SUM(D87:G87)+L87+T87+AC87+AB87</f>
        <v>0</v>
      </c>
      <c r="D87" s="157">
        <f>SUMIFS(考核调整事项表!$C:$C,考核调整事项表!$G:$G,累计考核费用!$B87,考核调整事项表!$D:$D,累计考核费用!D$55)+SUMIFS(考核调整事项表!$E:$E,考核调整事项表!$G:$G,累计考核费用!$B87,考核调整事项表!$F:$F,累计考核费用!D$55)</f>
        <v>0</v>
      </c>
      <c r="E87" s="157">
        <f>SUMIFS(考核调整事项表!$C:$C,考核调整事项表!$G:$G,累计考核费用!$B87,考核调整事项表!$D:$D,累计考核费用!E$55)+SUMIFS(考核调整事项表!$E:$E,考核调整事项表!$G:$G,累计考核费用!$B87,考核调整事项表!$F:$F,累计考核费用!E$55)</f>
        <v>0</v>
      </c>
      <c r="F87" s="157">
        <f>SUMIFS(考核调整事项表!$C:$C,考核调整事项表!$G:$G,累计考核费用!$B87,考核调整事项表!$D:$D,累计考核费用!F$55)+SUMIFS(考核调整事项表!$E:$E,考核调整事项表!$G:$G,累计考核费用!$B87,考核调整事项表!$F:$F,累计考核费用!F$55)</f>
        <v>7943.42</v>
      </c>
      <c r="G87" s="157">
        <f t="shared" si="3"/>
        <v>0</v>
      </c>
      <c r="H87" s="157">
        <f>SUMIFS(考核调整事项表!$C:$C,考核调整事项表!$G:$G,累计考核费用!$B87,考核调整事项表!$D:$D,累计考核费用!H$55)+SUMIFS(考核调整事项表!$E:$E,考核调整事项表!$G:$G,累计考核费用!$B87,考核调整事项表!$F:$F,累计考核费用!H$55)</f>
        <v>0</v>
      </c>
      <c r="I87" s="157">
        <f>SUMIFS(考核调整事项表!$C:$C,考核调整事项表!$G:$G,累计考核费用!$B87,考核调整事项表!$D:$D,累计考核费用!I$55)+SUMIFS(考核调整事项表!$E:$E,考核调整事项表!$G:$G,累计考核费用!$B87,考核调整事项表!$F:$F,累计考核费用!I$55)</f>
        <v>0</v>
      </c>
      <c r="J87" s="157">
        <f>SUMIFS(考核调整事项表!$C:$C,考核调整事项表!$G:$G,累计考核费用!$B87,考核调整事项表!$D:$D,累计考核费用!J$55)+SUMIFS(考核调整事项表!$E:$E,考核调整事项表!$G:$G,累计考核费用!$B87,考核调整事项表!$F:$F,累计考核费用!J$55)</f>
        <v>0</v>
      </c>
      <c r="K87" s="157">
        <f>SUMIFS(考核调整事项表!$C:$C,考核调整事项表!$G:$G,累计考核费用!$B87,考核调整事项表!$D:$D,累计考核费用!K$55)+SUMIFS(考核调整事项表!$E:$E,考核调整事项表!$G:$G,累计考核费用!$B87,考核调整事项表!$F:$F,累计考核费用!K$55)</f>
        <v>0</v>
      </c>
      <c r="L87" s="157">
        <f t="shared" si="4"/>
        <v>-7943.42</v>
      </c>
      <c r="M87" s="157">
        <f>SUMIFS(考核调整事项表!$C:$C,考核调整事项表!$G:$G,累计考核费用!$B87,考核调整事项表!$D:$D,累计考核费用!M$55)+SUMIFS(考核调整事项表!$E:$E,考核调整事项表!$G:$G,累计考核费用!$B87,考核调整事项表!$F:$F,累计考核费用!M$55)</f>
        <v>0</v>
      </c>
      <c r="N87" s="157">
        <f>SUMIFS(考核调整事项表!$C:$C,考核调整事项表!$G:$G,累计考核费用!$B87,考核调整事项表!$D:$D,累计考核费用!N$55)+SUMIFS(考核调整事项表!$E:$E,考核调整事项表!$G:$G,累计考核费用!$B87,考核调整事项表!$F:$F,累计考核费用!N$55)</f>
        <v>0</v>
      </c>
      <c r="O87" s="157">
        <f>SUMIFS(考核调整事项表!$C:$C,考核调整事项表!$G:$G,累计考核费用!$B87,考核调整事项表!$D:$D,累计考核费用!O$55)+SUMIFS(考核调整事项表!$E:$E,考核调整事项表!$G:$G,累计考核费用!$B87,考核调整事项表!$F:$F,累计考核费用!O$55)</f>
        <v>0</v>
      </c>
      <c r="P87" s="157">
        <f>SUMIFS(考核调整事项表!$C:$C,考核调整事项表!$G:$G,累计考核费用!$B87,考核调整事项表!$D:$D,累计考核费用!P$55)+SUMIFS(考核调整事项表!$E:$E,考核调整事项表!$G:$G,累计考核费用!$B87,考核调整事项表!$F:$F,累计考核费用!P$55)</f>
        <v>0</v>
      </c>
      <c r="Q87" s="157">
        <f>SUMIFS(考核调整事项表!$C:$C,考核调整事项表!$G:$G,累计考核费用!$B87,考核调整事项表!$D:$D,累计考核费用!Q$55)+SUMIFS(考核调整事项表!$E:$E,考核调整事项表!$G:$G,累计考核费用!$B87,考核调整事项表!$F:$F,累计考核费用!Q$55)</f>
        <v>0</v>
      </c>
      <c r="R87" s="157">
        <f>SUMIFS(考核调整事项表!$C:$C,考核调整事项表!$G:$G,累计考核费用!$B87,考核调整事项表!$D:$D,累计考核费用!R$55)+SUMIFS(考核调整事项表!$E:$E,考核调整事项表!$G:$G,累计考核费用!$B87,考核调整事项表!$F:$F,累计考核费用!R$55)</f>
        <v>0</v>
      </c>
      <c r="S87" s="157">
        <f>SUMIFS(考核调整事项表!$C:$C,考核调整事项表!$G:$G,累计考核费用!$B87,考核调整事项表!$D:$D,累计考核费用!S$55)+SUMIFS(考核调整事项表!$E:$E,考核调整事项表!$G:$G,累计考核费用!$B87,考核调整事项表!$F:$F,累计考核费用!S$55)</f>
        <v>-7943.42</v>
      </c>
      <c r="T87" s="160">
        <f>SUM(U87:AA87)</f>
        <v>0</v>
      </c>
      <c r="U87" s="157">
        <f>SUMIFS(考核调整事项表!$C:$C,考核调整事项表!$G:$G,累计考核费用!$B87,考核调整事项表!$D:$D,累计考核费用!U$55)+SUMIFS(考核调整事项表!$E:$E,考核调整事项表!$G:$G,累计考核费用!$B87,考核调整事项表!$F:$F,累计考核费用!U$55)</f>
        <v>0</v>
      </c>
      <c r="V87" s="157">
        <f>SUMIFS(考核调整事项表!$C:$C,考核调整事项表!$G:$G,累计考核费用!$B87,考核调整事项表!$D:$D,累计考核费用!V$55)+SUMIFS(考核调整事项表!$E:$E,考核调整事项表!$G:$G,累计考核费用!$B87,考核调整事项表!$F:$F,累计考核费用!V$55)</f>
        <v>0</v>
      </c>
      <c r="W87" s="157">
        <f>SUMIFS(考核调整事项表!$C:$C,考核调整事项表!$G:$G,累计考核费用!$B87,考核调整事项表!$D:$D,累计考核费用!W$55)+SUMIFS(考核调整事项表!$E:$E,考核调整事项表!$G:$G,累计考核费用!$B87,考核调整事项表!$F:$F,累计考核费用!W$55)</f>
        <v>0</v>
      </c>
      <c r="X87" s="157">
        <f>SUMIFS(考核调整事项表!$C:$C,考核调整事项表!$G:$G,累计考核费用!$B87,考核调整事项表!$D:$D,累计考核费用!X$55)+SUMIFS(考核调整事项表!$E:$E,考核调整事项表!$G:$G,累计考核费用!$B87,考核调整事项表!$F:$F,累计考核费用!X$55)</f>
        <v>0</v>
      </c>
      <c r="Y87" s="157">
        <f>SUMIFS(考核调整事项表!$C:$C,考核调整事项表!$G:$G,累计考核费用!$B87,考核调整事项表!$D:$D,累计考核费用!Y$55)+SUMIFS(考核调整事项表!$E:$E,考核调整事项表!$G:$G,累计考核费用!$B87,考核调整事项表!$F:$F,累计考核费用!Y$55)</f>
        <v>0</v>
      </c>
      <c r="Z87" s="157">
        <f>SUMIFS(考核调整事项表!$C:$C,考核调整事项表!$G:$G,累计考核费用!$B87,考核调整事项表!$D:$D,累计考核费用!Z$55)+SUMIFS(考核调整事项表!$E:$E,考核调整事项表!$G:$G,累计考核费用!$B87,考核调整事项表!$F:$F,累计考核费用!Z$55)</f>
        <v>0</v>
      </c>
      <c r="AA87" s="157">
        <f>SUMIFS(考核调整事项表!$C:$C,考核调整事项表!$G:$G,累计考核费用!$B87,考核调整事项表!$D:$D,累计考核费用!AA$55)+SUMIFS(考核调整事项表!$E:$E,考核调整事项表!$G:$G,累计考核费用!$B87,考核调整事项表!$F:$F,累计考核费用!AA$55)</f>
        <v>0</v>
      </c>
      <c r="AB87" s="157">
        <f>SUMIFS(考核调整事项表!$C:$C,考核调整事项表!$G:$G,累计考核费用!$B87,考核调整事项表!$D:$D,累计考核费用!AB$55)+SUMIFS(考核调整事项表!$E:$E,考核调整事项表!$G:$G,累计考核费用!$B87,考核调整事项表!$F:$F,累计考核费用!AB$55)</f>
        <v>0</v>
      </c>
      <c r="AC87" s="157">
        <f>SUMIFS(考核调整事项表!$C:$C,考核调整事项表!$G:$G,累计考核费用!$B87,考核调整事项表!$D:$D,累计考核费用!AC$55)+SUMIFS(考核调整事项表!$E:$E,考核调整事项表!$G:$G,累计考核费用!$B87,考核调整事项表!$F:$F,累计考核费用!AC$55)</f>
        <v>0</v>
      </c>
    </row>
    <row r="88" spans="1:29">
      <c r="A88" s="274"/>
      <c r="B88" s="47" t="s">
        <v>122</v>
      </c>
      <c r="C88" s="9">
        <f t="shared" si="16"/>
        <v>0</v>
      </c>
      <c r="D88" s="157">
        <f>SUMIFS(考核调整事项表!$C:$C,考核调整事项表!$G:$G,累计考核费用!$B88,考核调整事项表!$D:$D,累计考核费用!D$55)+SUMIFS(考核调整事项表!$E:$E,考核调整事项表!$G:$G,累计考核费用!$B88,考核调整事项表!$F:$F,累计考核费用!D$55)</f>
        <v>0</v>
      </c>
      <c r="E88" s="157">
        <f>SUMIFS(考核调整事项表!$C:$C,考核调整事项表!$G:$G,累计考核费用!$B88,考核调整事项表!$D:$D,累计考核费用!E$55)+SUMIFS(考核调整事项表!$E:$E,考核调整事项表!$G:$G,累计考核费用!$B88,考核调整事项表!$F:$F,累计考核费用!E$55)</f>
        <v>0</v>
      </c>
      <c r="F88" s="157">
        <f>SUMIFS(考核调整事项表!$C:$C,考核调整事项表!$G:$G,累计考核费用!$B88,考核调整事项表!$D:$D,累计考核费用!F$55)+SUMIFS(考核调整事项表!$E:$E,考核调整事项表!$G:$G,累计考核费用!$B88,考核调整事项表!$F:$F,累计考核费用!F$55)</f>
        <v>0</v>
      </c>
      <c r="G88" s="157">
        <f t="shared" si="3"/>
        <v>0</v>
      </c>
      <c r="H88" s="157">
        <f>SUMIFS(考核调整事项表!$C:$C,考核调整事项表!$G:$G,累计考核费用!$B88,考核调整事项表!$D:$D,累计考核费用!H$55)+SUMIFS(考核调整事项表!$E:$E,考核调整事项表!$G:$G,累计考核费用!$B88,考核调整事项表!$F:$F,累计考核费用!H$55)</f>
        <v>0</v>
      </c>
      <c r="I88" s="157">
        <f>SUMIFS(考核调整事项表!$C:$C,考核调整事项表!$G:$G,累计考核费用!$B88,考核调整事项表!$D:$D,累计考核费用!I$55)+SUMIFS(考核调整事项表!$E:$E,考核调整事项表!$G:$G,累计考核费用!$B88,考核调整事项表!$F:$F,累计考核费用!I$55)</f>
        <v>0</v>
      </c>
      <c r="J88" s="157">
        <f>SUMIFS(考核调整事项表!$C:$C,考核调整事项表!$G:$G,累计考核费用!$B88,考核调整事项表!$D:$D,累计考核费用!J$55)+SUMIFS(考核调整事项表!$E:$E,考核调整事项表!$G:$G,累计考核费用!$B88,考核调整事项表!$F:$F,累计考核费用!J$55)</f>
        <v>0</v>
      </c>
      <c r="K88" s="157">
        <f>SUMIFS(考核调整事项表!$C:$C,考核调整事项表!$G:$G,累计考核费用!$B88,考核调整事项表!$D:$D,累计考核费用!K$55)+SUMIFS(考核调整事项表!$E:$E,考核调整事项表!$G:$G,累计考核费用!$B88,考核调整事项表!$F:$F,累计考核费用!K$55)</f>
        <v>0</v>
      </c>
      <c r="L88" s="157">
        <f t="shared" si="4"/>
        <v>0</v>
      </c>
      <c r="M88" s="157">
        <f>SUMIFS(考核调整事项表!$C:$C,考核调整事项表!$G:$G,累计考核费用!$B88,考核调整事项表!$D:$D,累计考核费用!M$55)+SUMIFS(考核调整事项表!$E:$E,考核调整事项表!$G:$G,累计考核费用!$B88,考核调整事项表!$F:$F,累计考核费用!M$55)</f>
        <v>0</v>
      </c>
      <c r="N88" s="157">
        <f>SUMIFS(考核调整事项表!$C:$C,考核调整事项表!$G:$G,累计考核费用!$B88,考核调整事项表!$D:$D,累计考核费用!N$55)+SUMIFS(考核调整事项表!$E:$E,考核调整事项表!$G:$G,累计考核费用!$B88,考核调整事项表!$F:$F,累计考核费用!N$55)</f>
        <v>0</v>
      </c>
      <c r="O88" s="157">
        <f>SUMIFS(考核调整事项表!$C:$C,考核调整事项表!$G:$G,累计考核费用!$B88,考核调整事项表!$D:$D,累计考核费用!O$55)+SUMIFS(考核调整事项表!$E:$E,考核调整事项表!$G:$G,累计考核费用!$B88,考核调整事项表!$F:$F,累计考核费用!O$55)</f>
        <v>0</v>
      </c>
      <c r="P88" s="157">
        <f>SUMIFS(考核调整事项表!$C:$C,考核调整事项表!$G:$G,累计考核费用!$B88,考核调整事项表!$D:$D,累计考核费用!P$55)+SUMIFS(考核调整事项表!$E:$E,考核调整事项表!$G:$G,累计考核费用!$B88,考核调整事项表!$F:$F,累计考核费用!P$55)</f>
        <v>0</v>
      </c>
      <c r="Q88" s="157">
        <f>SUMIFS(考核调整事项表!$C:$C,考核调整事项表!$G:$G,累计考核费用!$B88,考核调整事项表!$D:$D,累计考核费用!Q$55)+SUMIFS(考核调整事项表!$E:$E,考核调整事项表!$G:$G,累计考核费用!$B88,考核调整事项表!$F:$F,累计考核费用!Q$55)</f>
        <v>0</v>
      </c>
      <c r="R88" s="157">
        <f>SUMIFS(考核调整事项表!$C:$C,考核调整事项表!$G:$G,累计考核费用!$B88,考核调整事项表!$D:$D,累计考核费用!R$55)+SUMIFS(考核调整事项表!$E:$E,考核调整事项表!$G:$G,累计考核费用!$B88,考核调整事项表!$F:$F,累计考核费用!R$55)</f>
        <v>0</v>
      </c>
      <c r="S88" s="157">
        <f>SUMIFS(考核调整事项表!$C:$C,考核调整事项表!$G:$G,累计考核费用!$B88,考核调整事项表!$D:$D,累计考核费用!S$55)+SUMIFS(考核调整事项表!$E:$E,考核调整事项表!$G:$G,累计考核费用!$B88,考核调整事项表!$F:$F,累计考核费用!S$55)</f>
        <v>0</v>
      </c>
      <c r="T88" s="160">
        <f>SUM(U88:AA88)</f>
        <v>0</v>
      </c>
      <c r="U88" s="157">
        <f>SUMIFS(考核调整事项表!$C:$C,考核调整事项表!$G:$G,累计考核费用!$B88,考核调整事项表!$D:$D,累计考核费用!U$55)+SUMIFS(考核调整事项表!$E:$E,考核调整事项表!$G:$G,累计考核费用!$B88,考核调整事项表!$F:$F,累计考核费用!U$55)</f>
        <v>0</v>
      </c>
      <c r="V88" s="157">
        <f>SUMIFS(考核调整事项表!$C:$C,考核调整事项表!$G:$G,累计考核费用!$B88,考核调整事项表!$D:$D,累计考核费用!V$55)+SUMIFS(考核调整事项表!$E:$E,考核调整事项表!$G:$G,累计考核费用!$B88,考核调整事项表!$F:$F,累计考核费用!V$55)</f>
        <v>0</v>
      </c>
      <c r="W88" s="157">
        <f>SUMIFS(考核调整事项表!$C:$C,考核调整事项表!$G:$G,累计考核费用!$B88,考核调整事项表!$D:$D,累计考核费用!W$55)+SUMIFS(考核调整事项表!$E:$E,考核调整事项表!$G:$G,累计考核费用!$B88,考核调整事项表!$F:$F,累计考核费用!W$55)</f>
        <v>0</v>
      </c>
      <c r="X88" s="157">
        <f>SUMIFS(考核调整事项表!$C:$C,考核调整事项表!$G:$G,累计考核费用!$B88,考核调整事项表!$D:$D,累计考核费用!X$55)+SUMIFS(考核调整事项表!$E:$E,考核调整事项表!$G:$G,累计考核费用!$B88,考核调整事项表!$F:$F,累计考核费用!X$55)</f>
        <v>0</v>
      </c>
      <c r="Y88" s="157">
        <f>SUMIFS(考核调整事项表!$C:$C,考核调整事项表!$G:$G,累计考核费用!$B88,考核调整事项表!$D:$D,累计考核费用!Y$55)+SUMIFS(考核调整事项表!$E:$E,考核调整事项表!$G:$G,累计考核费用!$B88,考核调整事项表!$F:$F,累计考核费用!Y$55)</f>
        <v>0</v>
      </c>
      <c r="Z88" s="157">
        <f>SUMIFS(考核调整事项表!$C:$C,考核调整事项表!$G:$G,累计考核费用!$B88,考核调整事项表!$D:$D,累计考核费用!Z$55)+SUMIFS(考核调整事项表!$E:$E,考核调整事项表!$G:$G,累计考核费用!$B88,考核调整事项表!$F:$F,累计考核费用!Z$55)</f>
        <v>0</v>
      </c>
      <c r="AA88" s="157">
        <f>SUMIFS(考核调整事项表!$C:$C,考核调整事项表!$G:$G,累计考核费用!$B88,考核调整事项表!$D:$D,累计考核费用!AA$55)+SUMIFS(考核调整事项表!$E:$E,考核调整事项表!$G:$G,累计考核费用!$B88,考核调整事项表!$F:$F,累计考核费用!AA$55)</f>
        <v>0</v>
      </c>
      <c r="AB88" s="157">
        <f>SUMIFS(考核调整事项表!$C:$C,考核调整事项表!$G:$G,累计考核费用!$B88,考核调整事项表!$D:$D,累计考核费用!AB$55)+SUMIFS(考核调整事项表!$E:$E,考核调整事项表!$G:$G,累计考核费用!$B88,考核调整事项表!$F:$F,累计考核费用!AB$55)</f>
        <v>0</v>
      </c>
      <c r="AC88" s="157">
        <f>SUMIFS(考核调整事项表!$C:$C,考核调整事项表!$G:$G,累计考核费用!$B88,考核调整事项表!$D:$D,累计考核费用!AC$55)+SUMIFS(考核调整事项表!$E:$E,考核调整事项表!$G:$G,累计考核费用!$B88,考核调整事项表!$F:$F,累计考核费用!AC$55)</f>
        <v>0</v>
      </c>
    </row>
    <row r="89" spans="1:29">
      <c r="A89" s="274"/>
      <c r="B89" s="47" t="s">
        <v>123</v>
      </c>
      <c r="C89" s="9">
        <f>SUM(D89:G89)+L89+T89+AC89+AB89</f>
        <v>0</v>
      </c>
      <c r="D89" s="157">
        <f>SUMIFS(考核调整事项表!$C:$C,考核调整事项表!$G:$G,累计考核费用!$B89,考核调整事项表!$D:$D,累计考核费用!D$55)+SUMIFS(考核调整事项表!$E:$E,考核调整事项表!$G:$G,累计考核费用!$B89,考核调整事项表!$F:$F,累计考核费用!D$55)</f>
        <v>0</v>
      </c>
      <c r="E89" s="157">
        <f>SUMIFS(考核调整事项表!$C:$C,考核调整事项表!$G:$G,累计考核费用!$B89,考核调整事项表!$D:$D,累计考核费用!E$55)+SUMIFS(考核调整事项表!$E:$E,考核调整事项表!$G:$G,累计考核费用!$B89,考核调整事项表!$F:$F,累计考核费用!E$55)</f>
        <v>0</v>
      </c>
      <c r="F89" s="157">
        <f>SUMIFS(考核调整事项表!$C:$C,考核调整事项表!$G:$G,累计考核费用!$B89,考核调整事项表!$D:$D,累计考核费用!F$55)+SUMIFS(考核调整事项表!$E:$E,考核调整事项表!$G:$G,累计考核费用!$B89,考核调整事项表!$F:$F,累计考核费用!F$55)</f>
        <v>0</v>
      </c>
      <c r="G89" s="157">
        <f t="shared" si="3"/>
        <v>0</v>
      </c>
      <c r="H89" s="157">
        <f>SUMIFS(考核调整事项表!$C:$C,考核调整事项表!$G:$G,累计考核费用!$B89,考核调整事项表!$D:$D,累计考核费用!H$55)+SUMIFS(考核调整事项表!$E:$E,考核调整事项表!$G:$G,累计考核费用!$B89,考核调整事项表!$F:$F,累计考核费用!H$55)</f>
        <v>0</v>
      </c>
      <c r="I89" s="157">
        <f>SUMIFS(考核调整事项表!$C:$C,考核调整事项表!$G:$G,累计考核费用!$B89,考核调整事项表!$D:$D,累计考核费用!I$55)+SUMIFS(考核调整事项表!$E:$E,考核调整事项表!$G:$G,累计考核费用!$B89,考核调整事项表!$F:$F,累计考核费用!I$55)</f>
        <v>0</v>
      </c>
      <c r="J89" s="157">
        <f>SUMIFS(考核调整事项表!$C:$C,考核调整事项表!$G:$G,累计考核费用!$B89,考核调整事项表!$D:$D,累计考核费用!J$55)+SUMIFS(考核调整事项表!$E:$E,考核调整事项表!$G:$G,累计考核费用!$B89,考核调整事项表!$F:$F,累计考核费用!J$55)</f>
        <v>0</v>
      </c>
      <c r="K89" s="157">
        <f>SUMIFS(考核调整事项表!$C:$C,考核调整事项表!$G:$G,累计考核费用!$B89,考核调整事项表!$D:$D,累计考核费用!K$55)+SUMIFS(考核调整事项表!$E:$E,考核调整事项表!$G:$G,累计考核费用!$B89,考核调整事项表!$F:$F,累计考核费用!K$55)</f>
        <v>0</v>
      </c>
      <c r="L89" s="157">
        <f t="shared" si="4"/>
        <v>0</v>
      </c>
      <c r="M89" s="157">
        <f>SUMIFS(考核调整事项表!$C:$C,考核调整事项表!$G:$G,累计考核费用!$B89,考核调整事项表!$D:$D,累计考核费用!M$55)+SUMIFS(考核调整事项表!$E:$E,考核调整事项表!$G:$G,累计考核费用!$B89,考核调整事项表!$F:$F,累计考核费用!M$55)</f>
        <v>0</v>
      </c>
      <c r="N89" s="157">
        <f>SUMIFS(考核调整事项表!$C:$C,考核调整事项表!$G:$G,累计考核费用!$B89,考核调整事项表!$D:$D,累计考核费用!N$55)+SUMIFS(考核调整事项表!$E:$E,考核调整事项表!$G:$G,累计考核费用!$B89,考核调整事项表!$F:$F,累计考核费用!N$55)</f>
        <v>0</v>
      </c>
      <c r="O89" s="157">
        <f>SUMIFS(考核调整事项表!$C:$C,考核调整事项表!$G:$G,累计考核费用!$B89,考核调整事项表!$D:$D,累计考核费用!O$55)+SUMIFS(考核调整事项表!$E:$E,考核调整事项表!$G:$G,累计考核费用!$B89,考核调整事项表!$F:$F,累计考核费用!O$55)</f>
        <v>0</v>
      </c>
      <c r="P89" s="157">
        <f>SUMIFS(考核调整事项表!$C:$C,考核调整事项表!$G:$G,累计考核费用!$B89,考核调整事项表!$D:$D,累计考核费用!P$55)+SUMIFS(考核调整事项表!$E:$E,考核调整事项表!$G:$G,累计考核费用!$B89,考核调整事项表!$F:$F,累计考核费用!P$55)</f>
        <v>0</v>
      </c>
      <c r="Q89" s="157">
        <f>SUMIFS(考核调整事项表!$C:$C,考核调整事项表!$G:$G,累计考核费用!$B89,考核调整事项表!$D:$D,累计考核费用!Q$55)+SUMIFS(考核调整事项表!$E:$E,考核调整事项表!$G:$G,累计考核费用!$B89,考核调整事项表!$F:$F,累计考核费用!Q$55)</f>
        <v>0</v>
      </c>
      <c r="R89" s="157">
        <f>SUMIFS(考核调整事项表!$C:$C,考核调整事项表!$G:$G,累计考核费用!$B89,考核调整事项表!$D:$D,累计考核费用!R$55)+SUMIFS(考核调整事项表!$E:$E,考核调整事项表!$G:$G,累计考核费用!$B89,考核调整事项表!$F:$F,累计考核费用!R$55)</f>
        <v>0</v>
      </c>
      <c r="S89" s="157">
        <f>SUMIFS(考核调整事项表!$C:$C,考核调整事项表!$G:$G,累计考核费用!$B89,考核调整事项表!$D:$D,累计考核费用!S$55)+SUMIFS(考核调整事项表!$E:$E,考核调整事项表!$G:$G,累计考核费用!$B89,考核调整事项表!$F:$F,累计考核费用!S$55)</f>
        <v>0</v>
      </c>
      <c r="T89" s="160">
        <f t="shared" ref="T89:T97" si="17">SUM(U89:AA89)</f>
        <v>0</v>
      </c>
      <c r="U89" s="157">
        <f>SUMIFS(考核调整事项表!$C:$C,考核调整事项表!$G:$G,累计考核费用!$B89,考核调整事项表!$D:$D,累计考核费用!U$55)+SUMIFS(考核调整事项表!$E:$E,考核调整事项表!$G:$G,累计考核费用!$B89,考核调整事项表!$F:$F,累计考核费用!U$55)</f>
        <v>0</v>
      </c>
      <c r="V89" s="157">
        <f>SUMIFS(考核调整事项表!$C:$C,考核调整事项表!$G:$G,累计考核费用!$B89,考核调整事项表!$D:$D,累计考核费用!V$55)+SUMIFS(考核调整事项表!$E:$E,考核调整事项表!$G:$G,累计考核费用!$B89,考核调整事项表!$F:$F,累计考核费用!V$55)</f>
        <v>0</v>
      </c>
      <c r="W89" s="157">
        <f>SUMIFS(考核调整事项表!$C:$C,考核调整事项表!$G:$G,累计考核费用!$B89,考核调整事项表!$D:$D,累计考核费用!W$55)+SUMIFS(考核调整事项表!$E:$E,考核调整事项表!$G:$G,累计考核费用!$B89,考核调整事项表!$F:$F,累计考核费用!W$55)</f>
        <v>0</v>
      </c>
      <c r="X89" s="157">
        <f>SUMIFS(考核调整事项表!$C:$C,考核调整事项表!$G:$G,累计考核费用!$B89,考核调整事项表!$D:$D,累计考核费用!X$55)+SUMIFS(考核调整事项表!$E:$E,考核调整事项表!$G:$G,累计考核费用!$B89,考核调整事项表!$F:$F,累计考核费用!X$55)</f>
        <v>0</v>
      </c>
      <c r="Y89" s="157">
        <f>SUMIFS(考核调整事项表!$C:$C,考核调整事项表!$G:$G,累计考核费用!$B89,考核调整事项表!$D:$D,累计考核费用!Y$55)+SUMIFS(考核调整事项表!$E:$E,考核调整事项表!$G:$G,累计考核费用!$B89,考核调整事项表!$F:$F,累计考核费用!Y$55)</f>
        <v>0</v>
      </c>
      <c r="Z89" s="157">
        <f>SUMIFS(考核调整事项表!$C:$C,考核调整事项表!$G:$G,累计考核费用!$B89,考核调整事项表!$D:$D,累计考核费用!Z$55)+SUMIFS(考核调整事项表!$E:$E,考核调整事项表!$G:$G,累计考核费用!$B89,考核调整事项表!$F:$F,累计考核费用!Z$55)</f>
        <v>0</v>
      </c>
      <c r="AA89" s="157">
        <f>SUMIFS(考核调整事项表!$C:$C,考核调整事项表!$G:$G,累计考核费用!$B89,考核调整事项表!$D:$D,累计考核费用!AA$55)+SUMIFS(考核调整事项表!$E:$E,考核调整事项表!$G:$G,累计考核费用!$B89,考核调整事项表!$F:$F,累计考核费用!AA$55)</f>
        <v>0</v>
      </c>
      <c r="AB89" s="157">
        <f>SUMIFS(考核调整事项表!$C:$C,考核调整事项表!$G:$G,累计考核费用!$B89,考核调整事项表!$D:$D,累计考核费用!AB$55)+SUMIFS(考核调整事项表!$E:$E,考核调整事项表!$G:$G,累计考核费用!$B89,考核调整事项表!$F:$F,累计考核费用!AB$55)</f>
        <v>0</v>
      </c>
      <c r="AC89" s="157">
        <f>SUMIFS(考核调整事项表!$C:$C,考核调整事项表!$G:$G,累计考核费用!$B89,考核调整事项表!$D:$D,累计考核费用!AC$55)+SUMIFS(考核调整事项表!$E:$E,考核调整事项表!$G:$G,累计考核费用!$B89,考核调整事项表!$F:$F,累计考核费用!AC$55)</f>
        <v>0</v>
      </c>
    </row>
    <row r="90" spans="1:29">
      <c r="A90" s="274"/>
      <c r="B90" s="47" t="s">
        <v>124</v>
      </c>
      <c r="C90" s="9">
        <f t="shared" ref="C90:C102" si="18">SUM(D90:G90)+L90+T90+AC90+AB90</f>
        <v>0</v>
      </c>
      <c r="D90" s="157">
        <f>SUMIFS(考核调整事项表!$C:$C,考核调整事项表!$G:$G,累计考核费用!$B90,考核调整事项表!$D:$D,累计考核费用!D$55)+SUMIFS(考核调整事项表!$E:$E,考核调整事项表!$G:$G,累计考核费用!$B90,考核调整事项表!$F:$F,累计考核费用!D$55)</f>
        <v>0</v>
      </c>
      <c r="E90" s="157">
        <f>SUMIFS(考核调整事项表!$C:$C,考核调整事项表!$G:$G,累计考核费用!$B90,考核调整事项表!$D:$D,累计考核费用!E$55)+SUMIFS(考核调整事项表!$E:$E,考核调整事项表!$G:$G,累计考核费用!$B90,考核调整事项表!$F:$F,累计考核费用!E$55)</f>
        <v>0</v>
      </c>
      <c r="F90" s="157">
        <f>SUMIFS(考核调整事项表!$C:$C,考核调整事项表!$G:$G,累计考核费用!$B90,考核调整事项表!$D:$D,累计考核费用!F$55)+SUMIFS(考核调整事项表!$E:$E,考核调整事项表!$G:$G,累计考核费用!$B90,考核调整事项表!$F:$F,累计考核费用!F$55)</f>
        <v>0</v>
      </c>
      <c r="G90" s="157">
        <f t="shared" si="3"/>
        <v>0</v>
      </c>
      <c r="H90" s="157">
        <f>SUMIFS(考核调整事项表!$C:$C,考核调整事项表!$G:$G,累计考核费用!$B90,考核调整事项表!$D:$D,累计考核费用!H$55)+SUMIFS(考核调整事项表!$E:$E,考核调整事项表!$G:$G,累计考核费用!$B90,考核调整事项表!$F:$F,累计考核费用!H$55)</f>
        <v>0</v>
      </c>
      <c r="I90" s="157">
        <f>SUMIFS(考核调整事项表!$C:$C,考核调整事项表!$G:$G,累计考核费用!$B90,考核调整事项表!$D:$D,累计考核费用!I$55)+SUMIFS(考核调整事项表!$E:$E,考核调整事项表!$G:$G,累计考核费用!$B90,考核调整事项表!$F:$F,累计考核费用!I$55)</f>
        <v>0</v>
      </c>
      <c r="J90" s="157">
        <f>SUMIFS(考核调整事项表!$C:$C,考核调整事项表!$G:$G,累计考核费用!$B90,考核调整事项表!$D:$D,累计考核费用!J$55)+SUMIFS(考核调整事项表!$E:$E,考核调整事项表!$G:$G,累计考核费用!$B90,考核调整事项表!$F:$F,累计考核费用!J$55)</f>
        <v>0</v>
      </c>
      <c r="K90" s="157">
        <f>SUMIFS(考核调整事项表!$C:$C,考核调整事项表!$G:$G,累计考核费用!$B90,考核调整事项表!$D:$D,累计考核费用!K$55)+SUMIFS(考核调整事项表!$E:$E,考核调整事项表!$G:$G,累计考核费用!$B90,考核调整事项表!$F:$F,累计考核费用!K$55)</f>
        <v>0</v>
      </c>
      <c r="L90" s="157">
        <f t="shared" si="4"/>
        <v>0</v>
      </c>
      <c r="M90" s="157">
        <f>SUMIFS(考核调整事项表!$C:$C,考核调整事项表!$G:$G,累计考核费用!$B90,考核调整事项表!$D:$D,累计考核费用!M$55)+SUMIFS(考核调整事项表!$E:$E,考核调整事项表!$G:$G,累计考核费用!$B90,考核调整事项表!$F:$F,累计考核费用!M$55)</f>
        <v>0</v>
      </c>
      <c r="N90" s="157">
        <f>SUMIFS(考核调整事项表!$C:$C,考核调整事项表!$G:$G,累计考核费用!$B90,考核调整事项表!$D:$D,累计考核费用!N$55)+SUMIFS(考核调整事项表!$E:$E,考核调整事项表!$G:$G,累计考核费用!$B90,考核调整事项表!$F:$F,累计考核费用!N$55)</f>
        <v>0</v>
      </c>
      <c r="O90" s="157">
        <f>SUMIFS(考核调整事项表!$C:$C,考核调整事项表!$G:$G,累计考核费用!$B90,考核调整事项表!$D:$D,累计考核费用!O$55)+SUMIFS(考核调整事项表!$E:$E,考核调整事项表!$G:$G,累计考核费用!$B90,考核调整事项表!$F:$F,累计考核费用!O$55)</f>
        <v>0</v>
      </c>
      <c r="P90" s="157">
        <f>SUMIFS(考核调整事项表!$C:$C,考核调整事项表!$G:$G,累计考核费用!$B90,考核调整事项表!$D:$D,累计考核费用!P$55)+SUMIFS(考核调整事项表!$E:$E,考核调整事项表!$G:$G,累计考核费用!$B90,考核调整事项表!$F:$F,累计考核费用!P$55)</f>
        <v>0</v>
      </c>
      <c r="Q90" s="157">
        <f>SUMIFS(考核调整事项表!$C:$C,考核调整事项表!$G:$G,累计考核费用!$B90,考核调整事项表!$D:$D,累计考核费用!Q$55)+SUMIFS(考核调整事项表!$E:$E,考核调整事项表!$G:$G,累计考核费用!$B90,考核调整事项表!$F:$F,累计考核费用!Q$55)</f>
        <v>0</v>
      </c>
      <c r="R90" s="157">
        <f>SUMIFS(考核调整事项表!$C:$C,考核调整事项表!$G:$G,累计考核费用!$B90,考核调整事项表!$D:$D,累计考核费用!R$55)+SUMIFS(考核调整事项表!$E:$E,考核调整事项表!$G:$G,累计考核费用!$B90,考核调整事项表!$F:$F,累计考核费用!R$55)</f>
        <v>0</v>
      </c>
      <c r="S90" s="157">
        <f>SUMIFS(考核调整事项表!$C:$C,考核调整事项表!$G:$G,累计考核费用!$B90,考核调整事项表!$D:$D,累计考核费用!S$55)+SUMIFS(考核调整事项表!$E:$E,考核调整事项表!$G:$G,累计考核费用!$B90,考核调整事项表!$F:$F,累计考核费用!S$55)</f>
        <v>0</v>
      </c>
      <c r="T90" s="160">
        <f t="shared" si="17"/>
        <v>0</v>
      </c>
      <c r="U90" s="157">
        <f>SUMIFS(考核调整事项表!$C:$C,考核调整事项表!$G:$G,累计考核费用!$B90,考核调整事项表!$D:$D,累计考核费用!U$55)+SUMIFS(考核调整事项表!$E:$E,考核调整事项表!$G:$G,累计考核费用!$B90,考核调整事项表!$F:$F,累计考核费用!U$55)</f>
        <v>0</v>
      </c>
      <c r="V90" s="157">
        <f>SUMIFS(考核调整事项表!$C:$C,考核调整事项表!$G:$G,累计考核费用!$B90,考核调整事项表!$D:$D,累计考核费用!V$55)+SUMIFS(考核调整事项表!$E:$E,考核调整事项表!$G:$G,累计考核费用!$B90,考核调整事项表!$F:$F,累计考核费用!V$55)</f>
        <v>0</v>
      </c>
      <c r="W90" s="157">
        <f>SUMIFS(考核调整事项表!$C:$C,考核调整事项表!$G:$G,累计考核费用!$B90,考核调整事项表!$D:$D,累计考核费用!W$55)+SUMIFS(考核调整事项表!$E:$E,考核调整事项表!$G:$G,累计考核费用!$B90,考核调整事项表!$F:$F,累计考核费用!W$55)</f>
        <v>0</v>
      </c>
      <c r="X90" s="157">
        <f>SUMIFS(考核调整事项表!$C:$C,考核调整事项表!$G:$G,累计考核费用!$B90,考核调整事项表!$D:$D,累计考核费用!X$55)+SUMIFS(考核调整事项表!$E:$E,考核调整事项表!$G:$G,累计考核费用!$B90,考核调整事项表!$F:$F,累计考核费用!X$55)</f>
        <v>0</v>
      </c>
      <c r="Y90" s="157">
        <f>SUMIFS(考核调整事项表!$C:$C,考核调整事项表!$G:$G,累计考核费用!$B90,考核调整事项表!$D:$D,累计考核费用!Y$55)+SUMIFS(考核调整事项表!$E:$E,考核调整事项表!$G:$G,累计考核费用!$B90,考核调整事项表!$F:$F,累计考核费用!Y$55)</f>
        <v>0</v>
      </c>
      <c r="Z90" s="157">
        <f>SUMIFS(考核调整事项表!$C:$C,考核调整事项表!$G:$G,累计考核费用!$B90,考核调整事项表!$D:$D,累计考核费用!Z$55)+SUMIFS(考核调整事项表!$E:$E,考核调整事项表!$G:$G,累计考核费用!$B90,考核调整事项表!$F:$F,累计考核费用!Z$55)</f>
        <v>0</v>
      </c>
      <c r="AA90" s="157">
        <f>SUMIFS(考核调整事项表!$C:$C,考核调整事项表!$G:$G,累计考核费用!$B90,考核调整事项表!$D:$D,累计考核费用!AA$55)+SUMIFS(考核调整事项表!$E:$E,考核调整事项表!$G:$G,累计考核费用!$B90,考核调整事项表!$F:$F,累计考核费用!AA$55)</f>
        <v>0</v>
      </c>
      <c r="AB90" s="157">
        <f>SUMIFS(考核调整事项表!$C:$C,考核调整事项表!$G:$G,累计考核费用!$B90,考核调整事项表!$D:$D,累计考核费用!AB$55)+SUMIFS(考核调整事项表!$E:$E,考核调整事项表!$G:$G,累计考核费用!$B90,考核调整事项表!$F:$F,累计考核费用!AB$55)</f>
        <v>0</v>
      </c>
      <c r="AC90" s="157">
        <f>SUMIFS(考核调整事项表!$C:$C,考核调整事项表!$G:$G,累计考核费用!$B90,考核调整事项表!$D:$D,累计考核费用!AC$55)+SUMIFS(考核调整事项表!$E:$E,考核调整事项表!$G:$G,累计考核费用!$B90,考核调整事项表!$F:$F,累计考核费用!AC$55)</f>
        <v>0</v>
      </c>
    </row>
    <row r="91" spans="1:29">
      <c r="A91" s="274"/>
      <c r="B91" s="47" t="s">
        <v>125</v>
      </c>
      <c r="C91" s="9">
        <f t="shared" si="18"/>
        <v>0</v>
      </c>
      <c r="D91" s="157">
        <f>SUMIFS(考核调整事项表!$C:$C,考核调整事项表!$G:$G,累计考核费用!$B91,考核调整事项表!$D:$D,累计考核费用!D$55)+SUMIFS(考核调整事项表!$E:$E,考核调整事项表!$G:$G,累计考核费用!$B91,考核调整事项表!$F:$F,累计考核费用!D$55)</f>
        <v>0</v>
      </c>
      <c r="E91" s="157">
        <f>SUMIFS(考核调整事项表!$C:$C,考核调整事项表!$G:$G,累计考核费用!$B91,考核调整事项表!$D:$D,累计考核费用!E$55)+SUMIFS(考核调整事项表!$E:$E,考核调整事项表!$G:$G,累计考核费用!$B91,考核调整事项表!$F:$F,累计考核费用!E$55)</f>
        <v>0</v>
      </c>
      <c r="F91" s="157">
        <f>SUMIFS(考核调整事项表!$C:$C,考核调整事项表!$G:$G,累计考核费用!$B91,考核调整事项表!$D:$D,累计考核费用!F$55)+SUMIFS(考核调整事项表!$E:$E,考核调整事项表!$G:$G,累计考核费用!$B91,考核调整事项表!$F:$F,累计考核费用!F$55)</f>
        <v>0</v>
      </c>
      <c r="G91" s="157">
        <f t="shared" si="3"/>
        <v>0</v>
      </c>
      <c r="H91" s="157">
        <f>SUMIFS(考核调整事项表!$C:$C,考核调整事项表!$G:$G,累计考核费用!$B91,考核调整事项表!$D:$D,累计考核费用!H$55)+SUMIFS(考核调整事项表!$E:$E,考核调整事项表!$G:$G,累计考核费用!$B91,考核调整事项表!$F:$F,累计考核费用!H$55)</f>
        <v>0</v>
      </c>
      <c r="I91" s="157">
        <f>SUMIFS(考核调整事项表!$C:$C,考核调整事项表!$G:$G,累计考核费用!$B91,考核调整事项表!$D:$D,累计考核费用!I$55)+SUMIFS(考核调整事项表!$E:$E,考核调整事项表!$G:$G,累计考核费用!$B91,考核调整事项表!$F:$F,累计考核费用!I$55)</f>
        <v>0</v>
      </c>
      <c r="J91" s="157">
        <f>SUMIFS(考核调整事项表!$C:$C,考核调整事项表!$G:$G,累计考核费用!$B91,考核调整事项表!$D:$D,累计考核费用!J$55)+SUMIFS(考核调整事项表!$E:$E,考核调整事项表!$G:$G,累计考核费用!$B91,考核调整事项表!$F:$F,累计考核费用!J$55)</f>
        <v>0</v>
      </c>
      <c r="K91" s="157">
        <f>SUMIFS(考核调整事项表!$C:$C,考核调整事项表!$G:$G,累计考核费用!$B91,考核调整事项表!$D:$D,累计考核费用!K$55)+SUMIFS(考核调整事项表!$E:$E,考核调整事项表!$G:$G,累计考核费用!$B91,考核调整事项表!$F:$F,累计考核费用!K$55)</f>
        <v>0</v>
      </c>
      <c r="L91" s="157">
        <f t="shared" si="4"/>
        <v>0</v>
      </c>
      <c r="M91" s="157">
        <f>SUMIFS(考核调整事项表!$C:$C,考核调整事项表!$G:$G,累计考核费用!$B91,考核调整事项表!$D:$D,累计考核费用!M$55)+SUMIFS(考核调整事项表!$E:$E,考核调整事项表!$G:$G,累计考核费用!$B91,考核调整事项表!$F:$F,累计考核费用!M$55)</f>
        <v>0</v>
      </c>
      <c r="N91" s="157">
        <f>SUMIFS(考核调整事项表!$C:$C,考核调整事项表!$G:$G,累计考核费用!$B91,考核调整事项表!$D:$D,累计考核费用!N$55)+SUMIFS(考核调整事项表!$E:$E,考核调整事项表!$G:$G,累计考核费用!$B91,考核调整事项表!$F:$F,累计考核费用!N$55)</f>
        <v>0</v>
      </c>
      <c r="O91" s="157">
        <f>SUMIFS(考核调整事项表!$C:$C,考核调整事项表!$G:$G,累计考核费用!$B91,考核调整事项表!$D:$D,累计考核费用!O$55)+SUMIFS(考核调整事项表!$E:$E,考核调整事项表!$G:$G,累计考核费用!$B91,考核调整事项表!$F:$F,累计考核费用!O$55)</f>
        <v>0</v>
      </c>
      <c r="P91" s="157">
        <f>SUMIFS(考核调整事项表!$C:$C,考核调整事项表!$G:$G,累计考核费用!$B91,考核调整事项表!$D:$D,累计考核费用!P$55)+SUMIFS(考核调整事项表!$E:$E,考核调整事项表!$G:$G,累计考核费用!$B91,考核调整事项表!$F:$F,累计考核费用!P$55)</f>
        <v>0</v>
      </c>
      <c r="Q91" s="157">
        <f>SUMIFS(考核调整事项表!$C:$C,考核调整事项表!$G:$G,累计考核费用!$B91,考核调整事项表!$D:$D,累计考核费用!Q$55)+SUMIFS(考核调整事项表!$E:$E,考核调整事项表!$G:$G,累计考核费用!$B91,考核调整事项表!$F:$F,累计考核费用!Q$55)</f>
        <v>0</v>
      </c>
      <c r="R91" s="157">
        <f>SUMIFS(考核调整事项表!$C:$C,考核调整事项表!$G:$G,累计考核费用!$B91,考核调整事项表!$D:$D,累计考核费用!R$55)+SUMIFS(考核调整事项表!$E:$E,考核调整事项表!$G:$G,累计考核费用!$B91,考核调整事项表!$F:$F,累计考核费用!R$55)</f>
        <v>0</v>
      </c>
      <c r="S91" s="157">
        <f>SUMIFS(考核调整事项表!$C:$C,考核调整事项表!$G:$G,累计考核费用!$B91,考核调整事项表!$D:$D,累计考核费用!S$55)+SUMIFS(考核调整事项表!$E:$E,考核调整事项表!$G:$G,累计考核费用!$B91,考核调整事项表!$F:$F,累计考核费用!S$55)</f>
        <v>0</v>
      </c>
      <c r="T91" s="160">
        <f t="shared" si="17"/>
        <v>0</v>
      </c>
      <c r="U91" s="157">
        <f>SUMIFS(考核调整事项表!$C:$C,考核调整事项表!$G:$G,累计考核费用!$B91,考核调整事项表!$D:$D,累计考核费用!U$55)+SUMIFS(考核调整事项表!$E:$E,考核调整事项表!$G:$G,累计考核费用!$B91,考核调整事项表!$F:$F,累计考核费用!U$55)</f>
        <v>0</v>
      </c>
      <c r="V91" s="157">
        <f>SUMIFS(考核调整事项表!$C:$C,考核调整事项表!$G:$G,累计考核费用!$B91,考核调整事项表!$D:$D,累计考核费用!V$55)+SUMIFS(考核调整事项表!$E:$E,考核调整事项表!$G:$G,累计考核费用!$B91,考核调整事项表!$F:$F,累计考核费用!V$55)</f>
        <v>0</v>
      </c>
      <c r="W91" s="157">
        <f>SUMIFS(考核调整事项表!$C:$C,考核调整事项表!$G:$G,累计考核费用!$B91,考核调整事项表!$D:$D,累计考核费用!W$55)+SUMIFS(考核调整事项表!$E:$E,考核调整事项表!$G:$G,累计考核费用!$B91,考核调整事项表!$F:$F,累计考核费用!W$55)</f>
        <v>0</v>
      </c>
      <c r="X91" s="157">
        <f>SUMIFS(考核调整事项表!$C:$C,考核调整事项表!$G:$G,累计考核费用!$B91,考核调整事项表!$D:$D,累计考核费用!X$55)+SUMIFS(考核调整事项表!$E:$E,考核调整事项表!$G:$G,累计考核费用!$B91,考核调整事项表!$F:$F,累计考核费用!X$55)</f>
        <v>0</v>
      </c>
      <c r="Y91" s="157">
        <f>SUMIFS(考核调整事项表!$C:$C,考核调整事项表!$G:$G,累计考核费用!$B91,考核调整事项表!$D:$D,累计考核费用!Y$55)+SUMIFS(考核调整事项表!$E:$E,考核调整事项表!$G:$G,累计考核费用!$B91,考核调整事项表!$F:$F,累计考核费用!Y$55)</f>
        <v>0</v>
      </c>
      <c r="Z91" s="157">
        <f>SUMIFS(考核调整事项表!$C:$C,考核调整事项表!$G:$G,累计考核费用!$B91,考核调整事项表!$D:$D,累计考核费用!Z$55)+SUMIFS(考核调整事项表!$E:$E,考核调整事项表!$G:$G,累计考核费用!$B91,考核调整事项表!$F:$F,累计考核费用!Z$55)</f>
        <v>0</v>
      </c>
      <c r="AA91" s="157">
        <f>SUMIFS(考核调整事项表!$C:$C,考核调整事项表!$G:$G,累计考核费用!$B91,考核调整事项表!$D:$D,累计考核费用!AA$55)+SUMIFS(考核调整事项表!$E:$E,考核调整事项表!$G:$G,累计考核费用!$B91,考核调整事项表!$F:$F,累计考核费用!AA$55)</f>
        <v>0</v>
      </c>
      <c r="AB91" s="157">
        <f>SUMIFS(考核调整事项表!$C:$C,考核调整事项表!$G:$G,累计考核费用!$B91,考核调整事项表!$D:$D,累计考核费用!AB$55)+SUMIFS(考核调整事项表!$E:$E,考核调整事项表!$G:$G,累计考核费用!$B91,考核调整事项表!$F:$F,累计考核费用!AB$55)</f>
        <v>0</v>
      </c>
      <c r="AC91" s="157">
        <f>SUMIFS(考核调整事项表!$C:$C,考核调整事项表!$G:$G,累计考核费用!$B91,考核调整事项表!$D:$D,累计考核费用!AC$55)+SUMIFS(考核调整事项表!$E:$E,考核调整事项表!$G:$G,累计考核费用!$B91,考核调整事项表!$F:$F,累计考核费用!AC$55)</f>
        <v>0</v>
      </c>
    </row>
    <row r="92" spans="1:29">
      <c r="A92" s="274"/>
      <c r="B92" s="47" t="s">
        <v>126</v>
      </c>
      <c r="C92" s="9">
        <f t="shared" si="18"/>
        <v>0</v>
      </c>
      <c r="D92" s="157">
        <f>SUMIFS(考核调整事项表!$C:$C,考核调整事项表!$G:$G,累计考核费用!$B92,考核调整事项表!$D:$D,累计考核费用!D$55)+SUMIFS(考核调整事项表!$E:$E,考核调整事项表!$G:$G,累计考核费用!$B92,考核调整事项表!$F:$F,累计考核费用!D$55)</f>
        <v>0</v>
      </c>
      <c r="E92" s="157">
        <f>SUMIFS(考核调整事项表!$C:$C,考核调整事项表!$G:$G,累计考核费用!$B92,考核调整事项表!$D:$D,累计考核费用!E$55)+SUMIFS(考核调整事项表!$E:$E,考核调整事项表!$G:$G,累计考核费用!$B92,考核调整事项表!$F:$F,累计考核费用!E$55)</f>
        <v>0</v>
      </c>
      <c r="F92" s="157">
        <f>SUMIFS(考核调整事项表!$C:$C,考核调整事项表!$G:$G,累计考核费用!$B92,考核调整事项表!$D:$D,累计考核费用!F$55)+SUMIFS(考核调整事项表!$E:$E,考核调整事项表!$G:$G,累计考核费用!$B92,考核调整事项表!$F:$F,累计考核费用!F$55)</f>
        <v>0</v>
      </c>
      <c r="G92" s="157">
        <f t="shared" si="3"/>
        <v>0</v>
      </c>
      <c r="H92" s="157">
        <f>SUMIFS(考核调整事项表!$C:$C,考核调整事项表!$G:$G,累计考核费用!$B92,考核调整事项表!$D:$D,累计考核费用!H$55)+SUMIFS(考核调整事项表!$E:$E,考核调整事项表!$G:$G,累计考核费用!$B92,考核调整事项表!$F:$F,累计考核费用!H$55)</f>
        <v>0</v>
      </c>
      <c r="I92" s="157">
        <f>SUMIFS(考核调整事项表!$C:$C,考核调整事项表!$G:$G,累计考核费用!$B92,考核调整事项表!$D:$D,累计考核费用!I$55)+SUMIFS(考核调整事项表!$E:$E,考核调整事项表!$G:$G,累计考核费用!$B92,考核调整事项表!$F:$F,累计考核费用!I$55)</f>
        <v>0</v>
      </c>
      <c r="J92" s="157">
        <f>SUMIFS(考核调整事项表!$C:$C,考核调整事项表!$G:$G,累计考核费用!$B92,考核调整事项表!$D:$D,累计考核费用!J$55)+SUMIFS(考核调整事项表!$E:$E,考核调整事项表!$G:$G,累计考核费用!$B92,考核调整事项表!$F:$F,累计考核费用!J$55)</f>
        <v>0</v>
      </c>
      <c r="K92" s="157">
        <f>SUMIFS(考核调整事项表!$C:$C,考核调整事项表!$G:$G,累计考核费用!$B92,考核调整事项表!$D:$D,累计考核费用!K$55)+SUMIFS(考核调整事项表!$E:$E,考核调整事项表!$G:$G,累计考核费用!$B92,考核调整事项表!$F:$F,累计考核费用!K$55)</f>
        <v>0</v>
      </c>
      <c r="L92" s="157">
        <f t="shared" si="4"/>
        <v>0</v>
      </c>
      <c r="M92" s="157">
        <f>SUMIFS(考核调整事项表!$C:$C,考核调整事项表!$G:$G,累计考核费用!$B92,考核调整事项表!$D:$D,累计考核费用!M$55)+SUMIFS(考核调整事项表!$E:$E,考核调整事项表!$G:$G,累计考核费用!$B92,考核调整事项表!$F:$F,累计考核费用!M$55)</f>
        <v>0</v>
      </c>
      <c r="N92" s="157">
        <f>SUMIFS(考核调整事项表!$C:$C,考核调整事项表!$G:$G,累计考核费用!$B92,考核调整事项表!$D:$D,累计考核费用!N$55)+SUMIFS(考核调整事项表!$E:$E,考核调整事项表!$G:$G,累计考核费用!$B92,考核调整事项表!$F:$F,累计考核费用!N$55)</f>
        <v>0</v>
      </c>
      <c r="O92" s="157">
        <f>SUMIFS(考核调整事项表!$C:$C,考核调整事项表!$G:$G,累计考核费用!$B92,考核调整事项表!$D:$D,累计考核费用!O$55)+SUMIFS(考核调整事项表!$E:$E,考核调整事项表!$G:$G,累计考核费用!$B92,考核调整事项表!$F:$F,累计考核费用!O$55)</f>
        <v>0</v>
      </c>
      <c r="P92" s="157">
        <f>SUMIFS(考核调整事项表!$C:$C,考核调整事项表!$G:$G,累计考核费用!$B92,考核调整事项表!$D:$D,累计考核费用!P$55)+SUMIFS(考核调整事项表!$E:$E,考核调整事项表!$G:$G,累计考核费用!$B92,考核调整事项表!$F:$F,累计考核费用!P$55)</f>
        <v>0</v>
      </c>
      <c r="Q92" s="157">
        <f>SUMIFS(考核调整事项表!$C:$C,考核调整事项表!$G:$G,累计考核费用!$B92,考核调整事项表!$D:$D,累计考核费用!Q$55)+SUMIFS(考核调整事项表!$E:$E,考核调整事项表!$G:$G,累计考核费用!$B92,考核调整事项表!$F:$F,累计考核费用!Q$55)</f>
        <v>0</v>
      </c>
      <c r="R92" s="157">
        <f>SUMIFS(考核调整事项表!$C:$C,考核调整事项表!$G:$G,累计考核费用!$B92,考核调整事项表!$D:$D,累计考核费用!R$55)+SUMIFS(考核调整事项表!$E:$E,考核调整事项表!$G:$G,累计考核费用!$B92,考核调整事项表!$F:$F,累计考核费用!R$55)</f>
        <v>0</v>
      </c>
      <c r="S92" s="157">
        <f>SUMIFS(考核调整事项表!$C:$C,考核调整事项表!$G:$G,累计考核费用!$B92,考核调整事项表!$D:$D,累计考核费用!S$55)+SUMIFS(考核调整事项表!$E:$E,考核调整事项表!$G:$G,累计考核费用!$B92,考核调整事项表!$F:$F,累计考核费用!S$55)</f>
        <v>0</v>
      </c>
      <c r="T92" s="160">
        <f t="shared" si="17"/>
        <v>0</v>
      </c>
      <c r="U92" s="157">
        <f>SUMIFS(考核调整事项表!$C:$C,考核调整事项表!$G:$G,累计考核费用!$B92,考核调整事项表!$D:$D,累计考核费用!U$55)+SUMIFS(考核调整事项表!$E:$E,考核调整事项表!$G:$G,累计考核费用!$B92,考核调整事项表!$F:$F,累计考核费用!U$55)</f>
        <v>0</v>
      </c>
      <c r="V92" s="157">
        <f>SUMIFS(考核调整事项表!$C:$C,考核调整事项表!$G:$G,累计考核费用!$B92,考核调整事项表!$D:$D,累计考核费用!V$55)+SUMIFS(考核调整事项表!$E:$E,考核调整事项表!$G:$G,累计考核费用!$B92,考核调整事项表!$F:$F,累计考核费用!V$55)</f>
        <v>0</v>
      </c>
      <c r="W92" s="157">
        <f>SUMIFS(考核调整事项表!$C:$C,考核调整事项表!$G:$G,累计考核费用!$B92,考核调整事项表!$D:$D,累计考核费用!W$55)+SUMIFS(考核调整事项表!$E:$E,考核调整事项表!$G:$G,累计考核费用!$B92,考核调整事项表!$F:$F,累计考核费用!W$55)</f>
        <v>0</v>
      </c>
      <c r="X92" s="157">
        <f>SUMIFS(考核调整事项表!$C:$C,考核调整事项表!$G:$G,累计考核费用!$B92,考核调整事项表!$D:$D,累计考核费用!X$55)+SUMIFS(考核调整事项表!$E:$E,考核调整事项表!$G:$G,累计考核费用!$B92,考核调整事项表!$F:$F,累计考核费用!X$55)</f>
        <v>0</v>
      </c>
      <c r="Y92" s="157">
        <f>SUMIFS(考核调整事项表!$C:$C,考核调整事项表!$G:$G,累计考核费用!$B92,考核调整事项表!$D:$D,累计考核费用!Y$55)+SUMIFS(考核调整事项表!$E:$E,考核调整事项表!$G:$G,累计考核费用!$B92,考核调整事项表!$F:$F,累计考核费用!Y$55)</f>
        <v>0</v>
      </c>
      <c r="Z92" s="157">
        <f>SUMIFS(考核调整事项表!$C:$C,考核调整事项表!$G:$G,累计考核费用!$B92,考核调整事项表!$D:$D,累计考核费用!Z$55)+SUMIFS(考核调整事项表!$E:$E,考核调整事项表!$G:$G,累计考核费用!$B92,考核调整事项表!$F:$F,累计考核费用!Z$55)</f>
        <v>0</v>
      </c>
      <c r="AA92" s="157">
        <f>SUMIFS(考核调整事项表!$C:$C,考核调整事项表!$G:$G,累计考核费用!$B92,考核调整事项表!$D:$D,累计考核费用!AA$55)+SUMIFS(考核调整事项表!$E:$E,考核调整事项表!$G:$G,累计考核费用!$B92,考核调整事项表!$F:$F,累计考核费用!AA$55)</f>
        <v>0</v>
      </c>
      <c r="AB92" s="157">
        <f>SUMIFS(考核调整事项表!$C:$C,考核调整事项表!$G:$G,累计考核费用!$B92,考核调整事项表!$D:$D,累计考核费用!AB$55)+SUMIFS(考核调整事项表!$E:$E,考核调整事项表!$G:$G,累计考核费用!$B92,考核调整事项表!$F:$F,累计考核费用!AB$55)</f>
        <v>0</v>
      </c>
      <c r="AC92" s="157">
        <f>SUMIFS(考核调整事项表!$C:$C,考核调整事项表!$G:$G,累计考核费用!$B92,考核调整事项表!$D:$D,累计考核费用!AC$55)+SUMIFS(考核调整事项表!$E:$E,考核调整事项表!$G:$G,累计考核费用!$B92,考核调整事项表!$F:$F,累计考核费用!AC$55)</f>
        <v>0</v>
      </c>
    </row>
    <row r="93" spans="1:29">
      <c r="A93" s="274"/>
      <c r="B93" s="47" t="s">
        <v>127</v>
      </c>
      <c r="C93" s="9">
        <f t="shared" si="18"/>
        <v>0</v>
      </c>
      <c r="D93" s="157">
        <f>SUMIFS(考核调整事项表!$C:$C,考核调整事项表!$G:$G,累计考核费用!$B93,考核调整事项表!$D:$D,累计考核费用!D$55)+SUMIFS(考核调整事项表!$E:$E,考核调整事项表!$G:$G,累计考核费用!$B93,考核调整事项表!$F:$F,累计考核费用!D$55)</f>
        <v>0</v>
      </c>
      <c r="E93" s="157">
        <f>SUMIFS(考核调整事项表!$C:$C,考核调整事项表!$G:$G,累计考核费用!$B93,考核调整事项表!$D:$D,累计考核费用!E$55)+SUMIFS(考核调整事项表!$E:$E,考核调整事项表!$G:$G,累计考核费用!$B93,考核调整事项表!$F:$F,累计考核费用!E$55)</f>
        <v>0</v>
      </c>
      <c r="F93" s="157">
        <f>SUMIFS(考核调整事项表!$C:$C,考核调整事项表!$G:$G,累计考核费用!$B93,考核调整事项表!$D:$D,累计考核费用!F$55)+SUMIFS(考核调整事项表!$E:$E,考核调整事项表!$G:$G,累计考核费用!$B93,考核调整事项表!$F:$F,累计考核费用!F$55)</f>
        <v>0</v>
      </c>
      <c r="G93" s="157">
        <f t="shared" si="3"/>
        <v>0</v>
      </c>
      <c r="H93" s="157">
        <f>SUMIFS(考核调整事项表!$C:$C,考核调整事项表!$G:$G,累计考核费用!$B93,考核调整事项表!$D:$D,累计考核费用!H$55)+SUMIFS(考核调整事项表!$E:$E,考核调整事项表!$G:$G,累计考核费用!$B93,考核调整事项表!$F:$F,累计考核费用!H$55)</f>
        <v>0</v>
      </c>
      <c r="I93" s="157">
        <f>SUMIFS(考核调整事项表!$C:$C,考核调整事项表!$G:$G,累计考核费用!$B93,考核调整事项表!$D:$D,累计考核费用!I$55)+SUMIFS(考核调整事项表!$E:$E,考核调整事项表!$G:$G,累计考核费用!$B93,考核调整事项表!$F:$F,累计考核费用!I$55)</f>
        <v>0</v>
      </c>
      <c r="J93" s="157">
        <f>SUMIFS(考核调整事项表!$C:$C,考核调整事项表!$G:$G,累计考核费用!$B93,考核调整事项表!$D:$D,累计考核费用!J$55)+SUMIFS(考核调整事项表!$E:$E,考核调整事项表!$G:$G,累计考核费用!$B93,考核调整事项表!$F:$F,累计考核费用!J$55)</f>
        <v>0</v>
      </c>
      <c r="K93" s="157">
        <f>SUMIFS(考核调整事项表!$C:$C,考核调整事项表!$G:$G,累计考核费用!$B93,考核调整事项表!$D:$D,累计考核费用!K$55)+SUMIFS(考核调整事项表!$E:$E,考核调整事项表!$G:$G,累计考核费用!$B93,考核调整事项表!$F:$F,累计考核费用!K$55)</f>
        <v>0</v>
      </c>
      <c r="L93" s="157">
        <f t="shared" si="4"/>
        <v>0</v>
      </c>
      <c r="M93" s="157">
        <f>SUMIFS(考核调整事项表!$C:$C,考核调整事项表!$G:$G,累计考核费用!$B93,考核调整事项表!$D:$D,累计考核费用!M$55)+SUMIFS(考核调整事项表!$E:$E,考核调整事项表!$G:$G,累计考核费用!$B93,考核调整事项表!$F:$F,累计考核费用!M$55)</f>
        <v>0</v>
      </c>
      <c r="N93" s="157">
        <f>SUMIFS(考核调整事项表!$C:$C,考核调整事项表!$G:$G,累计考核费用!$B93,考核调整事项表!$D:$D,累计考核费用!N$55)+SUMIFS(考核调整事项表!$E:$E,考核调整事项表!$G:$G,累计考核费用!$B93,考核调整事项表!$F:$F,累计考核费用!N$55)</f>
        <v>0</v>
      </c>
      <c r="O93" s="157">
        <f>SUMIFS(考核调整事项表!$C:$C,考核调整事项表!$G:$G,累计考核费用!$B93,考核调整事项表!$D:$D,累计考核费用!O$55)+SUMIFS(考核调整事项表!$E:$E,考核调整事项表!$G:$G,累计考核费用!$B93,考核调整事项表!$F:$F,累计考核费用!O$55)</f>
        <v>0</v>
      </c>
      <c r="P93" s="157">
        <f>SUMIFS(考核调整事项表!$C:$C,考核调整事项表!$G:$G,累计考核费用!$B93,考核调整事项表!$D:$D,累计考核费用!P$55)+SUMIFS(考核调整事项表!$E:$E,考核调整事项表!$G:$G,累计考核费用!$B93,考核调整事项表!$F:$F,累计考核费用!P$55)</f>
        <v>0</v>
      </c>
      <c r="Q93" s="157">
        <f>SUMIFS(考核调整事项表!$C:$C,考核调整事项表!$G:$G,累计考核费用!$B93,考核调整事项表!$D:$D,累计考核费用!Q$55)+SUMIFS(考核调整事项表!$E:$E,考核调整事项表!$G:$G,累计考核费用!$B93,考核调整事项表!$F:$F,累计考核费用!Q$55)</f>
        <v>0</v>
      </c>
      <c r="R93" s="157">
        <f>SUMIFS(考核调整事项表!$C:$C,考核调整事项表!$G:$G,累计考核费用!$B93,考核调整事项表!$D:$D,累计考核费用!R$55)+SUMIFS(考核调整事项表!$E:$E,考核调整事项表!$G:$G,累计考核费用!$B93,考核调整事项表!$F:$F,累计考核费用!R$55)</f>
        <v>0</v>
      </c>
      <c r="S93" s="157">
        <f>SUMIFS(考核调整事项表!$C:$C,考核调整事项表!$G:$G,累计考核费用!$B93,考核调整事项表!$D:$D,累计考核费用!S$55)+SUMIFS(考核调整事项表!$E:$E,考核调整事项表!$G:$G,累计考核费用!$B93,考核调整事项表!$F:$F,累计考核费用!S$55)</f>
        <v>0</v>
      </c>
      <c r="T93" s="160">
        <f t="shared" si="17"/>
        <v>0</v>
      </c>
      <c r="U93" s="157">
        <f>SUMIFS(考核调整事项表!$C:$C,考核调整事项表!$G:$G,累计考核费用!$B93,考核调整事项表!$D:$D,累计考核费用!U$55)+SUMIFS(考核调整事项表!$E:$E,考核调整事项表!$G:$G,累计考核费用!$B93,考核调整事项表!$F:$F,累计考核费用!U$55)</f>
        <v>0</v>
      </c>
      <c r="V93" s="157">
        <f>SUMIFS(考核调整事项表!$C:$C,考核调整事项表!$G:$G,累计考核费用!$B93,考核调整事项表!$D:$D,累计考核费用!V$55)+SUMIFS(考核调整事项表!$E:$E,考核调整事项表!$G:$G,累计考核费用!$B93,考核调整事项表!$F:$F,累计考核费用!V$55)</f>
        <v>0</v>
      </c>
      <c r="W93" s="157">
        <f>SUMIFS(考核调整事项表!$C:$C,考核调整事项表!$G:$G,累计考核费用!$B93,考核调整事项表!$D:$D,累计考核费用!W$55)+SUMIFS(考核调整事项表!$E:$E,考核调整事项表!$G:$G,累计考核费用!$B93,考核调整事项表!$F:$F,累计考核费用!W$55)</f>
        <v>0</v>
      </c>
      <c r="X93" s="157">
        <f>SUMIFS(考核调整事项表!$C:$C,考核调整事项表!$G:$G,累计考核费用!$B93,考核调整事项表!$D:$D,累计考核费用!X$55)+SUMIFS(考核调整事项表!$E:$E,考核调整事项表!$G:$G,累计考核费用!$B93,考核调整事项表!$F:$F,累计考核费用!X$55)</f>
        <v>0</v>
      </c>
      <c r="Y93" s="157">
        <f>SUMIFS(考核调整事项表!$C:$C,考核调整事项表!$G:$G,累计考核费用!$B93,考核调整事项表!$D:$D,累计考核费用!Y$55)+SUMIFS(考核调整事项表!$E:$E,考核调整事项表!$G:$G,累计考核费用!$B93,考核调整事项表!$F:$F,累计考核费用!Y$55)</f>
        <v>0</v>
      </c>
      <c r="Z93" s="157">
        <f>SUMIFS(考核调整事项表!$C:$C,考核调整事项表!$G:$G,累计考核费用!$B93,考核调整事项表!$D:$D,累计考核费用!Z$55)+SUMIFS(考核调整事项表!$E:$E,考核调整事项表!$G:$G,累计考核费用!$B93,考核调整事项表!$F:$F,累计考核费用!Z$55)</f>
        <v>0</v>
      </c>
      <c r="AA93" s="157">
        <f>SUMIFS(考核调整事项表!$C:$C,考核调整事项表!$G:$G,累计考核费用!$B93,考核调整事项表!$D:$D,累计考核费用!AA$55)+SUMIFS(考核调整事项表!$E:$E,考核调整事项表!$G:$G,累计考核费用!$B93,考核调整事项表!$F:$F,累计考核费用!AA$55)</f>
        <v>0</v>
      </c>
      <c r="AB93" s="157">
        <f>SUMIFS(考核调整事项表!$C:$C,考核调整事项表!$G:$G,累计考核费用!$B93,考核调整事项表!$D:$D,累计考核费用!AB$55)+SUMIFS(考核调整事项表!$E:$E,考核调整事项表!$G:$G,累计考核费用!$B93,考核调整事项表!$F:$F,累计考核费用!AB$55)</f>
        <v>0</v>
      </c>
      <c r="AC93" s="157">
        <f>SUMIFS(考核调整事项表!$C:$C,考核调整事项表!$G:$G,累计考核费用!$B93,考核调整事项表!$D:$D,累计考核费用!AC$55)+SUMIFS(考核调整事项表!$E:$E,考核调整事项表!$G:$G,累计考核费用!$B93,考核调整事项表!$F:$F,累计考核费用!AC$55)</f>
        <v>0</v>
      </c>
    </row>
    <row r="94" spans="1:29">
      <c r="A94" s="274"/>
      <c r="B94" s="47" t="s">
        <v>128</v>
      </c>
      <c r="C94" s="9">
        <f t="shared" si="18"/>
        <v>0</v>
      </c>
      <c r="D94" s="157">
        <f>SUMIFS(考核调整事项表!$C:$C,考核调整事项表!$G:$G,累计考核费用!$B94,考核调整事项表!$D:$D,累计考核费用!D$55)+SUMIFS(考核调整事项表!$E:$E,考核调整事项表!$G:$G,累计考核费用!$B94,考核调整事项表!$F:$F,累计考核费用!D$55)</f>
        <v>0</v>
      </c>
      <c r="E94" s="157">
        <f>SUMIFS(考核调整事项表!$C:$C,考核调整事项表!$G:$G,累计考核费用!$B94,考核调整事项表!$D:$D,累计考核费用!E$55)+SUMIFS(考核调整事项表!$E:$E,考核调整事项表!$G:$G,累计考核费用!$B94,考核调整事项表!$F:$F,累计考核费用!E$55)</f>
        <v>0</v>
      </c>
      <c r="F94" s="157">
        <f>SUMIFS(考核调整事项表!$C:$C,考核调整事项表!$G:$G,累计考核费用!$B94,考核调整事项表!$D:$D,累计考核费用!F$55)+SUMIFS(考核调整事项表!$E:$E,考核调整事项表!$G:$G,累计考核费用!$B94,考核调整事项表!$F:$F,累计考核费用!F$55)</f>
        <v>0</v>
      </c>
      <c r="G94" s="157">
        <f t="shared" si="3"/>
        <v>0</v>
      </c>
      <c r="H94" s="157">
        <f>SUMIFS(考核调整事项表!$C:$C,考核调整事项表!$G:$G,累计考核费用!$B94,考核调整事项表!$D:$D,累计考核费用!H$55)+SUMIFS(考核调整事项表!$E:$E,考核调整事项表!$G:$G,累计考核费用!$B94,考核调整事项表!$F:$F,累计考核费用!H$55)</f>
        <v>0</v>
      </c>
      <c r="I94" s="157">
        <f>SUMIFS(考核调整事项表!$C:$C,考核调整事项表!$G:$G,累计考核费用!$B94,考核调整事项表!$D:$D,累计考核费用!I$55)+SUMIFS(考核调整事项表!$E:$E,考核调整事项表!$G:$G,累计考核费用!$B94,考核调整事项表!$F:$F,累计考核费用!I$55)</f>
        <v>0</v>
      </c>
      <c r="J94" s="157">
        <f>SUMIFS(考核调整事项表!$C:$C,考核调整事项表!$G:$G,累计考核费用!$B94,考核调整事项表!$D:$D,累计考核费用!J$55)+SUMIFS(考核调整事项表!$E:$E,考核调整事项表!$G:$G,累计考核费用!$B94,考核调整事项表!$F:$F,累计考核费用!J$55)</f>
        <v>0</v>
      </c>
      <c r="K94" s="157">
        <f>SUMIFS(考核调整事项表!$C:$C,考核调整事项表!$G:$G,累计考核费用!$B94,考核调整事项表!$D:$D,累计考核费用!K$55)+SUMIFS(考核调整事项表!$E:$E,考核调整事项表!$G:$G,累计考核费用!$B94,考核调整事项表!$F:$F,累计考核费用!K$55)</f>
        <v>0</v>
      </c>
      <c r="L94" s="157">
        <f t="shared" si="4"/>
        <v>0</v>
      </c>
      <c r="M94" s="157">
        <f>SUMIFS(考核调整事项表!$C:$C,考核调整事项表!$G:$G,累计考核费用!$B94,考核调整事项表!$D:$D,累计考核费用!M$55)+SUMIFS(考核调整事项表!$E:$E,考核调整事项表!$G:$G,累计考核费用!$B94,考核调整事项表!$F:$F,累计考核费用!M$55)</f>
        <v>0</v>
      </c>
      <c r="N94" s="157">
        <f>SUMIFS(考核调整事项表!$C:$C,考核调整事项表!$G:$G,累计考核费用!$B94,考核调整事项表!$D:$D,累计考核费用!N$55)+SUMIFS(考核调整事项表!$E:$E,考核调整事项表!$G:$G,累计考核费用!$B94,考核调整事项表!$F:$F,累计考核费用!N$55)</f>
        <v>0</v>
      </c>
      <c r="O94" s="157">
        <f>SUMIFS(考核调整事项表!$C:$C,考核调整事项表!$G:$G,累计考核费用!$B94,考核调整事项表!$D:$D,累计考核费用!O$55)+SUMIFS(考核调整事项表!$E:$E,考核调整事项表!$G:$G,累计考核费用!$B94,考核调整事项表!$F:$F,累计考核费用!O$55)</f>
        <v>0</v>
      </c>
      <c r="P94" s="157">
        <f>SUMIFS(考核调整事项表!$C:$C,考核调整事项表!$G:$G,累计考核费用!$B94,考核调整事项表!$D:$D,累计考核费用!P$55)+SUMIFS(考核调整事项表!$E:$E,考核调整事项表!$G:$G,累计考核费用!$B94,考核调整事项表!$F:$F,累计考核费用!P$55)</f>
        <v>0</v>
      </c>
      <c r="Q94" s="157">
        <f>SUMIFS(考核调整事项表!$C:$C,考核调整事项表!$G:$G,累计考核费用!$B94,考核调整事项表!$D:$D,累计考核费用!Q$55)+SUMIFS(考核调整事项表!$E:$E,考核调整事项表!$G:$G,累计考核费用!$B94,考核调整事项表!$F:$F,累计考核费用!Q$55)</f>
        <v>0</v>
      </c>
      <c r="R94" s="157">
        <f>SUMIFS(考核调整事项表!$C:$C,考核调整事项表!$G:$G,累计考核费用!$B94,考核调整事项表!$D:$D,累计考核费用!R$55)+SUMIFS(考核调整事项表!$E:$E,考核调整事项表!$G:$G,累计考核费用!$B94,考核调整事项表!$F:$F,累计考核费用!R$55)</f>
        <v>0</v>
      </c>
      <c r="S94" s="157">
        <f>SUMIFS(考核调整事项表!$C:$C,考核调整事项表!$G:$G,累计考核费用!$B94,考核调整事项表!$D:$D,累计考核费用!S$55)+SUMIFS(考核调整事项表!$E:$E,考核调整事项表!$G:$G,累计考核费用!$B94,考核调整事项表!$F:$F,累计考核费用!S$55)</f>
        <v>0</v>
      </c>
      <c r="T94" s="160">
        <f t="shared" si="17"/>
        <v>0</v>
      </c>
      <c r="U94" s="157">
        <f>SUMIFS(考核调整事项表!$C:$C,考核调整事项表!$G:$G,累计考核费用!$B94,考核调整事项表!$D:$D,累计考核费用!U$55)+SUMIFS(考核调整事项表!$E:$E,考核调整事项表!$G:$G,累计考核费用!$B94,考核调整事项表!$F:$F,累计考核费用!U$55)</f>
        <v>0</v>
      </c>
      <c r="V94" s="157">
        <f>SUMIFS(考核调整事项表!$C:$C,考核调整事项表!$G:$G,累计考核费用!$B94,考核调整事项表!$D:$D,累计考核费用!V$55)+SUMIFS(考核调整事项表!$E:$E,考核调整事项表!$G:$G,累计考核费用!$B94,考核调整事项表!$F:$F,累计考核费用!V$55)</f>
        <v>0</v>
      </c>
      <c r="W94" s="157">
        <f>SUMIFS(考核调整事项表!$C:$C,考核调整事项表!$G:$G,累计考核费用!$B94,考核调整事项表!$D:$D,累计考核费用!W$55)+SUMIFS(考核调整事项表!$E:$E,考核调整事项表!$G:$G,累计考核费用!$B94,考核调整事项表!$F:$F,累计考核费用!W$55)</f>
        <v>0</v>
      </c>
      <c r="X94" s="157">
        <f>SUMIFS(考核调整事项表!$C:$C,考核调整事项表!$G:$G,累计考核费用!$B94,考核调整事项表!$D:$D,累计考核费用!X$55)+SUMIFS(考核调整事项表!$E:$E,考核调整事项表!$G:$G,累计考核费用!$B94,考核调整事项表!$F:$F,累计考核费用!X$55)</f>
        <v>0</v>
      </c>
      <c r="Y94" s="157">
        <f>SUMIFS(考核调整事项表!$C:$C,考核调整事项表!$G:$G,累计考核费用!$B94,考核调整事项表!$D:$D,累计考核费用!Y$55)+SUMIFS(考核调整事项表!$E:$E,考核调整事项表!$G:$G,累计考核费用!$B94,考核调整事项表!$F:$F,累计考核费用!Y$55)</f>
        <v>0</v>
      </c>
      <c r="Z94" s="157">
        <f>SUMIFS(考核调整事项表!$C:$C,考核调整事项表!$G:$G,累计考核费用!$B94,考核调整事项表!$D:$D,累计考核费用!Z$55)+SUMIFS(考核调整事项表!$E:$E,考核调整事项表!$G:$G,累计考核费用!$B94,考核调整事项表!$F:$F,累计考核费用!Z$55)</f>
        <v>0</v>
      </c>
      <c r="AA94" s="157">
        <f>SUMIFS(考核调整事项表!$C:$C,考核调整事项表!$G:$G,累计考核费用!$B94,考核调整事项表!$D:$D,累计考核费用!AA$55)+SUMIFS(考核调整事项表!$E:$E,考核调整事项表!$G:$G,累计考核费用!$B94,考核调整事项表!$F:$F,累计考核费用!AA$55)</f>
        <v>0</v>
      </c>
      <c r="AB94" s="157">
        <f>SUMIFS(考核调整事项表!$C:$C,考核调整事项表!$G:$G,累计考核费用!$B94,考核调整事项表!$D:$D,累计考核费用!AB$55)+SUMIFS(考核调整事项表!$E:$E,考核调整事项表!$G:$G,累计考核费用!$B94,考核调整事项表!$F:$F,累计考核费用!AB$55)</f>
        <v>0</v>
      </c>
      <c r="AC94" s="157">
        <f>SUMIFS(考核调整事项表!$C:$C,考核调整事项表!$G:$G,累计考核费用!$B94,考核调整事项表!$D:$D,累计考核费用!AC$55)+SUMIFS(考核调整事项表!$E:$E,考核调整事项表!$G:$G,累计考核费用!$B94,考核调整事项表!$F:$F,累计考核费用!AC$55)</f>
        <v>0</v>
      </c>
    </row>
    <row r="95" spans="1:29">
      <c r="A95" s="274"/>
      <c r="B95" s="47" t="s">
        <v>129</v>
      </c>
      <c r="C95" s="9">
        <f t="shared" si="18"/>
        <v>0</v>
      </c>
      <c r="D95" s="157">
        <f>SUMIFS(考核调整事项表!$C:$C,考核调整事项表!$G:$G,累计考核费用!$B95,考核调整事项表!$D:$D,累计考核费用!D$55)+SUMIFS(考核调整事项表!$E:$E,考核调整事项表!$G:$G,累计考核费用!$B95,考核调整事项表!$F:$F,累计考核费用!D$55)</f>
        <v>0</v>
      </c>
      <c r="E95" s="157">
        <f>SUMIFS(考核调整事项表!$C:$C,考核调整事项表!$G:$G,累计考核费用!$B95,考核调整事项表!$D:$D,累计考核费用!E$55)+SUMIFS(考核调整事项表!$E:$E,考核调整事项表!$G:$G,累计考核费用!$B95,考核调整事项表!$F:$F,累计考核费用!E$55)</f>
        <v>0</v>
      </c>
      <c r="F95" s="157">
        <f>SUMIFS(考核调整事项表!$C:$C,考核调整事项表!$G:$G,累计考核费用!$B95,考核调整事项表!$D:$D,累计考核费用!F$55)+SUMIFS(考核调整事项表!$E:$E,考核调整事项表!$G:$G,累计考核费用!$B95,考核调整事项表!$F:$F,累计考核费用!F$55)</f>
        <v>0</v>
      </c>
      <c r="G95" s="157">
        <f t="shared" si="3"/>
        <v>0</v>
      </c>
      <c r="H95" s="157">
        <f>SUMIFS(考核调整事项表!$C:$C,考核调整事项表!$G:$G,累计考核费用!$B95,考核调整事项表!$D:$D,累计考核费用!H$55)+SUMIFS(考核调整事项表!$E:$E,考核调整事项表!$G:$G,累计考核费用!$B95,考核调整事项表!$F:$F,累计考核费用!H$55)</f>
        <v>0</v>
      </c>
      <c r="I95" s="157">
        <f>SUMIFS(考核调整事项表!$C:$C,考核调整事项表!$G:$G,累计考核费用!$B95,考核调整事项表!$D:$D,累计考核费用!I$55)+SUMIFS(考核调整事项表!$E:$E,考核调整事项表!$G:$G,累计考核费用!$B95,考核调整事项表!$F:$F,累计考核费用!I$55)</f>
        <v>0</v>
      </c>
      <c r="J95" s="157">
        <f>SUMIFS(考核调整事项表!$C:$C,考核调整事项表!$G:$G,累计考核费用!$B95,考核调整事项表!$D:$D,累计考核费用!J$55)+SUMIFS(考核调整事项表!$E:$E,考核调整事项表!$G:$G,累计考核费用!$B95,考核调整事项表!$F:$F,累计考核费用!J$55)</f>
        <v>0</v>
      </c>
      <c r="K95" s="157">
        <f>SUMIFS(考核调整事项表!$C:$C,考核调整事项表!$G:$G,累计考核费用!$B95,考核调整事项表!$D:$D,累计考核费用!K$55)+SUMIFS(考核调整事项表!$E:$E,考核调整事项表!$G:$G,累计考核费用!$B95,考核调整事项表!$F:$F,累计考核费用!K$55)</f>
        <v>0</v>
      </c>
      <c r="L95" s="157">
        <f t="shared" si="4"/>
        <v>0</v>
      </c>
      <c r="M95" s="157">
        <f>SUMIFS(考核调整事项表!$C:$C,考核调整事项表!$G:$G,累计考核费用!$B95,考核调整事项表!$D:$D,累计考核费用!M$55)+SUMIFS(考核调整事项表!$E:$E,考核调整事项表!$G:$G,累计考核费用!$B95,考核调整事项表!$F:$F,累计考核费用!M$55)</f>
        <v>0</v>
      </c>
      <c r="N95" s="157">
        <f>SUMIFS(考核调整事项表!$C:$C,考核调整事项表!$G:$G,累计考核费用!$B95,考核调整事项表!$D:$D,累计考核费用!N$55)+SUMIFS(考核调整事项表!$E:$E,考核调整事项表!$G:$G,累计考核费用!$B95,考核调整事项表!$F:$F,累计考核费用!N$55)</f>
        <v>0</v>
      </c>
      <c r="O95" s="157">
        <f>SUMIFS(考核调整事项表!$C:$C,考核调整事项表!$G:$G,累计考核费用!$B95,考核调整事项表!$D:$D,累计考核费用!O$55)+SUMIFS(考核调整事项表!$E:$E,考核调整事项表!$G:$G,累计考核费用!$B95,考核调整事项表!$F:$F,累计考核费用!O$55)</f>
        <v>0</v>
      </c>
      <c r="P95" s="157">
        <f>SUMIFS(考核调整事项表!$C:$C,考核调整事项表!$G:$G,累计考核费用!$B95,考核调整事项表!$D:$D,累计考核费用!P$55)+SUMIFS(考核调整事项表!$E:$E,考核调整事项表!$G:$G,累计考核费用!$B95,考核调整事项表!$F:$F,累计考核费用!P$55)</f>
        <v>0</v>
      </c>
      <c r="Q95" s="157">
        <f>SUMIFS(考核调整事项表!$C:$C,考核调整事项表!$G:$G,累计考核费用!$B95,考核调整事项表!$D:$D,累计考核费用!Q$55)+SUMIFS(考核调整事项表!$E:$E,考核调整事项表!$G:$G,累计考核费用!$B95,考核调整事项表!$F:$F,累计考核费用!Q$55)</f>
        <v>0</v>
      </c>
      <c r="R95" s="157">
        <f>SUMIFS(考核调整事项表!$C:$C,考核调整事项表!$G:$G,累计考核费用!$B95,考核调整事项表!$D:$D,累计考核费用!R$55)+SUMIFS(考核调整事项表!$E:$E,考核调整事项表!$G:$G,累计考核费用!$B95,考核调整事项表!$F:$F,累计考核费用!R$55)</f>
        <v>0</v>
      </c>
      <c r="S95" s="157">
        <f>SUMIFS(考核调整事项表!$C:$C,考核调整事项表!$G:$G,累计考核费用!$B95,考核调整事项表!$D:$D,累计考核费用!S$55)+SUMIFS(考核调整事项表!$E:$E,考核调整事项表!$G:$G,累计考核费用!$B95,考核调整事项表!$F:$F,累计考核费用!S$55)</f>
        <v>0</v>
      </c>
      <c r="T95" s="160">
        <f t="shared" si="17"/>
        <v>0</v>
      </c>
      <c r="U95" s="157">
        <f>SUMIFS(考核调整事项表!$C:$C,考核调整事项表!$G:$G,累计考核费用!$B95,考核调整事项表!$D:$D,累计考核费用!U$55)+SUMIFS(考核调整事项表!$E:$E,考核调整事项表!$G:$G,累计考核费用!$B95,考核调整事项表!$F:$F,累计考核费用!U$55)</f>
        <v>0</v>
      </c>
      <c r="V95" s="157">
        <f>SUMIFS(考核调整事项表!$C:$C,考核调整事项表!$G:$G,累计考核费用!$B95,考核调整事项表!$D:$D,累计考核费用!V$55)+SUMIFS(考核调整事项表!$E:$E,考核调整事项表!$G:$G,累计考核费用!$B95,考核调整事项表!$F:$F,累计考核费用!V$55)</f>
        <v>0</v>
      </c>
      <c r="W95" s="157">
        <f>SUMIFS(考核调整事项表!$C:$C,考核调整事项表!$G:$G,累计考核费用!$B95,考核调整事项表!$D:$D,累计考核费用!W$55)+SUMIFS(考核调整事项表!$E:$E,考核调整事项表!$G:$G,累计考核费用!$B95,考核调整事项表!$F:$F,累计考核费用!W$55)</f>
        <v>0</v>
      </c>
      <c r="X95" s="157">
        <f>SUMIFS(考核调整事项表!$C:$C,考核调整事项表!$G:$G,累计考核费用!$B95,考核调整事项表!$D:$D,累计考核费用!X$55)+SUMIFS(考核调整事项表!$E:$E,考核调整事项表!$G:$G,累计考核费用!$B95,考核调整事项表!$F:$F,累计考核费用!X$55)</f>
        <v>0</v>
      </c>
      <c r="Y95" s="157">
        <f>SUMIFS(考核调整事项表!$C:$C,考核调整事项表!$G:$G,累计考核费用!$B95,考核调整事项表!$D:$D,累计考核费用!Y$55)+SUMIFS(考核调整事项表!$E:$E,考核调整事项表!$G:$G,累计考核费用!$B95,考核调整事项表!$F:$F,累计考核费用!Y$55)</f>
        <v>0</v>
      </c>
      <c r="Z95" s="157">
        <f>SUMIFS(考核调整事项表!$C:$C,考核调整事项表!$G:$G,累计考核费用!$B95,考核调整事项表!$D:$D,累计考核费用!Z$55)+SUMIFS(考核调整事项表!$E:$E,考核调整事项表!$G:$G,累计考核费用!$B95,考核调整事项表!$F:$F,累计考核费用!Z$55)</f>
        <v>0</v>
      </c>
      <c r="AA95" s="157">
        <f>SUMIFS(考核调整事项表!$C:$C,考核调整事项表!$G:$G,累计考核费用!$B95,考核调整事项表!$D:$D,累计考核费用!AA$55)+SUMIFS(考核调整事项表!$E:$E,考核调整事项表!$G:$G,累计考核费用!$B95,考核调整事项表!$F:$F,累计考核费用!AA$55)</f>
        <v>0</v>
      </c>
      <c r="AB95" s="157">
        <f>SUMIFS(考核调整事项表!$C:$C,考核调整事项表!$G:$G,累计考核费用!$B95,考核调整事项表!$D:$D,累计考核费用!AB$55)+SUMIFS(考核调整事项表!$E:$E,考核调整事项表!$G:$G,累计考核费用!$B95,考核调整事项表!$F:$F,累计考核费用!AB$55)</f>
        <v>0</v>
      </c>
      <c r="AC95" s="157">
        <f>SUMIFS(考核调整事项表!$C:$C,考核调整事项表!$G:$G,累计考核费用!$B95,考核调整事项表!$D:$D,累计考核费用!AC$55)+SUMIFS(考核调整事项表!$E:$E,考核调整事项表!$G:$G,累计考核费用!$B95,考核调整事项表!$F:$F,累计考核费用!AC$55)</f>
        <v>0</v>
      </c>
    </row>
    <row r="96" spans="1:29" ht="13.5" customHeight="1">
      <c r="A96" s="274"/>
      <c r="B96" s="47" t="s">
        <v>130</v>
      </c>
      <c r="C96" s="9">
        <f t="shared" si="18"/>
        <v>0</v>
      </c>
      <c r="D96" s="157">
        <f>SUMIFS(考核调整事项表!$C:$C,考核调整事项表!$G:$G,累计考核费用!$B96,考核调整事项表!$D:$D,累计考核费用!D$55)+SUMIFS(考核调整事项表!$E:$E,考核调整事项表!$G:$G,累计考核费用!$B96,考核调整事项表!$F:$F,累计考核费用!D$55)</f>
        <v>0</v>
      </c>
      <c r="E96" s="157">
        <f>SUMIFS(考核调整事项表!$C:$C,考核调整事项表!$G:$G,累计考核费用!$B96,考核调整事项表!$D:$D,累计考核费用!E$55)+SUMIFS(考核调整事项表!$E:$E,考核调整事项表!$G:$G,累计考核费用!$B96,考核调整事项表!$F:$F,累计考核费用!E$55)</f>
        <v>0</v>
      </c>
      <c r="F96" s="157">
        <f>SUMIFS(考核调整事项表!$C:$C,考核调整事项表!$G:$G,累计考核费用!$B96,考核调整事项表!$D:$D,累计考核费用!F$55)+SUMIFS(考核调整事项表!$E:$E,考核调整事项表!$G:$G,累计考核费用!$B96,考核调整事项表!$F:$F,累计考核费用!F$55)</f>
        <v>0</v>
      </c>
      <c r="G96" s="157">
        <f t="shared" si="3"/>
        <v>0</v>
      </c>
      <c r="H96" s="157">
        <f>SUMIFS(考核调整事项表!$C:$C,考核调整事项表!$G:$G,累计考核费用!$B96,考核调整事项表!$D:$D,累计考核费用!H$55)+SUMIFS(考核调整事项表!$E:$E,考核调整事项表!$G:$G,累计考核费用!$B96,考核调整事项表!$F:$F,累计考核费用!H$55)</f>
        <v>0</v>
      </c>
      <c r="I96" s="157">
        <f>SUMIFS(考核调整事项表!$C:$C,考核调整事项表!$G:$G,累计考核费用!$B96,考核调整事项表!$D:$D,累计考核费用!I$55)+SUMIFS(考核调整事项表!$E:$E,考核调整事项表!$G:$G,累计考核费用!$B96,考核调整事项表!$F:$F,累计考核费用!I$55)</f>
        <v>0</v>
      </c>
      <c r="J96" s="157">
        <f>SUMIFS(考核调整事项表!$C:$C,考核调整事项表!$G:$G,累计考核费用!$B96,考核调整事项表!$D:$D,累计考核费用!J$55)+SUMIFS(考核调整事项表!$E:$E,考核调整事项表!$G:$G,累计考核费用!$B96,考核调整事项表!$F:$F,累计考核费用!J$55)</f>
        <v>0</v>
      </c>
      <c r="K96" s="157">
        <f>SUMIFS(考核调整事项表!$C:$C,考核调整事项表!$G:$G,累计考核费用!$B96,考核调整事项表!$D:$D,累计考核费用!K$55)+SUMIFS(考核调整事项表!$E:$E,考核调整事项表!$G:$G,累计考核费用!$B96,考核调整事项表!$F:$F,累计考核费用!K$55)</f>
        <v>0</v>
      </c>
      <c r="L96" s="157">
        <f t="shared" si="4"/>
        <v>0</v>
      </c>
      <c r="M96" s="157">
        <f>SUMIFS(考核调整事项表!$C:$C,考核调整事项表!$G:$G,累计考核费用!$B96,考核调整事项表!$D:$D,累计考核费用!M$55)+SUMIFS(考核调整事项表!$E:$E,考核调整事项表!$G:$G,累计考核费用!$B96,考核调整事项表!$F:$F,累计考核费用!M$55)</f>
        <v>0</v>
      </c>
      <c r="N96" s="157">
        <f>SUMIFS(考核调整事项表!$C:$C,考核调整事项表!$G:$G,累计考核费用!$B96,考核调整事项表!$D:$D,累计考核费用!N$55)+SUMIFS(考核调整事项表!$E:$E,考核调整事项表!$G:$G,累计考核费用!$B96,考核调整事项表!$F:$F,累计考核费用!N$55)</f>
        <v>0</v>
      </c>
      <c r="O96" s="157">
        <f>SUMIFS(考核调整事项表!$C:$C,考核调整事项表!$G:$G,累计考核费用!$B96,考核调整事项表!$D:$D,累计考核费用!O$55)+SUMIFS(考核调整事项表!$E:$E,考核调整事项表!$G:$G,累计考核费用!$B96,考核调整事项表!$F:$F,累计考核费用!O$55)</f>
        <v>0</v>
      </c>
      <c r="P96" s="157">
        <f>SUMIFS(考核调整事项表!$C:$C,考核调整事项表!$G:$G,累计考核费用!$B96,考核调整事项表!$D:$D,累计考核费用!P$55)+SUMIFS(考核调整事项表!$E:$E,考核调整事项表!$G:$G,累计考核费用!$B96,考核调整事项表!$F:$F,累计考核费用!P$55)</f>
        <v>0</v>
      </c>
      <c r="Q96" s="157">
        <f>SUMIFS(考核调整事项表!$C:$C,考核调整事项表!$G:$G,累计考核费用!$B96,考核调整事项表!$D:$D,累计考核费用!Q$55)+SUMIFS(考核调整事项表!$E:$E,考核调整事项表!$G:$G,累计考核费用!$B96,考核调整事项表!$F:$F,累计考核费用!Q$55)</f>
        <v>0</v>
      </c>
      <c r="R96" s="157">
        <f>SUMIFS(考核调整事项表!$C:$C,考核调整事项表!$G:$G,累计考核费用!$B96,考核调整事项表!$D:$D,累计考核费用!R$55)+SUMIFS(考核调整事项表!$E:$E,考核调整事项表!$G:$G,累计考核费用!$B96,考核调整事项表!$F:$F,累计考核费用!R$55)</f>
        <v>0</v>
      </c>
      <c r="S96" s="157">
        <f>SUMIFS(考核调整事项表!$C:$C,考核调整事项表!$G:$G,累计考核费用!$B96,考核调整事项表!$D:$D,累计考核费用!S$55)+SUMIFS(考核调整事项表!$E:$E,考核调整事项表!$G:$G,累计考核费用!$B96,考核调整事项表!$F:$F,累计考核费用!S$55)</f>
        <v>0</v>
      </c>
      <c r="T96" s="160">
        <f t="shared" si="17"/>
        <v>0</v>
      </c>
      <c r="U96" s="157">
        <f>SUMIFS(考核调整事项表!$C:$C,考核调整事项表!$G:$G,累计考核费用!$B96,考核调整事项表!$D:$D,累计考核费用!U$55)+SUMIFS(考核调整事项表!$E:$E,考核调整事项表!$G:$G,累计考核费用!$B96,考核调整事项表!$F:$F,累计考核费用!U$55)</f>
        <v>0</v>
      </c>
      <c r="V96" s="157">
        <f>SUMIFS(考核调整事项表!$C:$C,考核调整事项表!$G:$G,累计考核费用!$B96,考核调整事项表!$D:$D,累计考核费用!V$55)+SUMIFS(考核调整事项表!$E:$E,考核调整事项表!$G:$G,累计考核费用!$B96,考核调整事项表!$F:$F,累计考核费用!V$55)</f>
        <v>0</v>
      </c>
      <c r="W96" s="157">
        <f>SUMIFS(考核调整事项表!$C:$C,考核调整事项表!$G:$G,累计考核费用!$B96,考核调整事项表!$D:$D,累计考核费用!W$55)+SUMIFS(考核调整事项表!$E:$E,考核调整事项表!$G:$G,累计考核费用!$B96,考核调整事项表!$F:$F,累计考核费用!W$55)</f>
        <v>0</v>
      </c>
      <c r="X96" s="157">
        <f>SUMIFS(考核调整事项表!$C:$C,考核调整事项表!$G:$G,累计考核费用!$B96,考核调整事项表!$D:$D,累计考核费用!X$55)+SUMIFS(考核调整事项表!$E:$E,考核调整事项表!$G:$G,累计考核费用!$B96,考核调整事项表!$F:$F,累计考核费用!X$55)</f>
        <v>0</v>
      </c>
      <c r="Y96" s="157">
        <f>SUMIFS(考核调整事项表!$C:$C,考核调整事项表!$G:$G,累计考核费用!$B96,考核调整事项表!$D:$D,累计考核费用!Y$55)+SUMIFS(考核调整事项表!$E:$E,考核调整事项表!$G:$G,累计考核费用!$B96,考核调整事项表!$F:$F,累计考核费用!Y$55)</f>
        <v>0</v>
      </c>
      <c r="Z96" s="157">
        <f>SUMIFS(考核调整事项表!$C:$C,考核调整事项表!$G:$G,累计考核费用!$B96,考核调整事项表!$D:$D,累计考核费用!Z$55)+SUMIFS(考核调整事项表!$E:$E,考核调整事项表!$G:$G,累计考核费用!$B96,考核调整事项表!$F:$F,累计考核费用!Z$55)</f>
        <v>0</v>
      </c>
      <c r="AA96" s="157">
        <f>SUMIFS(考核调整事项表!$C:$C,考核调整事项表!$G:$G,累计考核费用!$B96,考核调整事项表!$D:$D,累计考核费用!AA$55)+SUMIFS(考核调整事项表!$E:$E,考核调整事项表!$G:$G,累计考核费用!$B96,考核调整事项表!$F:$F,累计考核费用!AA$55)</f>
        <v>0</v>
      </c>
      <c r="AB96" s="157">
        <f>SUMIFS(考核调整事项表!$C:$C,考核调整事项表!$G:$G,累计考核费用!$B96,考核调整事项表!$D:$D,累计考核费用!AB$55)+SUMIFS(考核调整事项表!$E:$E,考核调整事项表!$G:$G,累计考核费用!$B96,考核调整事项表!$F:$F,累计考核费用!AB$55)</f>
        <v>0</v>
      </c>
      <c r="AC96" s="157">
        <f>SUMIFS(考核调整事项表!$C:$C,考核调整事项表!$G:$G,累计考核费用!$B96,考核调整事项表!$D:$D,累计考核费用!AC$55)+SUMIFS(考核调整事项表!$E:$E,考核调整事项表!$G:$G,累计考核费用!$B96,考核调整事项表!$F:$F,累计考核费用!AC$55)</f>
        <v>0</v>
      </c>
    </row>
    <row r="97" spans="1:29">
      <c r="A97" s="274"/>
      <c r="B97" s="47" t="s">
        <v>131</v>
      </c>
      <c r="C97" s="9">
        <f t="shared" si="18"/>
        <v>0</v>
      </c>
      <c r="D97" s="157">
        <f>SUMIFS(考核调整事项表!$C:$C,考核调整事项表!$G:$G,累计考核费用!$B97,考核调整事项表!$D:$D,累计考核费用!D$55)+SUMIFS(考核调整事项表!$E:$E,考核调整事项表!$G:$G,累计考核费用!$B97,考核调整事项表!$F:$F,累计考核费用!D$55)</f>
        <v>0</v>
      </c>
      <c r="E97" s="157">
        <f>SUMIFS(考核调整事项表!$C:$C,考核调整事项表!$G:$G,累计考核费用!$B97,考核调整事项表!$D:$D,累计考核费用!E$55)+SUMIFS(考核调整事项表!$E:$E,考核调整事项表!$G:$G,累计考核费用!$B97,考核调整事项表!$F:$F,累计考核费用!E$55)</f>
        <v>0</v>
      </c>
      <c r="F97" s="157">
        <f>SUMIFS(考核调整事项表!$C:$C,考核调整事项表!$G:$G,累计考核费用!$B97,考核调整事项表!$D:$D,累计考核费用!F$55)+SUMIFS(考核调整事项表!$E:$E,考核调整事项表!$G:$G,累计考核费用!$B97,考核调整事项表!$F:$F,累计考核费用!F$55)</f>
        <v>0</v>
      </c>
      <c r="G97" s="157">
        <f t="shared" si="3"/>
        <v>0</v>
      </c>
      <c r="H97" s="157">
        <f>SUMIFS(考核调整事项表!$C:$C,考核调整事项表!$G:$G,累计考核费用!$B97,考核调整事项表!$D:$D,累计考核费用!H$55)+SUMIFS(考核调整事项表!$E:$E,考核调整事项表!$G:$G,累计考核费用!$B97,考核调整事项表!$F:$F,累计考核费用!H$55)</f>
        <v>0</v>
      </c>
      <c r="I97" s="157">
        <f>SUMIFS(考核调整事项表!$C:$C,考核调整事项表!$G:$G,累计考核费用!$B97,考核调整事项表!$D:$D,累计考核费用!I$55)+SUMIFS(考核调整事项表!$E:$E,考核调整事项表!$G:$G,累计考核费用!$B97,考核调整事项表!$F:$F,累计考核费用!I$55)</f>
        <v>0</v>
      </c>
      <c r="J97" s="157">
        <f>SUMIFS(考核调整事项表!$C:$C,考核调整事项表!$G:$G,累计考核费用!$B97,考核调整事项表!$D:$D,累计考核费用!J$55)+SUMIFS(考核调整事项表!$E:$E,考核调整事项表!$G:$G,累计考核费用!$B97,考核调整事项表!$F:$F,累计考核费用!J$55)</f>
        <v>0</v>
      </c>
      <c r="K97" s="157">
        <f>SUMIFS(考核调整事项表!$C:$C,考核调整事项表!$G:$G,累计考核费用!$B97,考核调整事项表!$D:$D,累计考核费用!K$55)+SUMIFS(考核调整事项表!$E:$E,考核调整事项表!$G:$G,累计考核费用!$B97,考核调整事项表!$F:$F,累计考核费用!K$55)</f>
        <v>0</v>
      </c>
      <c r="L97" s="157">
        <f t="shared" si="4"/>
        <v>0</v>
      </c>
      <c r="M97" s="157">
        <f>SUMIFS(考核调整事项表!$C:$C,考核调整事项表!$G:$G,累计考核费用!$B97,考核调整事项表!$D:$D,累计考核费用!M$55)+SUMIFS(考核调整事项表!$E:$E,考核调整事项表!$G:$G,累计考核费用!$B97,考核调整事项表!$F:$F,累计考核费用!M$55)</f>
        <v>0</v>
      </c>
      <c r="N97" s="157">
        <f>SUMIFS(考核调整事项表!$C:$C,考核调整事项表!$G:$G,累计考核费用!$B97,考核调整事项表!$D:$D,累计考核费用!N$55)+SUMIFS(考核调整事项表!$E:$E,考核调整事项表!$G:$G,累计考核费用!$B97,考核调整事项表!$F:$F,累计考核费用!N$55)</f>
        <v>0</v>
      </c>
      <c r="O97" s="157">
        <f>SUMIFS(考核调整事项表!$C:$C,考核调整事项表!$G:$G,累计考核费用!$B97,考核调整事项表!$D:$D,累计考核费用!O$55)+SUMIFS(考核调整事项表!$E:$E,考核调整事项表!$G:$G,累计考核费用!$B97,考核调整事项表!$F:$F,累计考核费用!O$55)</f>
        <v>0</v>
      </c>
      <c r="P97" s="157">
        <f>SUMIFS(考核调整事项表!$C:$C,考核调整事项表!$G:$G,累计考核费用!$B97,考核调整事项表!$D:$D,累计考核费用!P$55)+SUMIFS(考核调整事项表!$E:$E,考核调整事项表!$G:$G,累计考核费用!$B97,考核调整事项表!$F:$F,累计考核费用!P$55)</f>
        <v>0</v>
      </c>
      <c r="Q97" s="157">
        <f>SUMIFS(考核调整事项表!$C:$C,考核调整事项表!$G:$G,累计考核费用!$B97,考核调整事项表!$D:$D,累计考核费用!Q$55)+SUMIFS(考核调整事项表!$E:$E,考核调整事项表!$G:$G,累计考核费用!$B97,考核调整事项表!$F:$F,累计考核费用!Q$55)</f>
        <v>0</v>
      </c>
      <c r="R97" s="157">
        <f>SUMIFS(考核调整事项表!$C:$C,考核调整事项表!$G:$G,累计考核费用!$B97,考核调整事项表!$D:$D,累计考核费用!R$55)+SUMIFS(考核调整事项表!$E:$E,考核调整事项表!$G:$G,累计考核费用!$B97,考核调整事项表!$F:$F,累计考核费用!R$55)</f>
        <v>0</v>
      </c>
      <c r="S97" s="157">
        <f>SUMIFS(考核调整事项表!$C:$C,考核调整事项表!$G:$G,累计考核费用!$B97,考核调整事项表!$D:$D,累计考核费用!S$55)+SUMIFS(考核调整事项表!$E:$E,考核调整事项表!$G:$G,累计考核费用!$B97,考核调整事项表!$F:$F,累计考核费用!S$55)</f>
        <v>0</v>
      </c>
      <c r="T97" s="160">
        <f t="shared" si="17"/>
        <v>0</v>
      </c>
      <c r="U97" s="157">
        <f>SUMIFS(考核调整事项表!$C:$C,考核调整事项表!$G:$G,累计考核费用!$B97,考核调整事项表!$D:$D,累计考核费用!U$55)+SUMIFS(考核调整事项表!$E:$E,考核调整事项表!$G:$G,累计考核费用!$B97,考核调整事项表!$F:$F,累计考核费用!U$55)</f>
        <v>0</v>
      </c>
      <c r="V97" s="157">
        <f>SUMIFS(考核调整事项表!$C:$C,考核调整事项表!$G:$G,累计考核费用!$B97,考核调整事项表!$D:$D,累计考核费用!V$55)+SUMIFS(考核调整事项表!$E:$E,考核调整事项表!$G:$G,累计考核费用!$B97,考核调整事项表!$F:$F,累计考核费用!V$55)</f>
        <v>0</v>
      </c>
      <c r="W97" s="157">
        <f>SUMIFS(考核调整事项表!$C:$C,考核调整事项表!$G:$G,累计考核费用!$B97,考核调整事项表!$D:$D,累计考核费用!W$55)+SUMIFS(考核调整事项表!$E:$E,考核调整事项表!$G:$G,累计考核费用!$B97,考核调整事项表!$F:$F,累计考核费用!W$55)</f>
        <v>0</v>
      </c>
      <c r="X97" s="157">
        <f>SUMIFS(考核调整事项表!$C:$C,考核调整事项表!$G:$G,累计考核费用!$B97,考核调整事项表!$D:$D,累计考核费用!X$55)+SUMIFS(考核调整事项表!$E:$E,考核调整事项表!$G:$G,累计考核费用!$B97,考核调整事项表!$F:$F,累计考核费用!X$55)</f>
        <v>0</v>
      </c>
      <c r="Y97" s="157">
        <f>SUMIFS(考核调整事项表!$C:$C,考核调整事项表!$G:$G,累计考核费用!$B97,考核调整事项表!$D:$D,累计考核费用!Y$55)+SUMIFS(考核调整事项表!$E:$E,考核调整事项表!$G:$G,累计考核费用!$B97,考核调整事项表!$F:$F,累计考核费用!Y$55)</f>
        <v>0</v>
      </c>
      <c r="Z97" s="157">
        <f>SUMIFS(考核调整事项表!$C:$C,考核调整事项表!$G:$G,累计考核费用!$B97,考核调整事项表!$D:$D,累计考核费用!Z$55)+SUMIFS(考核调整事项表!$E:$E,考核调整事项表!$G:$G,累计考核费用!$B97,考核调整事项表!$F:$F,累计考核费用!Z$55)</f>
        <v>0</v>
      </c>
      <c r="AA97" s="157">
        <f>SUMIFS(考核调整事项表!$C:$C,考核调整事项表!$G:$G,累计考核费用!$B97,考核调整事项表!$D:$D,累计考核费用!AA$55)+SUMIFS(考核调整事项表!$E:$E,考核调整事项表!$G:$G,累计考核费用!$B97,考核调整事项表!$F:$F,累计考核费用!AA$55)</f>
        <v>0</v>
      </c>
      <c r="AB97" s="157">
        <f>SUMIFS(考核调整事项表!$C:$C,考核调整事项表!$G:$G,累计考核费用!$B97,考核调整事项表!$D:$D,累计考核费用!AB$55)+SUMIFS(考核调整事项表!$E:$E,考核调整事项表!$G:$G,累计考核费用!$B97,考核调整事项表!$F:$F,累计考核费用!AB$55)</f>
        <v>0</v>
      </c>
      <c r="AC97" s="157">
        <f>SUMIFS(考核调整事项表!$C:$C,考核调整事项表!$G:$G,累计考核费用!$B97,考核调整事项表!$D:$D,累计考核费用!AC$55)+SUMIFS(考核调整事项表!$E:$E,考核调整事项表!$G:$G,累计考核费用!$B97,考核调整事项表!$F:$F,累计考核费用!AC$55)</f>
        <v>0</v>
      </c>
    </row>
    <row r="98" spans="1:29">
      <c r="A98" s="274"/>
      <c r="B98" s="47" t="s">
        <v>132</v>
      </c>
      <c r="C98" s="9">
        <f t="shared" si="18"/>
        <v>0</v>
      </c>
      <c r="D98" s="157">
        <f>SUMIFS(考核调整事项表!$C:$C,考核调整事项表!$G:$G,累计考核费用!$B98,考核调整事项表!$D:$D,累计考核费用!D$55)+SUMIFS(考核调整事项表!$E:$E,考核调整事项表!$G:$G,累计考核费用!$B98,考核调整事项表!$F:$F,累计考核费用!D$55)</f>
        <v>274503.2</v>
      </c>
      <c r="E98" s="157">
        <f>SUMIFS(考核调整事项表!$C:$C,考核调整事项表!$G:$G,累计考核费用!$B98,考核调整事项表!$D:$D,累计考核费用!E$55)+SUMIFS(考核调整事项表!$E:$E,考核调整事项表!$G:$G,累计考核费用!$B98,考核调整事项表!$F:$F,累计考核费用!E$55)</f>
        <v>0</v>
      </c>
      <c r="F98" s="157">
        <f>SUMIFS(考核调整事项表!$C:$C,考核调整事项表!$G:$G,累计考核费用!$B98,考核调整事项表!$D:$D,累计考核费用!F$55)+SUMIFS(考核调整事项表!$E:$E,考核调整事项表!$G:$G,累计考核费用!$B98,考核调整事项表!$F:$F,累计考核费用!F$55)</f>
        <v>641570.48</v>
      </c>
      <c r="G98" s="157">
        <f t="shared" si="3"/>
        <v>0</v>
      </c>
      <c r="H98" s="157">
        <f>SUMIFS(考核调整事项表!$C:$C,考核调整事项表!$G:$G,累计考核费用!$B98,考核调整事项表!$D:$D,累计考核费用!H$55)+SUMIFS(考核调整事项表!$E:$E,考核调整事项表!$G:$G,累计考核费用!$B98,考核调整事项表!$F:$F,累计考核费用!H$55)</f>
        <v>0</v>
      </c>
      <c r="I98" s="157">
        <f>SUMIFS(考核调整事项表!$C:$C,考核调整事项表!$G:$G,累计考核费用!$B98,考核调整事项表!$D:$D,累计考核费用!I$55)+SUMIFS(考核调整事项表!$E:$E,考核调整事项表!$G:$G,累计考核费用!$B98,考核调整事项表!$F:$F,累计考核费用!I$55)</f>
        <v>0</v>
      </c>
      <c r="J98" s="157">
        <f>SUMIFS(考核调整事项表!$C:$C,考核调整事项表!$G:$G,累计考核费用!$B98,考核调整事项表!$D:$D,累计考核费用!J$55)+SUMIFS(考核调整事项表!$E:$E,考核调整事项表!$G:$G,累计考核费用!$B98,考核调整事项表!$F:$F,累计考核费用!J$55)</f>
        <v>0</v>
      </c>
      <c r="K98" s="157">
        <f>SUMIFS(考核调整事项表!$C:$C,考核调整事项表!$G:$G,累计考核费用!$B98,考核调整事项表!$D:$D,累计考核费用!K$55)+SUMIFS(考核调整事项表!$E:$E,考核调整事项表!$G:$G,累计考核费用!$B98,考核调整事项表!$F:$F,累计考核费用!K$55)</f>
        <v>0</v>
      </c>
      <c r="L98" s="157">
        <f t="shared" si="4"/>
        <v>-916073.67999999993</v>
      </c>
      <c r="M98" s="157">
        <f>SUMIFS(考核调整事项表!$C:$C,考核调整事项表!$G:$G,累计考核费用!$B98,考核调整事项表!$D:$D,累计考核费用!M$55)+SUMIFS(考核调整事项表!$E:$E,考核调整事项表!$G:$G,累计考核费用!$B98,考核调整事项表!$F:$F,累计考核费用!M$55)</f>
        <v>0</v>
      </c>
      <c r="N98" s="157">
        <f>SUMIFS(考核调整事项表!$C:$C,考核调整事项表!$G:$G,累计考核费用!$B98,考核调整事项表!$D:$D,累计考核费用!N$55)+SUMIFS(考核调整事项表!$E:$E,考核调整事项表!$G:$G,累计考核费用!$B98,考核调整事项表!$F:$F,累计考核费用!N$55)</f>
        <v>0</v>
      </c>
      <c r="O98" s="157">
        <f>SUMIFS(考核调整事项表!$C:$C,考核调整事项表!$G:$G,累计考核费用!$B98,考核调整事项表!$D:$D,累计考核费用!O$55)+SUMIFS(考核调整事项表!$E:$E,考核调整事项表!$G:$G,累计考核费用!$B98,考核调整事项表!$F:$F,累计考核费用!O$55)</f>
        <v>0</v>
      </c>
      <c r="P98" s="157">
        <f>SUMIFS(考核调整事项表!$C:$C,考核调整事项表!$G:$G,累计考核费用!$B98,考核调整事项表!$D:$D,累计考核费用!P$55)+SUMIFS(考核调整事项表!$E:$E,考核调整事项表!$G:$G,累计考核费用!$B98,考核调整事项表!$F:$F,累计考核费用!P$55)</f>
        <v>0</v>
      </c>
      <c r="Q98" s="157">
        <f>SUMIFS(考核调整事项表!$C:$C,考核调整事项表!$G:$G,累计考核费用!$B98,考核调整事项表!$D:$D,累计考核费用!Q$55)+SUMIFS(考核调整事项表!$E:$E,考核调整事项表!$G:$G,累计考核费用!$B98,考核调整事项表!$F:$F,累计考核费用!Q$55)</f>
        <v>0</v>
      </c>
      <c r="R98" s="157">
        <f>SUMIFS(考核调整事项表!$C:$C,考核调整事项表!$G:$G,累计考核费用!$B98,考核调整事项表!$D:$D,累计考核费用!R$55)+SUMIFS(考核调整事项表!$E:$E,考核调整事项表!$G:$G,累计考核费用!$B98,考核调整事项表!$F:$F,累计考核费用!R$55)</f>
        <v>0</v>
      </c>
      <c r="S98" s="157">
        <f>SUMIFS(考核调整事项表!$C:$C,考核调整事项表!$G:$G,累计考核费用!$B98,考核调整事项表!$D:$D,累计考核费用!S$55)+SUMIFS(考核调整事项表!$E:$E,考核调整事项表!$G:$G,累计考核费用!$B98,考核调整事项表!$F:$F,累计考核费用!S$55)</f>
        <v>-916073.67999999993</v>
      </c>
      <c r="T98" s="160">
        <f>SUM(U98:AA98)</f>
        <v>0</v>
      </c>
      <c r="U98" s="157">
        <f>SUMIFS(考核调整事项表!$C:$C,考核调整事项表!$G:$G,累计考核费用!$B98,考核调整事项表!$D:$D,累计考核费用!U$55)+SUMIFS(考核调整事项表!$E:$E,考核调整事项表!$G:$G,累计考核费用!$B98,考核调整事项表!$F:$F,累计考核费用!U$55)</f>
        <v>0</v>
      </c>
      <c r="V98" s="157">
        <f>SUMIFS(考核调整事项表!$C:$C,考核调整事项表!$G:$G,累计考核费用!$B98,考核调整事项表!$D:$D,累计考核费用!V$55)+SUMIFS(考核调整事项表!$E:$E,考核调整事项表!$G:$G,累计考核费用!$B98,考核调整事项表!$F:$F,累计考核费用!V$55)</f>
        <v>0</v>
      </c>
      <c r="W98" s="157">
        <f>SUMIFS(考核调整事项表!$C:$C,考核调整事项表!$G:$G,累计考核费用!$B98,考核调整事项表!$D:$D,累计考核费用!W$55)+SUMIFS(考核调整事项表!$E:$E,考核调整事项表!$G:$G,累计考核费用!$B98,考核调整事项表!$F:$F,累计考核费用!W$55)</f>
        <v>0</v>
      </c>
      <c r="X98" s="157">
        <f>SUMIFS(考核调整事项表!$C:$C,考核调整事项表!$G:$G,累计考核费用!$B98,考核调整事项表!$D:$D,累计考核费用!X$55)+SUMIFS(考核调整事项表!$E:$E,考核调整事项表!$G:$G,累计考核费用!$B98,考核调整事项表!$F:$F,累计考核费用!X$55)</f>
        <v>0</v>
      </c>
      <c r="Y98" s="157">
        <f>SUMIFS(考核调整事项表!$C:$C,考核调整事项表!$G:$G,累计考核费用!$B98,考核调整事项表!$D:$D,累计考核费用!Y$55)+SUMIFS(考核调整事项表!$E:$E,考核调整事项表!$G:$G,累计考核费用!$B98,考核调整事项表!$F:$F,累计考核费用!Y$55)</f>
        <v>0</v>
      </c>
      <c r="Z98" s="157">
        <f>SUMIFS(考核调整事项表!$C:$C,考核调整事项表!$G:$G,累计考核费用!$B98,考核调整事项表!$D:$D,累计考核费用!Z$55)+SUMIFS(考核调整事项表!$E:$E,考核调整事项表!$G:$G,累计考核费用!$B98,考核调整事项表!$F:$F,累计考核费用!Z$55)</f>
        <v>0</v>
      </c>
      <c r="AA98" s="157">
        <f>SUMIFS(考核调整事项表!$C:$C,考核调整事项表!$G:$G,累计考核费用!$B98,考核调整事项表!$D:$D,累计考核费用!AA$55)+SUMIFS(考核调整事项表!$E:$E,考核调整事项表!$G:$G,累计考核费用!$B98,考核调整事项表!$F:$F,累计考核费用!AA$55)</f>
        <v>0</v>
      </c>
      <c r="AB98" s="157">
        <f>SUMIFS(考核调整事项表!$C:$C,考核调整事项表!$G:$G,累计考核费用!$B98,考核调整事项表!$D:$D,累计考核费用!AB$55)+SUMIFS(考核调整事项表!$E:$E,考核调整事项表!$G:$G,累计考核费用!$B98,考核调整事项表!$F:$F,累计考核费用!AB$55)</f>
        <v>0</v>
      </c>
      <c r="AC98" s="157">
        <f>SUMIFS(考核调整事项表!$C:$C,考核调整事项表!$G:$G,累计考核费用!$B98,考核调整事项表!$D:$D,累计考核费用!AC$55)+SUMIFS(考核调整事项表!$E:$E,考核调整事项表!$G:$G,累计考核费用!$B98,考核调整事项表!$F:$F,累计考核费用!AC$55)</f>
        <v>0</v>
      </c>
    </row>
    <row r="99" spans="1:29">
      <c r="A99" s="274"/>
      <c r="B99" s="47" t="s">
        <v>133</v>
      </c>
      <c r="C99" s="9">
        <f>SUM(D99:G99)+L99+T99+AC99+AB99</f>
        <v>0</v>
      </c>
      <c r="D99" s="157">
        <f>SUMIFS(考核调整事项表!$C:$C,考核调整事项表!$G:$G,累计考核费用!$B99,考核调整事项表!$D:$D,累计考核费用!D$55)+SUMIFS(考核调整事项表!$E:$E,考核调整事项表!$G:$G,累计考核费用!$B99,考核调整事项表!$F:$F,累计考核费用!D$55)</f>
        <v>-8543938.2899999991</v>
      </c>
      <c r="E99" s="157">
        <f>SUMIFS(考核调整事项表!$C:$C,考核调整事项表!$G:$G,累计考核费用!$B99,考核调整事项表!$D:$D,累计考核费用!E$55)+SUMIFS(考核调整事项表!$E:$E,考核调整事项表!$G:$G,累计考核费用!$B99,考核调整事项表!$F:$F,累计考核费用!E$55)</f>
        <v>-25615.4</v>
      </c>
      <c r="F99" s="157">
        <f>SUMIFS(考核调整事项表!$C:$C,考核调整事项表!$G:$G,累计考核费用!$B99,考核调整事项表!$D:$D,累计考核费用!F$55)+SUMIFS(考核调整事项表!$E:$E,考核调整事项表!$G:$G,累计考核费用!$B99,考核调整事项表!$F:$F,累计考核费用!F$55)</f>
        <v>8569553.6899999995</v>
      </c>
      <c r="G99" s="157">
        <f t="shared" si="3"/>
        <v>0</v>
      </c>
      <c r="H99" s="157">
        <f>SUMIFS(考核调整事项表!$C:$C,考核调整事项表!$G:$G,累计考核费用!$B99,考核调整事项表!$D:$D,累计考核费用!H$55)+SUMIFS(考核调整事项表!$E:$E,考核调整事项表!$G:$G,累计考核费用!$B99,考核调整事项表!$F:$F,累计考核费用!H$55)</f>
        <v>0</v>
      </c>
      <c r="I99" s="157">
        <f>SUMIFS(考核调整事项表!$C:$C,考核调整事项表!$G:$G,累计考核费用!$B99,考核调整事项表!$D:$D,累计考核费用!I$55)+SUMIFS(考核调整事项表!$E:$E,考核调整事项表!$G:$G,累计考核费用!$B99,考核调整事项表!$F:$F,累计考核费用!I$55)</f>
        <v>0</v>
      </c>
      <c r="J99" s="157">
        <f>SUMIFS(考核调整事项表!$C:$C,考核调整事项表!$G:$G,累计考核费用!$B99,考核调整事项表!$D:$D,累计考核费用!J$55)+SUMIFS(考核调整事项表!$E:$E,考核调整事项表!$G:$G,累计考核费用!$B99,考核调整事项表!$F:$F,累计考核费用!J$55)</f>
        <v>0</v>
      </c>
      <c r="K99" s="157">
        <f>SUMIFS(考核调整事项表!$C:$C,考核调整事项表!$G:$G,累计考核费用!$B99,考核调整事项表!$D:$D,累计考核费用!K$55)+SUMIFS(考核调整事项表!$E:$E,考核调整事项表!$G:$G,累计考核费用!$B99,考核调整事项表!$F:$F,累计考核费用!K$55)</f>
        <v>0</v>
      </c>
      <c r="L99" s="157">
        <f t="shared" si="4"/>
        <v>0</v>
      </c>
      <c r="M99" s="157">
        <f>SUMIFS(考核调整事项表!$C:$C,考核调整事项表!$G:$G,累计考核费用!$B99,考核调整事项表!$D:$D,累计考核费用!M$55)+SUMIFS(考核调整事项表!$E:$E,考核调整事项表!$G:$G,累计考核费用!$B99,考核调整事项表!$F:$F,累计考核费用!M$55)</f>
        <v>0</v>
      </c>
      <c r="N99" s="157">
        <f>SUMIFS(考核调整事项表!$C:$C,考核调整事项表!$G:$G,累计考核费用!$B99,考核调整事项表!$D:$D,累计考核费用!N$55)+SUMIFS(考核调整事项表!$E:$E,考核调整事项表!$G:$G,累计考核费用!$B99,考核调整事项表!$F:$F,累计考核费用!N$55)</f>
        <v>0</v>
      </c>
      <c r="O99" s="157">
        <f>SUMIFS(考核调整事项表!$C:$C,考核调整事项表!$G:$G,累计考核费用!$B99,考核调整事项表!$D:$D,累计考核费用!O$55)+SUMIFS(考核调整事项表!$E:$E,考核调整事项表!$G:$G,累计考核费用!$B99,考核调整事项表!$F:$F,累计考核费用!O$55)</f>
        <v>0</v>
      </c>
      <c r="P99" s="157">
        <f>SUMIFS(考核调整事项表!$C:$C,考核调整事项表!$G:$G,累计考核费用!$B99,考核调整事项表!$D:$D,累计考核费用!P$55)+SUMIFS(考核调整事项表!$E:$E,考核调整事项表!$G:$G,累计考核费用!$B99,考核调整事项表!$F:$F,累计考核费用!P$55)</f>
        <v>0</v>
      </c>
      <c r="Q99" s="157">
        <f>SUMIFS(考核调整事项表!$C:$C,考核调整事项表!$G:$G,累计考核费用!$B99,考核调整事项表!$D:$D,累计考核费用!Q$55)+SUMIFS(考核调整事项表!$E:$E,考核调整事项表!$G:$G,累计考核费用!$B99,考核调整事项表!$F:$F,累计考核费用!Q$55)</f>
        <v>0</v>
      </c>
      <c r="R99" s="157">
        <f>SUMIFS(考核调整事项表!$C:$C,考核调整事项表!$G:$G,累计考核费用!$B99,考核调整事项表!$D:$D,累计考核费用!R$55)+SUMIFS(考核调整事项表!$E:$E,考核调整事项表!$G:$G,累计考核费用!$B99,考核调整事项表!$F:$F,累计考核费用!R$55)</f>
        <v>0</v>
      </c>
      <c r="S99" s="157">
        <f>SUMIFS(考核调整事项表!$C:$C,考核调整事项表!$G:$G,累计考核费用!$B99,考核调整事项表!$D:$D,累计考核费用!S$55)+SUMIFS(考核调整事项表!$E:$E,考核调整事项表!$G:$G,累计考核费用!$B99,考核调整事项表!$F:$F,累计考核费用!S$55)</f>
        <v>0</v>
      </c>
      <c r="T99" s="160">
        <f>SUM(U99:AA99)</f>
        <v>0</v>
      </c>
      <c r="U99" s="157">
        <f>SUMIFS(考核调整事项表!$C:$C,考核调整事项表!$G:$G,累计考核费用!$B99,考核调整事项表!$D:$D,累计考核费用!U$55)+SUMIFS(考核调整事项表!$E:$E,考核调整事项表!$G:$G,累计考核费用!$B99,考核调整事项表!$F:$F,累计考核费用!U$55)</f>
        <v>0</v>
      </c>
      <c r="V99" s="157">
        <f>SUMIFS(考核调整事项表!$C:$C,考核调整事项表!$G:$G,累计考核费用!$B99,考核调整事项表!$D:$D,累计考核费用!V$55)+SUMIFS(考核调整事项表!$E:$E,考核调整事项表!$G:$G,累计考核费用!$B99,考核调整事项表!$F:$F,累计考核费用!V$55)</f>
        <v>0</v>
      </c>
      <c r="W99" s="157">
        <f>SUMIFS(考核调整事项表!$C:$C,考核调整事项表!$G:$G,累计考核费用!$B99,考核调整事项表!$D:$D,累计考核费用!W$55)+SUMIFS(考核调整事项表!$E:$E,考核调整事项表!$G:$G,累计考核费用!$B99,考核调整事项表!$F:$F,累计考核费用!W$55)</f>
        <v>0</v>
      </c>
      <c r="X99" s="157">
        <f>SUMIFS(考核调整事项表!$C:$C,考核调整事项表!$G:$G,累计考核费用!$B99,考核调整事项表!$D:$D,累计考核费用!X$55)+SUMIFS(考核调整事项表!$E:$E,考核调整事项表!$G:$G,累计考核费用!$B99,考核调整事项表!$F:$F,累计考核费用!X$55)</f>
        <v>0</v>
      </c>
      <c r="Y99" s="157">
        <f>SUMIFS(考核调整事项表!$C:$C,考核调整事项表!$G:$G,累计考核费用!$B99,考核调整事项表!$D:$D,累计考核费用!Y$55)+SUMIFS(考核调整事项表!$E:$E,考核调整事项表!$G:$G,累计考核费用!$B99,考核调整事项表!$F:$F,累计考核费用!Y$55)</f>
        <v>0</v>
      </c>
      <c r="Z99" s="157">
        <f>SUMIFS(考核调整事项表!$C:$C,考核调整事项表!$G:$G,累计考核费用!$B99,考核调整事项表!$D:$D,累计考核费用!Z$55)+SUMIFS(考核调整事项表!$E:$E,考核调整事项表!$G:$G,累计考核费用!$B99,考核调整事项表!$F:$F,累计考核费用!Z$55)</f>
        <v>0</v>
      </c>
      <c r="AA99" s="157">
        <f>SUMIFS(考核调整事项表!$C:$C,考核调整事项表!$G:$G,累计考核费用!$B99,考核调整事项表!$D:$D,累计考核费用!AA$55)+SUMIFS(考核调整事项表!$E:$E,考核调整事项表!$G:$G,累计考核费用!$B99,考核调整事项表!$F:$F,累计考核费用!AA$55)</f>
        <v>0</v>
      </c>
      <c r="AB99" s="157">
        <f>SUMIFS(考核调整事项表!$C:$C,考核调整事项表!$G:$G,累计考核费用!$B99,考核调整事项表!$D:$D,累计考核费用!AB$55)+SUMIFS(考核调整事项表!$E:$E,考核调整事项表!$G:$G,累计考核费用!$B99,考核调整事项表!$F:$F,累计考核费用!AB$55)</f>
        <v>0</v>
      </c>
      <c r="AC99" s="157">
        <f>SUMIFS(考核调整事项表!$C:$C,考核调整事项表!$G:$G,累计考核费用!$B99,考核调整事项表!$D:$D,累计考核费用!AC$55)+SUMIFS(考核调整事项表!$E:$E,考核调整事项表!$G:$G,累计考核费用!$B99,考核调整事项表!$F:$F,累计考核费用!AC$55)</f>
        <v>0</v>
      </c>
    </row>
    <row r="100" spans="1:29">
      <c r="A100" s="274"/>
      <c r="B100" s="47" t="s">
        <v>134</v>
      </c>
      <c r="C100" s="9">
        <f t="shared" si="18"/>
        <v>0</v>
      </c>
      <c r="D100" s="157">
        <f>SUMIFS(考核调整事项表!$C:$C,考核调整事项表!$G:$G,累计考核费用!$B100,考核调整事项表!$D:$D,累计考核费用!D$55)+SUMIFS(考核调整事项表!$E:$E,考核调整事项表!$G:$G,累计考核费用!$B100,考核调整事项表!$F:$F,累计考核费用!D$55)</f>
        <v>0</v>
      </c>
      <c r="E100" s="157">
        <f>SUMIFS(考核调整事项表!$C:$C,考核调整事项表!$G:$G,累计考核费用!$B100,考核调整事项表!$D:$D,累计考核费用!E$55)+SUMIFS(考核调整事项表!$E:$E,考核调整事项表!$G:$G,累计考核费用!$B100,考核调整事项表!$F:$F,累计考核费用!E$55)</f>
        <v>0</v>
      </c>
      <c r="F100" s="157">
        <f>SUMIFS(考核调整事项表!$C:$C,考核调整事项表!$G:$G,累计考核费用!$B100,考核调整事项表!$D:$D,累计考核费用!F$55)+SUMIFS(考核调整事项表!$E:$E,考核调整事项表!$G:$G,累计考核费用!$B100,考核调整事项表!$F:$F,累计考核费用!F$55)</f>
        <v>0</v>
      </c>
      <c r="G100" s="157">
        <f t="shared" si="3"/>
        <v>0</v>
      </c>
      <c r="H100" s="157">
        <f>SUMIFS(考核调整事项表!$C:$C,考核调整事项表!$G:$G,累计考核费用!$B100,考核调整事项表!$D:$D,累计考核费用!H$55)+SUMIFS(考核调整事项表!$E:$E,考核调整事项表!$G:$G,累计考核费用!$B100,考核调整事项表!$F:$F,累计考核费用!H$55)</f>
        <v>0</v>
      </c>
      <c r="I100" s="157">
        <f>SUMIFS(考核调整事项表!$C:$C,考核调整事项表!$G:$G,累计考核费用!$B100,考核调整事项表!$D:$D,累计考核费用!I$55)+SUMIFS(考核调整事项表!$E:$E,考核调整事项表!$G:$G,累计考核费用!$B100,考核调整事项表!$F:$F,累计考核费用!I$55)</f>
        <v>0</v>
      </c>
      <c r="J100" s="157">
        <f>SUMIFS(考核调整事项表!$C:$C,考核调整事项表!$G:$G,累计考核费用!$B100,考核调整事项表!$D:$D,累计考核费用!J$55)+SUMIFS(考核调整事项表!$E:$E,考核调整事项表!$G:$G,累计考核费用!$B100,考核调整事项表!$F:$F,累计考核费用!J$55)</f>
        <v>0</v>
      </c>
      <c r="K100" s="157">
        <f>SUMIFS(考核调整事项表!$C:$C,考核调整事项表!$G:$G,累计考核费用!$B100,考核调整事项表!$D:$D,累计考核费用!K$55)+SUMIFS(考核调整事项表!$E:$E,考核调整事项表!$G:$G,累计考核费用!$B100,考核调整事项表!$F:$F,累计考核费用!K$55)</f>
        <v>0</v>
      </c>
      <c r="L100" s="157">
        <f t="shared" si="4"/>
        <v>0</v>
      </c>
      <c r="M100" s="157">
        <f>SUMIFS(考核调整事项表!$C:$C,考核调整事项表!$G:$G,累计考核费用!$B100,考核调整事项表!$D:$D,累计考核费用!M$55)+SUMIFS(考核调整事项表!$E:$E,考核调整事项表!$G:$G,累计考核费用!$B100,考核调整事项表!$F:$F,累计考核费用!M$55)</f>
        <v>0</v>
      </c>
      <c r="N100" s="157">
        <f>SUMIFS(考核调整事项表!$C:$C,考核调整事项表!$G:$G,累计考核费用!$B100,考核调整事项表!$D:$D,累计考核费用!N$55)+SUMIFS(考核调整事项表!$E:$E,考核调整事项表!$G:$G,累计考核费用!$B100,考核调整事项表!$F:$F,累计考核费用!N$55)</f>
        <v>0</v>
      </c>
      <c r="O100" s="157">
        <f>SUMIFS(考核调整事项表!$C:$C,考核调整事项表!$G:$G,累计考核费用!$B100,考核调整事项表!$D:$D,累计考核费用!O$55)+SUMIFS(考核调整事项表!$E:$E,考核调整事项表!$G:$G,累计考核费用!$B100,考核调整事项表!$F:$F,累计考核费用!O$55)</f>
        <v>0</v>
      </c>
      <c r="P100" s="157">
        <f>SUMIFS(考核调整事项表!$C:$C,考核调整事项表!$G:$G,累计考核费用!$B100,考核调整事项表!$D:$D,累计考核费用!P$55)+SUMIFS(考核调整事项表!$E:$E,考核调整事项表!$G:$G,累计考核费用!$B100,考核调整事项表!$F:$F,累计考核费用!P$55)</f>
        <v>0</v>
      </c>
      <c r="Q100" s="157">
        <f>SUMIFS(考核调整事项表!$C:$C,考核调整事项表!$G:$G,累计考核费用!$B100,考核调整事项表!$D:$D,累计考核费用!Q$55)+SUMIFS(考核调整事项表!$E:$E,考核调整事项表!$G:$G,累计考核费用!$B100,考核调整事项表!$F:$F,累计考核费用!Q$55)</f>
        <v>0</v>
      </c>
      <c r="R100" s="157">
        <f>SUMIFS(考核调整事项表!$C:$C,考核调整事项表!$G:$G,累计考核费用!$B100,考核调整事项表!$D:$D,累计考核费用!R$55)+SUMIFS(考核调整事项表!$E:$E,考核调整事项表!$G:$G,累计考核费用!$B100,考核调整事项表!$F:$F,累计考核费用!R$55)</f>
        <v>0</v>
      </c>
      <c r="S100" s="157">
        <f>SUMIFS(考核调整事项表!$C:$C,考核调整事项表!$G:$G,累计考核费用!$B100,考核调整事项表!$D:$D,累计考核费用!S$55)+SUMIFS(考核调整事项表!$E:$E,考核调整事项表!$G:$G,累计考核费用!$B100,考核调整事项表!$F:$F,累计考核费用!S$55)</f>
        <v>0</v>
      </c>
      <c r="T100" s="160">
        <f t="shared" ref="T100:T102" si="19">SUM(U100:AA100)</f>
        <v>0</v>
      </c>
      <c r="U100" s="157">
        <f>SUMIFS(考核调整事项表!$C:$C,考核调整事项表!$G:$G,累计考核费用!$B100,考核调整事项表!$D:$D,累计考核费用!U$55)+SUMIFS(考核调整事项表!$E:$E,考核调整事项表!$G:$G,累计考核费用!$B100,考核调整事项表!$F:$F,累计考核费用!U$55)</f>
        <v>0</v>
      </c>
      <c r="V100" s="157">
        <f>SUMIFS(考核调整事项表!$C:$C,考核调整事项表!$G:$G,累计考核费用!$B100,考核调整事项表!$D:$D,累计考核费用!V$55)+SUMIFS(考核调整事项表!$E:$E,考核调整事项表!$G:$G,累计考核费用!$B100,考核调整事项表!$F:$F,累计考核费用!V$55)</f>
        <v>0</v>
      </c>
      <c r="W100" s="157">
        <f>SUMIFS(考核调整事项表!$C:$C,考核调整事项表!$G:$G,累计考核费用!$B100,考核调整事项表!$D:$D,累计考核费用!W$55)+SUMIFS(考核调整事项表!$E:$E,考核调整事项表!$G:$G,累计考核费用!$B100,考核调整事项表!$F:$F,累计考核费用!W$55)</f>
        <v>0</v>
      </c>
      <c r="X100" s="157">
        <f>SUMIFS(考核调整事项表!$C:$C,考核调整事项表!$G:$G,累计考核费用!$B100,考核调整事项表!$D:$D,累计考核费用!X$55)+SUMIFS(考核调整事项表!$E:$E,考核调整事项表!$G:$G,累计考核费用!$B100,考核调整事项表!$F:$F,累计考核费用!X$55)</f>
        <v>0</v>
      </c>
      <c r="Y100" s="157">
        <f>SUMIFS(考核调整事项表!$C:$C,考核调整事项表!$G:$G,累计考核费用!$B100,考核调整事项表!$D:$D,累计考核费用!Y$55)+SUMIFS(考核调整事项表!$E:$E,考核调整事项表!$G:$G,累计考核费用!$B100,考核调整事项表!$F:$F,累计考核费用!Y$55)</f>
        <v>0</v>
      </c>
      <c r="Z100" s="157">
        <f>SUMIFS(考核调整事项表!$C:$C,考核调整事项表!$G:$G,累计考核费用!$B100,考核调整事项表!$D:$D,累计考核费用!Z$55)+SUMIFS(考核调整事项表!$E:$E,考核调整事项表!$G:$G,累计考核费用!$B100,考核调整事项表!$F:$F,累计考核费用!Z$55)</f>
        <v>0</v>
      </c>
      <c r="AA100" s="157">
        <f>SUMIFS(考核调整事项表!$C:$C,考核调整事项表!$G:$G,累计考核费用!$B100,考核调整事项表!$D:$D,累计考核费用!AA$55)+SUMIFS(考核调整事项表!$E:$E,考核调整事项表!$G:$G,累计考核费用!$B100,考核调整事项表!$F:$F,累计考核费用!AA$55)</f>
        <v>0</v>
      </c>
      <c r="AB100" s="157">
        <f>SUMIFS(考核调整事项表!$C:$C,考核调整事项表!$G:$G,累计考核费用!$B100,考核调整事项表!$D:$D,累计考核费用!AB$55)+SUMIFS(考核调整事项表!$E:$E,考核调整事项表!$G:$G,累计考核费用!$B100,考核调整事项表!$F:$F,累计考核费用!AB$55)</f>
        <v>0</v>
      </c>
      <c r="AC100" s="157">
        <f>SUMIFS(考核调整事项表!$C:$C,考核调整事项表!$G:$G,累计考核费用!$B100,考核调整事项表!$D:$D,累计考核费用!AC$55)+SUMIFS(考核调整事项表!$E:$E,考核调整事项表!$G:$G,累计考核费用!$B100,考核调整事项表!$F:$F,累计考核费用!AC$55)</f>
        <v>0</v>
      </c>
    </row>
    <row r="101" spans="1:29">
      <c r="A101" s="274"/>
      <c r="B101" s="47" t="s">
        <v>135</v>
      </c>
      <c r="C101" s="9">
        <f t="shared" si="18"/>
        <v>0</v>
      </c>
      <c r="D101" s="157">
        <f>SUMIFS(考核调整事项表!$C:$C,考核调整事项表!$G:$G,累计考核费用!$B101,考核调整事项表!$D:$D,累计考核费用!D$55)+SUMIFS(考核调整事项表!$E:$E,考核调整事项表!$G:$G,累计考核费用!$B101,考核调整事项表!$F:$F,累计考核费用!D$55)</f>
        <v>0</v>
      </c>
      <c r="E101" s="157">
        <f>SUMIFS(考核调整事项表!$C:$C,考核调整事项表!$G:$G,累计考核费用!$B101,考核调整事项表!$D:$D,累计考核费用!E$55)+SUMIFS(考核调整事项表!$E:$E,考核调整事项表!$G:$G,累计考核费用!$B101,考核调整事项表!$F:$F,累计考核费用!E$55)</f>
        <v>0</v>
      </c>
      <c r="F101" s="157">
        <f>SUMIFS(考核调整事项表!$C:$C,考核调整事项表!$G:$G,累计考核费用!$B101,考核调整事项表!$D:$D,累计考核费用!F$55)+SUMIFS(考核调整事项表!$E:$E,考核调整事项表!$G:$G,累计考核费用!$B101,考核调整事项表!$F:$F,累计考核费用!F$55)</f>
        <v>0</v>
      </c>
      <c r="G101" s="157">
        <f t="shared" si="3"/>
        <v>0</v>
      </c>
      <c r="H101" s="157">
        <f>SUMIFS(考核调整事项表!$C:$C,考核调整事项表!$G:$G,累计考核费用!$B101,考核调整事项表!$D:$D,累计考核费用!H$55)+SUMIFS(考核调整事项表!$E:$E,考核调整事项表!$G:$G,累计考核费用!$B101,考核调整事项表!$F:$F,累计考核费用!H$55)</f>
        <v>0</v>
      </c>
      <c r="I101" s="157">
        <f>SUMIFS(考核调整事项表!$C:$C,考核调整事项表!$G:$G,累计考核费用!$B101,考核调整事项表!$D:$D,累计考核费用!I$55)+SUMIFS(考核调整事项表!$E:$E,考核调整事项表!$G:$G,累计考核费用!$B101,考核调整事项表!$F:$F,累计考核费用!I$55)</f>
        <v>0</v>
      </c>
      <c r="J101" s="157">
        <f>SUMIFS(考核调整事项表!$C:$C,考核调整事项表!$G:$G,累计考核费用!$B101,考核调整事项表!$D:$D,累计考核费用!J$55)+SUMIFS(考核调整事项表!$E:$E,考核调整事项表!$G:$G,累计考核费用!$B101,考核调整事项表!$F:$F,累计考核费用!J$55)</f>
        <v>0</v>
      </c>
      <c r="K101" s="157">
        <f>SUMIFS(考核调整事项表!$C:$C,考核调整事项表!$G:$G,累计考核费用!$B101,考核调整事项表!$D:$D,累计考核费用!K$55)+SUMIFS(考核调整事项表!$E:$E,考核调整事项表!$G:$G,累计考核费用!$B101,考核调整事项表!$F:$F,累计考核费用!K$55)</f>
        <v>0</v>
      </c>
      <c r="L101" s="157">
        <f t="shared" si="4"/>
        <v>0</v>
      </c>
      <c r="M101" s="157">
        <f>SUMIFS(考核调整事项表!$C:$C,考核调整事项表!$G:$G,累计考核费用!$B101,考核调整事项表!$D:$D,累计考核费用!M$55)+SUMIFS(考核调整事项表!$E:$E,考核调整事项表!$G:$G,累计考核费用!$B101,考核调整事项表!$F:$F,累计考核费用!M$55)</f>
        <v>0</v>
      </c>
      <c r="N101" s="157">
        <f>SUMIFS(考核调整事项表!$C:$C,考核调整事项表!$G:$G,累计考核费用!$B101,考核调整事项表!$D:$D,累计考核费用!N$55)+SUMIFS(考核调整事项表!$E:$E,考核调整事项表!$G:$G,累计考核费用!$B101,考核调整事项表!$F:$F,累计考核费用!N$55)</f>
        <v>0</v>
      </c>
      <c r="O101" s="157">
        <f>SUMIFS(考核调整事项表!$C:$C,考核调整事项表!$G:$G,累计考核费用!$B101,考核调整事项表!$D:$D,累计考核费用!O$55)+SUMIFS(考核调整事项表!$E:$E,考核调整事项表!$G:$G,累计考核费用!$B101,考核调整事项表!$F:$F,累计考核费用!O$55)</f>
        <v>0</v>
      </c>
      <c r="P101" s="157">
        <f>SUMIFS(考核调整事项表!$C:$C,考核调整事项表!$G:$G,累计考核费用!$B101,考核调整事项表!$D:$D,累计考核费用!P$55)+SUMIFS(考核调整事项表!$E:$E,考核调整事项表!$G:$G,累计考核费用!$B101,考核调整事项表!$F:$F,累计考核费用!P$55)</f>
        <v>0</v>
      </c>
      <c r="Q101" s="157">
        <f>SUMIFS(考核调整事项表!$C:$C,考核调整事项表!$G:$G,累计考核费用!$B101,考核调整事项表!$D:$D,累计考核费用!Q$55)+SUMIFS(考核调整事项表!$E:$E,考核调整事项表!$G:$G,累计考核费用!$B101,考核调整事项表!$F:$F,累计考核费用!Q$55)</f>
        <v>0</v>
      </c>
      <c r="R101" s="157">
        <f>SUMIFS(考核调整事项表!$C:$C,考核调整事项表!$G:$G,累计考核费用!$B101,考核调整事项表!$D:$D,累计考核费用!R$55)+SUMIFS(考核调整事项表!$E:$E,考核调整事项表!$G:$G,累计考核费用!$B101,考核调整事项表!$F:$F,累计考核费用!R$55)</f>
        <v>0</v>
      </c>
      <c r="S101" s="157">
        <f>SUMIFS(考核调整事项表!$C:$C,考核调整事项表!$G:$G,累计考核费用!$B101,考核调整事项表!$D:$D,累计考核费用!S$55)+SUMIFS(考核调整事项表!$E:$E,考核调整事项表!$G:$G,累计考核费用!$B101,考核调整事项表!$F:$F,累计考核费用!S$55)</f>
        <v>0</v>
      </c>
      <c r="T101" s="160">
        <f t="shared" si="19"/>
        <v>0</v>
      </c>
      <c r="U101" s="157">
        <f>SUMIFS(考核调整事项表!$C:$C,考核调整事项表!$G:$G,累计考核费用!$B101,考核调整事项表!$D:$D,累计考核费用!U$55)+SUMIFS(考核调整事项表!$E:$E,考核调整事项表!$G:$G,累计考核费用!$B101,考核调整事项表!$F:$F,累计考核费用!U$55)</f>
        <v>0</v>
      </c>
      <c r="V101" s="157">
        <f>SUMIFS(考核调整事项表!$C:$C,考核调整事项表!$G:$G,累计考核费用!$B101,考核调整事项表!$D:$D,累计考核费用!V$55)+SUMIFS(考核调整事项表!$E:$E,考核调整事项表!$G:$G,累计考核费用!$B101,考核调整事项表!$F:$F,累计考核费用!V$55)</f>
        <v>0</v>
      </c>
      <c r="W101" s="157">
        <f>SUMIFS(考核调整事项表!$C:$C,考核调整事项表!$G:$G,累计考核费用!$B101,考核调整事项表!$D:$D,累计考核费用!W$55)+SUMIFS(考核调整事项表!$E:$E,考核调整事项表!$G:$G,累计考核费用!$B101,考核调整事项表!$F:$F,累计考核费用!W$55)</f>
        <v>0</v>
      </c>
      <c r="X101" s="157">
        <f>SUMIFS(考核调整事项表!$C:$C,考核调整事项表!$G:$G,累计考核费用!$B101,考核调整事项表!$D:$D,累计考核费用!X$55)+SUMIFS(考核调整事项表!$E:$E,考核调整事项表!$G:$G,累计考核费用!$B101,考核调整事项表!$F:$F,累计考核费用!X$55)</f>
        <v>0</v>
      </c>
      <c r="Y101" s="157">
        <f>SUMIFS(考核调整事项表!$C:$C,考核调整事项表!$G:$G,累计考核费用!$B101,考核调整事项表!$D:$D,累计考核费用!Y$55)+SUMIFS(考核调整事项表!$E:$E,考核调整事项表!$G:$G,累计考核费用!$B101,考核调整事项表!$F:$F,累计考核费用!Y$55)</f>
        <v>0</v>
      </c>
      <c r="Z101" s="157">
        <f>SUMIFS(考核调整事项表!$C:$C,考核调整事项表!$G:$G,累计考核费用!$B101,考核调整事项表!$D:$D,累计考核费用!Z$55)+SUMIFS(考核调整事项表!$E:$E,考核调整事项表!$G:$G,累计考核费用!$B101,考核调整事项表!$F:$F,累计考核费用!Z$55)</f>
        <v>0</v>
      </c>
      <c r="AA101" s="157">
        <f>SUMIFS(考核调整事项表!$C:$C,考核调整事项表!$G:$G,累计考核费用!$B101,考核调整事项表!$D:$D,累计考核费用!AA$55)+SUMIFS(考核调整事项表!$E:$E,考核调整事项表!$G:$G,累计考核费用!$B101,考核调整事项表!$F:$F,累计考核费用!AA$55)</f>
        <v>0</v>
      </c>
      <c r="AB101" s="157">
        <f>SUMIFS(考核调整事项表!$C:$C,考核调整事项表!$G:$G,累计考核费用!$B101,考核调整事项表!$D:$D,累计考核费用!AB$55)+SUMIFS(考核调整事项表!$E:$E,考核调整事项表!$G:$G,累计考核费用!$B101,考核调整事项表!$F:$F,累计考核费用!AB$55)</f>
        <v>0</v>
      </c>
      <c r="AC101" s="157">
        <f>SUMIFS(考核调整事项表!$C:$C,考核调整事项表!$G:$G,累计考核费用!$B101,考核调整事项表!$D:$D,累计考核费用!AC$55)+SUMIFS(考核调整事项表!$E:$E,考核调整事项表!$G:$G,累计考核费用!$B101,考核调整事项表!$F:$F,累计考核费用!AC$55)</f>
        <v>0</v>
      </c>
    </row>
    <row r="102" spans="1:29">
      <c r="A102" s="274"/>
      <c r="B102" s="47" t="s">
        <v>136</v>
      </c>
      <c r="C102" s="9">
        <f t="shared" si="18"/>
        <v>0</v>
      </c>
      <c r="D102" s="157">
        <f>SUMIFS(考核调整事项表!$C:$C,考核调整事项表!$G:$G,累计考核费用!$B102,考核调整事项表!$D:$D,累计考核费用!D$55)+SUMIFS(考核调整事项表!$E:$E,考核调整事项表!$G:$G,累计考核费用!$B102,考核调整事项表!$F:$F,累计考核费用!D$55)</f>
        <v>0</v>
      </c>
      <c r="E102" s="157">
        <f>SUMIFS(考核调整事项表!$C:$C,考核调整事项表!$G:$G,累计考核费用!$B102,考核调整事项表!$D:$D,累计考核费用!E$55)+SUMIFS(考核调整事项表!$E:$E,考核调整事项表!$G:$G,累计考核费用!$B102,考核调整事项表!$F:$F,累计考核费用!E$55)</f>
        <v>0</v>
      </c>
      <c r="F102" s="157">
        <f>SUMIFS(考核调整事项表!$C:$C,考核调整事项表!$G:$G,累计考核费用!$B102,考核调整事项表!$D:$D,累计考核费用!F$55)+SUMIFS(考核调整事项表!$E:$E,考核调整事项表!$G:$G,累计考核费用!$B102,考核调整事项表!$F:$F,累计考核费用!F$55)</f>
        <v>0</v>
      </c>
      <c r="G102" s="157">
        <f t="shared" si="3"/>
        <v>0</v>
      </c>
      <c r="H102" s="157">
        <f>SUMIFS(考核调整事项表!$C:$C,考核调整事项表!$G:$G,累计考核费用!$B102,考核调整事项表!$D:$D,累计考核费用!H$55)+SUMIFS(考核调整事项表!$E:$E,考核调整事项表!$G:$G,累计考核费用!$B102,考核调整事项表!$F:$F,累计考核费用!H$55)</f>
        <v>0</v>
      </c>
      <c r="I102" s="157">
        <f>SUMIFS(考核调整事项表!$C:$C,考核调整事项表!$G:$G,累计考核费用!$B102,考核调整事项表!$D:$D,累计考核费用!I$55)+SUMIFS(考核调整事项表!$E:$E,考核调整事项表!$G:$G,累计考核费用!$B102,考核调整事项表!$F:$F,累计考核费用!I$55)</f>
        <v>0</v>
      </c>
      <c r="J102" s="157">
        <f>SUMIFS(考核调整事项表!$C:$C,考核调整事项表!$G:$G,累计考核费用!$B102,考核调整事项表!$D:$D,累计考核费用!J$55)+SUMIFS(考核调整事项表!$E:$E,考核调整事项表!$G:$G,累计考核费用!$B102,考核调整事项表!$F:$F,累计考核费用!J$55)</f>
        <v>0</v>
      </c>
      <c r="K102" s="157">
        <f>SUMIFS(考核调整事项表!$C:$C,考核调整事项表!$G:$G,累计考核费用!$B102,考核调整事项表!$D:$D,累计考核费用!K$55)+SUMIFS(考核调整事项表!$E:$E,考核调整事项表!$G:$G,累计考核费用!$B102,考核调整事项表!$F:$F,累计考核费用!K$55)</f>
        <v>0</v>
      </c>
      <c r="L102" s="157">
        <f t="shared" si="4"/>
        <v>0</v>
      </c>
      <c r="M102" s="157">
        <f>SUMIFS(考核调整事项表!$C:$C,考核调整事项表!$G:$G,累计考核费用!$B102,考核调整事项表!$D:$D,累计考核费用!M$55)+SUMIFS(考核调整事项表!$E:$E,考核调整事项表!$G:$G,累计考核费用!$B102,考核调整事项表!$F:$F,累计考核费用!M$55)</f>
        <v>0</v>
      </c>
      <c r="N102" s="157">
        <f>SUMIFS(考核调整事项表!$C:$C,考核调整事项表!$G:$G,累计考核费用!$B102,考核调整事项表!$D:$D,累计考核费用!N$55)+SUMIFS(考核调整事项表!$E:$E,考核调整事项表!$G:$G,累计考核费用!$B102,考核调整事项表!$F:$F,累计考核费用!N$55)</f>
        <v>0</v>
      </c>
      <c r="O102" s="157">
        <f>SUMIFS(考核调整事项表!$C:$C,考核调整事项表!$G:$G,累计考核费用!$B102,考核调整事项表!$D:$D,累计考核费用!O$55)+SUMIFS(考核调整事项表!$E:$E,考核调整事项表!$G:$G,累计考核费用!$B102,考核调整事项表!$F:$F,累计考核费用!O$55)</f>
        <v>0</v>
      </c>
      <c r="P102" s="157">
        <f>SUMIFS(考核调整事项表!$C:$C,考核调整事项表!$G:$G,累计考核费用!$B102,考核调整事项表!$D:$D,累计考核费用!P$55)+SUMIFS(考核调整事项表!$E:$E,考核调整事项表!$G:$G,累计考核费用!$B102,考核调整事项表!$F:$F,累计考核费用!P$55)</f>
        <v>0</v>
      </c>
      <c r="Q102" s="157">
        <f>SUMIFS(考核调整事项表!$C:$C,考核调整事项表!$G:$G,累计考核费用!$B102,考核调整事项表!$D:$D,累计考核费用!Q$55)+SUMIFS(考核调整事项表!$E:$E,考核调整事项表!$G:$G,累计考核费用!$B102,考核调整事项表!$F:$F,累计考核费用!Q$55)</f>
        <v>0</v>
      </c>
      <c r="R102" s="157">
        <f>SUMIFS(考核调整事项表!$C:$C,考核调整事项表!$G:$G,累计考核费用!$B102,考核调整事项表!$D:$D,累计考核费用!R$55)+SUMIFS(考核调整事项表!$E:$E,考核调整事项表!$G:$G,累计考核费用!$B102,考核调整事项表!$F:$F,累计考核费用!R$55)</f>
        <v>0</v>
      </c>
      <c r="S102" s="157">
        <f>SUMIFS(考核调整事项表!$C:$C,考核调整事项表!$G:$G,累计考核费用!$B102,考核调整事项表!$D:$D,累计考核费用!S$55)+SUMIFS(考核调整事项表!$E:$E,考核调整事项表!$G:$G,累计考核费用!$B102,考核调整事项表!$F:$F,累计考核费用!S$55)</f>
        <v>0</v>
      </c>
      <c r="T102" s="160">
        <f t="shared" si="19"/>
        <v>0</v>
      </c>
      <c r="U102" s="157">
        <f>SUMIFS(考核调整事项表!$C:$C,考核调整事项表!$G:$G,累计考核费用!$B102,考核调整事项表!$D:$D,累计考核费用!U$55)+SUMIFS(考核调整事项表!$E:$E,考核调整事项表!$G:$G,累计考核费用!$B102,考核调整事项表!$F:$F,累计考核费用!U$55)</f>
        <v>0</v>
      </c>
      <c r="V102" s="157">
        <f>SUMIFS(考核调整事项表!$C:$C,考核调整事项表!$G:$G,累计考核费用!$B102,考核调整事项表!$D:$D,累计考核费用!V$55)+SUMIFS(考核调整事项表!$E:$E,考核调整事项表!$G:$G,累计考核费用!$B102,考核调整事项表!$F:$F,累计考核费用!V$55)</f>
        <v>0</v>
      </c>
      <c r="W102" s="157">
        <f>SUMIFS(考核调整事项表!$C:$C,考核调整事项表!$G:$G,累计考核费用!$B102,考核调整事项表!$D:$D,累计考核费用!W$55)+SUMIFS(考核调整事项表!$E:$E,考核调整事项表!$G:$G,累计考核费用!$B102,考核调整事项表!$F:$F,累计考核费用!W$55)</f>
        <v>0</v>
      </c>
      <c r="X102" s="157">
        <f>SUMIFS(考核调整事项表!$C:$C,考核调整事项表!$G:$G,累计考核费用!$B102,考核调整事项表!$D:$D,累计考核费用!X$55)+SUMIFS(考核调整事项表!$E:$E,考核调整事项表!$G:$G,累计考核费用!$B102,考核调整事项表!$F:$F,累计考核费用!X$55)</f>
        <v>0</v>
      </c>
      <c r="Y102" s="157">
        <f>SUMIFS(考核调整事项表!$C:$C,考核调整事项表!$G:$G,累计考核费用!$B102,考核调整事项表!$D:$D,累计考核费用!Y$55)+SUMIFS(考核调整事项表!$E:$E,考核调整事项表!$G:$G,累计考核费用!$B102,考核调整事项表!$F:$F,累计考核费用!Y$55)</f>
        <v>0</v>
      </c>
      <c r="Z102" s="157">
        <f>SUMIFS(考核调整事项表!$C:$C,考核调整事项表!$G:$G,累计考核费用!$B102,考核调整事项表!$D:$D,累计考核费用!Z$55)+SUMIFS(考核调整事项表!$E:$E,考核调整事项表!$G:$G,累计考核费用!$B102,考核调整事项表!$F:$F,累计考核费用!Z$55)</f>
        <v>0</v>
      </c>
      <c r="AA102" s="157">
        <f>SUMIFS(考核调整事项表!$C:$C,考核调整事项表!$G:$G,累计考核费用!$B102,考核调整事项表!$D:$D,累计考核费用!AA$55)+SUMIFS(考核调整事项表!$E:$E,考核调整事项表!$G:$G,累计考核费用!$B102,考核调整事项表!$F:$F,累计考核费用!AA$55)</f>
        <v>0</v>
      </c>
      <c r="AB102" s="157">
        <f>SUMIFS(考核调整事项表!$C:$C,考核调整事项表!$G:$G,累计考核费用!$B102,考核调整事项表!$D:$D,累计考核费用!AB$55)+SUMIFS(考核调整事项表!$E:$E,考核调整事项表!$G:$G,累计考核费用!$B102,考核调整事项表!$F:$F,累计考核费用!AB$55)</f>
        <v>0</v>
      </c>
      <c r="AC102" s="157">
        <f>SUMIFS(考核调整事项表!$C:$C,考核调整事项表!$G:$G,累计考核费用!$B102,考核调整事项表!$D:$D,累计考核费用!AC$55)+SUMIFS(考核调整事项表!$E:$E,考核调整事项表!$G:$G,累计考核费用!$B102,考核调整事项表!$F:$F,累计考核费用!AC$55)</f>
        <v>0</v>
      </c>
    </row>
    <row r="103" spans="1:29">
      <c r="A103" s="275"/>
      <c r="B103" s="57" t="s">
        <v>99</v>
      </c>
      <c r="C103" s="162">
        <f>SUM(C87:C102)</f>
        <v>0</v>
      </c>
      <c r="D103" s="162">
        <f t="shared" ref="D103:AC103" si="20">SUM(D87:D102)</f>
        <v>-8269435.0899999989</v>
      </c>
      <c r="E103" s="162">
        <f t="shared" si="20"/>
        <v>-25615.4</v>
      </c>
      <c r="F103" s="162">
        <f t="shared" si="20"/>
        <v>9219067.5899999999</v>
      </c>
      <c r="G103" s="162">
        <f t="shared" si="20"/>
        <v>0</v>
      </c>
      <c r="H103" s="162">
        <f t="shared" si="20"/>
        <v>0</v>
      </c>
      <c r="I103" s="162">
        <f t="shared" si="20"/>
        <v>0</v>
      </c>
      <c r="J103" s="162">
        <f t="shared" si="20"/>
        <v>0</v>
      </c>
      <c r="K103" s="162">
        <f t="shared" si="20"/>
        <v>0</v>
      </c>
      <c r="L103" s="162">
        <f t="shared" si="20"/>
        <v>-924017.1</v>
      </c>
      <c r="M103" s="162">
        <f t="shared" si="20"/>
        <v>0</v>
      </c>
      <c r="N103" s="162">
        <f t="shared" si="20"/>
        <v>0</v>
      </c>
      <c r="O103" s="162">
        <f t="shared" si="20"/>
        <v>0</v>
      </c>
      <c r="P103" s="162">
        <f t="shared" si="20"/>
        <v>0</v>
      </c>
      <c r="Q103" s="162">
        <f t="shared" si="20"/>
        <v>0</v>
      </c>
      <c r="R103" s="162">
        <f t="shared" si="20"/>
        <v>0</v>
      </c>
      <c r="S103" s="162">
        <f t="shared" si="20"/>
        <v>-924017.1</v>
      </c>
      <c r="T103" s="162">
        <f t="shared" si="20"/>
        <v>0</v>
      </c>
      <c r="U103" s="162">
        <f t="shared" si="20"/>
        <v>0</v>
      </c>
      <c r="V103" s="162">
        <f t="shared" si="20"/>
        <v>0</v>
      </c>
      <c r="W103" s="162">
        <f t="shared" si="20"/>
        <v>0</v>
      </c>
      <c r="X103" s="162">
        <f t="shared" si="20"/>
        <v>0</v>
      </c>
      <c r="Y103" s="162">
        <f t="shared" si="20"/>
        <v>0</v>
      </c>
      <c r="Z103" s="162">
        <f t="shared" si="20"/>
        <v>0</v>
      </c>
      <c r="AA103" s="162">
        <f t="shared" ref="AA103" si="21">SUM(AA87:AA102)</f>
        <v>0</v>
      </c>
      <c r="AB103" s="162">
        <f t="shared" si="20"/>
        <v>0</v>
      </c>
      <c r="AC103" s="162">
        <f t="shared" si="20"/>
        <v>0</v>
      </c>
    </row>
    <row r="104" spans="1:29" ht="14.25" thickBot="1">
      <c r="A104" s="14"/>
      <c r="B104" s="59" t="s">
        <v>3</v>
      </c>
      <c r="C104" s="16">
        <f>C103+C86+C66+C72</f>
        <v>-6.9121597334742546E-11</v>
      </c>
      <c r="D104" s="16">
        <f t="shared" ref="D104:AC104" si="22">D103+D86+D66+D72</f>
        <v>-826075.48000000045</v>
      </c>
      <c r="E104" s="16">
        <f>E103+E86+E66+E72</f>
        <v>20655168.309999999</v>
      </c>
      <c r="F104" s="16">
        <f t="shared" si="22"/>
        <v>-3007231.8200000003</v>
      </c>
      <c r="G104" s="16">
        <f t="shared" si="22"/>
        <v>858757.84000000008</v>
      </c>
      <c r="H104" s="16">
        <f t="shared" si="22"/>
        <v>-712393.44000000006</v>
      </c>
      <c r="I104" s="16">
        <f t="shared" si="22"/>
        <v>24700</v>
      </c>
      <c r="J104" s="16">
        <f t="shared" si="22"/>
        <v>1510019.21</v>
      </c>
      <c r="K104" s="16">
        <f t="shared" si="22"/>
        <v>36432.070000000065</v>
      </c>
      <c r="L104" s="16">
        <f t="shared" si="22"/>
        <v>-705976.5</v>
      </c>
      <c r="M104" s="16">
        <f t="shared" si="22"/>
        <v>-100332.65</v>
      </c>
      <c r="N104" s="16">
        <f t="shared" si="22"/>
        <v>-28430.720000000001</v>
      </c>
      <c r="O104" s="16">
        <f t="shared" si="22"/>
        <v>6964.739999999998</v>
      </c>
      <c r="P104" s="16">
        <f t="shared" si="22"/>
        <v>126650.37999999998</v>
      </c>
      <c r="Q104" s="16">
        <f t="shared" si="22"/>
        <v>3237.12</v>
      </c>
      <c r="R104" s="16">
        <f t="shared" si="22"/>
        <v>209951.72999999998</v>
      </c>
      <c r="S104" s="16">
        <f t="shared" si="22"/>
        <v>-924017.1</v>
      </c>
      <c r="T104" s="16">
        <f t="shared" si="22"/>
        <v>-18458529.789999999</v>
      </c>
      <c r="U104" s="16">
        <f t="shared" si="22"/>
        <v>51889.16</v>
      </c>
      <c r="V104" s="16">
        <f t="shared" si="22"/>
        <v>-15381652.369999999</v>
      </c>
      <c r="W104" s="16">
        <f t="shared" si="22"/>
        <v>-3273999.37</v>
      </c>
      <c r="X104" s="16">
        <f t="shared" si="22"/>
        <v>0</v>
      </c>
      <c r="Y104" s="16">
        <f t="shared" si="22"/>
        <v>0</v>
      </c>
      <c r="Z104" s="16">
        <f t="shared" si="22"/>
        <v>0</v>
      </c>
      <c r="AA104" s="16">
        <f t="shared" ref="AA104" si="23">AA103+AA86+AA66+AA72</f>
        <v>145232.79</v>
      </c>
      <c r="AB104" s="16">
        <f t="shared" si="22"/>
        <v>1483887.4400000002</v>
      </c>
      <c r="AC104" s="16">
        <f t="shared" si="22"/>
        <v>0</v>
      </c>
    </row>
    <row r="106" spans="1:29" ht="14.25" thickBot="1">
      <c r="B106" s="148" t="s">
        <v>64</v>
      </c>
    </row>
    <row r="107" spans="1:29">
      <c r="A107" s="17" t="s">
        <v>86</v>
      </c>
      <c r="B107" s="18" t="s">
        <v>87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>N3</f>
        <v>固定收益市场部</v>
      </c>
      <c r="O107" s="24" t="str">
        <f>O3</f>
        <v>投顾业务部</v>
      </c>
      <c r="P107" s="24" t="str">
        <f>累计利润调整表!O3</f>
        <v>证券投资部</v>
      </c>
      <c r="Q107" s="24" t="str">
        <f>Q3</f>
        <v>做市业务部</v>
      </c>
      <c r="R107" s="24" t="str">
        <f>累计利润调整表!Q3</f>
        <v>金融衍生品部</v>
      </c>
      <c r="S107" s="24" t="str">
        <f>累计利润调整表!R3</f>
        <v>深圳管理总部</v>
      </c>
      <c r="T107" s="19" t="str">
        <f>累计利润调整表!S3</f>
        <v>投资银行合计</v>
      </c>
      <c r="U107" s="24" t="str">
        <f>累计利润调整表!T3</f>
        <v>投资银行三部</v>
      </c>
      <c r="V107" s="24" t="str">
        <f>累计利润调整表!U3</f>
        <v>投资银行一部</v>
      </c>
      <c r="W107" s="24" t="str">
        <f>累计利润调整表!V3</f>
        <v>投资银行二部</v>
      </c>
      <c r="X107" s="24" t="s">
        <v>24</v>
      </c>
      <c r="Y107" s="24" t="s">
        <v>25</v>
      </c>
      <c r="Z107" s="24" t="s">
        <v>26</v>
      </c>
      <c r="AA107" s="24" t="s">
        <v>504</v>
      </c>
      <c r="AB107" s="19" t="s">
        <v>487</v>
      </c>
      <c r="AC107" s="19" t="s">
        <v>486</v>
      </c>
    </row>
    <row r="108" spans="1:29" ht="13.5" customHeight="1">
      <c r="A108" s="279" t="s">
        <v>88</v>
      </c>
      <c r="B108" s="47" t="s">
        <v>89</v>
      </c>
      <c r="C108" s="9">
        <f>SUM(D108:G108)+L108+T108+AC108+AB108</f>
        <v>194387700.78</v>
      </c>
      <c r="D108" s="9">
        <f t="shared" ref="D108:Z108" si="24">D4+D56</f>
        <v>0</v>
      </c>
      <c r="E108" s="9">
        <f t="shared" si="24"/>
        <v>50588497.969999991</v>
      </c>
      <c r="F108" s="9">
        <f t="shared" si="24"/>
        <v>92543813.460000008</v>
      </c>
      <c r="G108" s="9">
        <f t="shared" si="24"/>
        <v>8950003.4799999986</v>
      </c>
      <c r="H108" s="9">
        <f t="shared" si="24"/>
        <v>2496393.2899999991</v>
      </c>
      <c r="I108" s="9">
        <f t="shared" si="24"/>
        <v>2125669.54</v>
      </c>
      <c r="J108" s="9">
        <f t="shared" si="24"/>
        <v>1481972.2</v>
      </c>
      <c r="K108" s="9">
        <f t="shared" si="24"/>
        <v>2845968.4499999997</v>
      </c>
      <c r="L108" s="9">
        <f t="shared" si="24"/>
        <v>12416979.530000001</v>
      </c>
      <c r="M108" s="9">
        <f t="shared" si="24"/>
        <v>897962.28</v>
      </c>
      <c r="N108" s="9">
        <f t="shared" si="24"/>
        <v>1672342.4000000004</v>
      </c>
      <c r="O108" s="9">
        <f t="shared" si="24"/>
        <v>632596.90000000014</v>
      </c>
      <c r="P108" s="9">
        <f t="shared" si="24"/>
        <v>3645759.26</v>
      </c>
      <c r="Q108" s="9">
        <f t="shared" si="24"/>
        <v>1881482.6900000002</v>
      </c>
      <c r="R108" s="9">
        <f t="shared" si="24"/>
        <v>2096188.5299999998</v>
      </c>
      <c r="S108" s="9">
        <f t="shared" si="24"/>
        <v>1590647.4700000002</v>
      </c>
      <c r="T108" s="9">
        <f>T4+T56</f>
        <v>21708730.25</v>
      </c>
      <c r="U108" s="9">
        <f t="shared" si="24"/>
        <v>4118834</v>
      </c>
      <c r="V108" s="9">
        <f t="shared" si="24"/>
        <v>7407187.6600000001</v>
      </c>
      <c r="W108" s="9">
        <f t="shared" si="24"/>
        <v>8069612.5999999996</v>
      </c>
      <c r="X108" s="9">
        <f t="shared" si="24"/>
        <v>1484356.62</v>
      </c>
      <c r="Y108" s="9">
        <f t="shared" si="24"/>
        <v>435522.14</v>
      </c>
      <c r="Z108" s="9">
        <f t="shared" si="24"/>
        <v>193217.22999999998</v>
      </c>
      <c r="AA108" s="9">
        <f t="shared" ref="AA108:AB108" si="25">AA4+AA56</f>
        <v>0</v>
      </c>
      <c r="AB108" s="9">
        <f t="shared" si="25"/>
        <v>4445449.51</v>
      </c>
      <c r="AC108" s="9">
        <f t="shared" ref="AC108" si="26">AC4+AC56</f>
        <v>3734226.5799999996</v>
      </c>
    </row>
    <row r="109" spans="1:29">
      <c r="A109" s="280"/>
      <c r="B109" s="47" t="s">
        <v>90</v>
      </c>
      <c r="C109" s="9">
        <f t="shared" ref="C109:C117" si="27">SUM(D109:G109)+L109+T109+AC109+AB109</f>
        <v>3148068.3699999996</v>
      </c>
      <c r="D109" s="9">
        <f t="shared" ref="D109:Z109" si="28">D5+D57</f>
        <v>0</v>
      </c>
      <c r="E109" s="9">
        <f t="shared" si="28"/>
        <v>985690.7</v>
      </c>
      <c r="F109" s="9">
        <f t="shared" si="28"/>
        <v>1256784.97</v>
      </c>
      <c r="G109" s="9">
        <f t="shared" si="28"/>
        <v>149095.91999999998</v>
      </c>
      <c r="H109" s="9">
        <f t="shared" si="28"/>
        <v>86360.739999999991</v>
      </c>
      <c r="I109" s="9">
        <f t="shared" si="28"/>
        <v>53167.08</v>
      </c>
      <c r="J109" s="9">
        <f t="shared" si="28"/>
        <v>4305.68</v>
      </c>
      <c r="K109" s="9">
        <f t="shared" si="28"/>
        <v>5262.42</v>
      </c>
      <c r="L109" s="9">
        <f t="shared" si="28"/>
        <v>98334.36</v>
      </c>
      <c r="M109" s="9">
        <f t="shared" si="28"/>
        <v>6530</v>
      </c>
      <c r="N109" s="9">
        <f t="shared" si="28"/>
        <v>3395</v>
      </c>
      <c r="O109" s="9">
        <f t="shared" si="28"/>
        <v>1630</v>
      </c>
      <c r="P109" s="9">
        <f t="shared" si="28"/>
        <v>21617.599999999999</v>
      </c>
      <c r="Q109" s="9">
        <f t="shared" si="28"/>
        <v>12600</v>
      </c>
      <c r="R109" s="9">
        <f t="shared" si="28"/>
        <v>3150.86</v>
      </c>
      <c r="S109" s="9">
        <f t="shared" si="28"/>
        <v>49410.9</v>
      </c>
      <c r="T109" s="9">
        <f t="shared" si="28"/>
        <v>402089.62</v>
      </c>
      <c r="U109" s="9">
        <f t="shared" si="28"/>
        <v>88383.87</v>
      </c>
      <c r="V109" s="9">
        <f t="shared" si="28"/>
        <v>200149.51</v>
      </c>
      <c r="W109" s="9">
        <f t="shared" si="28"/>
        <v>94669.119999999995</v>
      </c>
      <c r="X109" s="9">
        <f t="shared" si="28"/>
        <v>18887.12</v>
      </c>
      <c r="Y109" s="9">
        <f t="shared" si="28"/>
        <v>0</v>
      </c>
      <c r="Z109" s="9">
        <f t="shared" si="28"/>
        <v>0</v>
      </c>
      <c r="AA109" s="9">
        <f t="shared" ref="AA109:AB109" si="29">AA5+AA57</f>
        <v>0</v>
      </c>
      <c r="AB109" s="9">
        <f t="shared" si="29"/>
        <v>142942.79999999999</v>
      </c>
      <c r="AC109" s="9">
        <f t="shared" ref="AC109" si="30">AC5+AC57</f>
        <v>113130</v>
      </c>
    </row>
    <row r="110" spans="1:29">
      <c r="A110" s="280"/>
      <c r="B110" s="47" t="s">
        <v>91</v>
      </c>
      <c r="C110" s="9">
        <f t="shared" si="27"/>
        <v>6379788.9900000012</v>
      </c>
      <c r="D110" s="9">
        <f t="shared" ref="D110:Z110" si="31">D6+D58</f>
        <v>0</v>
      </c>
      <c r="E110" s="9">
        <f t="shared" si="31"/>
        <v>616030.09</v>
      </c>
      <c r="F110" s="9">
        <f t="shared" si="31"/>
        <v>3224437.5500000007</v>
      </c>
      <c r="G110" s="9">
        <f t="shared" si="31"/>
        <v>201966.44000000003</v>
      </c>
      <c r="H110" s="9">
        <f t="shared" si="31"/>
        <v>60741.229999999996</v>
      </c>
      <c r="I110" s="9">
        <f t="shared" si="31"/>
        <v>42765.8</v>
      </c>
      <c r="J110" s="9">
        <f t="shared" si="31"/>
        <v>30182.239999999998</v>
      </c>
      <c r="K110" s="9">
        <f t="shared" si="31"/>
        <v>68277.17</v>
      </c>
      <c r="L110" s="9">
        <f t="shared" si="31"/>
        <v>251878.80000000002</v>
      </c>
      <c r="M110" s="9">
        <f t="shared" si="31"/>
        <v>17804.82</v>
      </c>
      <c r="N110" s="9">
        <f t="shared" si="31"/>
        <v>34262.86</v>
      </c>
      <c r="O110" s="9">
        <f t="shared" si="31"/>
        <v>12878.73</v>
      </c>
      <c r="P110" s="9">
        <f t="shared" si="31"/>
        <v>73947.59</v>
      </c>
      <c r="Q110" s="9">
        <f t="shared" si="31"/>
        <v>38192.44</v>
      </c>
      <c r="R110" s="9">
        <f t="shared" si="31"/>
        <v>42584.570000000007</v>
      </c>
      <c r="S110" s="9">
        <f t="shared" si="31"/>
        <v>32207.79</v>
      </c>
      <c r="T110" s="9">
        <f t="shared" si="31"/>
        <v>1949928.3200000003</v>
      </c>
      <c r="U110" s="9">
        <f t="shared" si="31"/>
        <v>110068.70000000001</v>
      </c>
      <c r="V110" s="9">
        <f t="shared" si="31"/>
        <v>1495533.7600000002</v>
      </c>
      <c r="W110" s="9">
        <f t="shared" si="31"/>
        <v>300494.3</v>
      </c>
      <c r="X110" s="9">
        <f t="shared" si="31"/>
        <v>31256.78</v>
      </c>
      <c r="Y110" s="9">
        <f t="shared" si="31"/>
        <v>8710.44</v>
      </c>
      <c r="Z110" s="9">
        <f t="shared" si="31"/>
        <v>3864.34</v>
      </c>
      <c r="AA110" s="9">
        <f t="shared" ref="AA110:AB110" si="32">AA6+AA58</f>
        <v>0</v>
      </c>
      <c r="AB110" s="9">
        <f t="shared" si="32"/>
        <v>59033.12999999999</v>
      </c>
      <c r="AC110" s="9">
        <f t="shared" ref="AC110" si="33">AC6+AC58</f>
        <v>76514.66</v>
      </c>
    </row>
    <row r="111" spans="1:29">
      <c r="A111" s="280"/>
      <c r="B111" s="47" t="s">
        <v>92</v>
      </c>
      <c r="C111" s="9">
        <f t="shared" si="27"/>
        <v>4789746.8999999994</v>
      </c>
      <c r="D111" s="9">
        <f t="shared" ref="D111:Z111" si="34">D7+D59</f>
        <v>0</v>
      </c>
      <c r="E111" s="9">
        <f t="shared" si="34"/>
        <v>1913117.4000000001</v>
      </c>
      <c r="F111" s="9">
        <f t="shared" si="34"/>
        <v>1820596.3400000003</v>
      </c>
      <c r="G111" s="9">
        <f t="shared" si="34"/>
        <v>125343.94000000003</v>
      </c>
      <c r="H111" s="9">
        <f t="shared" si="34"/>
        <v>47330.610000000008</v>
      </c>
      <c r="I111" s="9">
        <f t="shared" si="34"/>
        <v>15555.99</v>
      </c>
      <c r="J111" s="9">
        <f t="shared" si="34"/>
        <v>30969.23</v>
      </c>
      <c r="K111" s="9">
        <f t="shared" si="34"/>
        <v>31488.11</v>
      </c>
      <c r="L111" s="9">
        <f t="shared" si="34"/>
        <v>166033.37999999998</v>
      </c>
      <c r="M111" s="9">
        <f t="shared" si="34"/>
        <v>22717.5</v>
      </c>
      <c r="N111" s="9">
        <f t="shared" si="34"/>
        <v>38284.49</v>
      </c>
      <c r="O111" s="9">
        <f t="shared" si="34"/>
        <v>15033.65</v>
      </c>
      <c r="P111" s="9">
        <f t="shared" si="34"/>
        <v>29990.65</v>
      </c>
      <c r="Q111" s="9">
        <f t="shared" si="34"/>
        <v>18390.82</v>
      </c>
      <c r="R111" s="9">
        <f t="shared" si="34"/>
        <v>26324.42</v>
      </c>
      <c r="S111" s="9">
        <f t="shared" si="34"/>
        <v>15291.85</v>
      </c>
      <c r="T111" s="9">
        <f t="shared" si="34"/>
        <v>670849.35000000009</v>
      </c>
      <c r="U111" s="9">
        <f t="shared" si="34"/>
        <v>63104.53</v>
      </c>
      <c r="V111" s="9">
        <f t="shared" si="34"/>
        <v>402417.86</v>
      </c>
      <c r="W111" s="9">
        <f t="shared" si="34"/>
        <v>186964.79</v>
      </c>
      <c r="X111" s="9">
        <f t="shared" si="34"/>
        <v>14777.27</v>
      </c>
      <c r="Y111" s="9">
        <f t="shared" si="34"/>
        <v>0</v>
      </c>
      <c r="Z111" s="9">
        <f t="shared" si="34"/>
        <v>0</v>
      </c>
      <c r="AA111" s="9">
        <f t="shared" ref="AA111:AB111" si="35">AA7+AA59</f>
        <v>3584.9</v>
      </c>
      <c r="AB111" s="9">
        <f t="shared" si="35"/>
        <v>51780.810000000012</v>
      </c>
      <c r="AC111" s="9">
        <f t="shared" ref="AC111" si="36">AC7+AC59</f>
        <v>42025.679999999993</v>
      </c>
    </row>
    <row r="112" spans="1:29">
      <c r="A112" s="280"/>
      <c r="B112" s="47" t="s">
        <v>93</v>
      </c>
      <c r="C112" s="9">
        <f t="shared" si="27"/>
        <v>54250134.279999986</v>
      </c>
      <c r="D112" s="9">
        <f t="shared" ref="D112:Z112" si="37">D8+D60</f>
        <v>0</v>
      </c>
      <c r="E112" s="9">
        <f t="shared" si="37"/>
        <v>12786289.5</v>
      </c>
      <c r="F112" s="9">
        <f t="shared" si="37"/>
        <v>27770541.729999993</v>
      </c>
      <c r="G112" s="9">
        <f t="shared" si="37"/>
        <v>2448623.6400000006</v>
      </c>
      <c r="H112" s="9">
        <f t="shared" si="37"/>
        <v>748794.1</v>
      </c>
      <c r="I112" s="9">
        <f t="shared" si="37"/>
        <v>723080.28999999992</v>
      </c>
      <c r="J112" s="9">
        <f t="shared" si="37"/>
        <v>370373.3</v>
      </c>
      <c r="K112" s="9">
        <f t="shared" si="37"/>
        <v>606375.94999999995</v>
      </c>
      <c r="L112" s="9">
        <f t="shared" si="37"/>
        <v>2698075.48</v>
      </c>
      <c r="M112" s="9">
        <f t="shared" si="37"/>
        <v>143754.63999999998</v>
      </c>
      <c r="N112" s="9">
        <f t="shared" si="37"/>
        <v>389893.93</v>
      </c>
      <c r="O112" s="9">
        <f t="shared" si="37"/>
        <v>116689.49999999999</v>
      </c>
      <c r="P112" s="9">
        <f t="shared" si="37"/>
        <v>861593.17999999993</v>
      </c>
      <c r="Q112" s="9">
        <f t="shared" si="37"/>
        <v>407518.89999999997</v>
      </c>
      <c r="R112" s="9">
        <f t="shared" si="37"/>
        <v>397367.31000000006</v>
      </c>
      <c r="S112" s="9">
        <f t="shared" si="37"/>
        <v>381258.01999999996</v>
      </c>
      <c r="T112" s="9">
        <f t="shared" si="37"/>
        <v>6324587.3600000003</v>
      </c>
      <c r="U112" s="9">
        <f t="shared" si="37"/>
        <v>1336183.4000000001</v>
      </c>
      <c r="V112" s="9">
        <f t="shared" si="37"/>
        <v>2193843.5900000003</v>
      </c>
      <c r="W112" s="9">
        <f t="shared" si="37"/>
        <v>2101402.7699999996</v>
      </c>
      <c r="X112" s="9">
        <f t="shared" si="37"/>
        <v>392653.53</v>
      </c>
      <c r="Y112" s="9">
        <f t="shared" si="37"/>
        <v>201488.08999999997</v>
      </c>
      <c r="Z112" s="9">
        <f t="shared" si="37"/>
        <v>99015.98000000001</v>
      </c>
      <c r="AA112" s="9">
        <f t="shared" ref="AA112:AB112" si="38">AA8+AA60</f>
        <v>0</v>
      </c>
      <c r="AB112" s="9">
        <f t="shared" si="38"/>
        <v>890809.23999999987</v>
      </c>
      <c r="AC112" s="9">
        <f t="shared" ref="AC112" si="39">AC8+AC60</f>
        <v>1331207.3299999998</v>
      </c>
    </row>
    <row r="113" spans="1:29">
      <c r="A113" s="280"/>
      <c r="B113" s="47" t="s">
        <v>94</v>
      </c>
      <c r="C113" s="9">
        <f t="shared" si="27"/>
        <v>359744.37</v>
      </c>
      <c r="D113" s="9">
        <f t="shared" ref="D113:Z113" si="40">D9+D61</f>
        <v>0</v>
      </c>
      <c r="E113" s="9">
        <f t="shared" si="40"/>
        <v>200000</v>
      </c>
      <c r="F113" s="9">
        <f t="shared" si="40"/>
        <v>112749</v>
      </c>
      <c r="G113" s="9">
        <f t="shared" si="40"/>
        <v>46995.37</v>
      </c>
      <c r="H113" s="9">
        <f t="shared" si="40"/>
        <v>0</v>
      </c>
      <c r="I113" s="9">
        <f t="shared" si="40"/>
        <v>0</v>
      </c>
      <c r="J113" s="9">
        <f t="shared" si="40"/>
        <v>0</v>
      </c>
      <c r="K113" s="9">
        <f t="shared" si="40"/>
        <v>46995.37</v>
      </c>
      <c r="L113" s="9">
        <f t="shared" si="40"/>
        <v>0</v>
      </c>
      <c r="M113" s="9">
        <f t="shared" si="40"/>
        <v>0</v>
      </c>
      <c r="N113" s="9">
        <f t="shared" si="40"/>
        <v>0</v>
      </c>
      <c r="O113" s="9">
        <f t="shared" si="40"/>
        <v>0</v>
      </c>
      <c r="P113" s="9">
        <f t="shared" si="40"/>
        <v>0</v>
      </c>
      <c r="Q113" s="9">
        <f t="shared" si="40"/>
        <v>0</v>
      </c>
      <c r="R113" s="9">
        <f t="shared" si="40"/>
        <v>0</v>
      </c>
      <c r="S113" s="9">
        <f t="shared" si="40"/>
        <v>0</v>
      </c>
      <c r="T113" s="9">
        <f t="shared" si="40"/>
        <v>0</v>
      </c>
      <c r="U113" s="9">
        <f t="shared" si="40"/>
        <v>0</v>
      </c>
      <c r="V113" s="9">
        <f t="shared" si="40"/>
        <v>0</v>
      </c>
      <c r="W113" s="9">
        <f t="shared" si="40"/>
        <v>0</v>
      </c>
      <c r="X113" s="9">
        <f t="shared" si="40"/>
        <v>0</v>
      </c>
      <c r="Y113" s="9">
        <f t="shared" si="40"/>
        <v>0</v>
      </c>
      <c r="Z113" s="9">
        <f t="shared" si="40"/>
        <v>0</v>
      </c>
      <c r="AA113" s="9">
        <f t="shared" ref="AA113:AB113" si="41">AA9+AA61</f>
        <v>0</v>
      </c>
      <c r="AB113" s="9">
        <f t="shared" si="41"/>
        <v>0</v>
      </c>
      <c r="AC113" s="9">
        <f t="shared" ref="AC113" si="42">AC9+AC61</f>
        <v>0</v>
      </c>
    </row>
    <row r="114" spans="1:29">
      <c r="A114" s="280"/>
      <c r="B114" s="47" t="s">
        <v>95</v>
      </c>
      <c r="C114" s="9">
        <f t="shared" si="27"/>
        <v>2711405.1700000004</v>
      </c>
      <c r="D114" s="9">
        <f t="shared" ref="D114:Z114" si="43">D10+D62</f>
        <v>0</v>
      </c>
      <c r="E114" s="9">
        <f t="shared" si="43"/>
        <v>2570516.8899999997</v>
      </c>
      <c r="F114" s="9">
        <f t="shared" si="43"/>
        <v>137946.47999999995</v>
      </c>
      <c r="G114" s="9">
        <f t="shared" si="43"/>
        <v>11789.100000000002</v>
      </c>
      <c r="H114" s="9">
        <f t="shared" si="43"/>
        <v>14625</v>
      </c>
      <c r="I114" s="9">
        <f t="shared" si="43"/>
        <v>-945.3</v>
      </c>
      <c r="J114" s="9">
        <f t="shared" si="43"/>
        <v>0</v>
      </c>
      <c r="K114" s="9">
        <f t="shared" si="43"/>
        <v>-1890.6</v>
      </c>
      <c r="L114" s="9">
        <f t="shared" si="43"/>
        <v>-945.3</v>
      </c>
      <c r="M114" s="9">
        <f t="shared" si="43"/>
        <v>0</v>
      </c>
      <c r="N114" s="9">
        <f t="shared" si="43"/>
        <v>0</v>
      </c>
      <c r="O114" s="9">
        <f t="shared" si="43"/>
        <v>0</v>
      </c>
      <c r="P114" s="9">
        <f t="shared" si="43"/>
        <v>0</v>
      </c>
      <c r="Q114" s="9">
        <f t="shared" si="43"/>
        <v>0</v>
      </c>
      <c r="R114" s="9">
        <f t="shared" si="43"/>
        <v>0</v>
      </c>
      <c r="S114" s="9">
        <f t="shared" si="43"/>
        <v>-945.3</v>
      </c>
      <c r="T114" s="9">
        <f t="shared" si="43"/>
        <v>-4896.2999999999993</v>
      </c>
      <c r="U114" s="9">
        <f t="shared" si="43"/>
        <v>-1115.0999999999999</v>
      </c>
      <c r="V114" s="9">
        <f t="shared" si="43"/>
        <v>-945.3</v>
      </c>
      <c r="W114" s="9">
        <f t="shared" si="43"/>
        <v>-2835.8999999999996</v>
      </c>
      <c r="X114" s="9">
        <f t="shared" si="43"/>
        <v>0</v>
      </c>
      <c r="Y114" s="9">
        <f t="shared" si="43"/>
        <v>0</v>
      </c>
      <c r="Z114" s="9">
        <f t="shared" si="43"/>
        <v>0</v>
      </c>
      <c r="AA114" s="9">
        <f t="shared" ref="AA114:AB114" si="44">AA10+AA62</f>
        <v>0</v>
      </c>
      <c r="AB114" s="9">
        <f t="shared" si="44"/>
        <v>-945.3</v>
      </c>
      <c r="AC114" s="9">
        <f t="shared" ref="AC114" si="45">AC10+AC62</f>
        <v>-2060.3999999999996</v>
      </c>
    </row>
    <row r="115" spans="1:29">
      <c r="A115" s="280"/>
      <c r="B115" s="47" t="s">
        <v>96</v>
      </c>
      <c r="C115" s="9">
        <f t="shared" si="27"/>
        <v>2536684.4899999998</v>
      </c>
      <c r="D115" s="9">
        <f t="shared" ref="D115:Z115" si="46">D11+D63</f>
        <v>0</v>
      </c>
      <c r="E115" s="9">
        <f t="shared" si="46"/>
        <v>469550</v>
      </c>
      <c r="F115" s="9">
        <f t="shared" si="46"/>
        <v>1690986.21</v>
      </c>
      <c r="G115" s="9">
        <f t="shared" si="46"/>
        <v>111080</v>
      </c>
      <c r="H115" s="9">
        <f t="shared" si="46"/>
        <v>26120</v>
      </c>
      <c r="I115" s="9">
        <f t="shared" si="46"/>
        <v>12620</v>
      </c>
      <c r="J115" s="9">
        <f t="shared" si="46"/>
        <v>27140</v>
      </c>
      <c r="K115" s="9">
        <f t="shared" si="46"/>
        <v>45200</v>
      </c>
      <c r="L115" s="9">
        <f t="shared" si="46"/>
        <v>173560</v>
      </c>
      <c r="M115" s="9">
        <f t="shared" si="46"/>
        <v>-7720</v>
      </c>
      <c r="N115" s="9">
        <f t="shared" si="46"/>
        <v>40800</v>
      </c>
      <c r="O115" s="9">
        <f t="shared" si="46"/>
        <v>11340</v>
      </c>
      <c r="P115" s="9">
        <f t="shared" si="46"/>
        <v>51620</v>
      </c>
      <c r="Q115" s="9">
        <f t="shared" si="46"/>
        <v>28140</v>
      </c>
      <c r="R115" s="9">
        <f t="shared" si="46"/>
        <v>29640</v>
      </c>
      <c r="S115" s="9">
        <f t="shared" si="46"/>
        <v>19740</v>
      </c>
      <c r="T115" s="9">
        <f t="shared" si="46"/>
        <v>0</v>
      </c>
      <c r="U115" s="9">
        <f t="shared" si="46"/>
        <v>0</v>
      </c>
      <c r="V115" s="9">
        <f t="shared" si="46"/>
        <v>0</v>
      </c>
      <c r="W115" s="9">
        <f t="shared" si="46"/>
        <v>0</v>
      </c>
      <c r="X115" s="9">
        <f t="shared" si="46"/>
        <v>0</v>
      </c>
      <c r="Y115" s="9">
        <f t="shared" si="46"/>
        <v>0</v>
      </c>
      <c r="Z115" s="9">
        <f t="shared" si="46"/>
        <v>0</v>
      </c>
      <c r="AA115" s="9">
        <f t="shared" ref="AA115:AB115" si="47">AA11+AA63</f>
        <v>0</v>
      </c>
      <c r="AB115" s="9">
        <f t="shared" si="47"/>
        <v>0</v>
      </c>
      <c r="AC115" s="9">
        <f t="shared" ref="AC115" si="48">AC11+AC63</f>
        <v>91508.28</v>
      </c>
    </row>
    <row r="116" spans="1:29">
      <c r="A116" s="280"/>
      <c r="B116" s="47" t="s">
        <v>97</v>
      </c>
      <c r="C116" s="9">
        <f t="shared" si="27"/>
        <v>3770432.26</v>
      </c>
      <c r="D116" s="9">
        <f t="shared" ref="D116:Z116" si="49">D12+D64</f>
        <v>0</v>
      </c>
      <c r="E116" s="9">
        <f t="shared" si="49"/>
        <v>1417965.66</v>
      </c>
      <c r="F116" s="9">
        <f t="shared" si="49"/>
        <v>906097.62</v>
      </c>
      <c r="G116" s="9">
        <f t="shared" si="49"/>
        <v>0</v>
      </c>
      <c r="H116" s="9">
        <f t="shared" si="49"/>
        <v>0</v>
      </c>
      <c r="I116" s="9">
        <f t="shared" si="49"/>
        <v>0</v>
      </c>
      <c r="J116" s="9">
        <f t="shared" si="49"/>
        <v>0</v>
      </c>
      <c r="K116" s="9">
        <f t="shared" si="49"/>
        <v>0</v>
      </c>
      <c r="L116" s="9">
        <f t="shared" si="49"/>
        <v>382521.05999999994</v>
      </c>
      <c r="M116" s="9">
        <f t="shared" si="49"/>
        <v>0</v>
      </c>
      <c r="N116" s="9">
        <f t="shared" si="49"/>
        <v>0</v>
      </c>
      <c r="O116" s="9">
        <f t="shared" si="49"/>
        <v>0</v>
      </c>
      <c r="P116" s="9">
        <f t="shared" si="49"/>
        <v>0</v>
      </c>
      <c r="Q116" s="9">
        <f t="shared" si="49"/>
        <v>0</v>
      </c>
      <c r="R116" s="9">
        <f t="shared" si="49"/>
        <v>0</v>
      </c>
      <c r="S116" s="9">
        <f t="shared" si="49"/>
        <v>382521.05999999994</v>
      </c>
      <c r="T116" s="9">
        <f t="shared" si="49"/>
        <v>0</v>
      </c>
      <c r="U116" s="9">
        <f t="shared" si="49"/>
        <v>0</v>
      </c>
      <c r="V116" s="9">
        <f t="shared" si="49"/>
        <v>0</v>
      </c>
      <c r="W116" s="9">
        <f t="shared" si="49"/>
        <v>0</v>
      </c>
      <c r="X116" s="9">
        <f t="shared" si="49"/>
        <v>0</v>
      </c>
      <c r="Y116" s="9">
        <f t="shared" si="49"/>
        <v>0</v>
      </c>
      <c r="Z116" s="9">
        <f t="shared" si="49"/>
        <v>0</v>
      </c>
      <c r="AA116" s="9">
        <f t="shared" ref="AA116:AB116" si="50">AA12+AA64</f>
        <v>0</v>
      </c>
      <c r="AB116" s="9">
        <f t="shared" si="50"/>
        <v>120240.07999999997</v>
      </c>
      <c r="AC116" s="9">
        <f t="shared" ref="AC116" si="51">AC12+AC64</f>
        <v>943607.84000000008</v>
      </c>
    </row>
    <row r="117" spans="1:29">
      <c r="A117" s="280"/>
      <c r="B117" s="47" t="s">
        <v>98</v>
      </c>
      <c r="C117" s="9">
        <f t="shared" si="27"/>
        <v>17500000</v>
      </c>
      <c r="D117" s="9">
        <f t="shared" ref="D117:Z117" si="52">D13+D65</f>
        <v>0</v>
      </c>
      <c r="E117" s="9">
        <f t="shared" si="52"/>
        <v>17500000</v>
      </c>
      <c r="F117" s="9">
        <f t="shared" si="52"/>
        <v>0</v>
      </c>
      <c r="G117" s="9">
        <f t="shared" si="52"/>
        <v>0</v>
      </c>
      <c r="H117" s="9">
        <f t="shared" si="52"/>
        <v>0</v>
      </c>
      <c r="I117" s="9">
        <f t="shared" si="52"/>
        <v>0</v>
      </c>
      <c r="J117" s="9">
        <f t="shared" si="52"/>
        <v>0</v>
      </c>
      <c r="K117" s="9">
        <f t="shared" si="52"/>
        <v>0</v>
      </c>
      <c r="L117" s="9">
        <f t="shared" si="52"/>
        <v>0</v>
      </c>
      <c r="M117" s="9">
        <f t="shared" si="52"/>
        <v>0</v>
      </c>
      <c r="N117" s="9">
        <f t="shared" si="52"/>
        <v>0</v>
      </c>
      <c r="O117" s="9">
        <f t="shared" si="52"/>
        <v>0</v>
      </c>
      <c r="P117" s="9">
        <f t="shared" si="52"/>
        <v>0</v>
      </c>
      <c r="Q117" s="9">
        <f t="shared" si="52"/>
        <v>0</v>
      </c>
      <c r="R117" s="9">
        <f t="shared" si="52"/>
        <v>0</v>
      </c>
      <c r="S117" s="9">
        <f t="shared" si="52"/>
        <v>0</v>
      </c>
      <c r="T117" s="9">
        <f t="shared" si="52"/>
        <v>0</v>
      </c>
      <c r="U117" s="9">
        <f t="shared" si="52"/>
        <v>0</v>
      </c>
      <c r="V117" s="9">
        <f t="shared" si="52"/>
        <v>0</v>
      </c>
      <c r="W117" s="9">
        <f t="shared" si="52"/>
        <v>0</v>
      </c>
      <c r="X117" s="9">
        <f t="shared" si="52"/>
        <v>0</v>
      </c>
      <c r="Y117" s="9">
        <f t="shared" si="52"/>
        <v>0</v>
      </c>
      <c r="Z117" s="9">
        <f t="shared" si="52"/>
        <v>0</v>
      </c>
      <c r="AA117" s="9">
        <f t="shared" ref="AA117:AB117" si="53">AA13+AA65</f>
        <v>0</v>
      </c>
      <c r="AB117" s="9">
        <f t="shared" si="53"/>
        <v>0</v>
      </c>
      <c r="AC117" s="9">
        <f t="shared" ref="AC117" si="54">AC13+AC65</f>
        <v>0</v>
      </c>
    </row>
    <row r="118" spans="1:29" ht="13.5" customHeight="1">
      <c r="A118" s="281"/>
      <c r="B118" s="57" t="s">
        <v>99</v>
      </c>
      <c r="C118" s="161">
        <f>SUM(C108:C117)</f>
        <v>289833705.60999995</v>
      </c>
      <c r="D118" s="161">
        <f t="shared" ref="D118:U118" si="55">SUM(D108:D117)</f>
        <v>0</v>
      </c>
      <c r="E118" s="161">
        <f t="shared" si="55"/>
        <v>89047658.209999993</v>
      </c>
      <c r="F118" s="161">
        <f t="shared" si="55"/>
        <v>129463953.36</v>
      </c>
      <c r="G118" s="161">
        <f t="shared" si="55"/>
        <v>12044897.889999997</v>
      </c>
      <c r="H118" s="161">
        <f t="shared" ref="H118" si="56">SUM(H108:H117)</f>
        <v>3480364.9699999993</v>
      </c>
      <c r="I118" s="161">
        <f t="shared" ref="I118:K118" si="57">SUM(I108:I117)</f>
        <v>2971913.4000000004</v>
      </c>
      <c r="J118" s="161">
        <f t="shared" si="57"/>
        <v>1944942.65</v>
      </c>
      <c r="K118" s="161">
        <f t="shared" si="57"/>
        <v>3647676.8699999996</v>
      </c>
      <c r="L118" s="161">
        <f t="shared" si="55"/>
        <v>16186437.310000002</v>
      </c>
      <c r="M118" s="161">
        <f t="shared" si="55"/>
        <v>1081049.24</v>
      </c>
      <c r="N118" s="161">
        <f t="shared" ref="N118:O118" si="58">SUM(N108:N117)</f>
        <v>2178978.6800000006</v>
      </c>
      <c r="O118" s="161">
        <f t="shared" si="58"/>
        <v>790168.78000000014</v>
      </c>
      <c r="P118" s="161">
        <f t="shared" si="55"/>
        <v>4684528.2799999993</v>
      </c>
      <c r="Q118" s="161">
        <f t="shared" si="55"/>
        <v>2386324.85</v>
      </c>
      <c r="R118" s="161">
        <f t="shared" si="55"/>
        <v>2595255.6899999995</v>
      </c>
      <c r="S118" s="161">
        <f t="shared" si="55"/>
        <v>2470131.79</v>
      </c>
      <c r="T118" s="161">
        <f t="shared" si="55"/>
        <v>31051288.600000001</v>
      </c>
      <c r="U118" s="161">
        <f t="shared" si="55"/>
        <v>5715459.4000000013</v>
      </c>
      <c r="V118" s="161">
        <f t="shared" ref="V118:W118" si="59">SUM(V108:V117)</f>
        <v>11698187.079999998</v>
      </c>
      <c r="W118" s="161">
        <f t="shared" si="59"/>
        <v>10750307.679999998</v>
      </c>
      <c r="X118" s="161">
        <f t="shared" ref="X118:Z118" si="60">SUM(X108:X117)</f>
        <v>1941931.3200000003</v>
      </c>
      <c r="Y118" s="161">
        <f t="shared" si="60"/>
        <v>645720.66999999993</v>
      </c>
      <c r="Z118" s="161">
        <f t="shared" si="60"/>
        <v>296097.55</v>
      </c>
      <c r="AA118" s="161">
        <f t="shared" ref="AA118:AB118" si="61">SUM(AA108:AA117)</f>
        <v>3584.9</v>
      </c>
      <c r="AB118" s="161">
        <f t="shared" si="61"/>
        <v>5709310.2699999996</v>
      </c>
      <c r="AC118" s="161">
        <f t="shared" ref="AC118" si="62">SUM(AC108:AC117)</f>
        <v>6330159.9699999997</v>
      </c>
    </row>
    <row r="119" spans="1:29" ht="13.5" customHeight="1">
      <c r="A119" s="276" t="s">
        <v>100</v>
      </c>
      <c r="B119" s="47" t="s">
        <v>101</v>
      </c>
      <c r="C119" s="9">
        <f>SUM(D119:G119)+L119+T119+AC119+AB119</f>
        <v>101346649.84999999</v>
      </c>
      <c r="D119" s="9">
        <f t="shared" ref="D119:Z119" si="63">D15+D67</f>
        <v>-1927722.16</v>
      </c>
      <c r="E119" s="9">
        <f t="shared" si="63"/>
        <v>0</v>
      </c>
      <c r="F119" s="9">
        <f t="shared" si="63"/>
        <v>26534811.129999995</v>
      </c>
      <c r="G119" s="9">
        <f t="shared" si="63"/>
        <v>2442270.16</v>
      </c>
      <c r="H119" s="9">
        <f t="shared" si="63"/>
        <v>-142281.90000000002</v>
      </c>
      <c r="I119" s="9">
        <f t="shared" si="63"/>
        <v>0</v>
      </c>
      <c r="J119" s="9">
        <f t="shared" si="63"/>
        <v>1559934.56</v>
      </c>
      <c r="K119" s="9">
        <f t="shared" si="63"/>
        <v>1024617.5</v>
      </c>
      <c r="L119" s="9">
        <f t="shared" si="63"/>
        <v>3400</v>
      </c>
      <c r="M119" s="9">
        <f t="shared" si="63"/>
        <v>0</v>
      </c>
      <c r="N119" s="9">
        <f t="shared" si="63"/>
        <v>0</v>
      </c>
      <c r="O119" s="9">
        <f t="shared" si="63"/>
        <v>0</v>
      </c>
      <c r="P119" s="9">
        <f t="shared" si="63"/>
        <v>0</v>
      </c>
      <c r="Q119" s="9">
        <f t="shared" si="63"/>
        <v>0</v>
      </c>
      <c r="R119" s="9">
        <f t="shared" si="63"/>
        <v>3400</v>
      </c>
      <c r="S119" s="9">
        <f t="shared" si="63"/>
        <v>0</v>
      </c>
      <c r="T119" s="9">
        <f t="shared" si="63"/>
        <v>74293890.719999999</v>
      </c>
      <c r="U119" s="9">
        <f t="shared" si="63"/>
        <v>1384601</v>
      </c>
      <c r="V119" s="9">
        <f t="shared" si="63"/>
        <v>67369500</v>
      </c>
      <c r="W119" s="9">
        <f t="shared" si="63"/>
        <v>5461307.7199999997</v>
      </c>
      <c r="X119" s="9">
        <f t="shared" si="63"/>
        <v>78482</v>
      </c>
      <c r="Y119" s="9">
        <f t="shared" si="63"/>
        <v>0</v>
      </c>
      <c r="Z119" s="9">
        <f t="shared" si="63"/>
        <v>0</v>
      </c>
      <c r="AA119" s="9">
        <f t="shared" ref="AA119:AB119" si="64">AA15+AA67</f>
        <v>0</v>
      </c>
      <c r="AB119" s="9">
        <f t="shared" si="64"/>
        <v>0</v>
      </c>
      <c r="AC119" s="9">
        <f t="shared" ref="AC119" si="65">AC15+AC67</f>
        <v>0</v>
      </c>
    </row>
    <row r="120" spans="1:29">
      <c r="A120" s="277"/>
      <c r="B120" s="47" t="s">
        <v>102</v>
      </c>
      <c r="C120" s="9">
        <f t="shared" ref="C120:C122" si="66">SUM(D120:G120)+L120+T120+AC120+AB120</f>
        <v>67304634.699999988</v>
      </c>
      <c r="D120" s="9">
        <f t="shared" ref="D120:Z120" si="67">D16+D68</f>
        <v>8718662.6199999992</v>
      </c>
      <c r="E120" s="9">
        <f t="shared" si="67"/>
        <v>18135464.329999998</v>
      </c>
      <c r="F120" s="9">
        <f t="shared" si="67"/>
        <v>54825814.409999982</v>
      </c>
      <c r="G120" s="9">
        <f t="shared" si="67"/>
        <v>-606</v>
      </c>
      <c r="H120" s="9">
        <f t="shared" si="67"/>
        <v>0</v>
      </c>
      <c r="I120" s="9">
        <f t="shared" si="67"/>
        <v>0</v>
      </c>
      <c r="J120" s="9">
        <f t="shared" si="67"/>
        <v>0</v>
      </c>
      <c r="K120" s="9">
        <f t="shared" si="67"/>
        <v>-606</v>
      </c>
      <c r="L120" s="9">
        <f t="shared" si="67"/>
        <v>0</v>
      </c>
      <c r="M120" s="9">
        <f t="shared" si="67"/>
        <v>0</v>
      </c>
      <c r="N120" s="9">
        <f t="shared" si="67"/>
        <v>0</v>
      </c>
      <c r="O120" s="9">
        <f t="shared" si="67"/>
        <v>0</v>
      </c>
      <c r="P120" s="9">
        <f t="shared" si="67"/>
        <v>0</v>
      </c>
      <c r="Q120" s="9">
        <f t="shared" si="67"/>
        <v>0</v>
      </c>
      <c r="R120" s="9">
        <f t="shared" si="67"/>
        <v>0</v>
      </c>
      <c r="S120" s="9">
        <f t="shared" si="67"/>
        <v>0</v>
      </c>
      <c r="T120" s="9">
        <f t="shared" si="67"/>
        <v>-14387937.529999997</v>
      </c>
      <c r="U120" s="9">
        <f t="shared" si="67"/>
        <v>156819</v>
      </c>
      <c r="V120" s="9">
        <f t="shared" si="67"/>
        <v>-15643210.470000001</v>
      </c>
      <c r="W120" s="9">
        <f t="shared" si="67"/>
        <v>978440.52</v>
      </c>
      <c r="X120" s="9">
        <f t="shared" si="67"/>
        <v>120013.42</v>
      </c>
      <c r="Y120" s="9">
        <f t="shared" si="67"/>
        <v>0</v>
      </c>
      <c r="Z120" s="9">
        <f t="shared" si="67"/>
        <v>0</v>
      </c>
      <c r="AA120" s="9">
        <f t="shared" ref="AA120:AB120" si="68">AA16+AA68</f>
        <v>0</v>
      </c>
      <c r="AB120" s="9">
        <f t="shared" si="68"/>
        <v>0</v>
      </c>
      <c r="AC120" s="9">
        <f t="shared" ref="AC120" si="69">AC16+AC68</f>
        <v>13236.87</v>
      </c>
    </row>
    <row r="121" spans="1:29">
      <c r="A121" s="277"/>
      <c r="B121" s="47" t="s">
        <v>103</v>
      </c>
      <c r="C121" s="9">
        <f t="shared" si="66"/>
        <v>17473454.489999998</v>
      </c>
      <c r="D121" s="9">
        <f t="shared" ref="D121:Z121" si="70">D17+D69</f>
        <v>-165109.22999999998</v>
      </c>
      <c r="E121" s="9">
        <f t="shared" si="70"/>
        <v>-4404858.0900000008</v>
      </c>
      <c r="F121" s="9">
        <f t="shared" si="70"/>
        <v>14885098.439999999</v>
      </c>
      <c r="G121" s="9">
        <f t="shared" si="70"/>
        <v>-613407.73999999976</v>
      </c>
      <c r="H121" s="9">
        <f t="shared" si="70"/>
        <v>142969.33000000002</v>
      </c>
      <c r="I121" s="9">
        <f t="shared" si="70"/>
        <v>-831422.82000000007</v>
      </c>
      <c r="J121" s="9">
        <f t="shared" si="70"/>
        <v>129721.07999999999</v>
      </c>
      <c r="K121" s="9">
        <f t="shared" si="70"/>
        <v>-54675.329999999987</v>
      </c>
      <c r="L121" s="9">
        <f t="shared" si="70"/>
        <v>3066593.81</v>
      </c>
      <c r="M121" s="9">
        <f t="shared" si="70"/>
        <v>793765.58000000007</v>
      </c>
      <c r="N121" s="9">
        <f t="shared" si="70"/>
        <v>485756.71000000008</v>
      </c>
      <c r="O121" s="9">
        <f t="shared" si="70"/>
        <v>79843.209999999992</v>
      </c>
      <c r="P121" s="9">
        <f t="shared" si="70"/>
        <v>1437353.5799999998</v>
      </c>
      <c r="Q121" s="9">
        <f t="shared" si="70"/>
        <v>220623.62</v>
      </c>
      <c r="R121" s="9">
        <f t="shared" si="70"/>
        <v>49138.099999999977</v>
      </c>
      <c r="S121" s="9">
        <f t="shared" si="70"/>
        <v>113.01000000000002</v>
      </c>
      <c r="T121" s="9">
        <f t="shared" si="70"/>
        <v>4705697.9999999991</v>
      </c>
      <c r="U121" s="9">
        <f t="shared" si="70"/>
        <v>271713.14999999997</v>
      </c>
      <c r="V121" s="9">
        <f t="shared" si="70"/>
        <v>3922031.7799999993</v>
      </c>
      <c r="W121" s="9">
        <f t="shared" si="70"/>
        <v>454925.43</v>
      </c>
      <c r="X121" s="9">
        <f t="shared" si="70"/>
        <v>57027.64</v>
      </c>
      <c r="Y121" s="9">
        <f t="shared" si="70"/>
        <v>0</v>
      </c>
      <c r="Z121" s="9">
        <f t="shared" si="70"/>
        <v>0</v>
      </c>
      <c r="AA121" s="9">
        <f t="shared" ref="AA121:AB121" si="71">AA17+AA69</f>
        <v>0</v>
      </c>
      <c r="AB121" s="9">
        <f t="shared" si="71"/>
        <v>-560.70000000000073</v>
      </c>
      <c r="AC121" s="9">
        <f t="shared" ref="AC121" si="72">AC17+AC69</f>
        <v>0</v>
      </c>
    </row>
    <row r="122" spans="1:29">
      <c r="A122" s="277"/>
      <c r="B122" s="47" t="s">
        <v>104</v>
      </c>
      <c r="C122" s="9">
        <f t="shared" si="66"/>
        <v>689723.6399999999</v>
      </c>
      <c r="D122" s="9">
        <f t="shared" ref="D122:Z122" si="73">D18+D70</f>
        <v>0</v>
      </c>
      <c r="E122" s="9">
        <f t="shared" si="73"/>
        <v>326700</v>
      </c>
      <c r="F122" s="9">
        <f t="shared" si="73"/>
        <v>349336.46999999986</v>
      </c>
      <c r="G122" s="9">
        <f t="shared" si="73"/>
        <v>0</v>
      </c>
      <c r="H122" s="9">
        <f t="shared" si="73"/>
        <v>0</v>
      </c>
      <c r="I122" s="9">
        <f t="shared" si="73"/>
        <v>0</v>
      </c>
      <c r="J122" s="9">
        <f t="shared" si="73"/>
        <v>0</v>
      </c>
      <c r="K122" s="9">
        <f t="shared" si="73"/>
        <v>0</v>
      </c>
      <c r="L122" s="9">
        <f t="shared" si="73"/>
        <v>13687.17</v>
      </c>
      <c r="M122" s="9">
        <f t="shared" si="73"/>
        <v>0</v>
      </c>
      <c r="N122" s="9">
        <f t="shared" si="73"/>
        <v>0</v>
      </c>
      <c r="O122" s="9">
        <f t="shared" si="73"/>
        <v>0</v>
      </c>
      <c r="P122" s="9">
        <f t="shared" si="73"/>
        <v>0</v>
      </c>
      <c r="Q122" s="9">
        <f t="shared" si="73"/>
        <v>0</v>
      </c>
      <c r="R122" s="9">
        <f t="shared" si="73"/>
        <v>0</v>
      </c>
      <c r="S122" s="9">
        <f t="shared" si="73"/>
        <v>13687.17</v>
      </c>
      <c r="T122" s="9">
        <f t="shared" si="73"/>
        <v>0</v>
      </c>
      <c r="U122" s="9">
        <f t="shared" si="73"/>
        <v>0</v>
      </c>
      <c r="V122" s="9">
        <f t="shared" si="73"/>
        <v>0</v>
      </c>
      <c r="W122" s="9">
        <f t="shared" si="73"/>
        <v>0</v>
      </c>
      <c r="X122" s="9">
        <f t="shared" si="73"/>
        <v>0</v>
      </c>
      <c r="Y122" s="9">
        <f t="shared" si="73"/>
        <v>0</v>
      </c>
      <c r="Z122" s="9">
        <f t="shared" si="73"/>
        <v>0</v>
      </c>
      <c r="AA122" s="9">
        <f t="shared" ref="AA122:AB122" si="74">AA18+AA70</f>
        <v>0</v>
      </c>
      <c r="AB122" s="9">
        <f t="shared" si="74"/>
        <v>0</v>
      </c>
      <c r="AC122" s="9">
        <f t="shared" ref="AC122" si="75">AC18+AC70</f>
        <v>0</v>
      </c>
    </row>
    <row r="123" spans="1:29" ht="13.5" customHeight="1">
      <c r="A123" s="277"/>
      <c r="B123" s="47" t="s">
        <v>105</v>
      </c>
      <c r="C123" s="9">
        <f>SUM(D123:G123)+L123+T123+AC123+AB123</f>
        <v>111603.77</v>
      </c>
      <c r="D123" s="9">
        <f t="shared" ref="D123:Z123" si="76">D19+D71</f>
        <v>0</v>
      </c>
      <c r="E123" s="9">
        <f t="shared" si="76"/>
        <v>0</v>
      </c>
      <c r="F123" s="9">
        <f t="shared" si="76"/>
        <v>0</v>
      </c>
      <c r="G123" s="9">
        <f t="shared" si="76"/>
        <v>0</v>
      </c>
      <c r="H123" s="9">
        <f t="shared" si="76"/>
        <v>0</v>
      </c>
      <c r="I123" s="9">
        <f t="shared" si="76"/>
        <v>0</v>
      </c>
      <c r="J123" s="9">
        <f t="shared" si="76"/>
        <v>0</v>
      </c>
      <c r="K123" s="9">
        <f t="shared" si="76"/>
        <v>0</v>
      </c>
      <c r="L123" s="9">
        <f t="shared" si="76"/>
        <v>111603.77</v>
      </c>
      <c r="M123" s="9">
        <f t="shared" si="76"/>
        <v>48333.34</v>
      </c>
      <c r="N123" s="9">
        <f t="shared" si="76"/>
        <v>44937.1</v>
      </c>
      <c r="O123" s="9">
        <f t="shared" si="76"/>
        <v>18333.330000000002</v>
      </c>
      <c r="P123" s="9">
        <f t="shared" si="76"/>
        <v>0</v>
      </c>
      <c r="Q123" s="9">
        <f t="shared" si="76"/>
        <v>0</v>
      </c>
      <c r="R123" s="9">
        <f t="shared" si="76"/>
        <v>0</v>
      </c>
      <c r="S123" s="9">
        <f t="shared" si="76"/>
        <v>0</v>
      </c>
      <c r="T123" s="9">
        <f t="shared" si="76"/>
        <v>0</v>
      </c>
      <c r="U123" s="9">
        <f t="shared" si="76"/>
        <v>0</v>
      </c>
      <c r="V123" s="9">
        <f t="shared" si="76"/>
        <v>0</v>
      </c>
      <c r="W123" s="9">
        <f t="shared" si="76"/>
        <v>0</v>
      </c>
      <c r="X123" s="9">
        <f t="shared" si="76"/>
        <v>0</v>
      </c>
      <c r="Y123" s="9">
        <f t="shared" si="76"/>
        <v>0</v>
      </c>
      <c r="Z123" s="9">
        <f t="shared" si="76"/>
        <v>0</v>
      </c>
      <c r="AA123" s="9">
        <f t="shared" ref="AA123:AB123" si="77">AA19+AA71</f>
        <v>0</v>
      </c>
      <c r="AB123" s="9">
        <f t="shared" si="77"/>
        <v>0</v>
      </c>
      <c r="AC123" s="9">
        <f t="shared" ref="AC123" si="78">AC19+AC71</f>
        <v>0</v>
      </c>
    </row>
    <row r="124" spans="1:29">
      <c r="A124" s="278"/>
      <c r="B124" s="57" t="s">
        <v>99</v>
      </c>
      <c r="C124" s="161">
        <f>SUM(C119:C123)</f>
        <v>186926066.44999999</v>
      </c>
      <c r="D124" s="161">
        <f t="shared" ref="D124:U124" si="79">SUM(D119:D123)</f>
        <v>6625831.2299999986</v>
      </c>
      <c r="E124" s="161">
        <f t="shared" si="79"/>
        <v>14057306.239999998</v>
      </c>
      <c r="F124" s="161">
        <f t="shared" si="79"/>
        <v>96595060.449999973</v>
      </c>
      <c r="G124" s="161">
        <f t="shared" si="79"/>
        <v>1828256.4200000004</v>
      </c>
      <c r="H124" s="161">
        <f t="shared" ref="H124" si="80">SUM(H119:H123)</f>
        <v>687.42999999999302</v>
      </c>
      <c r="I124" s="161">
        <f t="shared" ref="I124:K124" si="81">SUM(I119:I123)</f>
        <v>-831422.82000000007</v>
      </c>
      <c r="J124" s="161">
        <f t="shared" si="81"/>
        <v>1689655.6400000001</v>
      </c>
      <c r="K124" s="161">
        <f t="shared" si="81"/>
        <v>969336.17</v>
      </c>
      <c r="L124" s="161">
        <f t="shared" si="79"/>
        <v>3195284.75</v>
      </c>
      <c r="M124" s="161">
        <f t="shared" si="79"/>
        <v>842098.92</v>
      </c>
      <c r="N124" s="161">
        <f t="shared" ref="N124:O124" si="82">SUM(N119:N123)</f>
        <v>530693.81000000006</v>
      </c>
      <c r="O124" s="161">
        <f t="shared" si="82"/>
        <v>98176.54</v>
      </c>
      <c r="P124" s="161">
        <f t="shared" si="79"/>
        <v>1437353.5799999998</v>
      </c>
      <c r="Q124" s="161">
        <f t="shared" si="79"/>
        <v>220623.62</v>
      </c>
      <c r="R124" s="161">
        <f t="shared" si="79"/>
        <v>52538.099999999977</v>
      </c>
      <c r="S124" s="161">
        <f t="shared" si="79"/>
        <v>13800.18</v>
      </c>
      <c r="T124" s="161">
        <f t="shared" si="79"/>
        <v>64611651.189999998</v>
      </c>
      <c r="U124" s="161">
        <f t="shared" si="79"/>
        <v>1813133.15</v>
      </c>
      <c r="V124" s="161">
        <f t="shared" ref="V124:W124" si="83">SUM(V119:V123)</f>
        <v>55648321.310000002</v>
      </c>
      <c r="W124" s="161">
        <f t="shared" si="83"/>
        <v>6894673.6699999999</v>
      </c>
      <c r="X124" s="161">
        <f t="shared" ref="X124:Z124" si="84">SUM(X119:X123)</f>
        <v>255523.06</v>
      </c>
      <c r="Y124" s="161">
        <f t="shared" si="84"/>
        <v>0</v>
      </c>
      <c r="Z124" s="161">
        <f t="shared" si="84"/>
        <v>0</v>
      </c>
      <c r="AA124" s="161">
        <f t="shared" ref="AA124:AB124" si="85">SUM(AA119:AA123)</f>
        <v>0</v>
      </c>
      <c r="AB124" s="161">
        <f t="shared" si="85"/>
        <v>-560.70000000000073</v>
      </c>
      <c r="AC124" s="161">
        <f t="shared" ref="AC124" si="86">SUM(AC119:AC123)</f>
        <v>13236.87</v>
      </c>
    </row>
    <row r="125" spans="1:29" ht="13.5" customHeight="1">
      <c r="A125" s="273" t="s">
        <v>106</v>
      </c>
      <c r="B125" s="47" t="s">
        <v>107</v>
      </c>
      <c r="C125" s="9">
        <f>SUM(D125:G125)+L125+T125+AC125+AB125</f>
        <v>25021584.52</v>
      </c>
      <c r="D125" s="9">
        <f t="shared" ref="D125:Z125" si="87">D21+D73</f>
        <v>5182</v>
      </c>
      <c r="E125" s="9">
        <f t="shared" si="87"/>
        <v>2139623.8300000005</v>
      </c>
      <c r="F125" s="9">
        <f t="shared" si="87"/>
        <v>11715295.109999999</v>
      </c>
      <c r="G125" s="9">
        <f t="shared" si="87"/>
        <v>1106844.1100000001</v>
      </c>
      <c r="H125" s="9">
        <f t="shared" si="87"/>
        <v>335530.65999999997</v>
      </c>
      <c r="I125" s="9">
        <f t="shared" si="87"/>
        <v>391043.27999999997</v>
      </c>
      <c r="J125" s="9">
        <f t="shared" si="87"/>
        <v>93798.16</v>
      </c>
      <c r="K125" s="9">
        <f t="shared" si="87"/>
        <v>286472.01</v>
      </c>
      <c r="L125" s="9">
        <f t="shared" si="87"/>
        <v>1269308.1400000001</v>
      </c>
      <c r="M125" s="9">
        <f t="shared" si="87"/>
        <v>132684.9</v>
      </c>
      <c r="N125" s="9">
        <f t="shared" si="87"/>
        <v>165688.4</v>
      </c>
      <c r="O125" s="9">
        <f t="shared" si="87"/>
        <v>152017.4</v>
      </c>
      <c r="P125" s="9">
        <f t="shared" si="87"/>
        <v>229683.84</v>
      </c>
      <c r="Q125" s="9">
        <f t="shared" si="87"/>
        <v>183291.65</v>
      </c>
      <c r="R125" s="9">
        <f t="shared" si="87"/>
        <v>200184.84</v>
      </c>
      <c r="S125" s="9">
        <f t="shared" si="87"/>
        <v>205757.11</v>
      </c>
      <c r="T125" s="9">
        <f t="shared" si="87"/>
        <v>8261865.9999999991</v>
      </c>
      <c r="U125" s="9">
        <f t="shared" si="87"/>
        <v>725457.42999999993</v>
      </c>
      <c r="V125" s="9">
        <f t="shared" si="87"/>
        <v>5461314.669999999</v>
      </c>
      <c r="W125" s="9">
        <f t="shared" si="87"/>
        <v>1438811.4400000002</v>
      </c>
      <c r="X125" s="9">
        <f t="shared" si="87"/>
        <v>252163.38</v>
      </c>
      <c r="Y125" s="9">
        <f t="shared" si="87"/>
        <v>310153.01</v>
      </c>
      <c r="Z125" s="9">
        <f t="shared" si="87"/>
        <v>27707</v>
      </c>
      <c r="AA125" s="9">
        <f t="shared" ref="AA125:AB125" si="88">AA21+AA73</f>
        <v>46259.07</v>
      </c>
      <c r="AB125" s="9">
        <f t="shared" si="88"/>
        <v>343060.52999999997</v>
      </c>
      <c r="AC125" s="9">
        <f t="shared" ref="AC125" si="89">AC21+AC73</f>
        <v>180404.80000000002</v>
      </c>
    </row>
    <row r="126" spans="1:29">
      <c r="A126" s="274"/>
      <c r="B126" s="47" t="s">
        <v>108</v>
      </c>
      <c r="C126" s="9">
        <f t="shared" ref="C126:C128" si="90">SUM(D126:G126)+L126+T126+AC126+AB126</f>
        <v>15357755.929999998</v>
      </c>
      <c r="D126" s="9">
        <f t="shared" ref="D126:Z126" si="91">D22+D74</f>
        <v>42673.5</v>
      </c>
      <c r="E126" s="9">
        <f t="shared" si="91"/>
        <v>1994478.6800000002</v>
      </c>
      <c r="F126" s="9">
        <f t="shared" si="91"/>
        <v>2886035.17</v>
      </c>
      <c r="G126" s="9">
        <f t="shared" si="91"/>
        <v>638772.12000000011</v>
      </c>
      <c r="H126" s="9">
        <f t="shared" si="91"/>
        <v>150837.53999999998</v>
      </c>
      <c r="I126" s="9">
        <f t="shared" si="91"/>
        <v>211499.98</v>
      </c>
      <c r="J126" s="9">
        <f t="shared" si="91"/>
        <v>67627.37</v>
      </c>
      <c r="K126" s="9">
        <f t="shared" si="91"/>
        <v>208807.22999999998</v>
      </c>
      <c r="L126" s="9">
        <f t="shared" si="91"/>
        <v>1061737.3399999999</v>
      </c>
      <c r="M126" s="9">
        <f t="shared" si="91"/>
        <v>103699.98999999999</v>
      </c>
      <c r="N126" s="9">
        <f t="shared" si="91"/>
        <v>110632.52</v>
      </c>
      <c r="O126" s="9">
        <f t="shared" si="91"/>
        <v>127341.61000000002</v>
      </c>
      <c r="P126" s="9">
        <f t="shared" si="91"/>
        <v>138436.63999999998</v>
      </c>
      <c r="Q126" s="9">
        <f t="shared" si="91"/>
        <v>221480.81000000003</v>
      </c>
      <c r="R126" s="9">
        <f t="shared" si="91"/>
        <v>173095.83000000002</v>
      </c>
      <c r="S126" s="9">
        <f t="shared" si="91"/>
        <v>187049.94000000003</v>
      </c>
      <c r="T126" s="9">
        <f t="shared" si="91"/>
        <v>8206767.629999999</v>
      </c>
      <c r="U126" s="9">
        <f t="shared" si="91"/>
        <v>813252.56</v>
      </c>
      <c r="V126" s="9">
        <f t="shared" si="91"/>
        <v>4950465.6899999995</v>
      </c>
      <c r="W126" s="9">
        <f t="shared" si="91"/>
        <v>1317868.0299999998</v>
      </c>
      <c r="X126" s="9">
        <f t="shared" si="91"/>
        <v>282496.37</v>
      </c>
      <c r="Y126" s="9">
        <f t="shared" si="91"/>
        <v>668795.39</v>
      </c>
      <c r="Z126" s="9">
        <f t="shared" si="91"/>
        <v>78500.77</v>
      </c>
      <c r="AA126" s="9">
        <f t="shared" ref="AA126:AB126" si="92">AA22+AA74</f>
        <v>95388.82</v>
      </c>
      <c r="AB126" s="9">
        <f t="shared" si="92"/>
        <v>472671.73</v>
      </c>
      <c r="AC126" s="9">
        <f t="shared" ref="AC126" si="93">AC22+AC74</f>
        <v>54619.759999999995</v>
      </c>
    </row>
    <row r="127" spans="1:29">
      <c r="A127" s="274"/>
      <c r="B127" s="47" t="s">
        <v>109</v>
      </c>
      <c r="C127" s="9">
        <f t="shared" si="90"/>
        <v>5051221.0999999996</v>
      </c>
      <c r="D127" s="9">
        <f t="shared" ref="D127:Z127" si="94">D23+D75</f>
        <v>0</v>
      </c>
      <c r="E127" s="9">
        <f t="shared" si="94"/>
        <v>1472174.66</v>
      </c>
      <c r="F127" s="9">
        <f t="shared" si="94"/>
        <v>2044343.0299999998</v>
      </c>
      <c r="G127" s="9">
        <f t="shared" si="94"/>
        <v>213269.21000000002</v>
      </c>
      <c r="H127" s="9">
        <f t="shared" si="94"/>
        <v>103219.98000000001</v>
      </c>
      <c r="I127" s="9">
        <f t="shared" si="94"/>
        <v>93726.61</v>
      </c>
      <c r="J127" s="9">
        <f t="shared" si="94"/>
        <v>6779.42</v>
      </c>
      <c r="K127" s="9">
        <f t="shared" si="94"/>
        <v>9543.2000000000007</v>
      </c>
      <c r="L127" s="9">
        <f t="shared" si="94"/>
        <v>81254.61</v>
      </c>
      <c r="M127" s="9">
        <f t="shared" si="94"/>
        <v>7379.9800000000005</v>
      </c>
      <c r="N127" s="9">
        <f t="shared" si="94"/>
        <v>13286.57</v>
      </c>
      <c r="O127" s="9">
        <f t="shared" si="94"/>
        <v>7232.9699999999993</v>
      </c>
      <c r="P127" s="9">
        <f t="shared" si="94"/>
        <v>15755.250000000002</v>
      </c>
      <c r="Q127" s="9">
        <f t="shared" si="94"/>
        <v>9365.65</v>
      </c>
      <c r="R127" s="9">
        <f t="shared" si="94"/>
        <v>25523.659999999996</v>
      </c>
      <c r="S127" s="9">
        <f t="shared" si="94"/>
        <v>2710.5299999999993</v>
      </c>
      <c r="T127" s="9">
        <f t="shared" si="94"/>
        <v>1119745.05</v>
      </c>
      <c r="U127" s="9">
        <f t="shared" si="94"/>
        <v>133175.83000000002</v>
      </c>
      <c r="V127" s="9">
        <f t="shared" si="94"/>
        <v>698216.01</v>
      </c>
      <c r="W127" s="9">
        <f t="shared" si="94"/>
        <v>239703.69</v>
      </c>
      <c r="X127" s="9">
        <f t="shared" si="94"/>
        <v>32940.85</v>
      </c>
      <c r="Y127" s="9">
        <f t="shared" si="94"/>
        <v>15098.27</v>
      </c>
      <c r="Z127" s="9">
        <f t="shared" si="94"/>
        <v>610.4</v>
      </c>
      <c r="AA127" s="9">
        <f t="shared" ref="AA127:AB127" si="95">AA23+AA75</f>
        <v>0</v>
      </c>
      <c r="AB127" s="9">
        <f t="shared" si="95"/>
        <v>94502.720000000001</v>
      </c>
      <c r="AC127" s="9">
        <f t="shared" ref="AC127" si="96">AC23+AC75</f>
        <v>25931.82</v>
      </c>
    </row>
    <row r="128" spans="1:29">
      <c r="A128" s="274"/>
      <c r="B128" s="47" t="s">
        <v>110</v>
      </c>
      <c r="C128" s="9">
        <f t="shared" si="90"/>
        <v>2258139.3099999996</v>
      </c>
      <c r="D128" s="9">
        <f t="shared" ref="D128:Z128" si="97">D24+D76</f>
        <v>0</v>
      </c>
      <c r="E128" s="9">
        <f t="shared" si="97"/>
        <v>430366.69000000006</v>
      </c>
      <c r="F128" s="9">
        <f t="shared" si="97"/>
        <v>1154862.4099999997</v>
      </c>
      <c r="G128" s="9">
        <f t="shared" si="97"/>
        <v>83282.749999999985</v>
      </c>
      <c r="H128" s="9">
        <f t="shared" si="97"/>
        <v>59321.570000000007</v>
      </c>
      <c r="I128" s="9">
        <f t="shared" si="97"/>
        <v>13033.37</v>
      </c>
      <c r="J128" s="9">
        <f t="shared" si="97"/>
        <v>6127.01</v>
      </c>
      <c r="K128" s="9">
        <f t="shared" si="97"/>
        <v>4800.7999999999993</v>
      </c>
      <c r="L128" s="9">
        <f t="shared" si="97"/>
        <v>24332.170000000002</v>
      </c>
      <c r="M128" s="9">
        <f t="shared" si="97"/>
        <v>2466.3100000000004</v>
      </c>
      <c r="N128" s="9">
        <f t="shared" si="97"/>
        <v>4265.32</v>
      </c>
      <c r="O128" s="9">
        <f t="shared" si="97"/>
        <v>2466.3199999999997</v>
      </c>
      <c r="P128" s="9">
        <f t="shared" si="97"/>
        <v>717.45</v>
      </c>
      <c r="Q128" s="9">
        <f t="shared" si="97"/>
        <v>719.76</v>
      </c>
      <c r="R128" s="9">
        <f t="shared" si="97"/>
        <v>6019.6500000000005</v>
      </c>
      <c r="S128" s="9">
        <f t="shared" si="97"/>
        <v>7677.36</v>
      </c>
      <c r="T128" s="9">
        <f t="shared" si="97"/>
        <v>511083.25000000006</v>
      </c>
      <c r="U128" s="9">
        <f t="shared" si="97"/>
        <v>44787.119999999995</v>
      </c>
      <c r="V128" s="9">
        <f t="shared" si="97"/>
        <v>314552.01000000007</v>
      </c>
      <c r="W128" s="9">
        <f t="shared" si="97"/>
        <v>139968.17000000001</v>
      </c>
      <c r="X128" s="9">
        <f t="shared" si="97"/>
        <v>10407.950000000001</v>
      </c>
      <c r="Y128" s="9">
        <f t="shared" si="97"/>
        <v>1368</v>
      </c>
      <c r="Z128" s="9">
        <f t="shared" si="97"/>
        <v>0</v>
      </c>
      <c r="AA128" s="9">
        <f t="shared" ref="AA128:AB128" si="98">AA24+AA76</f>
        <v>0</v>
      </c>
      <c r="AB128" s="9">
        <f t="shared" si="98"/>
        <v>39456.479999999996</v>
      </c>
      <c r="AC128" s="9">
        <f t="shared" ref="AC128" si="99">AC24+AC76</f>
        <v>14755.56</v>
      </c>
    </row>
    <row r="129" spans="1:29">
      <c r="A129" s="274"/>
      <c r="B129" s="47" t="s">
        <v>111</v>
      </c>
      <c r="C129" s="9">
        <f>SUM(D129:G129)+L129+T129+AC129+AB129</f>
        <v>4412987.6300000008</v>
      </c>
      <c r="D129" s="9">
        <f t="shared" ref="D129:Z129" si="100">D25+D77</f>
        <v>0</v>
      </c>
      <c r="E129" s="9">
        <f t="shared" si="100"/>
        <v>2175815.4000000004</v>
      </c>
      <c r="F129" s="9">
        <f t="shared" si="100"/>
        <v>2234411.46</v>
      </c>
      <c r="G129" s="9">
        <f t="shared" si="100"/>
        <v>113.21</v>
      </c>
      <c r="H129" s="9">
        <f t="shared" si="100"/>
        <v>113.21</v>
      </c>
      <c r="I129" s="9">
        <f t="shared" si="100"/>
        <v>0</v>
      </c>
      <c r="J129" s="9">
        <f t="shared" si="100"/>
        <v>0</v>
      </c>
      <c r="K129" s="9">
        <f t="shared" si="100"/>
        <v>0</v>
      </c>
      <c r="L129" s="9">
        <f t="shared" si="100"/>
        <v>1139.6300000000001</v>
      </c>
      <c r="M129" s="9">
        <f t="shared" si="100"/>
        <v>0</v>
      </c>
      <c r="N129" s="9">
        <f t="shared" si="100"/>
        <v>0</v>
      </c>
      <c r="O129" s="9">
        <f t="shared" si="100"/>
        <v>0</v>
      </c>
      <c r="P129" s="9">
        <f t="shared" si="100"/>
        <v>7.55</v>
      </c>
      <c r="Q129" s="9">
        <f t="shared" si="100"/>
        <v>0</v>
      </c>
      <c r="R129" s="9">
        <f t="shared" si="100"/>
        <v>0</v>
      </c>
      <c r="S129" s="9">
        <f t="shared" si="100"/>
        <v>1132.08</v>
      </c>
      <c r="T129" s="9">
        <f t="shared" si="100"/>
        <v>1011.32</v>
      </c>
      <c r="U129" s="9">
        <f t="shared" si="100"/>
        <v>271.7</v>
      </c>
      <c r="V129" s="9">
        <f t="shared" si="100"/>
        <v>384.91</v>
      </c>
      <c r="W129" s="9">
        <f t="shared" si="100"/>
        <v>286.79000000000002</v>
      </c>
      <c r="X129" s="9">
        <f t="shared" si="100"/>
        <v>67.92</v>
      </c>
      <c r="Y129" s="9">
        <f t="shared" si="100"/>
        <v>0</v>
      </c>
      <c r="Z129" s="9">
        <f t="shared" si="100"/>
        <v>0</v>
      </c>
      <c r="AA129" s="9">
        <f t="shared" ref="AA129:AB129" si="101">AA25+AA77</f>
        <v>0</v>
      </c>
      <c r="AB129" s="9">
        <f t="shared" si="101"/>
        <v>113.21</v>
      </c>
      <c r="AC129" s="9">
        <f t="shared" ref="AC129" si="102">AC25+AC77</f>
        <v>383.4</v>
      </c>
    </row>
    <row r="130" spans="1:29">
      <c r="A130" s="274"/>
      <c r="B130" s="47" t="s">
        <v>112</v>
      </c>
      <c r="C130" s="9">
        <f t="shared" ref="C130:C137" si="103">SUM(D130:G130)+L130+T130+AC130+AB130</f>
        <v>3700423.5900000008</v>
      </c>
      <c r="D130" s="9">
        <f t="shared" ref="D130:Z130" si="104">D26+D78</f>
        <v>815533.98</v>
      </c>
      <c r="E130" s="9">
        <f t="shared" si="104"/>
        <v>1005550.5599999999</v>
      </c>
      <c r="F130" s="9">
        <f t="shared" si="104"/>
        <v>1168601.54</v>
      </c>
      <c r="G130" s="9">
        <f t="shared" si="104"/>
        <v>353553.07000000007</v>
      </c>
      <c r="H130" s="9">
        <f t="shared" si="104"/>
        <v>7296</v>
      </c>
      <c r="I130" s="9">
        <f t="shared" si="104"/>
        <v>174088.46</v>
      </c>
      <c r="J130" s="9">
        <f t="shared" si="104"/>
        <v>0</v>
      </c>
      <c r="K130" s="9">
        <f t="shared" si="104"/>
        <v>172168.6100000001</v>
      </c>
      <c r="L130" s="9">
        <f t="shared" si="104"/>
        <v>138571.24</v>
      </c>
      <c r="M130" s="9">
        <f t="shared" si="104"/>
        <v>29175.73</v>
      </c>
      <c r="N130" s="9">
        <f t="shared" si="104"/>
        <v>29175.739999999998</v>
      </c>
      <c r="O130" s="9">
        <f t="shared" si="104"/>
        <v>14583.74</v>
      </c>
      <c r="P130" s="9">
        <f t="shared" si="104"/>
        <v>46239.199999999997</v>
      </c>
      <c r="Q130" s="9">
        <f t="shared" si="104"/>
        <v>11044.23</v>
      </c>
      <c r="R130" s="9">
        <f t="shared" si="104"/>
        <v>4704.6000000000004</v>
      </c>
      <c r="S130" s="9">
        <f t="shared" si="104"/>
        <v>3648</v>
      </c>
      <c r="T130" s="9">
        <f t="shared" si="104"/>
        <v>211317.2</v>
      </c>
      <c r="U130" s="9">
        <f t="shared" si="104"/>
        <v>196725.2</v>
      </c>
      <c r="V130" s="9">
        <f t="shared" si="104"/>
        <v>7296</v>
      </c>
      <c r="W130" s="9">
        <f t="shared" si="104"/>
        <v>7296</v>
      </c>
      <c r="X130" s="9">
        <f t="shared" si="104"/>
        <v>0</v>
      </c>
      <c r="Y130" s="9">
        <f t="shared" si="104"/>
        <v>0</v>
      </c>
      <c r="Z130" s="9">
        <f t="shared" si="104"/>
        <v>0</v>
      </c>
      <c r="AA130" s="9">
        <f t="shared" ref="AA130:AB130" si="105">AA26+AA78</f>
        <v>0</v>
      </c>
      <c r="AB130" s="9">
        <f t="shared" si="105"/>
        <v>7296</v>
      </c>
      <c r="AC130" s="9">
        <f t="shared" ref="AC130" si="106">AC26+AC78</f>
        <v>0</v>
      </c>
    </row>
    <row r="131" spans="1:29">
      <c r="A131" s="274"/>
      <c r="B131" s="47" t="s">
        <v>113</v>
      </c>
      <c r="C131" s="9">
        <f t="shared" si="103"/>
        <v>2791515.44</v>
      </c>
      <c r="D131" s="9">
        <f t="shared" ref="D131:Z131" si="107">D27+D79</f>
        <v>0</v>
      </c>
      <c r="E131" s="9">
        <f t="shared" si="107"/>
        <v>1325412.0699999998</v>
      </c>
      <c r="F131" s="9">
        <f t="shared" si="107"/>
        <v>818094.21000000008</v>
      </c>
      <c r="G131" s="9">
        <f t="shared" si="107"/>
        <v>66574.179999999993</v>
      </c>
      <c r="H131" s="9">
        <f t="shared" si="107"/>
        <v>0</v>
      </c>
      <c r="I131" s="9">
        <f t="shared" si="107"/>
        <v>0</v>
      </c>
      <c r="J131" s="9">
        <f t="shared" si="107"/>
        <v>66574.179999999993</v>
      </c>
      <c r="K131" s="9">
        <f t="shared" si="107"/>
        <v>0</v>
      </c>
      <c r="L131" s="9">
        <f t="shared" si="107"/>
        <v>225473.93</v>
      </c>
      <c r="M131" s="9">
        <f t="shared" si="107"/>
        <v>69995.47</v>
      </c>
      <c r="N131" s="9">
        <f t="shared" si="107"/>
        <v>86304.28</v>
      </c>
      <c r="O131" s="9">
        <f t="shared" si="107"/>
        <v>69174.179999999993</v>
      </c>
      <c r="P131" s="9">
        <f t="shared" si="107"/>
        <v>0</v>
      </c>
      <c r="Q131" s="9">
        <f t="shared" si="107"/>
        <v>0</v>
      </c>
      <c r="R131" s="9">
        <f t="shared" si="107"/>
        <v>0</v>
      </c>
      <c r="S131" s="9">
        <f t="shared" si="107"/>
        <v>0</v>
      </c>
      <c r="T131" s="9">
        <f t="shared" si="107"/>
        <v>314574.14</v>
      </c>
      <c r="U131" s="9">
        <f t="shared" si="107"/>
        <v>56942.350000000006</v>
      </c>
      <c r="V131" s="9">
        <f t="shared" si="107"/>
        <v>178079.35999999999</v>
      </c>
      <c r="W131" s="9">
        <f t="shared" si="107"/>
        <v>65316.840000000004</v>
      </c>
      <c r="X131" s="9">
        <f t="shared" si="107"/>
        <v>14235.59</v>
      </c>
      <c r="Y131" s="9">
        <f t="shared" si="107"/>
        <v>0</v>
      </c>
      <c r="Z131" s="9">
        <f t="shared" si="107"/>
        <v>0</v>
      </c>
      <c r="AA131" s="9">
        <f t="shared" ref="AA131:AB131" si="108">AA27+AA79</f>
        <v>0</v>
      </c>
      <c r="AB131" s="9">
        <f t="shared" si="108"/>
        <v>34773.51</v>
      </c>
      <c r="AC131" s="9">
        <f t="shared" ref="AC131" si="109">AC27+AC79</f>
        <v>6613.4</v>
      </c>
    </row>
    <row r="132" spans="1:29">
      <c r="A132" s="274"/>
      <c r="B132" s="47" t="s">
        <v>114</v>
      </c>
      <c r="C132" s="9">
        <f t="shared" si="103"/>
        <v>946026.93</v>
      </c>
      <c r="D132" s="9">
        <f t="shared" ref="D132:Z132" si="110">D28+D80</f>
        <v>0</v>
      </c>
      <c r="E132" s="9">
        <f t="shared" si="110"/>
        <v>129431.75</v>
      </c>
      <c r="F132" s="9">
        <f t="shared" si="110"/>
        <v>434305.93999999994</v>
      </c>
      <c r="G132" s="9">
        <f t="shared" si="110"/>
        <v>28574.43</v>
      </c>
      <c r="H132" s="9">
        <f t="shared" si="110"/>
        <v>24108.35</v>
      </c>
      <c r="I132" s="9">
        <f t="shared" si="110"/>
        <v>1264.08</v>
      </c>
      <c r="J132" s="9">
        <f t="shared" si="110"/>
        <v>453</v>
      </c>
      <c r="K132" s="9">
        <f t="shared" si="110"/>
        <v>2749</v>
      </c>
      <c r="L132" s="9">
        <f t="shared" si="110"/>
        <v>18614.489999999998</v>
      </c>
      <c r="M132" s="9">
        <f t="shared" si="110"/>
        <v>1694.3400000000001</v>
      </c>
      <c r="N132" s="9">
        <f t="shared" si="110"/>
        <v>2460.33</v>
      </c>
      <c r="O132" s="9">
        <f t="shared" si="110"/>
        <v>1563.33</v>
      </c>
      <c r="P132" s="9">
        <f t="shared" si="110"/>
        <v>2305.08</v>
      </c>
      <c r="Q132" s="9">
        <f t="shared" si="110"/>
        <v>1643</v>
      </c>
      <c r="R132" s="9">
        <f t="shared" si="110"/>
        <v>1386</v>
      </c>
      <c r="S132" s="9">
        <f t="shared" si="110"/>
        <v>7562.41</v>
      </c>
      <c r="T132" s="9">
        <f t="shared" si="110"/>
        <v>298607.12</v>
      </c>
      <c r="U132" s="9">
        <f t="shared" si="110"/>
        <v>14321.660000000002</v>
      </c>
      <c r="V132" s="9">
        <f t="shared" si="110"/>
        <v>212653.53</v>
      </c>
      <c r="W132" s="9">
        <f t="shared" si="110"/>
        <v>58894.32</v>
      </c>
      <c r="X132" s="9">
        <f t="shared" si="110"/>
        <v>3539.2</v>
      </c>
      <c r="Y132" s="9">
        <f t="shared" si="110"/>
        <v>6861.16</v>
      </c>
      <c r="Z132" s="9">
        <f t="shared" si="110"/>
        <v>2337.25</v>
      </c>
      <c r="AA132" s="9">
        <f t="shared" ref="AA132:AB132" si="111">AA28+AA80</f>
        <v>0</v>
      </c>
      <c r="AB132" s="9">
        <f t="shared" si="111"/>
        <v>34757.279999999999</v>
      </c>
      <c r="AC132" s="9">
        <f t="shared" ref="AC132" si="112">AC28+AC80</f>
        <v>1735.9199999999998</v>
      </c>
    </row>
    <row r="133" spans="1:29">
      <c r="A133" s="274"/>
      <c r="B133" s="47" t="s">
        <v>115</v>
      </c>
      <c r="C133" s="9">
        <f t="shared" si="103"/>
        <v>238129.28</v>
      </c>
      <c r="D133" s="9">
        <f t="shared" ref="D133:Z133" si="113">D29+D81</f>
        <v>0</v>
      </c>
      <c r="E133" s="9">
        <f t="shared" si="113"/>
        <v>33214.199999999997</v>
      </c>
      <c r="F133" s="9">
        <f t="shared" si="113"/>
        <v>179752.29</v>
      </c>
      <c r="G133" s="9">
        <f t="shared" si="113"/>
        <v>4737.04</v>
      </c>
      <c r="H133" s="9">
        <f t="shared" si="113"/>
        <v>1705.25</v>
      </c>
      <c r="I133" s="9">
        <f t="shared" si="113"/>
        <v>1166.75</v>
      </c>
      <c r="J133" s="9">
        <f t="shared" si="113"/>
        <v>798</v>
      </c>
      <c r="K133" s="9">
        <f t="shared" si="113"/>
        <v>1067.04</v>
      </c>
      <c r="L133" s="9">
        <f t="shared" si="113"/>
        <v>8221.58</v>
      </c>
      <c r="M133" s="9">
        <f t="shared" si="113"/>
        <v>290.65999999999997</v>
      </c>
      <c r="N133" s="9">
        <f t="shared" si="113"/>
        <v>290.67</v>
      </c>
      <c r="O133" s="9">
        <f t="shared" si="113"/>
        <v>290.67</v>
      </c>
      <c r="P133" s="9">
        <f t="shared" si="113"/>
        <v>1930.8</v>
      </c>
      <c r="Q133" s="9">
        <f t="shared" si="113"/>
        <v>1405.7</v>
      </c>
      <c r="R133" s="9">
        <f t="shared" si="113"/>
        <v>132.4</v>
      </c>
      <c r="S133" s="9">
        <f t="shared" si="113"/>
        <v>3880.68</v>
      </c>
      <c r="T133" s="9">
        <f t="shared" si="113"/>
        <v>7360.67</v>
      </c>
      <c r="U133" s="9">
        <f t="shared" si="113"/>
        <v>862.52</v>
      </c>
      <c r="V133" s="9">
        <f t="shared" si="113"/>
        <v>3740</v>
      </c>
      <c r="W133" s="9">
        <f t="shared" si="113"/>
        <v>1696.82</v>
      </c>
      <c r="X133" s="9">
        <f t="shared" si="113"/>
        <v>530.63</v>
      </c>
      <c r="Y133" s="9">
        <f t="shared" si="113"/>
        <v>530.70000000000005</v>
      </c>
      <c r="Z133" s="9">
        <f t="shared" si="113"/>
        <v>0</v>
      </c>
      <c r="AA133" s="9">
        <f t="shared" ref="AA133:AB133" si="114">AA29+AA81</f>
        <v>0</v>
      </c>
      <c r="AB133" s="9">
        <f t="shared" si="114"/>
        <v>840</v>
      </c>
      <c r="AC133" s="9">
        <f t="shared" ref="AC133" si="115">AC29+AC81</f>
        <v>4003.5</v>
      </c>
    </row>
    <row r="134" spans="1:29">
      <c r="A134" s="274"/>
      <c r="B134" s="47" t="s">
        <v>116</v>
      </c>
      <c r="C134" s="9">
        <f t="shared" si="103"/>
        <v>840407.19999999984</v>
      </c>
      <c r="D134" s="9">
        <f t="shared" ref="D134:Z134" si="116">D30+D82</f>
        <v>0</v>
      </c>
      <c r="E134" s="9">
        <f t="shared" si="116"/>
        <v>193018.45</v>
      </c>
      <c r="F134" s="9">
        <f t="shared" si="116"/>
        <v>339571.25</v>
      </c>
      <c r="G134" s="9">
        <f t="shared" si="116"/>
        <v>56156.33</v>
      </c>
      <c r="H134" s="9">
        <f t="shared" si="116"/>
        <v>19779.28</v>
      </c>
      <c r="I134" s="9">
        <f t="shared" si="116"/>
        <v>4186.1000000000004</v>
      </c>
      <c r="J134" s="9">
        <f t="shared" si="116"/>
        <v>2766.97</v>
      </c>
      <c r="K134" s="9">
        <f t="shared" si="116"/>
        <v>29423.98</v>
      </c>
      <c r="L134" s="9">
        <f t="shared" si="116"/>
        <v>63662.349999999991</v>
      </c>
      <c r="M134" s="9">
        <f t="shared" si="116"/>
        <v>2819.43</v>
      </c>
      <c r="N134" s="9">
        <f t="shared" si="116"/>
        <v>3973.92</v>
      </c>
      <c r="O134" s="9">
        <f t="shared" si="116"/>
        <v>3947.5299999999997</v>
      </c>
      <c r="P134" s="9">
        <f t="shared" si="116"/>
        <v>4012.6099999999997</v>
      </c>
      <c r="Q134" s="9">
        <f t="shared" si="116"/>
        <v>7200.24</v>
      </c>
      <c r="R134" s="9">
        <f t="shared" si="116"/>
        <v>31714.939999999995</v>
      </c>
      <c r="S134" s="9">
        <f t="shared" si="116"/>
        <v>9993.6799999999985</v>
      </c>
      <c r="T134" s="9">
        <f t="shared" si="116"/>
        <v>173305.2</v>
      </c>
      <c r="U134" s="9">
        <f t="shared" si="116"/>
        <v>60055.780000000006</v>
      </c>
      <c r="V134" s="9">
        <f t="shared" si="116"/>
        <v>42864.87</v>
      </c>
      <c r="W134" s="9">
        <f t="shared" si="116"/>
        <v>41633.799999999996</v>
      </c>
      <c r="X134" s="9">
        <f t="shared" si="116"/>
        <v>19548.43</v>
      </c>
      <c r="Y134" s="9">
        <f t="shared" si="116"/>
        <v>3984.32</v>
      </c>
      <c r="Z134" s="9">
        <f t="shared" si="116"/>
        <v>5218</v>
      </c>
      <c r="AA134" s="9">
        <f t="shared" ref="AA134:AB134" si="117">AA30+AA82</f>
        <v>0</v>
      </c>
      <c r="AB134" s="9">
        <f t="shared" si="117"/>
        <v>11680.64</v>
      </c>
      <c r="AC134" s="9">
        <f t="shared" ref="AC134" si="118">AC30+AC82</f>
        <v>3012.98</v>
      </c>
    </row>
    <row r="135" spans="1:29">
      <c r="A135" s="274"/>
      <c r="B135" s="47" t="s">
        <v>117</v>
      </c>
      <c r="C135" s="9">
        <f t="shared" si="103"/>
        <v>2548991.12</v>
      </c>
      <c r="D135" s="9">
        <f t="shared" ref="D135:Z135" si="119">D31+D83</f>
        <v>0</v>
      </c>
      <c r="E135" s="9">
        <f t="shared" si="119"/>
        <v>866906.83000000007</v>
      </c>
      <c r="F135" s="9">
        <f t="shared" si="119"/>
        <v>1435754.2999999998</v>
      </c>
      <c r="G135" s="9">
        <f t="shared" si="119"/>
        <v>61001.63</v>
      </c>
      <c r="H135" s="9">
        <f t="shared" si="119"/>
        <v>22294</v>
      </c>
      <c r="I135" s="9">
        <f t="shared" si="119"/>
        <v>33593</v>
      </c>
      <c r="J135" s="9">
        <f t="shared" si="119"/>
        <v>5114.63</v>
      </c>
      <c r="K135" s="9">
        <f t="shared" si="119"/>
        <v>0</v>
      </c>
      <c r="L135" s="9">
        <f t="shared" si="119"/>
        <v>156451.68</v>
      </c>
      <c r="M135" s="9">
        <f t="shared" si="119"/>
        <v>5114.63</v>
      </c>
      <c r="N135" s="9">
        <f t="shared" si="119"/>
        <v>15703.630000000001</v>
      </c>
      <c r="O135" s="9">
        <f t="shared" si="119"/>
        <v>5114.63</v>
      </c>
      <c r="P135" s="9">
        <f t="shared" si="119"/>
        <v>0</v>
      </c>
      <c r="Q135" s="9">
        <f t="shared" si="119"/>
        <v>0</v>
      </c>
      <c r="R135" s="9">
        <f t="shared" si="119"/>
        <v>0</v>
      </c>
      <c r="S135" s="9">
        <f t="shared" si="119"/>
        <v>130518.79000000001</v>
      </c>
      <c r="T135" s="9">
        <f t="shared" si="119"/>
        <v>5711</v>
      </c>
      <c r="U135" s="9">
        <f t="shared" si="119"/>
        <v>0</v>
      </c>
      <c r="V135" s="9">
        <f t="shared" si="119"/>
        <v>1857</v>
      </c>
      <c r="W135" s="9">
        <f t="shared" si="119"/>
        <v>3854</v>
      </c>
      <c r="X135" s="9">
        <f t="shared" si="119"/>
        <v>0</v>
      </c>
      <c r="Y135" s="9">
        <f t="shared" si="119"/>
        <v>0</v>
      </c>
      <c r="Z135" s="9">
        <f t="shared" si="119"/>
        <v>0</v>
      </c>
      <c r="AA135" s="9">
        <f t="shared" ref="AA135:AB135" si="120">AA31+AA83</f>
        <v>0</v>
      </c>
      <c r="AB135" s="9">
        <f t="shared" si="120"/>
        <v>23165.68</v>
      </c>
      <c r="AC135" s="9">
        <f t="shared" ref="AC135" si="121">AC31+AC83</f>
        <v>0</v>
      </c>
    </row>
    <row r="136" spans="1:29">
      <c r="A136" s="274"/>
      <c r="B136" s="47" t="s">
        <v>118</v>
      </c>
      <c r="C136" s="9">
        <f t="shared" si="103"/>
        <v>5133968.8599999994</v>
      </c>
      <c r="D136" s="9">
        <f t="shared" ref="D136:Z136" si="122">D32+D84</f>
        <v>0</v>
      </c>
      <c r="E136" s="9">
        <f t="shared" si="122"/>
        <v>0</v>
      </c>
      <c r="F136" s="9">
        <f t="shared" si="122"/>
        <v>5133968.8599999994</v>
      </c>
      <c r="G136" s="9">
        <f t="shared" si="122"/>
        <v>0</v>
      </c>
      <c r="H136" s="9">
        <f t="shared" si="122"/>
        <v>0</v>
      </c>
      <c r="I136" s="9">
        <f t="shared" si="122"/>
        <v>0</v>
      </c>
      <c r="J136" s="9">
        <f t="shared" si="122"/>
        <v>0</v>
      </c>
      <c r="K136" s="9">
        <f t="shared" si="122"/>
        <v>0</v>
      </c>
      <c r="L136" s="9">
        <f t="shared" si="122"/>
        <v>0</v>
      </c>
      <c r="M136" s="9">
        <f t="shared" si="122"/>
        <v>0</v>
      </c>
      <c r="N136" s="9">
        <f t="shared" si="122"/>
        <v>0</v>
      </c>
      <c r="O136" s="9">
        <f t="shared" si="122"/>
        <v>0</v>
      </c>
      <c r="P136" s="9">
        <f t="shared" si="122"/>
        <v>0</v>
      </c>
      <c r="Q136" s="9">
        <f t="shared" si="122"/>
        <v>0</v>
      </c>
      <c r="R136" s="9">
        <f t="shared" si="122"/>
        <v>0</v>
      </c>
      <c r="S136" s="9">
        <f t="shared" si="122"/>
        <v>0</v>
      </c>
      <c r="T136" s="9">
        <f t="shared" si="122"/>
        <v>0</v>
      </c>
      <c r="U136" s="9">
        <f t="shared" si="122"/>
        <v>0</v>
      </c>
      <c r="V136" s="9">
        <f t="shared" si="122"/>
        <v>0</v>
      </c>
      <c r="W136" s="9">
        <f t="shared" si="122"/>
        <v>0</v>
      </c>
      <c r="X136" s="9">
        <f t="shared" si="122"/>
        <v>0</v>
      </c>
      <c r="Y136" s="9">
        <f t="shared" si="122"/>
        <v>0</v>
      </c>
      <c r="Z136" s="9">
        <f t="shared" si="122"/>
        <v>0</v>
      </c>
      <c r="AA136" s="9">
        <f t="shared" ref="AA136:AB136" si="123">AA32+AA84</f>
        <v>0</v>
      </c>
      <c r="AB136" s="9">
        <f t="shared" si="123"/>
        <v>0</v>
      </c>
      <c r="AC136" s="9">
        <f t="shared" ref="AC136" si="124">AC32+AC84</f>
        <v>0</v>
      </c>
    </row>
    <row r="137" spans="1:29">
      <c r="A137" s="274"/>
      <c r="B137" s="47" t="s">
        <v>119</v>
      </c>
      <c r="C137" s="9">
        <f t="shared" si="103"/>
        <v>82275.72</v>
      </c>
      <c r="D137" s="9">
        <f t="shared" ref="D137:Z137" si="125">D33+D85</f>
        <v>0</v>
      </c>
      <c r="E137" s="9">
        <f t="shared" si="125"/>
        <v>0</v>
      </c>
      <c r="F137" s="9">
        <f t="shared" si="125"/>
        <v>50420</v>
      </c>
      <c r="G137" s="9">
        <f t="shared" si="125"/>
        <v>0</v>
      </c>
      <c r="H137" s="9">
        <f t="shared" si="125"/>
        <v>0</v>
      </c>
      <c r="I137" s="9">
        <f t="shared" si="125"/>
        <v>0</v>
      </c>
      <c r="J137" s="9">
        <f t="shared" si="125"/>
        <v>0</v>
      </c>
      <c r="K137" s="9">
        <f t="shared" si="125"/>
        <v>0</v>
      </c>
      <c r="L137" s="9">
        <f t="shared" si="125"/>
        <v>400</v>
      </c>
      <c r="M137" s="9">
        <f t="shared" si="125"/>
        <v>0</v>
      </c>
      <c r="N137" s="9">
        <f t="shared" si="125"/>
        <v>0</v>
      </c>
      <c r="O137" s="9">
        <f t="shared" si="125"/>
        <v>0</v>
      </c>
      <c r="P137" s="9">
        <f t="shared" si="125"/>
        <v>0</v>
      </c>
      <c r="Q137" s="9">
        <f t="shared" si="125"/>
        <v>0</v>
      </c>
      <c r="R137" s="9">
        <f t="shared" si="125"/>
        <v>0</v>
      </c>
      <c r="S137" s="9">
        <f t="shared" si="125"/>
        <v>400</v>
      </c>
      <c r="T137" s="9">
        <f t="shared" si="125"/>
        <v>0</v>
      </c>
      <c r="U137" s="9">
        <f t="shared" si="125"/>
        <v>0</v>
      </c>
      <c r="V137" s="9">
        <f t="shared" si="125"/>
        <v>0</v>
      </c>
      <c r="W137" s="9">
        <f t="shared" si="125"/>
        <v>0</v>
      </c>
      <c r="X137" s="9">
        <f t="shared" si="125"/>
        <v>0</v>
      </c>
      <c r="Y137" s="9">
        <f t="shared" si="125"/>
        <v>0</v>
      </c>
      <c r="Z137" s="9">
        <f t="shared" si="125"/>
        <v>0</v>
      </c>
      <c r="AA137" s="9">
        <f t="shared" ref="AA137:AB137" si="126">AA33+AA85</f>
        <v>0</v>
      </c>
      <c r="AB137" s="9">
        <f t="shared" si="126"/>
        <v>0</v>
      </c>
      <c r="AC137" s="9">
        <f t="shared" ref="AC137" si="127">AC33+AC85</f>
        <v>31455.72</v>
      </c>
    </row>
    <row r="138" spans="1:29">
      <c r="A138" s="275"/>
      <c r="B138" s="57" t="s">
        <v>99</v>
      </c>
      <c r="C138" s="161">
        <f>SUM(C125:C137)</f>
        <v>68383426.629999995</v>
      </c>
      <c r="D138" s="161">
        <f t="shared" ref="D138:U138" si="128">SUM(D125:D137)</f>
        <v>863389.48</v>
      </c>
      <c r="E138" s="161">
        <f t="shared" si="128"/>
        <v>11765993.120000001</v>
      </c>
      <c r="F138" s="161">
        <f t="shared" si="128"/>
        <v>29595415.57</v>
      </c>
      <c r="G138" s="161">
        <f t="shared" si="128"/>
        <v>2612878.0800000005</v>
      </c>
      <c r="H138" s="161">
        <f t="shared" ref="H138" si="129">SUM(H125:H137)</f>
        <v>724205.84</v>
      </c>
      <c r="I138" s="161">
        <f t="shared" ref="I138:K138" si="130">SUM(I125:I137)</f>
        <v>923601.62999999989</v>
      </c>
      <c r="J138" s="161">
        <f t="shared" si="130"/>
        <v>250038.74000000002</v>
      </c>
      <c r="K138" s="161">
        <f t="shared" si="130"/>
        <v>715031.87000000011</v>
      </c>
      <c r="L138" s="161">
        <f t="shared" si="128"/>
        <v>3049167.1600000006</v>
      </c>
      <c r="M138" s="161">
        <f t="shared" si="128"/>
        <v>355321.44</v>
      </c>
      <c r="N138" s="161">
        <f t="shared" ref="N138:O138" si="131">SUM(N125:N137)</f>
        <v>431781.37999999995</v>
      </c>
      <c r="O138" s="161">
        <f t="shared" si="131"/>
        <v>383732.38</v>
      </c>
      <c r="P138" s="161">
        <f t="shared" si="128"/>
        <v>439088.42</v>
      </c>
      <c r="Q138" s="161">
        <f t="shared" si="128"/>
        <v>436151.04000000004</v>
      </c>
      <c r="R138" s="161">
        <f t="shared" si="128"/>
        <v>442761.92000000004</v>
      </c>
      <c r="S138" s="161">
        <f t="shared" si="128"/>
        <v>560330.58000000007</v>
      </c>
      <c r="T138" s="161">
        <f t="shared" si="128"/>
        <v>19111348.580000002</v>
      </c>
      <c r="U138" s="161">
        <f t="shared" si="128"/>
        <v>2045852.15</v>
      </c>
      <c r="V138" s="161">
        <f t="shared" ref="V138:W138" si="132">SUM(V125:V137)</f>
        <v>11871424.049999997</v>
      </c>
      <c r="W138" s="161">
        <f t="shared" si="132"/>
        <v>3315329.899999999</v>
      </c>
      <c r="X138" s="161">
        <f t="shared" ref="X138:Z138" si="133">SUM(X125:X137)</f>
        <v>615930.31999999995</v>
      </c>
      <c r="Y138" s="161">
        <f t="shared" si="133"/>
        <v>1006790.85</v>
      </c>
      <c r="Z138" s="161">
        <f t="shared" si="133"/>
        <v>114373.42</v>
      </c>
      <c r="AA138" s="161">
        <f t="shared" ref="AA138:AB138" si="134">SUM(AA125:AA137)</f>
        <v>141647.89000000001</v>
      </c>
      <c r="AB138" s="161">
        <f t="shared" si="134"/>
        <v>1062317.78</v>
      </c>
      <c r="AC138" s="161">
        <f t="shared" ref="AC138" si="135">SUM(AC125:AC137)</f>
        <v>322916.86</v>
      </c>
    </row>
    <row r="139" spans="1:29" ht="13.5" customHeight="1">
      <c r="A139" s="273" t="s">
        <v>120</v>
      </c>
      <c r="B139" s="47" t="s">
        <v>121</v>
      </c>
      <c r="C139" s="9">
        <f t="shared" ref="C139:C140" si="136">SUM(D139:G139)+L139+T139+AC139+AB139</f>
        <v>3829831.4800000009</v>
      </c>
      <c r="D139" s="9">
        <f t="shared" ref="D139:Z139" si="137">D35+D87</f>
        <v>0</v>
      </c>
      <c r="E139" s="9">
        <f t="shared" si="137"/>
        <v>1002989.37</v>
      </c>
      <c r="F139" s="9">
        <f t="shared" si="137"/>
        <v>2543150.5600000005</v>
      </c>
      <c r="G139" s="9">
        <f t="shared" si="137"/>
        <v>42927.989999999991</v>
      </c>
      <c r="H139" s="9">
        <f t="shared" si="137"/>
        <v>0</v>
      </c>
      <c r="I139" s="9">
        <f t="shared" si="137"/>
        <v>0</v>
      </c>
      <c r="J139" s="9">
        <f t="shared" si="137"/>
        <v>18317.11</v>
      </c>
      <c r="K139" s="9">
        <f t="shared" si="137"/>
        <v>24610.880000000001</v>
      </c>
      <c r="L139" s="9">
        <f t="shared" si="137"/>
        <v>155023.9</v>
      </c>
      <c r="M139" s="9">
        <f t="shared" si="137"/>
        <v>20207.12</v>
      </c>
      <c r="N139" s="9">
        <f t="shared" si="137"/>
        <v>20207.12</v>
      </c>
      <c r="O139" s="9">
        <f t="shared" si="137"/>
        <v>20207.12</v>
      </c>
      <c r="P139" s="9">
        <f t="shared" si="137"/>
        <v>23694.880000000001</v>
      </c>
      <c r="Q139" s="9">
        <f t="shared" si="137"/>
        <v>20353.13</v>
      </c>
      <c r="R139" s="9">
        <f t="shared" si="137"/>
        <v>23658.880000000001</v>
      </c>
      <c r="S139" s="9">
        <f t="shared" si="137"/>
        <v>26695.65</v>
      </c>
      <c r="T139" s="9">
        <f t="shared" si="137"/>
        <v>72988.47</v>
      </c>
      <c r="U139" s="9">
        <f t="shared" si="137"/>
        <v>0</v>
      </c>
      <c r="V139" s="9">
        <f t="shared" si="137"/>
        <v>45068.21</v>
      </c>
      <c r="W139" s="9">
        <f t="shared" si="137"/>
        <v>27920.26</v>
      </c>
      <c r="X139" s="9">
        <f t="shared" si="137"/>
        <v>0</v>
      </c>
      <c r="Y139" s="9">
        <f t="shared" si="137"/>
        <v>0</v>
      </c>
      <c r="Z139" s="9">
        <f t="shared" si="137"/>
        <v>0</v>
      </c>
      <c r="AA139" s="9">
        <f t="shared" ref="AA139:AB139" si="138">AA35+AA87</f>
        <v>0</v>
      </c>
      <c r="AB139" s="9">
        <f t="shared" si="138"/>
        <v>12751.19</v>
      </c>
      <c r="AC139" s="9">
        <f t="shared" ref="AC139" si="139">AC35+AC87</f>
        <v>0</v>
      </c>
    </row>
    <row r="140" spans="1:29">
      <c r="A140" s="274"/>
      <c r="B140" s="47" t="s">
        <v>122</v>
      </c>
      <c r="C140" s="9">
        <f t="shared" si="136"/>
        <v>2703382.35</v>
      </c>
      <c r="D140" s="9">
        <f t="shared" ref="D140:Z140" si="140">D36+D88</f>
        <v>0</v>
      </c>
      <c r="E140" s="9">
        <f t="shared" si="140"/>
        <v>519311.9800000001</v>
      </c>
      <c r="F140" s="9">
        <f t="shared" si="140"/>
        <v>1690848.8200000003</v>
      </c>
      <c r="G140" s="9">
        <f t="shared" si="140"/>
        <v>89921.12999999999</v>
      </c>
      <c r="H140" s="9">
        <f t="shared" si="140"/>
        <v>32095.879999999997</v>
      </c>
      <c r="I140" s="9">
        <f t="shared" si="140"/>
        <v>6361.23</v>
      </c>
      <c r="J140" s="9">
        <f t="shared" si="140"/>
        <v>8143.8700000000008</v>
      </c>
      <c r="K140" s="9">
        <f t="shared" si="140"/>
        <v>43320.15</v>
      </c>
      <c r="L140" s="9">
        <f t="shared" si="140"/>
        <v>291213.18</v>
      </c>
      <c r="M140" s="9">
        <f t="shared" si="140"/>
        <v>19364.370000000003</v>
      </c>
      <c r="N140" s="9">
        <f t="shared" si="140"/>
        <v>29242.739999999998</v>
      </c>
      <c r="O140" s="9">
        <f t="shared" si="140"/>
        <v>20295.75</v>
      </c>
      <c r="P140" s="9">
        <f t="shared" si="140"/>
        <v>17372.25</v>
      </c>
      <c r="Q140" s="9">
        <f t="shared" si="140"/>
        <v>19313.73</v>
      </c>
      <c r="R140" s="9">
        <f t="shared" si="140"/>
        <v>19628.95</v>
      </c>
      <c r="S140" s="9">
        <f t="shared" si="140"/>
        <v>165995.38999999998</v>
      </c>
      <c r="T140" s="9">
        <f t="shared" si="140"/>
        <v>55787.900000000009</v>
      </c>
      <c r="U140" s="9">
        <f t="shared" si="140"/>
        <v>14903.29</v>
      </c>
      <c r="V140" s="9">
        <f t="shared" si="140"/>
        <v>21324.750000000004</v>
      </c>
      <c r="W140" s="9">
        <f t="shared" si="140"/>
        <v>12627.11</v>
      </c>
      <c r="X140" s="9">
        <f t="shared" si="140"/>
        <v>3972.44</v>
      </c>
      <c r="Y140" s="9">
        <f t="shared" si="140"/>
        <v>2540.31</v>
      </c>
      <c r="Z140" s="9">
        <f t="shared" si="140"/>
        <v>420</v>
      </c>
      <c r="AA140" s="9">
        <f t="shared" ref="AA140:AB140" si="141">AA36+AA88</f>
        <v>0</v>
      </c>
      <c r="AB140" s="9">
        <f t="shared" si="141"/>
        <v>17484.75</v>
      </c>
      <c r="AC140" s="9">
        <f t="shared" ref="AC140" si="142">AC36+AC88</f>
        <v>38814.589999999997</v>
      </c>
    </row>
    <row r="141" spans="1:29">
      <c r="A141" s="274"/>
      <c r="B141" s="47" t="s">
        <v>123</v>
      </c>
      <c r="C141" s="9">
        <f>SUM(D141:G141)+L141+T141+AC141+AB141</f>
        <v>2423422.9699999997</v>
      </c>
      <c r="D141" s="9">
        <f t="shared" ref="D141:Z141" si="143">D37+D89</f>
        <v>0</v>
      </c>
      <c r="E141" s="9">
        <f t="shared" si="143"/>
        <v>2177865.17</v>
      </c>
      <c r="F141" s="9">
        <f t="shared" si="143"/>
        <v>0</v>
      </c>
      <c r="G141" s="9">
        <f t="shared" si="143"/>
        <v>0</v>
      </c>
      <c r="H141" s="9">
        <f t="shared" si="143"/>
        <v>0</v>
      </c>
      <c r="I141" s="9">
        <f t="shared" si="143"/>
        <v>0</v>
      </c>
      <c r="J141" s="9">
        <f t="shared" si="143"/>
        <v>0</v>
      </c>
      <c r="K141" s="9">
        <f t="shared" si="143"/>
        <v>0</v>
      </c>
      <c r="L141" s="9">
        <f t="shared" si="143"/>
        <v>0</v>
      </c>
      <c r="M141" s="9">
        <f t="shared" si="143"/>
        <v>0</v>
      </c>
      <c r="N141" s="9">
        <f t="shared" si="143"/>
        <v>0</v>
      </c>
      <c r="O141" s="9">
        <f t="shared" si="143"/>
        <v>0</v>
      </c>
      <c r="P141" s="9">
        <f t="shared" si="143"/>
        <v>0</v>
      </c>
      <c r="Q141" s="9">
        <f t="shared" si="143"/>
        <v>0</v>
      </c>
      <c r="R141" s="9">
        <f t="shared" si="143"/>
        <v>0</v>
      </c>
      <c r="S141" s="9">
        <f t="shared" si="143"/>
        <v>0</v>
      </c>
      <c r="T141" s="9">
        <f t="shared" si="143"/>
        <v>245557.8</v>
      </c>
      <c r="U141" s="9">
        <f t="shared" si="143"/>
        <v>0</v>
      </c>
      <c r="V141" s="9">
        <f t="shared" si="143"/>
        <v>245557.8</v>
      </c>
      <c r="W141" s="9">
        <f t="shared" si="143"/>
        <v>0</v>
      </c>
      <c r="X141" s="9">
        <f t="shared" si="143"/>
        <v>0</v>
      </c>
      <c r="Y141" s="9">
        <f t="shared" si="143"/>
        <v>0</v>
      </c>
      <c r="Z141" s="9">
        <f t="shared" si="143"/>
        <v>0</v>
      </c>
      <c r="AA141" s="9">
        <f t="shared" ref="AA141:AB141" si="144">AA37+AA89</f>
        <v>0</v>
      </c>
      <c r="AB141" s="9">
        <f t="shared" si="144"/>
        <v>0</v>
      </c>
      <c r="AC141" s="9">
        <f t="shared" ref="AC141" si="145">AC37+AC89</f>
        <v>0</v>
      </c>
    </row>
    <row r="142" spans="1:29">
      <c r="A142" s="274"/>
      <c r="B142" s="47" t="s">
        <v>124</v>
      </c>
      <c r="C142" s="9">
        <f t="shared" ref="C142:C154" si="146">SUM(D142:G142)+L142+T142+AC142+AB142</f>
        <v>2272207.8899999992</v>
      </c>
      <c r="D142" s="9">
        <f t="shared" ref="D142:Z142" si="147">D38+D90</f>
        <v>0</v>
      </c>
      <c r="E142" s="9">
        <f t="shared" si="147"/>
        <v>290853.9499999999</v>
      </c>
      <c r="F142" s="9">
        <f t="shared" si="147"/>
        <v>1854399.3399999992</v>
      </c>
      <c r="G142" s="9">
        <f t="shared" si="147"/>
        <v>23301.209999999995</v>
      </c>
      <c r="H142" s="9">
        <f t="shared" si="147"/>
        <v>0</v>
      </c>
      <c r="I142" s="9">
        <f t="shared" si="147"/>
        <v>0</v>
      </c>
      <c r="J142" s="9">
        <f t="shared" si="147"/>
        <v>9162.5099999999984</v>
      </c>
      <c r="K142" s="9">
        <f t="shared" si="147"/>
        <v>14138.699999999999</v>
      </c>
      <c r="L142" s="9">
        <f t="shared" si="147"/>
        <v>86174.96</v>
      </c>
      <c r="M142" s="9">
        <f t="shared" si="147"/>
        <v>10939.729999999998</v>
      </c>
      <c r="N142" s="9">
        <f t="shared" si="147"/>
        <v>10939.72</v>
      </c>
      <c r="O142" s="9">
        <f t="shared" si="147"/>
        <v>10939.72</v>
      </c>
      <c r="P142" s="9">
        <f t="shared" si="147"/>
        <v>14138.699999999999</v>
      </c>
      <c r="Q142" s="9">
        <f t="shared" si="147"/>
        <v>10939.73</v>
      </c>
      <c r="R142" s="9">
        <f t="shared" si="147"/>
        <v>14138.699999999999</v>
      </c>
      <c r="S142" s="9">
        <f t="shared" si="147"/>
        <v>14138.659999999998</v>
      </c>
      <c r="T142" s="9">
        <f t="shared" si="147"/>
        <v>0</v>
      </c>
      <c r="U142" s="9">
        <f t="shared" si="147"/>
        <v>0</v>
      </c>
      <c r="V142" s="9">
        <f t="shared" si="147"/>
        <v>0</v>
      </c>
      <c r="W142" s="9">
        <f t="shared" si="147"/>
        <v>0</v>
      </c>
      <c r="X142" s="9">
        <f t="shared" si="147"/>
        <v>0</v>
      </c>
      <c r="Y142" s="9">
        <f t="shared" si="147"/>
        <v>0</v>
      </c>
      <c r="Z142" s="9">
        <f t="shared" si="147"/>
        <v>0</v>
      </c>
      <c r="AA142" s="9">
        <f t="shared" ref="AA142:AB142" si="148">AA38+AA90</f>
        <v>0</v>
      </c>
      <c r="AB142" s="9">
        <f t="shared" si="148"/>
        <v>0</v>
      </c>
      <c r="AC142" s="9">
        <f t="shared" ref="AC142" si="149">AC38+AC90</f>
        <v>17478.43</v>
      </c>
    </row>
    <row r="143" spans="1:29">
      <c r="A143" s="274"/>
      <c r="B143" s="47" t="s">
        <v>125</v>
      </c>
      <c r="C143" s="9">
        <f t="shared" si="146"/>
        <v>245240.56999999998</v>
      </c>
      <c r="D143" s="9">
        <f t="shared" ref="D143:Z143" si="150">D39+D91</f>
        <v>0</v>
      </c>
      <c r="E143" s="9">
        <f t="shared" si="150"/>
        <v>245240.56999999998</v>
      </c>
      <c r="F143" s="9">
        <f t="shared" si="150"/>
        <v>0</v>
      </c>
      <c r="G143" s="9">
        <f t="shared" si="150"/>
        <v>0</v>
      </c>
      <c r="H143" s="9">
        <f t="shared" si="150"/>
        <v>0</v>
      </c>
      <c r="I143" s="9">
        <f t="shared" si="150"/>
        <v>0</v>
      </c>
      <c r="J143" s="9">
        <f t="shared" si="150"/>
        <v>0</v>
      </c>
      <c r="K143" s="9">
        <f t="shared" si="150"/>
        <v>0</v>
      </c>
      <c r="L143" s="9">
        <f t="shared" si="150"/>
        <v>0</v>
      </c>
      <c r="M143" s="9">
        <f t="shared" si="150"/>
        <v>0</v>
      </c>
      <c r="N143" s="9">
        <f t="shared" si="150"/>
        <v>0</v>
      </c>
      <c r="O143" s="9">
        <f t="shared" si="150"/>
        <v>0</v>
      </c>
      <c r="P143" s="9">
        <f t="shared" si="150"/>
        <v>0</v>
      </c>
      <c r="Q143" s="9">
        <f t="shared" si="150"/>
        <v>0</v>
      </c>
      <c r="R143" s="9">
        <f t="shared" si="150"/>
        <v>0</v>
      </c>
      <c r="S143" s="9">
        <f t="shared" si="150"/>
        <v>0</v>
      </c>
      <c r="T143" s="9">
        <f t="shared" si="150"/>
        <v>0</v>
      </c>
      <c r="U143" s="9">
        <f t="shared" si="150"/>
        <v>0</v>
      </c>
      <c r="V143" s="9">
        <f t="shared" si="150"/>
        <v>0</v>
      </c>
      <c r="W143" s="9">
        <f t="shared" si="150"/>
        <v>0</v>
      </c>
      <c r="X143" s="9">
        <f t="shared" si="150"/>
        <v>0</v>
      </c>
      <c r="Y143" s="9">
        <f t="shared" si="150"/>
        <v>0</v>
      </c>
      <c r="Z143" s="9">
        <f t="shared" si="150"/>
        <v>0</v>
      </c>
      <c r="AA143" s="9">
        <f t="shared" ref="AA143:AB143" si="151">AA39+AA91</f>
        <v>0</v>
      </c>
      <c r="AB143" s="9">
        <f t="shared" si="151"/>
        <v>0</v>
      </c>
      <c r="AC143" s="9">
        <f t="shared" ref="AC143" si="152">AC39+AC91</f>
        <v>0</v>
      </c>
    </row>
    <row r="144" spans="1:29">
      <c r="A144" s="274"/>
      <c r="B144" s="47" t="s">
        <v>126</v>
      </c>
      <c r="C144" s="9">
        <f t="shared" si="146"/>
        <v>661280.85</v>
      </c>
      <c r="D144" s="9">
        <f t="shared" ref="D144:Z144" si="153">D40+D92</f>
        <v>0</v>
      </c>
      <c r="E144" s="9">
        <f t="shared" si="153"/>
        <v>356412.25</v>
      </c>
      <c r="F144" s="9">
        <f t="shared" si="153"/>
        <v>283979.40000000002</v>
      </c>
      <c r="G144" s="9">
        <f t="shared" si="153"/>
        <v>400</v>
      </c>
      <c r="H144" s="9">
        <f t="shared" si="153"/>
        <v>0</v>
      </c>
      <c r="I144" s="9">
        <f t="shared" si="153"/>
        <v>0</v>
      </c>
      <c r="J144" s="9">
        <f t="shared" si="153"/>
        <v>0</v>
      </c>
      <c r="K144" s="9">
        <f t="shared" si="153"/>
        <v>400</v>
      </c>
      <c r="L144" s="9">
        <f t="shared" si="153"/>
        <v>12412.939999999999</v>
      </c>
      <c r="M144" s="9">
        <f t="shared" si="153"/>
        <v>0</v>
      </c>
      <c r="N144" s="9">
        <f t="shared" si="153"/>
        <v>0</v>
      </c>
      <c r="O144" s="9">
        <f t="shared" si="153"/>
        <v>0</v>
      </c>
      <c r="P144" s="9">
        <f t="shared" si="153"/>
        <v>6020.49</v>
      </c>
      <c r="Q144" s="9">
        <f t="shared" si="153"/>
        <v>0</v>
      </c>
      <c r="R144" s="9">
        <f t="shared" si="153"/>
        <v>0</v>
      </c>
      <c r="S144" s="9">
        <f t="shared" si="153"/>
        <v>6392.45</v>
      </c>
      <c r="T144" s="9">
        <f t="shared" si="153"/>
        <v>1646.26</v>
      </c>
      <c r="U144" s="9">
        <f t="shared" si="153"/>
        <v>0</v>
      </c>
      <c r="V144" s="9">
        <f t="shared" si="153"/>
        <v>741.6</v>
      </c>
      <c r="W144" s="9">
        <f t="shared" si="153"/>
        <v>904.66</v>
      </c>
      <c r="X144" s="9">
        <f t="shared" si="153"/>
        <v>0</v>
      </c>
      <c r="Y144" s="9">
        <f t="shared" si="153"/>
        <v>0</v>
      </c>
      <c r="Z144" s="9">
        <f t="shared" si="153"/>
        <v>0</v>
      </c>
      <c r="AA144" s="9">
        <f t="shared" ref="AA144:AB144" si="154">AA40+AA92</f>
        <v>0</v>
      </c>
      <c r="AB144" s="9">
        <f t="shared" si="154"/>
        <v>6100</v>
      </c>
      <c r="AC144" s="9">
        <f t="shared" ref="AC144" si="155">AC40+AC92</f>
        <v>330</v>
      </c>
    </row>
    <row r="145" spans="1:29">
      <c r="A145" s="274"/>
      <c r="B145" s="47" t="s">
        <v>127</v>
      </c>
      <c r="C145" s="9">
        <f t="shared" si="146"/>
        <v>1163726.77</v>
      </c>
      <c r="D145" s="9">
        <f t="shared" ref="D145:Z145" si="156">D41+D93</f>
        <v>0</v>
      </c>
      <c r="E145" s="9">
        <f t="shared" si="156"/>
        <v>608096.77</v>
      </c>
      <c r="F145" s="9">
        <f t="shared" si="156"/>
        <v>547630</v>
      </c>
      <c r="G145" s="9">
        <f t="shared" si="156"/>
        <v>0</v>
      </c>
      <c r="H145" s="9">
        <f t="shared" si="156"/>
        <v>0</v>
      </c>
      <c r="I145" s="9">
        <f t="shared" si="156"/>
        <v>0</v>
      </c>
      <c r="J145" s="9">
        <f t="shared" si="156"/>
        <v>0</v>
      </c>
      <c r="K145" s="9">
        <f t="shared" si="156"/>
        <v>0</v>
      </c>
      <c r="L145" s="9">
        <f t="shared" si="156"/>
        <v>8000</v>
      </c>
      <c r="M145" s="9">
        <f t="shared" si="156"/>
        <v>0</v>
      </c>
      <c r="N145" s="9">
        <f t="shared" si="156"/>
        <v>0</v>
      </c>
      <c r="O145" s="9">
        <f t="shared" si="156"/>
        <v>0</v>
      </c>
      <c r="P145" s="9">
        <f t="shared" si="156"/>
        <v>0</v>
      </c>
      <c r="Q145" s="9">
        <f t="shared" si="156"/>
        <v>0</v>
      </c>
      <c r="R145" s="9">
        <f t="shared" si="156"/>
        <v>0</v>
      </c>
      <c r="S145" s="9">
        <f t="shared" si="156"/>
        <v>8000</v>
      </c>
      <c r="T145" s="9">
        <f t="shared" si="156"/>
        <v>0</v>
      </c>
      <c r="U145" s="9">
        <f t="shared" si="156"/>
        <v>0</v>
      </c>
      <c r="V145" s="9">
        <f t="shared" si="156"/>
        <v>0</v>
      </c>
      <c r="W145" s="9">
        <f t="shared" si="156"/>
        <v>0</v>
      </c>
      <c r="X145" s="9">
        <f t="shared" si="156"/>
        <v>0</v>
      </c>
      <c r="Y145" s="9">
        <f t="shared" si="156"/>
        <v>0</v>
      </c>
      <c r="Z145" s="9">
        <f t="shared" si="156"/>
        <v>0</v>
      </c>
      <c r="AA145" s="9">
        <f t="shared" ref="AA145:AB145" si="157">AA41+AA93</f>
        <v>0</v>
      </c>
      <c r="AB145" s="9">
        <f t="shared" si="157"/>
        <v>0</v>
      </c>
      <c r="AC145" s="9">
        <f t="shared" ref="AC145" si="158">AC41+AC93</f>
        <v>0</v>
      </c>
    </row>
    <row r="146" spans="1:29">
      <c r="A146" s="274"/>
      <c r="B146" s="47" t="s">
        <v>128</v>
      </c>
      <c r="C146" s="9">
        <f t="shared" si="146"/>
        <v>896027.24000000011</v>
      </c>
      <c r="D146" s="9">
        <f t="shared" ref="D146:Z146" si="159">D42+D94</f>
        <v>0</v>
      </c>
      <c r="E146" s="9">
        <f t="shared" si="159"/>
        <v>431999.05000000005</v>
      </c>
      <c r="F146" s="9">
        <f t="shared" si="159"/>
        <v>95004.57</v>
      </c>
      <c r="G146" s="9">
        <f t="shared" si="159"/>
        <v>0</v>
      </c>
      <c r="H146" s="9">
        <f t="shared" si="159"/>
        <v>0</v>
      </c>
      <c r="I146" s="9">
        <f t="shared" si="159"/>
        <v>0</v>
      </c>
      <c r="J146" s="9">
        <f t="shared" si="159"/>
        <v>0</v>
      </c>
      <c r="K146" s="9">
        <f t="shared" si="159"/>
        <v>0</v>
      </c>
      <c r="L146" s="9">
        <f t="shared" si="159"/>
        <v>113207.54</v>
      </c>
      <c r="M146" s="9">
        <f t="shared" si="159"/>
        <v>0</v>
      </c>
      <c r="N146" s="9">
        <f t="shared" si="159"/>
        <v>113207.54</v>
      </c>
      <c r="O146" s="9">
        <f t="shared" si="159"/>
        <v>0</v>
      </c>
      <c r="P146" s="9">
        <f t="shared" si="159"/>
        <v>0</v>
      </c>
      <c r="Q146" s="9">
        <f t="shared" si="159"/>
        <v>0</v>
      </c>
      <c r="R146" s="9">
        <f t="shared" si="159"/>
        <v>0</v>
      </c>
      <c r="S146" s="9">
        <f t="shared" si="159"/>
        <v>0</v>
      </c>
      <c r="T146" s="9">
        <f t="shared" si="159"/>
        <v>255816.08</v>
      </c>
      <c r="U146" s="9">
        <f t="shared" si="159"/>
        <v>0</v>
      </c>
      <c r="V146" s="9">
        <f t="shared" si="159"/>
        <v>226964.63999999998</v>
      </c>
      <c r="W146" s="9">
        <f t="shared" si="159"/>
        <v>28851.440000000002</v>
      </c>
      <c r="X146" s="9">
        <f t="shared" si="159"/>
        <v>0</v>
      </c>
      <c r="Y146" s="9">
        <f t="shared" si="159"/>
        <v>0</v>
      </c>
      <c r="Z146" s="9">
        <f t="shared" si="159"/>
        <v>0</v>
      </c>
      <c r="AA146" s="9">
        <f t="shared" ref="AA146:AB146" si="160">AA42+AA94</f>
        <v>0</v>
      </c>
      <c r="AB146" s="9">
        <f t="shared" si="160"/>
        <v>0</v>
      </c>
      <c r="AC146" s="9">
        <f t="shared" ref="AC146" si="161">AC42+AC94</f>
        <v>0</v>
      </c>
    </row>
    <row r="147" spans="1:29">
      <c r="A147" s="274"/>
      <c r="B147" s="47" t="s">
        <v>129</v>
      </c>
      <c r="C147" s="9">
        <f t="shared" si="146"/>
        <v>0</v>
      </c>
      <c r="D147" s="9">
        <f t="shared" ref="D147:Z147" si="162">D43+D95</f>
        <v>0</v>
      </c>
      <c r="E147" s="9">
        <f t="shared" si="162"/>
        <v>0</v>
      </c>
      <c r="F147" s="9">
        <f t="shared" si="162"/>
        <v>0</v>
      </c>
      <c r="G147" s="9">
        <f t="shared" si="162"/>
        <v>0</v>
      </c>
      <c r="H147" s="9">
        <f t="shared" si="162"/>
        <v>0</v>
      </c>
      <c r="I147" s="9">
        <f t="shared" si="162"/>
        <v>0</v>
      </c>
      <c r="J147" s="9">
        <f t="shared" si="162"/>
        <v>0</v>
      </c>
      <c r="K147" s="9">
        <f t="shared" si="162"/>
        <v>0</v>
      </c>
      <c r="L147" s="9">
        <f t="shared" si="162"/>
        <v>0</v>
      </c>
      <c r="M147" s="9">
        <f t="shared" si="162"/>
        <v>0</v>
      </c>
      <c r="N147" s="9">
        <f t="shared" si="162"/>
        <v>0</v>
      </c>
      <c r="O147" s="9">
        <f t="shared" si="162"/>
        <v>0</v>
      </c>
      <c r="P147" s="9">
        <f t="shared" si="162"/>
        <v>0</v>
      </c>
      <c r="Q147" s="9">
        <f t="shared" si="162"/>
        <v>0</v>
      </c>
      <c r="R147" s="9">
        <f t="shared" si="162"/>
        <v>0</v>
      </c>
      <c r="S147" s="9">
        <f t="shared" si="162"/>
        <v>0</v>
      </c>
      <c r="T147" s="9">
        <f t="shared" si="162"/>
        <v>0</v>
      </c>
      <c r="U147" s="9">
        <f t="shared" si="162"/>
        <v>0</v>
      </c>
      <c r="V147" s="9">
        <f t="shared" si="162"/>
        <v>0</v>
      </c>
      <c r="W147" s="9">
        <f t="shared" si="162"/>
        <v>0</v>
      </c>
      <c r="X147" s="9">
        <f t="shared" si="162"/>
        <v>0</v>
      </c>
      <c r="Y147" s="9">
        <f t="shared" si="162"/>
        <v>0</v>
      </c>
      <c r="Z147" s="9">
        <f t="shared" si="162"/>
        <v>0</v>
      </c>
      <c r="AA147" s="9">
        <f t="shared" ref="AA147:AB147" si="163">AA43+AA95</f>
        <v>0</v>
      </c>
      <c r="AB147" s="9">
        <f t="shared" si="163"/>
        <v>0</v>
      </c>
      <c r="AC147" s="9">
        <f t="shared" ref="AC147" si="164">AC43+AC95</f>
        <v>0</v>
      </c>
    </row>
    <row r="148" spans="1:29" ht="13.5" customHeight="1">
      <c r="A148" s="274"/>
      <c r="B148" s="47" t="s">
        <v>130</v>
      </c>
      <c r="C148" s="9">
        <f t="shared" si="146"/>
        <v>13270935.839999998</v>
      </c>
      <c r="D148" s="9">
        <f t="shared" ref="D148:Z148" si="165">D44+D96</f>
        <v>0</v>
      </c>
      <c r="E148" s="9">
        <f t="shared" si="165"/>
        <v>8166179.6399999997</v>
      </c>
      <c r="F148" s="9">
        <f t="shared" si="165"/>
        <v>4821748.1199999982</v>
      </c>
      <c r="G148" s="9">
        <f t="shared" si="165"/>
        <v>154827.77999999997</v>
      </c>
      <c r="H148" s="9">
        <f t="shared" si="165"/>
        <v>0</v>
      </c>
      <c r="I148" s="9">
        <f t="shared" si="165"/>
        <v>13181.72</v>
      </c>
      <c r="J148" s="9">
        <f t="shared" si="165"/>
        <v>13181.72</v>
      </c>
      <c r="K148" s="9">
        <f t="shared" si="165"/>
        <v>128464.34</v>
      </c>
      <c r="L148" s="9">
        <f t="shared" si="165"/>
        <v>128180.30000000002</v>
      </c>
      <c r="M148" s="9">
        <f t="shared" si="165"/>
        <v>33959.019999999997</v>
      </c>
      <c r="N148" s="9">
        <f t="shared" si="165"/>
        <v>15945.9</v>
      </c>
      <c r="O148" s="9">
        <f t="shared" si="165"/>
        <v>6146.91</v>
      </c>
      <c r="P148" s="9">
        <f t="shared" si="165"/>
        <v>26363.439999999999</v>
      </c>
      <c r="Q148" s="9">
        <f t="shared" si="165"/>
        <v>0</v>
      </c>
      <c r="R148" s="9">
        <f t="shared" si="165"/>
        <v>35512.769999999997</v>
      </c>
      <c r="S148" s="9">
        <f t="shared" si="165"/>
        <v>10252.26</v>
      </c>
      <c r="T148" s="9">
        <f t="shared" si="165"/>
        <v>0</v>
      </c>
      <c r="U148" s="9">
        <f t="shared" si="165"/>
        <v>0</v>
      </c>
      <c r="V148" s="9">
        <f t="shared" si="165"/>
        <v>0</v>
      </c>
      <c r="W148" s="9">
        <f t="shared" si="165"/>
        <v>0</v>
      </c>
      <c r="X148" s="9">
        <f t="shared" si="165"/>
        <v>0</v>
      </c>
      <c r="Y148" s="9">
        <f t="shared" si="165"/>
        <v>0</v>
      </c>
      <c r="Z148" s="9">
        <f t="shared" si="165"/>
        <v>0</v>
      </c>
      <c r="AA148" s="9">
        <f t="shared" ref="AA148:AB148" si="166">AA44+AA96</f>
        <v>0</v>
      </c>
      <c r="AB148" s="9">
        <f t="shared" si="166"/>
        <v>0</v>
      </c>
      <c r="AC148" s="9">
        <f t="shared" ref="AC148" si="167">AC44+AC96</f>
        <v>0</v>
      </c>
    </row>
    <row r="149" spans="1:29">
      <c r="A149" s="274"/>
      <c r="B149" s="47" t="s">
        <v>131</v>
      </c>
      <c r="C149" s="9">
        <f t="shared" si="146"/>
        <v>3461085.39</v>
      </c>
      <c r="D149" s="9">
        <f t="shared" ref="D149:Z149" si="168">D45+D97</f>
        <v>0</v>
      </c>
      <c r="E149" s="9">
        <f t="shared" si="168"/>
        <v>1064714.9100000001</v>
      </c>
      <c r="F149" s="9">
        <f t="shared" si="168"/>
        <v>2071973.88</v>
      </c>
      <c r="G149" s="9">
        <f t="shared" si="168"/>
        <v>251774.62999999998</v>
      </c>
      <c r="H149" s="9">
        <f t="shared" si="168"/>
        <v>0</v>
      </c>
      <c r="I149" s="9">
        <f t="shared" si="168"/>
        <v>29750.7</v>
      </c>
      <c r="J149" s="9">
        <f t="shared" si="168"/>
        <v>30882.77</v>
      </c>
      <c r="K149" s="9">
        <f t="shared" si="168"/>
        <v>191141.16</v>
      </c>
      <c r="L149" s="9">
        <f t="shared" si="168"/>
        <v>60779.320000000014</v>
      </c>
      <c r="M149" s="9">
        <f t="shared" si="168"/>
        <v>5397.64</v>
      </c>
      <c r="N149" s="9">
        <f t="shared" si="168"/>
        <v>5397.64</v>
      </c>
      <c r="O149" s="9">
        <f t="shared" si="168"/>
        <v>7533.96</v>
      </c>
      <c r="P149" s="9">
        <f t="shared" si="168"/>
        <v>13315.560000000001</v>
      </c>
      <c r="Q149" s="9">
        <f t="shared" si="168"/>
        <v>14258.960000000001</v>
      </c>
      <c r="R149" s="9">
        <f t="shared" si="168"/>
        <v>13315.560000000001</v>
      </c>
      <c r="S149" s="9">
        <f t="shared" si="168"/>
        <v>1560</v>
      </c>
      <c r="T149" s="9">
        <f t="shared" si="168"/>
        <v>4106.79</v>
      </c>
      <c r="U149" s="9">
        <f t="shared" si="168"/>
        <v>2509.4299999999998</v>
      </c>
      <c r="V149" s="9">
        <f t="shared" si="168"/>
        <v>1220</v>
      </c>
      <c r="W149" s="9">
        <f t="shared" si="168"/>
        <v>0</v>
      </c>
      <c r="X149" s="9">
        <f t="shared" si="168"/>
        <v>377.36</v>
      </c>
      <c r="Y149" s="9">
        <f t="shared" si="168"/>
        <v>0</v>
      </c>
      <c r="Z149" s="9">
        <f t="shared" si="168"/>
        <v>0</v>
      </c>
      <c r="AA149" s="9">
        <f t="shared" ref="AA149:AB149" si="169">AA45+AA97</f>
        <v>0</v>
      </c>
      <c r="AB149" s="9">
        <f t="shared" si="169"/>
        <v>5471.7</v>
      </c>
      <c r="AC149" s="9">
        <f t="shared" ref="AC149" si="170">AC45+AC97</f>
        <v>2264.16</v>
      </c>
    </row>
    <row r="150" spans="1:29">
      <c r="A150" s="274"/>
      <c r="B150" s="47" t="s">
        <v>132</v>
      </c>
      <c r="C150" s="9">
        <f t="shared" si="146"/>
        <v>35634203.830000013</v>
      </c>
      <c r="D150" s="9">
        <f t="shared" ref="D150:Z150" si="171">D46+D98</f>
        <v>274503.2</v>
      </c>
      <c r="E150" s="9">
        <f t="shared" si="171"/>
        <v>2267130.9100000006</v>
      </c>
      <c r="F150" s="9">
        <f t="shared" si="171"/>
        <v>24840956.860000011</v>
      </c>
      <c r="G150" s="9">
        <f t="shared" si="171"/>
        <v>468844.73999999993</v>
      </c>
      <c r="H150" s="9">
        <f t="shared" si="171"/>
        <v>1895</v>
      </c>
      <c r="I150" s="9">
        <f t="shared" si="171"/>
        <v>0</v>
      </c>
      <c r="J150" s="9">
        <f t="shared" si="171"/>
        <v>183251.85</v>
      </c>
      <c r="K150" s="9">
        <f t="shared" si="171"/>
        <v>283697.89</v>
      </c>
      <c r="L150" s="9">
        <f t="shared" si="171"/>
        <v>6947441.7700000014</v>
      </c>
      <c r="M150" s="9">
        <f t="shared" si="171"/>
        <v>234341.58</v>
      </c>
      <c r="N150" s="9">
        <f t="shared" si="171"/>
        <v>235059.45</v>
      </c>
      <c r="O150" s="9">
        <f t="shared" si="171"/>
        <v>234088.58000000002</v>
      </c>
      <c r="P150" s="9">
        <f t="shared" si="171"/>
        <v>295348.37</v>
      </c>
      <c r="Q150" s="9">
        <f t="shared" si="171"/>
        <v>240561.03999999998</v>
      </c>
      <c r="R150" s="9">
        <f t="shared" si="171"/>
        <v>283697.89</v>
      </c>
      <c r="S150" s="9">
        <f t="shared" si="171"/>
        <v>5424344.8600000003</v>
      </c>
      <c r="T150" s="9">
        <f t="shared" si="171"/>
        <v>578251.22</v>
      </c>
      <c r="U150" s="9">
        <f t="shared" si="171"/>
        <v>0</v>
      </c>
      <c r="V150" s="9">
        <f t="shared" si="171"/>
        <v>357808.51999999996</v>
      </c>
      <c r="W150" s="9">
        <f t="shared" si="171"/>
        <v>220358.69999999998</v>
      </c>
      <c r="X150" s="9">
        <f t="shared" si="171"/>
        <v>0</v>
      </c>
      <c r="Y150" s="9">
        <f t="shared" si="171"/>
        <v>84</v>
      </c>
      <c r="Z150" s="9">
        <f t="shared" si="171"/>
        <v>0</v>
      </c>
      <c r="AA150" s="9">
        <f t="shared" ref="AA150:AB150" si="172">AA46+AA98</f>
        <v>0</v>
      </c>
      <c r="AB150" s="9">
        <f t="shared" si="172"/>
        <v>113027.13</v>
      </c>
      <c r="AC150" s="9">
        <f t="shared" ref="AC150" si="173">AC46+AC98</f>
        <v>144048</v>
      </c>
    </row>
    <row r="151" spans="1:29">
      <c r="A151" s="274"/>
      <c r="B151" s="47" t="s">
        <v>133</v>
      </c>
      <c r="C151" s="9">
        <f t="shared" si="146"/>
        <v>16217506.449999999</v>
      </c>
      <c r="D151" s="9">
        <f t="shared" ref="D151:Z151" si="174">D47+D99</f>
        <v>-8543938.2899999991</v>
      </c>
      <c r="E151" s="9">
        <f t="shared" si="174"/>
        <v>12231729.810000001</v>
      </c>
      <c r="F151" s="9">
        <f t="shared" si="174"/>
        <v>11937875.02</v>
      </c>
      <c r="G151" s="9">
        <f t="shared" si="174"/>
        <v>6711.29</v>
      </c>
      <c r="H151" s="9">
        <f t="shared" si="174"/>
        <v>0</v>
      </c>
      <c r="I151" s="9">
        <f t="shared" si="174"/>
        <v>0</v>
      </c>
      <c r="J151" s="9">
        <f t="shared" si="174"/>
        <v>1852.93</v>
      </c>
      <c r="K151" s="9">
        <f t="shared" si="174"/>
        <v>4858.3599999999997</v>
      </c>
      <c r="L151" s="9">
        <f t="shared" si="174"/>
        <v>585128.62</v>
      </c>
      <c r="M151" s="9">
        <f t="shared" si="174"/>
        <v>24212.23</v>
      </c>
      <c r="N151" s="9">
        <f t="shared" si="174"/>
        <v>24212.240000000002</v>
      </c>
      <c r="O151" s="9">
        <f t="shared" si="174"/>
        <v>24176.960000000003</v>
      </c>
      <c r="P151" s="9">
        <f t="shared" si="174"/>
        <v>27339.549999999996</v>
      </c>
      <c r="Q151" s="9">
        <f t="shared" si="174"/>
        <v>3769.77</v>
      </c>
      <c r="R151" s="9">
        <f t="shared" si="174"/>
        <v>12174.34</v>
      </c>
      <c r="S151" s="9">
        <f t="shared" si="174"/>
        <v>469243.53</v>
      </c>
      <c r="T151" s="9">
        <f t="shared" si="174"/>
        <v>0</v>
      </c>
      <c r="U151" s="9">
        <f t="shared" si="174"/>
        <v>0</v>
      </c>
      <c r="V151" s="9">
        <f t="shared" si="174"/>
        <v>0</v>
      </c>
      <c r="W151" s="9">
        <f t="shared" si="174"/>
        <v>0</v>
      </c>
      <c r="X151" s="9">
        <f t="shared" si="174"/>
        <v>0</v>
      </c>
      <c r="Y151" s="9">
        <f t="shared" si="174"/>
        <v>0</v>
      </c>
      <c r="Z151" s="9">
        <f t="shared" si="174"/>
        <v>0</v>
      </c>
      <c r="AA151" s="9">
        <f t="shared" ref="AA151:AB151" si="175">AA47+AA99</f>
        <v>0</v>
      </c>
      <c r="AB151" s="9">
        <f t="shared" si="175"/>
        <v>0</v>
      </c>
      <c r="AC151" s="9">
        <f t="shared" ref="AC151" si="176">AC47+AC99</f>
        <v>0</v>
      </c>
    </row>
    <row r="152" spans="1:29">
      <c r="A152" s="274"/>
      <c r="B152" s="47" t="s">
        <v>134</v>
      </c>
      <c r="C152" s="9">
        <f t="shared" si="146"/>
        <v>7714999.1300000008</v>
      </c>
      <c r="D152" s="9">
        <f t="shared" ref="D152:Z152" si="177">D48+D100</f>
        <v>0</v>
      </c>
      <c r="E152" s="9">
        <f t="shared" si="177"/>
        <v>7026675.0600000005</v>
      </c>
      <c r="F152" s="9">
        <f t="shared" si="177"/>
        <v>581146.62000000011</v>
      </c>
      <c r="G152" s="9">
        <f t="shared" si="177"/>
        <v>0</v>
      </c>
      <c r="H152" s="9">
        <f t="shared" si="177"/>
        <v>0</v>
      </c>
      <c r="I152" s="9">
        <f t="shared" si="177"/>
        <v>0</v>
      </c>
      <c r="J152" s="9">
        <f t="shared" si="177"/>
        <v>0</v>
      </c>
      <c r="K152" s="9">
        <f t="shared" si="177"/>
        <v>0</v>
      </c>
      <c r="L152" s="9">
        <f t="shared" si="177"/>
        <v>104032.75000000001</v>
      </c>
      <c r="M152" s="9">
        <f t="shared" si="177"/>
        <v>82600.210000000006</v>
      </c>
      <c r="N152" s="9">
        <f t="shared" si="177"/>
        <v>10716.27</v>
      </c>
      <c r="O152" s="9">
        <f t="shared" si="177"/>
        <v>10716.27</v>
      </c>
      <c r="P152" s="9">
        <f t="shared" si="177"/>
        <v>0</v>
      </c>
      <c r="Q152" s="9">
        <f t="shared" si="177"/>
        <v>0</v>
      </c>
      <c r="R152" s="9">
        <f t="shared" si="177"/>
        <v>0</v>
      </c>
      <c r="S152" s="9">
        <f t="shared" si="177"/>
        <v>0</v>
      </c>
      <c r="T152" s="9">
        <f t="shared" si="177"/>
        <v>0</v>
      </c>
      <c r="U152" s="9">
        <f t="shared" si="177"/>
        <v>0</v>
      </c>
      <c r="V152" s="9">
        <f t="shared" si="177"/>
        <v>0</v>
      </c>
      <c r="W152" s="9">
        <f t="shared" si="177"/>
        <v>0</v>
      </c>
      <c r="X152" s="9">
        <f t="shared" si="177"/>
        <v>0</v>
      </c>
      <c r="Y152" s="9">
        <f t="shared" si="177"/>
        <v>0</v>
      </c>
      <c r="Z152" s="9">
        <f t="shared" si="177"/>
        <v>0</v>
      </c>
      <c r="AA152" s="9">
        <f t="shared" ref="AA152:AB152" si="178">AA48+AA100</f>
        <v>0</v>
      </c>
      <c r="AB152" s="9">
        <f t="shared" si="178"/>
        <v>0</v>
      </c>
      <c r="AC152" s="9">
        <f t="shared" ref="AC152" si="179">AC48+AC100</f>
        <v>3144.7000000000003</v>
      </c>
    </row>
    <row r="153" spans="1:29">
      <c r="A153" s="274"/>
      <c r="B153" s="47" t="s">
        <v>135</v>
      </c>
      <c r="C153" s="9">
        <f t="shared" si="146"/>
        <v>7290126.8500000006</v>
      </c>
      <c r="D153" s="9">
        <f t="shared" ref="D153:Z153" si="180">D49+D101</f>
        <v>0</v>
      </c>
      <c r="E153" s="9">
        <f t="shared" si="180"/>
        <v>1839711.0899999996</v>
      </c>
      <c r="F153" s="9">
        <f t="shared" si="180"/>
        <v>5078582.41</v>
      </c>
      <c r="G153" s="9">
        <f t="shared" si="180"/>
        <v>119159.64999999998</v>
      </c>
      <c r="H153" s="9">
        <f t="shared" si="180"/>
        <v>9636.090000000002</v>
      </c>
      <c r="I153" s="9">
        <f t="shared" si="180"/>
        <v>1670.26</v>
      </c>
      <c r="J153" s="9">
        <f t="shared" si="180"/>
        <v>32166.13</v>
      </c>
      <c r="K153" s="9">
        <f t="shared" si="180"/>
        <v>75687.17</v>
      </c>
      <c r="L153" s="9">
        <f t="shared" si="180"/>
        <v>235423.5</v>
      </c>
      <c r="M153" s="9">
        <f t="shared" si="180"/>
        <v>28001.789999999997</v>
      </c>
      <c r="N153" s="9">
        <f t="shared" si="180"/>
        <v>27227.110000000004</v>
      </c>
      <c r="O153" s="9">
        <f t="shared" si="180"/>
        <v>28031.43</v>
      </c>
      <c r="P153" s="9">
        <f t="shared" si="180"/>
        <v>61939.990000000013</v>
      </c>
      <c r="Q153" s="9">
        <f t="shared" si="180"/>
        <v>21866.920000000002</v>
      </c>
      <c r="R153" s="9">
        <f t="shared" si="180"/>
        <v>36831.560000000005</v>
      </c>
      <c r="S153" s="9">
        <f t="shared" si="180"/>
        <v>31524.700000000004</v>
      </c>
      <c r="T153" s="9">
        <f t="shared" si="180"/>
        <v>17250.200000000004</v>
      </c>
      <c r="U153" s="9">
        <f t="shared" si="180"/>
        <v>0</v>
      </c>
      <c r="V153" s="9">
        <f t="shared" si="180"/>
        <v>1723.3700000000001</v>
      </c>
      <c r="W153" s="9">
        <f t="shared" si="180"/>
        <v>15526.830000000004</v>
      </c>
      <c r="X153" s="9">
        <f t="shared" si="180"/>
        <v>0</v>
      </c>
      <c r="Y153" s="9">
        <f t="shared" si="180"/>
        <v>0</v>
      </c>
      <c r="Z153" s="9">
        <f t="shared" si="180"/>
        <v>0</v>
      </c>
      <c r="AA153" s="9">
        <f t="shared" ref="AA153:AB153" si="181">AA49+AA101</f>
        <v>0</v>
      </c>
      <c r="AB153" s="9">
        <f t="shared" si="181"/>
        <v>0</v>
      </c>
      <c r="AC153" s="9">
        <f t="shared" ref="AC153" si="182">AC49+AC101</f>
        <v>0</v>
      </c>
    </row>
    <row r="154" spans="1:29">
      <c r="A154" s="274"/>
      <c r="B154" s="47" t="s">
        <v>136</v>
      </c>
      <c r="C154" s="9">
        <f t="shared" si="146"/>
        <v>840267.51</v>
      </c>
      <c r="D154" s="9">
        <f t="shared" ref="D154:Z154" si="183">D50+D102</f>
        <v>0</v>
      </c>
      <c r="E154" s="9">
        <f t="shared" si="183"/>
        <v>132641.52000000002</v>
      </c>
      <c r="F154" s="9">
        <f t="shared" si="183"/>
        <v>535073.63</v>
      </c>
      <c r="G154" s="9">
        <f t="shared" si="183"/>
        <v>17212.559999999998</v>
      </c>
      <c r="H154" s="9">
        <f t="shared" si="183"/>
        <v>13112.56</v>
      </c>
      <c r="I154" s="9">
        <f t="shared" si="183"/>
        <v>1100</v>
      </c>
      <c r="J154" s="9">
        <f t="shared" si="183"/>
        <v>3000</v>
      </c>
      <c r="K154" s="9">
        <f t="shared" si="183"/>
        <v>0</v>
      </c>
      <c r="L154" s="9">
        <f t="shared" si="183"/>
        <v>155339.79999999999</v>
      </c>
      <c r="M154" s="9">
        <f t="shared" si="183"/>
        <v>0</v>
      </c>
      <c r="N154" s="9">
        <f t="shared" si="183"/>
        <v>0</v>
      </c>
      <c r="O154" s="9">
        <f t="shared" si="183"/>
        <v>0</v>
      </c>
      <c r="P154" s="9">
        <f t="shared" si="183"/>
        <v>0</v>
      </c>
      <c r="Q154" s="9">
        <f t="shared" si="183"/>
        <v>0</v>
      </c>
      <c r="R154" s="9">
        <f t="shared" si="183"/>
        <v>155339.79999999999</v>
      </c>
      <c r="S154" s="9">
        <f t="shared" si="183"/>
        <v>0</v>
      </c>
      <c r="T154" s="9">
        <f t="shared" si="183"/>
        <v>0</v>
      </c>
      <c r="U154" s="9">
        <f t="shared" si="183"/>
        <v>0</v>
      </c>
      <c r="V154" s="9">
        <f t="shared" si="183"/>
        <v>0</v>
      </c>
      <c r="W154" s="9">
        <f t="shared" si="183"/>
        <v>0</v>
      </c>
      <c r="X154" s="9">
        <f t="shared" si="183"/>
        <v>0</v>
      </c>
      <c r="Y154" s="9">
        <f t="shared" si="183"/>
        <v>0</v>
      </c>
      <c r="Z154" s="9">
        <f t="shared" si="183"/>
        <v>0</v>
      </c>
      <c r="AA154" s="9">
        <f t="shared" ref="AA154:AB154" si="184">AA50+AA102</f>
        <v>0</v>
      </c>
      <c r="AB154" s="9">
        <f t="shared" si="184"/>
        <v>0</v>
      </c>
      <c r="AC154" s="9">
        <f t="shared" ref="AC154" si="185">AC50+AC102</f>
        <v>0</v>
      </c>
    </row>
    <row r="155" spans="1:29">
      <c r="A155" s="275"/>
      <c r="B155" s="57" t="s">
        <v>99</v>
      </c>
      <c r="C155" s="162">
        <f>SUM(C139:C154)</f>
        <v>98624245.120000005</v>
      </c>
      <c r="D155" s="162">
        <f>SUM(D139:D154)</f>
        <v>-8269435.0899999989</v>
      </c>
      <c r="E155" s="162">
        <f t="shared" ref="E155:U155" si="186">SUM(E139:E154)</f>
        <v>38361552.050000004</v>
      </c>
      <c r="F155" s="162">
        <f t="shared" si="186"/>
        <v>56882369.230000012</v>
      </c>
      <c r="G155" s="162">
        <f t="shared" si="186"/>
        <v>1175080.98</v>
      </c>
      <c r="H155" s="162">
        <f t="shared" ref="H155" si="187">SUM(H139:H154)</f>
        <v>56739.53</v>
      </c>
      <c r="I155" s="162">
        <f t="shared" ref="I155:K155" si="188">SUM(I139:I154)</f>
        <v>52063.909999999996</v>
      </c>
      <c r="J155" s="162">
        <f t="shared" si="188"/>
        <v>299958.89</v>
      </c>
      <c r="K155" s="162">
        <f t="shared" si="188"/>
        <v>766318.65</v>
      </c>
      <c r="L155" s="162">
        <f t="shared" si="186"/>
        <v>8882358.5800000019</v>
      </c>
      <c r="M155" s="162">
        <f t="shared" si="186"/>
        <v>459023.68999999994</v>
      </c>
      <c r="N155" s="162">
        <f t="shared" ref="N155:O155" si="189">SUM(N139:N154)</f>
        <v>492155.73</v>
      </c>
      <c r="O155" s="162">
        <f t="shared" si="189"/>
        <v>362136.70000000007</v>
      </c>
      <c r="P155" s="162">
        <f t="shared" si="186"/>
        <v>485533.23</v>
      </c>
      <c r="Q155" s="162">
        <f t="shared" si="186"/>
        <v>331063.27999999997</v>
      </c>
      <c r="R155" s="162">
        <f t="shared" si="186"/>
        <v>594298.44999999995</v>
      </c>
      <c r="S155" s="162">
        <f t="shared" si="186"/>
        <v>6158147.5000000009</v>
      </c>
      <c r="T155" s="162">
        <f t="shared" si="186"/>
        <v>1231404.72</v>
      </c>
      <c r="U155" s="162">
        <f t="shared" si="186"/>
        <v>17412.72</v>
      </c>
      <c r="V155" s="162">
        <f t="shared" ref="V155:W155" si="190">SUM(V139:V154)</f>
        <v>900408.89</v>
      </c>
      <c r="W155" s="162">
        <f t="shared" si="190"/>
        <v>306189</v>
      </c>
      <c r="X155" s="162">
        <f t="shared" ref="X155:Z155" si="191">SUM(X139:X154)</f>
        <v>4349.8</v>
      </c>
      <c r="Y155" s="162">
        <f t="shared" si="191"/>
        <v>2624.31</v>
      </c>
      <c r="Z155" s="162">
        <f t="shared" si="191"/>
        <v>420</v>
      </c>
      <c r="AA155" s="162">
        <f t="shared" ref="AA155:AB155" si="192">SUM(AA139:AA154)</f>
        <v>0</v>
      </c>
      <c r="AB155" s="162">
        <f t="shared" si="192"/>
        <v>154834.77000000002</v>
      </c>
      <c r="AC155" s="162">
        <f t="shared" ref="AC155" si="193">SUM(AC139:AC154)</f>
        <v>206079.88</v>
      </c>
    </row>
    <row r="156" spans="1:29" ht="14.25" thickBot="1">
      <c r="A156" s="14"/>
      <c r="B156" s="59" t="s">
        <v>3</v>
      </c>
      <c r="C156" s="16">
        <f>C155+C138+C118+C124</f>
        <v>643767443.80999994</v>
      </c>
      <c r="D156" s="16">
        <f t="shared" ref="D156:Z156" si="194">D155+D138+D118+D124</f>
        <v>-780214.38000000082</v>
      </c>
      <c r="E156" s="16">
        <f t="shared" si="194"/>
        <v>153232509.62</v>
      </c>
      <c r="F156" s="16">
        <f>F155+F138+F118+F124</f>
        <v>312536798.61000001</v>
      </c>
      <c r="G156" s="16">
        <f t="shared" si="194"/>
        <v>17661113.369999997</v>
      </c>
      <c r="H156" s="16">
        <f t="shared" si="194"/>
        <v>4261997.7699999986</v>
      </c>
      <c r="I156" s="16">
        <f t="shared" si="194"/>
        <v>3116156.12</v>
      </c>
      <c r="J156" s="16">
        <f t="shared" si="194"/>
        <v>4184595.92</v>
      </c>
      <c r="K156" s="16">
        <f t="shared" si="194"/>
        <v>6098363.5599999996</v>
      </c>
      <c r="L156" s="16">
        <f t="shared" si="194"/>
        <v>31313247.800000004</v>
      </c>
      <c r="M156" s="16">
        <f t="shared" si="194"/>
        <v>2737493.29</v>
      </c>
      <c r="N156" s="16">
        <f t="shared" si="194"/>
        <v>3633609.6000000006</v>
      </c>
      <c r="O156" s="16">
        <f t="shared" si="194"/>
        <v>1634214.4000000004</v>
      </c>
      <c r="P156" s="16">
        <f t="shared" si="194"/>
        <v>7046503.5099999998</v>
      </c>
      <c r="Q156" s="16">
        <f t="shared" si="194"/>
        <v>3374162.79</v>
      </c>
      <c r="R156" s="16">
        <f t="shared" si="194"/>
        <v>3684854.1599999997</v>
      </c>
      <c r="S156" s="16">
        <f t="shared" si="194"/>
        <v>9202410.0500000007</v>
      </c>
      <c r="T156" s="16">
        <f t="shared" si="194"/>
        <v>116005693.09</v>
      </c>
      <c r="U156" s="16">
        <f t="shared" si="194"/>
        <v>9591857.4200000018</v>
      </c>
      <c r="V156" s="16">
        <f t="shared" si="194"/>
        <v>80118341.329999998</v>
      </c>
      <c r="W156" s="16">
        <f t="shared" si="194"/>
        <v>21266500.249999996</v>
      </c>
      <c r="X156" s="16">
        <f t="shared" si="194"/>
        <v>2817734.5000000005</v>
      </c>
      <c r="Y156" s="16">
        <f t="shared" si="194"/>
        <v>1655135.83</v>
      </c>
      <c r="Z156" s="16">
        <f t="shared" si="194"/>
        <v>410890.97</v>
      </c>
      <c r="AA156" s="16">
        <f t="shared" ref="AA156:AB156" si="195">AA155+AA138+AA118+AA124</f>
        <v>145232.79</v>
      </c>
      <c r="AB156" s="16">
        <f t="shared" si="195"/>
        <v>6925902.1199999992</v>
      </c>
      <c r="AC156" s="16">
        <f t="shared" ref="AC156" si="196">AC155+AC138+AC118+AC124</f>
        <v>6872393.5800000001</v>
      </c>
    </row>
    <row r="157" spans="1:29">
      <c r="C157" s="163"/>
    </row>
    <row r="158" spans="1:29" s="142" customFormat="1" ht="12">
      <c r="B158" s="164" t="s">
        <v>58</v>
      </c>
      <c r="C158" s="164">
        <f>C156-累计利润调整表!B78</f>
        <v>0</v>
      </c>
      <c r="D158" s="142">
        <f>D156-累计利润调整表!C78</f>
        <v>0</v>
      </c>
      <c r="E158" s="142">
        <f>E156-累计利润调整表!D78</f>
        <v>0</v>
      </c>
      <c r="F158" s="142">
        <f>F156-累计利润调整表!E78</f>
        <v>0</v>
      </c>
      <c r="G158" s="142">
        <f>G156-累计利润调整表!F78</f>
        <v>0</v>
      </c>
      <c r="H158" s="142">
        <f>H156-累计利润调整表!G78</f>
        <v>0</v>
      </c>
      <c r="I158" s="142">
        <f>I156-累计利润调整表!H78</f>
        <v>0</v>
      </c>
      <c r="J158" s="142">
        <f>J156-累计利润调整表!I78</f>
        <v>0</v>
      </c>
      <c r="K158" s="142">
        <f>K156-累计利润调整表!J78</f>
        <v>0</v>
      </c>
      <c r="L158" s="142">
        <f>L156-累计利润调整表!K78</f>
        <v>0</v>
      </c>
      <c r="M158" s="142">
        <f>M156-累计利润调整表!L78</f>
        <v>0</v>
      </c>
      <c r="N158" s="142">
        <f>N156-累计利润调整表!M78</f>
        <v>0</v>
      </c>
      <c r="O158" s="142">
        <f>O156-累计利润调整表!N78</f>
        <v>0</v>
      </c>
      <c r="P158" s="142">
        <f>P156-累计利润调整表!O78</f>
        <v>0</v>
      </c>
      <c r="Q158" s="142">
        <f>Q156-累计利润调整表!P78</f>
        <v>0</v>
      </c>
      <c r="R158" s="142">
        <f>R156-累计利润调整表!Q78</f>
        <v>0</v>
      </c>
      <c r="S158" s="142">
        <f>S156-累计利润调整表!R78</f>
        <v>0</v>
      </c>
      <c r="T158" s="142">
        <f>T156-累计利润调整表!S78</f>
        <v>0</v>
      </c>
      <c r="U158" s="142">
        <f>U156-累计利润调整表!T78</f>
        <v>0</v>
      </c>
      <c r="V158" s="142">
        <f>V156-累计利润调整表!U78</f>
        <v>0</v>
      </c>
      <c r="W158" s="142">
        <f>W156-累计利润调整表!V78</f>
        <v>0</v>
      </c>
      <c r="X158" s="142">
        <f>X156-累计利润调整表!W78</f>
        <v>0</v>
      </c>
      <c r="Y158" s="142">
        <f>Y156-累计利润调整表!X78</f>
        <v>0</v>
      </c>
      <c r="Z158" s="142">
        <f>Z156-累计利润调整表!Y78</f>
        <v>0</v>
      </c>
      <c r="AA158" s="142">
        <f>AA156-累计利润调整表!Z78</f>
        <v>0</v>
      </c>
      <c r="AB158" s="142">
        <f>AB156-累计利润调整表!AA78</f>
        <v>0</v>
      </c>
      <c r="AC158" s="142">
        <f>AC156-累计利润调整表!AB78</f>
        <v>0</v>
      </c>
    </row>
    <row r="160" spans="1:29">
      <c r="T160" s="143"/>
      <c r="U160" s="143"/>
      <c r="V160" s="143"/>
    </row>
  </sheetData>
  <mergeCells count="12">
    <mergeCell ref="A4:A14"/>
    <mergeCell ref="A15:A20"/>
    <mergeCell ref="A21:A34"/>
    <mergeCell ref="A35:A51"/>
    <mergeCell ref="A56:A66"/>
    <mergeCell ref="A125:A138"/>
    <mergeCell ref="A139:A155"/>
    <mergeCell ref="A67:A72"/>
    <mergeCell ref="A73:A86"/>
    <mergeCell ref="A87:A103"/>
    <mergeCell ref="A108:A118"/>
    <mergeCell ref="A119:A124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0"/>
  <sheetViews>
    <sheetView tabSelected="1" topLeftCell="A246" zoomScale="90" zoomScaleNormal="90" workbookViewId="0">
      <selection activeCell="J263" sqref="J263"/>
    </sheetView>
  </sheetViews>
  <sheetFormatPr defaultColWidth="9" defaultRowHeight="16.5"/>
  <cols>
    <col min="1" max="1" width="6.875" style="69" customWidth="1"/>
    <col min="2" max="2" width="22.375" style="69" customWidth="1"/>
    <col min="3" max="3" width="16.875" style="70" customWidth="1"/>
    <col min="4" max="4" width="17" style="71" customWidth="1"/>
    <col min="5" max="5" width="17.125" style="71" customWidth="1"/>
    <col min="6" max="6" width="20.875" style="71" customWidth="1"/>
    <col min="7" max="7" width="17.375" style="71" customWidth="1"/>
    <col min="8" max="8" width="42" style="72" customWidth="1"/>
    <col min="9" max="9" width="27.625" style="73" customWidth="1"/>
    <col min="10" max="10" width="14" style="73" customWidth="1"/>
    <col min="11" max="11" width="14.625" style="73" customWidth="1"/>
    <col min="12" max="12" width="13.5" style="73" customWidth="1"/>
    <col min="13" max="15" width="14" style="73" customWidth="1"/>
    <col min="16" max="16" width="12.25" style="73" customWidth="1"/>
    <col min="17" max="19" width="9" style="73"/>
    <col min="20" max="20" width="15.125" style="73" customWidth="1"/>
    <col min="21" max="22" width="9" style="73"/>
    <col min="23" max="16384" width="9" style="71"/>
  </cols>
  <sheetData>
    <row r="1" spans="1:25" ht="21.75" hidden="1" customHeight="1">
      <c r="A1" s="71"/>
      <c r="B1" s="71"/>
      <c r="C1" s="74"/>
      <c r="H1" s="71"/>
      <c r="I1" s="73" t="s">
        <v>73</v>
      </c>
      <c r="K1" s="73" t="s">
        <v>4</v>
      </c>
      <c r="M1" s="73" t="s">
        <v>89</v>
      </c>
      <c r="N1" s="91"/>
      <c r="O1" s="91"/>
      <c r="R1" s="91"/>
      <c r="T1" s="73" t="s">
        <v>89</v>
      </c>
      <c r="U1" s="91">
        <f t="shared" ref="U1:U44" si="0">VLOOKUP(T1,$M$1:$Q$44,2,0)</f>
        <v>0</v>
      </c>
      <c r="V1" s="91">
        <v>0</v>
      </c>
      <c r="W1" s="73" t="s">
        <v>89</v>
      </c>
      <c r="X1" s="73" t="s">
        <v>138</v>
      </c>
      <c r="Y1" s="91">
        <f t="shared" ref="Y1:Y44" si="1">VLOOKUP(W1,$M$1:$O$44,3,0)</f>
        <v>0</v>
      </c>
    </row>
    <row r="2" spans="1:25" hidden="1">
      <c r="A2" s="71"/>
      <c r="B2" s="71"/>
      <c r="C2" s="74"/>
      <c r="H2" s="71"/>
      <c r="I2" s="73" t="s">
        <v>36</v>
      </c>
      <c r="K2" s="73" t="s">
        <v>5</v>
      </c>
      <c r="M2" s="73" t="s">
        <v>90</v>
      </c>
      <c r="N2" s="91"/>
      <c r="O2" s="91"/>
      <c r="R2" s="91"/>
      <c r="T2" s="73" t="s">
        <v>90</v>
      </c>
      <c r="U2" s="91">
        <f t="shared" si="0"/>
        <v>0</v>
      </c>
      <c r="V2" s="91">
        <v>0</v>
      </c>
      <c r="W2" s="73" t="s">
        <v>90</v>
      </c>
      <c r="X2" s="73" t="s">
        <v>138</v>
      </c>
      <c r="Y2" s="91">
        <f t="shared" si="1"/>
        <v>0</v>
      </c>
    </row>
    <row r="3" spans="1:25" hidden="1">
      <c r="A3" s="71"/>
      <c r="B3" s="71"/>
      <c r="C3" s="74"/>
      <c r="H3" s="71"/>
      <c r="I3" s="73" t="s">
        <v>37</v>
      </c>
      <c r="K3" s="73" t="s">
        <v>6</v>
      </c>
      <c r="M3" s="73" t="s">
        <v>91</v>
      </c>
      <c r="N3" s="91"/>
      <c r="O3" s="91"/>
      <c r="R3" s="91"/>
      <c r="T3" s="73" t="s">
        <v>91</v>
      </c>
      <c r="U3" s="91">
        <f t="shared" si="0"/>
        <v>0</v>
      </c>
      <c r="V3" s="91">
        <v>0</v>
      </c>
      <c r="W3" s="73" t="s">
        <v>91</v>
      </c>
      <c r="X3" s="73" t="s">
        <v>138</v>
      </c>
      <c r="Y3" s="91">
        <f t="shared" si="1"/>
        <v>0</v>
      </c>
    </row>
    <row r="4" spans="1:25" hidden="1">
      <c r="A4" s="71"/>
      <c r="B4" s="71"/>
      <c r="C4" s="74"/>
      <c r="H4" s="71"/>
      <c r="I4" s="73" t="s">
        <v>38</v>
      </c>
      <c r="K4" s="73" t="s">
        <v>8</v>
      </c>
      <c r="M4" s="73" t="s">
        <v>92</v>
      </c>
      <c r="N4" s="91"/>
      <c r="O4" s="91"/>
      <c r="R4" s="91"/>
      <c r="T4" s="73" t="s">
        <v>93</v>
      </c>
      <c r="U4" s="91">
        <f t="shared" si="0"/>
        <v>0</v>
      </c>
      <c r="V4" s="91">
        <v>0</v>
      </c>
      <c r="W4" s="73" t="s">
        <v>92</v>
      </c>
      <c r="X4" s="73" t="s">
        <v>138</v>
      </c>
      <c r="Y4" s="91">
        <f t="shared" si="1"/>
        <v>0</v>
      </c>
    </row>
    <row r="5" spans="1:25" hidden="1">
      <c r="A5" s="71"/>
      <c r="B5" s="71"/>
      <c r="C5" s="74"/>
      <c r="H5" s="71"/>
      <c r="I5" s="73" t="s">
        <v>74</v>
      </c>
      <c r="K5" s="73" t="s">
        <v>13</v>
      </c>
      <c r="M5" s="73" t="s">
        <v>93</v>
      </c>
      <c r="N5" s="91"/>
      <c r="O5" s="91"/>
      <c r="R5" s="91"/>
      <c r="T5" s="73" t="s">
        <v>94</v>
      </c>
      <c r="U5" s="91">
        <f t="shared" si="0"/>
        <v>0</v>
      </c>
      <c r="V5" s="91">
        <v>0</v>
      </c>
      <c r="W5" s="73" t="s">
        <v>93</v>
      </c>
      <c r="X5" s="73" t="s">
        <v>138</v>
      </c>
      <c r="Y5" s="91">
        <f t="shared" si="1"/>
        <v>0</v>
      </c>
    </row>
    <row r="6" spans="1:25" hidden="1">
      <c r="A6" s="71"/>
      <c r="B6" s="71"/>
      <c r="C6" s="74"/>
      <c r="H6" s="71"/>
      <c r="I6" s="73" t="s">
        <v>40</v>
      </c>
      <c r="K6" s="73" t="s">
        <v>16</v>
      </c>
      <c r="M6" s="73" t="s">
        <v>94</v>
      </c>
      <c r="N6" s="91"/>
      <c r="O6" s="91"/>
      <c r="R6" s="91"/>
      <c r="T6" s="73" t="s">
        <v>95</v>
      </c>
      <c r="U6" s="91">
        <f t="shared" si="0"/>
        <v>0</v>
      </c>
      <c r="V6" s="91">
        <v>0</v>
      </c>
      <c r="W6" s="73" t="s">
        <v>94</v>
      </c>
      <c r="X6" s="73" t="s">
        <v>138</v>
      </c>
      <c r="Y6" s="91">
        <f t="shared" si="1"/>
        <v>0</v>
      </c>
    </row>
    <row r="7" spans="1:25" hidden="1">
      <c r="A7" s="71"/>
      <c r="B7" s="71"/>
      <c r="C7" s="74"/>
      <c r="H7" s="71"/>
      <c r="I7" s="73" t="s">
        <v>42</v>
      </c>
      <c r="K7" s="73" t="s">
        <v>490</v>
      </c>
      <c r="M7" s="73" t="s">
        <v>95</v>
      </c>
      <c r="N7" s="91"/>
      <c r="O7" s="91"/>
      <c r="R7" s="91"/>
      <c r="T7" s="73" t="s">
        <v>96</v>
      </c>
      <c r="U7" s="91">
        <f t="shared" si="0"/>
        <v>0</v>
      </c>
      <c r="V7" s="91">
        <v>0</v>
      </c>
      <c r="W7" s="73" t="s">
        <v>95</v>
      </c>
      <c r="X7" s="73" t="s">
        <v>138</v>
      </c>
      <c r="Y7" s="91">
        <f t="shared" si="1"/>
        <v>0</v>
      </c>
    </row>
    <row r="8" spans="1:25" hidden="1">
      <c r="A8" s="71"/>
      <c r="B8" s="71"/>
      <c r="C8" s="74"/>
      <c r="H8" s="71"/>
      <c r="I8" s="73" t="s">
        <v>76</v>
      </c>
      <c r="K8" s="73" t="s">
        <v>68</v>
      </c>
      <c r="M8" s="73" t="s">
        <v>96</v>
      </c>
      <c r="N8" s="91"/>
      <c r="O8" s="91"/>
      <c r="R8" s="91"/>
      <c r="T8" s="73" t="s">
        <v>139</v>
      </c>
      <c r="U8" s="91" t="e">
        <f t="shared" si="0"/>
        <v>#N/A</v>
      </c>
      <c r="V8" s="91">
        <v>0</v>
      </c>
      <c r="W8" s="73" t="s">
        <v>96</v>
      </c>
      <c r="X8" s="73" t="s">
        <v>138</v>
      </c>
      <c r="Y8" s="91">
        <f t="shared" si="1"/>
        <v>0</v>
      </c>
    </row>
    <row r="9" spans="1:25" hidden="1">
      <c r="A9" s="71"/>
      <c r="B9" s="71"/>
      <c r="C9" s="74"/>
      <c r="H9" s="71"/>
      <c r="I9" s="73" t="s">
        <v>77</v>
      </c>
      <c r="K9" s="73" t="s">
        <v>19</v>
      </c>
      <c r="M9" s="73" t="s">
        <v>97</v>
      </c>
      <c r="N9" s="91"/>
      <c r="O9" s="91"/>
      <c r="R9" s="91"/>
      <c r="T9" s="73" t="s">
        <v>98</v>
      </c>
      <c r="U9" s="91">
        <f t="shared" si="0"/>
        <v>0</v>
      </c>
      <c r="V9" s="91">
        <v>0</v>
      </c>
      <c r="W9" s="73" t="s">
        <v>97</v>
      </c>
      <c r="X9" s="73" t="s">
        <v>138</v>
      </c>
      <c r="Y9" s="91">
        <f t="shared" si="1"/>
        <v>0</v>
      </c>
    </row>
    <row r="10" spans="1:25" hidden="1">
      <c r="A10" s="71"/>
      <c r="B10" s="71"/>
      <c r="C10" s="74"/>
      <c r="H10" s="71"/>
      <c r="I10" s="73" t="s">
        <v>78</v>
      </c>
      <c r="K10" s="73" t="s">
        <v>11</v>
      </c>
      <c r="M10" s="73" t="s">
        <v>98</v>
      </c>
      <c r="N10" s="91"/>
      <c r="O10" s="91"/>
      <c r="R10" s="91"/>
      <c r="T10" s="73" t="s">
        <v>101</v>
      </c>
      <c r="U10" s="91">
        <f t="shared" si="0"/>
        <v>0</v>
      </c>
      <c r="V10" s="91">
        <v>0</v>
      </c>
      <c r="W10" s="73" t="s">
        <v>98</v>
      </c>
      <c r="X10" s="73" t="s">
        <v>138</v>
      </c>
      <c r="Y10" s="91">
        <f t="shared" si="1"/>
        <v>0</v>
      </c>
    </row>
    <row r="11" spans="1:25" hidden="1">
      <c r="A11" s="71"/>
      <c r="B11" s="71"/>
      <c r="C11" s="74"/>
      <c r="H11" s="71"/>
      <c r="I11" s="73" t="s">
        <v>79</v>
      </c>
      <c r="K11" s="73" t="s">
        <v>21</v>
      </c>
      <c r="M11" s="73" t="s">
        <v>101</v>
      </c>
      <c r="N11" s="91"/>
      <c r="O11" s="91"/>
      <c r="R11" s="91"/>
      <c r="T11" s="73" t="s">
        <v>140</v>
      </c>
      <c r="U11" s="91" t="e">
        <f t="shared" si="0"/>
        <v>#N/A</v>
      </c>
      <c r="V11" s="91">
        <v>0</v>
      </c>
      <c r="W11" s="73" t="s">
        <v>101</v>
      </c>
      <c r="X11" s="73" t="s">
        <v>138</v>
      </c>
      <c r="Y11" s="91">
        <f t="shared" si="1"/>
        <v>0</v>
      </c>
    </row>
    <row r="12" spans="1:25" hidden="1">
      <c r="A12" s="71"/>
      <c r="B12" s="71"/>
      <c r="C12" s="74"/>
      <c r="H12" s="71"/>
      <c r="I12" s="73" t="s">
        <v>80</v>
      </c>
      <c r="K12" s="73" t="s">
        <v>71</v>
      </c>
      <c r="M12" s="73" t="s">
        <v>102</v>
      </c>
      <c r="N12" s="91"/>
      <c r="O12" s="91"/>
      <c r="R12" s="91"/>
      <c r="T12" s="73" t="s">
        <v>103</v>
      </c>
      <c r="U12" s="91">
        <f t="shared" si="0"/>
        <v>0</v>
      </c>
      <c r="V12" s="91">
        <v>0</v>
      </c>
      <c r="W12" s="73" t="s">
        <v>102</v>
      </c>
      <c r="X12" s="73" t="s">
        <v>138</v>
      </c>
      <c r="Y12" s="91">
        <f t="shared" si="1"/>
        <v>0</v>
      </c>
    </row>
    <row r="13" spans="1:25" hidden="1">
      <c r="A13" s="71"/>
      <c r="B13" s="71"/>
      <c r="C13" s="74"/>
      <c r="H13" s="71"/>
      <c r="I13" s="73" t="s">
        <v>81</v>
      </c>
      <c r="K13" s="73" t="s">
        <v>22</v>
      </c>
      <c r="M13" s="73" t="s">
        <v>103</v>
      </c>
      <c r="N13" s="91"/>
      <c r="O13" s="91"/>
      <c r="R13" s="91"/>
      <c r="T13" s="73" t="s">
        <v>105</v>
      </c>
      <c r="U13" s="91">
        <f t="shared" si="0"/>
        <v>0</v>
      </c>
      <c r="V13" s="91">
        <v>0</v>
      </c>
      <c r="W13" s="73" t="s">
        <v>103</v>
      </c>
      <c r="X13" s="73" t="s">
        <v>138</v>
      </c>
      <c r="Y13" s="91">
        <f t="shared" si="1"/>
        <v>0</v>
      </c>
    </row>
    <row r="14" spans="1:25" hidden="1">
      <c r="A14" s="71"/>
      <c r="B14" s="71"/>
      <c r="C14" s="74"/>
      <c r="H14" s="71"/>
      <c r="I14" s="73" t="s">
        <v>82</v>
      </c>
      <c r="K14" s="73" t="s">
        <v>23</v>
      </c>
      <c r="M14" s="73" t="s">
        <v>104</v>
      </c>
      <c r="N14" s="91"/>
      <c r="O14" s="91"/>
      <c r="R14" s="91"/>
      <c r="T14" s="73" t="s">
        <v>107</v>
      </c>
      <c r="U14" s="91">
        <f t="shared" si="0"/>
        <v>0</v>
      </c>
      <c r="V14" s="91">
        <v>0</v>
      </c>
      <c r="W14" s="73" t="s">
        <v>104</v>
      </c>
      <c r="X14" s="73" t="s">
        <v>138</v>
      </c>
      <c r="Y14" s="91">
        <f t="shared" si="1"/>
        <v>0</v>
      </c>
    </row>
    <row r="15" spans="1:25" hidden="1">
      <c r="A15" s="71"/>
      <c r="B15" s="71"/>
      <c r="C15" s="74"/>
      <c r="H15" s="71"/>
      <c r="I15" s="73" t="s">
        <v>83</v>
      </c>
      <c r="K15" s="73" t="s">
        <v>27</v>
      </c>
      <c r="M15" s="73" t="s">
        <v>105</v>
      </c>
      <c r="N15" s="91"/>
      <c r="O15" s="91"/>
      <c r="R15" s="91"/>
      <c r="T15" s="73" t="s">
        <v>108</v>
      </c>
      <c r="U15" s="91">
        <f t="shared" si="0"/>
        <v>0</v>
      </c>
      <c r="V15" s="91">
        <v>0</v>
      </c>
      <c r="W15" s="73" t="s">
        <v>105</v>
      </c>
      <c r="X15" s="73" t="s">
        <v>138</v>
      </c>
      <c r="Y15" s="91">
        <f t="shared" si="1"/>
        <v>0</v>
      </c>
    </row>
    <row r="16" spans="1:25" hidden="1">
      <c r="I16" s="73" t="s">
        <v>84</v>
      </c>
      <c r="K16" s="73" t="s">
        <v>29</v>
      </c>
      <c r="M16" s="73" t="s">
        <v>107</v>
      </c>
      <c r="N16" s="91"/>
      <c r="O16" s="91"/>
      <c r="R16" s="91"/>
      <c r="T16" s="73" t="s">
        <v>121</v>
      </c>
      <c r="U16" s="91">
        <f t="shared" si="0"/>
        <v>0</v>
      </c>
      <c r="V16" s="91">
        <v>0</v>
      </c>
      <c r="W16" s="73" t="s">
        <v>107</v>
      </c>
      <c r="X16" s="73" t="s">
        <v>138</v>
      </c>
      <c r="Y16" s="91">
        <f t="shared" si="1"/>
        <v>0</v>
      </c>
    </row>
    <row r="17" spans="9:25" hidden="1">
      <c r="I17" s="73" t="s">
        <v>56</v>
      </c>
      <c r="K17" s="73" t="s">
        <v>30</v>
      </c>
      <c r="M17" s="73" t="s">
        <v>108</v>
      </c>
      <c r="N17" s="91"/>
      <c r="O17" s="91"/>
      <c r="R17" s="91"/>
      <c r="T17" s="73" t="s">
        <v>122</v>
      </c>
      <c r="U17" s="91">
        <f t="shared" si="0"/>
        <v>0</v>
      </c>
      <c r="V17" s="91">
        <v>0</v>
      </c>
      <c r="W17" s="73" t="s">
        <v>108</v>
      </c>
      <c r="X17" s="73" t="s">
        <v>138</v>
      </c>
      <c r="Y17" s="91">
        <f t="shared" si="1"/>
        <v>0</v>
      </c>
    </row>
    <row r="18" spans="9:25" hidden="1">
      <c r="K18" s="73" t="s">
        <v>31</v>
      </c>
      <c r="M18" s="73" t="s">
        <v>109</v>
      </c>
      <c r="N18" s="91"/>
      <c r="O18" s="91"/>
      <c r="R18" s="91"/>
      <c r="T18" s="73" t="s">
        <v>109</v>
      </c>
      <c r="U18" s="91">
        <f t="shared" si="0"/>
        <v>0</v>
      </c>
      <c r="V18" s="91">
        <v>0</v>
      </c>
      <c r="W18" s="73" t="s">
        <v>109</v>
      </c>
      <c r="X18" s="73" t="s">
        <v>138</v>
      </c>
      <c r="Y18" s="91">
        <f t="shared" si="1"/>
        <v>0</v>
      </c>
    </row>
    <row r="19" spans="9:25" hidden="1">
      <c r="K19" s="73" t="s">
        <v>15</v>
      </c>
      <c r="M19" s="73" t="s">
        <v>110</v>
      </c>
      <c r="N19" s="91"/>
      <c r="O19" s="91"/>
      <c r="R19" s="91"/>
      <c r="T19" s="73" t="s">
        <v>110</v>
      </c>
      <c r="U19" s="91">
        <f t="shared" si="0"/>
        <v>0</v>
      </c>
      <c r="V19" s="91">
        <v>0</v>
      </c>
      <c r="W19" s="73" t="s">
        <v>110</v>
      </c>
      <c r="X19" s="73" t="s">
        <v>138</v>
      </c>
      <c r="Y19" s="91">
        <f t="shared" si="1"/>
        <v>0</v>
      </c>
    </row>
    <row r="20" spans="9:25" hidden="1">
      <c r="K20" s="73" t="s">
        <v>17</v>
      </c>
      <c r="M20" s="73" t="s">
        <v>111</v>
      </c>
      <c r="N20" s="91"/>
      <c r="O20" s="91"/>
      <c r="R20" s="91"/>
      <c r="T20" s="73" t="s">
        <v>92</v>
      </c>
      <c r="U20" s="91">
        <f t="shared" si="0"/>
        <v>0</v>
      </c>
      <c r="V20" s="91">
        <v>0</v>
      </c>
      <c r="W20" s="73" t="s">
        <v>111</v>
      </c>
      <c r="X20" s="73" t="s">
        <v>138</v>
      </c>
      <c r="Y20" s="91">
        <f t="shared" si="1"/>
        <v>0</v>
      </c>
    </row>
    <row r="21" spans="9:25" hidden="1">
      <c r="K21" s="73" t="s">
        <v>32</v>
      </c>
      <c r="M21" s="73" t="s">
        <v>112</v>
      </c>
      <c r="N21" s="91"/>
      <c r="O21" s="91"/>
      <c r="R21" s="91"/>
      <c r="T21" s="73" t="s">
        <v>123</v>
      </c>
      <c r="U21" s="91">
        <f t="shared" si="0"/>
        <v>0</v>
      </c>
      <c r="V21" s="91">
        <v>0</v>
      </c>
      <c r="W21" s="73" t="s">
        <v>112</v>
      </c>
      <c r="X21" s="73" t="s">
        <v>138</v>
      </c>
      <c r="Y21" s="91">
        <f t="shared" si="1"/>
        <v>0</v>
      </c>
    </row>
    <row r="22" spans="9:25" hidden="1">
      <c r="K22" s="73" t="s">
        <v>9</v>
      </c>
      <c r="M22" s="73" t="s">
        <v>113</v>
      </c>
      <c r="N22" s="91"/>
      <c r="O22" s="91"/>
      <c r="R22" s="91"/>
      <c r="T22" s="73" t="s">
        <v>111</v>
      </c>
      <c r="U22" s="91">
        <f t="shared" si="0"/>
        <v>0</v>
      </c>
      <c r="V22" s="91">
        <v>0</v>
      </c>
      <c r="W22" s="73" t="s">
        <v>113</v>
      </c>
      <c r="X22" s="73" t="s">
        <v>138</v>
      </c>
      <c r="Y22" s="91">
        <f t="shared" si="1"/>
        <v>0</v>
      </c>
    </row>
    <row r="23" spans="9:25" hidden="1">
      <c r="K23" s="73" t="s">
        <v>10</v>
      </c>
      <c r="M23" s="73" t="s">
        <v>114</v>
      </c>
      <c r="N23" s="91"/>
      <c r="O23" s="91"/>
      <c r="R23" s="91"/>
      <c r="T23" s="73" t="s">
        <v>118</v>
      </c>
      <c r="U23" s="91">
        <f t="shared" si="0"/>
        <v>0</v>
      </c>
      <c r="V23" s="91">
        <v>0</v>
      </c>
      <c r="W23" s="73" t="s">
        <v>114</v>
      </c>
      <c r="X23" s="73" t="s">
        <v>138</v>
      </c>
      <c r="Y23" s="91">
        <f t="shared" si="1"/>
        <v>0</v>
      </c>
    </row>
    <row r="24" spans="9:25" hidden="1">
      <c r="K24" s="73" t="s">
        <v>11</v>
      </c>
      <c r="M24" s="73" t="s">
        <v>115</v>
      </c>
      <c r="N24" s="91"/>
      <c r="O24" s="91"/>
      <c r="R24" s="91"/>
      <c r="T24" s="73" t="s">
        <v>112</v>
      </c>
      <c r="U24" s="91">
        <f t="shared" si="0"/>
        <v>0</v>
      </c>
      <c r="V24" s="91">
        <v>0</v>
      </c>
      <c r="W24" s="73" t="s">
        <v>115</v>
      </c>
      <c r="X24" s="73" t="s">
        <v>138</v>
      </c>
      <c r="Y24" s="91">
        <f t="shared" si="1"/>
        <v>0</v>
      </c>
    </row>
    <row r="25" spans="9:25" hidden="1">
      <c r="K25" s="73" t="s">
        <v>14</v>
      </c>
      <c r="M25" s="73" t="s">
        <v>116</v>
      </c>
      <c r="N25" s="91"/>
      <c r="O25" s="91"/>
      <c r="R25" s="91"/>
      <c r="T25" s="73" t="s">
        <v>124</v>
      </c>
      <c r="U25" s="91">
        <f t="shared" si="0"/>
        <v>0</v>
      </c>
      <c r="V25" s="91">
        <v>0</v>
      </c>
      <c r="W25" s="73" t="s">
        <v>116</v>
      </c>
      <c r="X25" s="73" t="s">
        <v>138</v>
      </c>
      <c r="Y25" s="91">
        <f t="shared" si="1"/>
        <v>0</v>
      </c>
    </row>
    <row r="26" spans="9:25" hidden="1">
      <c r="K26" s="73" t="s">
        <v>25</v>
      </c>
      <c r="M26" s="73" t="s">
        <v>117</v>
      </c>
      <c r="N26" s="91"/>
      <c r="O26" s="91"/>
      <c r="R26" s="91"/>
      <c r="T26" s="73" t="s">
        <v>113</v>
      </c>
      <c r="U26" s="91">
        <f t="shared" si="0"/>
        <v>0</v>
      </c>
      <c r="V26" s="91">
        <v>0</v>
      </c>
      <c r="W26" s="73" t="s">
        <v>117</v>
      </c>
      <c r="X26" s="73" t="s">
        <v>138</v>
      </c>
      <c r="Y26" s="91">
        <f t="shared" si="1"/>
        <v>0</v>
      </c>
    </row>
    <row r="27" spans="9:25" hidden="1">
      <c r="K27" s="73" t="s">
        <v>26</v>
      </c>
      <c r="M27" s="73" t="s">
        <v>118</v>
      </c>
      <c r="N27" s="91"/>
      <c r="O27" s="91"/>
      <c r="R27" s="91"/>
      <c r="T27" s="73" t="s">
        <v>114</v>
      </c>
      <c r="U27" s="91">
        <f t="shared" si="0"/>
        <v>0</v>
      </c>
      <c r="V27" s="91">
        <v>0</v>
      </c>
      <c r="W27" s="73" t="s">
        <v>118</v>
      </c>
      <c r="X27" s="73" t="s">
        <v>138</v>
      </c>
      <c r="Y27" s="91">
        <f t="shared" si="1"/>
        <v>0</v>
      </c>
    </row>
    <row r="28" spans="9:25" hidden="1">
      <c r="K28" s="73" t="s">
        <v>499</v>
      </c>
      <c r="M28" s="73" t="s">
        <v>119</v>
      </c>
      <c r="N28" s="91"/>
      <c r="O28" s="91"/>
      <c r="R28" s="91"/>
      <c r="T28" s="73" t="s">
        <v>117</v>
      </c>
      <c r="U28" s="91">
        <f t="shared" si="0"/>
        <v>0</v>
      </c>
      <c r="V28" s="91">
        <v>0</v>
      </c>
      <c r="W28" s="73" t="s">
        <v>119</v>
      </c>
      <c r="X28" s="73" t="s">
        <v>138</v>
      </c>
      <c r="Y28" s="91">
        <f t="shared" si="1"/>
        <v>0</v>
      </c>
    </row>
    <row r="29" spans="9:25" hidden="1">
      <c r="K29" s="73" t="s">
        <v>505</v>
      </c>
      <c r="M29" s="73" t="s">
        <v>121</v>
      </c>
      <c r="N29" s="91"/>
      <c r="O29" s="91"/>
      <c r="R29" s="91"/>
      <c r="T29" s="73" t="s">
        <v>125</v>
      </c>
      <c r="U29" s="91">
        <f t="shared" si="0"/>
        <v>0</v>
      </c>
      <c r="V29" s="91">
        <v>0</v>
      </c>
      <c r="W29" s="73" t="s">
        <v>121</v>
      </c>
      <c r="X29" s="73" t="s">
        <v>138</v>
      </c>
      <c r="Y29" s="91">
        <f t="shared" si="1"/>
        <v>0</v>
      </c>
    </row>
    <row r="30" spans="9:25" hidden="1">
      <c r="M30" s="73" t="s">
        <v>122</v>
      </c>
      <c r="N30" s="91"/>
      <c r="O30" s="91"/>
      <c r="R30" s="91"/>
      <c r="T30" s="73" t="s">
        <v>126</v>
      </c>
      <c r="U30" s="91">
        <f t="shared" si="0"/>
        <v>0</v>
      </c>
      <c r="V30" s="91">
        <v>0</v>
      </c>
      <c r="W30" s="73" t="s">
        <v>122</v>
      </c>
      <c r="X30" s="73" t="s">
        <v>138</v>
      </c>
      <c r="Y30" s="91">
        <f t="shared" si="1"/>
        <v>0</v>
      </c>
    </row>
    <row r="31" spans="9:25" hidden="1">
      <c r="M31" s="73" t="s">
        <v>123</v>
      </c>
      <c r="N31" s="91"/>
      <c r="O31" s="91"/>
      <c r="R31" s="91"/>
      <c r="T31" s="73" t="s">
        <v>115</v>
      </c>
      <c r="U31" s="91">
        <f t="shared" si="0"/>
        <v>0</v>
      </c>
      <c r="V31" s="91">
        <v>0</v>
      </c>
      <c r="W31" s="73" t="s">
        <v>123</v>
      </c>
      <c r="X31" s="73" t="s">
        <v>138</v>
      </c>
      <c r="Y31" s="91">
        <f t="shared" si="1"/>
        <v>0</v>
      </c>
    </row>
    <row r="32" spans="9:25" hidden="1">
      <c r="M32" s="73" t="s">
        <v>124</v>
      </c>
      <c r="N32" s="91"/>
      <c r="O32" s="91"/>
      <c r="R32" s="91"/>
      <c r="T32" s="73" t="s">
        <v>116</v>
      </c>
      <c r="U32" s="91">
        <f t="shared" si="0"/>
        <v>0</v>
      </c>
      <c r="V32" s="91">
        <v>0</v>
      </c>
      <c r="W32" s="73" t="s">
        <v>124</v>
      </c>
      <c r="X32" s="73" t="s">
        <v>138</v>
      </c>
      <c r="Y32" s="91">
        <f t="shared" si="1"/>
        <v>0</v>
      </c>
    </row>
    <row r="33" spans="1:25" hidden="1">
      <c r="M33" s="73" t="s">
        <v>125</v>
      </c>
      <c r="N33" s="91"/>
      <c r="O33" s="91"/>
      <c r="R33" s="91"/>
      <c r="T33" s="73" t="s">
        <v>127</v>
      </c>
      <c r="U33" s="91">
        <f t="shared" si="0"/>
        <v>0</v>
      </c>
      <c r="V33" s="91">
        <v>0</v>
      </c>
      <c r="W33" s="73" t="s">
        <v>125</v>
      </c>
      <c r="X33" s="73" t="s">
        <v>138</v>
      </c>
      <c r="Y33" s="91">
        <f t="shared" si="1"/>
        <v>0</v>
      </c>
    </row>
    <row r="34" spans="1:25" hidden="1">
      <c r="M34" s="73" t="s">
        <v>126</v>
      </c>
      <c r="N34" s="91"/>
      <c r="O34" s="91"/>
      <c r="R34" s="91"/>
      <c r="T34" s="73" t="s">
        <v>104</v>
      </c>
      <c r="U34" s="91">
        <f t="shared" si="0"/>
        <v>0</v>
      </c>
      <c r="V34" s="91">
        <v>0</v>
      </c>
      <c r="W34" s="73" t="s">
        <v>126</v>
      </c>
      <c r="X34" s="73" t="s">
        <v>138</v>
      </c>
      <c r="Y34" s="91">
        <f t="shared" si="1"/>
        <v>0</v>
      </c>
    </row>
    <row r="35" spans="1:25" hidden="1">
      <c r="M35" s="73" t="s">
        <v>127</v>
      </c>
      <c r="N35" s="91"/>
      <c r="O35" s="91"/>
      <c r="R35" s="91"/>
      <c r="T35" s="73" t="s">
        <v>128</v>
      </c>
      <c r="U35" s="91">
        <f t="shared" si="0"/>
        <v>0</v>
      </c>
      <c r="V35" s="91">
        <v>0</v>
      </c>
      <c r="W35" s="73" t="s">
        <v>127</v>
      </c>
      <c r="X35" s="73" t="s">
        <v>138</v>
      </c>
      <c r="Y35" s="91">
        <f t="shared" si="1"/>
        <v>0</v>
      </c>
    </row>
    <row r="36" spans="1:25" hidden="1">
      <c r="M36" s="73" t="s">
        <v>128</v>
      </c>
      <c r="N36" s="91"/>
      <c r="O36" s="91"/>
      <c r="R36" s="91"/>
      <c r="T36" s="73" t="s">
        <v>129</v>
      </c>
      <c r="U36" s="91">
        <f t="shared" si="0"/>
        <v>0</v>
      </c>
      <c r="V36" s="91">
        <v>0</v>
      </c>
      <c r="W36" s="73" t="s">
        <v>128</v>
      </c>
      <c r="X36" s="73" t="s">
        <v>138</v>
      </c>
      <c r="Y36" s="91">
        <f t="shared" si="1"/>
        <v>0</v>
      </c>
    </row>
    <row r="37" spans="1:25" hidden="1">
      <c r="M37" s="73" t="s">
        <v>129</v>
      </c>
      <c r="N37" s="91"/>
      <c r="O37" s="91"/>
      <c r="R37" s="91"/>
      <c r="T37" s="73" t="s">
        <v>141</v>
      </c>
      <c r="U37" s="91" t="e">
        <f t="shared" si="0"/>
        <v>#N/A</v>
      </c>
      <c r="V37" s="91">
        <v>0</v>
      </c>
      <c r="W37" s="73" t="s">
        <v>129</v>
      </c>
      <c r="X37" s="73" t="s">
        <v>138</v>
      </c>
      <c r="Y37" s="91">
        <f t="shared" si="1"/>
        <v>0</v>
      </c>
    </row>
    <row r="38" spans="1:25" hidden="1">
      <c r="M38" s="73" t="s">
        <v>130</v>
      </c>
      <c r="N38" s="91"/>
      <c r="O38" s="91"/>
      <c r="R38" s="91"/>
      <c r="T38" s="73" t="s">
        <v>130</v>
      </c>
      <c r="U38" s="91">
        <f t="shared" si="0"/>
        <v>0</v>
      </c>
      <c r="V38" s="91">
        <v>0</v>
      </c>
      <c r="W38" s="73" t="s">
        <v>130</v>
      </c>
      <c r="X38" s="73" t="s">
        <v>138</v>
      </c>
      <c r="Y38" s="91">
        <f t="shared" si="1"/>
        <v>0</v>
      </c>
    </row>
    <row r="39" spans="1:25" hidden="1">
      <c r="M39" s="73" t="s">
        <v>131</v>
      </c>
      <c r="N39" s="91"/>
      <c r="O39" s="91"/>
      <c r="R39" s="91"/>
      <c r="T39" s="73" t="s">
        <v>131</v>
      </c>
      <c r="U39" s="91">
        <f t="shared" si="0"/>
        <v>0</v>
      </c>
      <c r="V39" s="91">
        <v>0</v>
      </c>
      <c r="W39" s="73" t="s">
        <v>131</v>
      </c>
      <c r="X39" s="73" t="s">
        <v>138</v>
      </c>
      <c r="Y39" s="91">
        <f t="shared" si="1"/>
        <v>0</v>
      </c>
    </row>
    <row r="40" spans="1:25" hidden="1">
      <c r="M40" s="73" t="s">
        <v>132</v>
      </c>
      <c r="N40" s="91"/>
      <c r="O40" s="91"/>
      <c r="R40" s="91"/>
      <c r="T40" s="73" t="s">
        <v>132</v>
      </c>
      <c r="U40" s="91">
        <f t="shared" si="0"/>
        <v>0</v>
      </c>
      <c r="V40" s="91">
        <v>0</v>
      </c>
      <c r="W40" s="73" t="s">
        <v>132</v>
      </c>
      <c r="X40" s="73" t="s">
        <v>138</v>
      </c>
      <c r="Y40" s="91">
        <f t="shared" si="1"/>
        <v>0</v>
      </c>
    </row>
    <row r="41" spans="1:25" hidden="1">
      <c r="C41" s="75"/>
      <c r="M41" s="73" t="s">
        <v>133</v>
      </c>
      <c r="N41" s="91"/>
      <c r="O41" s="91"/>
      <c r="R41" s="91"/>
      <c r="T41" s="73" t="s">
        <v>133</v>
      </c>
      <c r="U41" s="91">
        <f t="shared" si="0"/>
        <v>0</v>
      </c>
      <c r="V41" s="91">
        <v>0</v>
      </c>
      <c r="W41" s="73" t="s">
        <v>133</v>
      </c>
      <c r="X41" s="73" t="s">
        <v>138</v>
      </c>
      <c r="Y41" s="91">
        <f t="shared" si="1"/>
        <v>0</v>
      </c>
    </row>
    <row r="42" spans="1:25" hidden="1">
      <c r="M42" s="73" t="s">
        <v>134</v>
      </c>
      <c r="N42" s="91"/>
      <c r="O42" s="91"/>
      <c r="R42" s="91"/>
      <c r="T42" s="73" t="s">
        <v>134</v>
      </c>
      <c r="U42" s="91">
        <f t="shared" si="0"/>
        <v>0</v>
      </c>
      <c r="V42" s="91">
        <v>0</v>
      </c>
      <c r="W42" s="73" t="s">
        <v>134</v>
      </c>
      <c r="X42" s="73" t="s">
        <v>138</v>
      </c>
      <c r="Y42" s="91">
        <f t="shared" si="1"/>
        <v>0</v>
      </c>
    </row>
    <row r="43" spans="1:25" hidden="1">
      <c r="M43" s="73" t="s">
        <v>135</v>
      </c>
      <c r="N43" s="91"/>
      <c r="O43" s="91"/>
      <c r="R43" s="91"/>
      <c r="T43" s="73" t="s">
        <v>135</v>
      </c>
      <c r="U43" s="91">
        <f t="shared" si="0"/>
        <v>0</v>
      </c>
      <c r="V43" s="91">
        <v>0</v>
      </c>
      <c r="W43" s="73" t="s">
        <v>135</v>
      </c>
      <c r="X43" s="73" t="s">
        <v>138</v>
      </c>
      <c r="Y43" s="91">
        <f t="shared" si="1"/>
        <v>0</v>
      </c>
    </row>
    <row r="44" spans="1:25" hidden="1">
      <c r="M44" s="73" t="s">
        <v>136</v>
      </c>
      <c r="N44" s="91"/>
      <c r="O44" s="91"/>
      <c r="R44" s="91"/>
      <c r="T44" s="73" t="s">
        <v>142</v>
      </c>
      <c r="U44" s="91" t="e">
        <f t="shared" si="0"/>
        <v>#N/A</v>
      </c>
      <c r="V44" s="91">
        <v>0</v>
      </c>
      <c r="W44" s="73" t="s">
        <v>136</v>
      </c>
      <c r="X44" s="73" t="s">
        <v>138</v>
      </c>
      <c r="Y44" s="91">
        <f t="shared" si="1"/>
        <v>0</v>
      </c>
    </row>
    <row r="45" spans="1:25" ht="17.25">
      <c r="A45" s="76"/>
      <c r="B45" s="76"/>
      <c r="C45" s="77"/>
      <c r="D45" s="76"/>
      <c r="E45" s="76"/>
      <c r="F45" s="76"/>
      <c r="G45" s="76"/>
      <c r="H45" s="76"/>
    </row>
    <row r="46" spans="1:25">
      <c r="A46" s="78"/>
      <c r="B46" s="78"/>
      <c r="C46" s="79"/>
      <c r="D46" s="68"/>
      <c r="E46" s="73"/>
      <c r="F46" s="73"/>
      <c r="G46" s="73"/>
      <c r="H46" s="73" t="s">
        <v>1</v>
      </c>
    </row>
    <row r="47" spans="1:25">
      <c r="A47" s="78"/>
      <c r="B47" s="78"/>
      <c r="C47" s="79"/>
      <c r="D47" s="68"/>
      <c r="E47" s="73"/>
      <c r="F47" s="73"/>
      <c r="G47" s="73"/>
      <c r="H47" s="73"/>
    </row>
    <row r="48" spans="1:25" ht="21" thickBot="1">
      <c r="A48" s="282" t="s">
        <v>489</v>
      </c>
      <c r="B48" s="282"/>
      <c r="C48" s="282"/>
      <c r="D48" s="282"/>
      <c r="E48" s="282"/>
      <c r="F48" s="282"/>
      <c r="G48" s="282"/>
      <c r="H48" s="282"/>
      <c r="I48" s="282"/>
    </row>
    <row r="49" spans="1:22">
      <c r="A49" s="80" t="s">
        <v>143</v>
      </c>
      <c r="B49" s="80" t="s">
        <v>2</v>
      </c>
      <c r="C49" s="80" t="s">
        <v>144</v>
      </c>
      <c r="D49" s="80" t="s">
        <v>145</v>
      </c>
      <c r="E49" s="80" t="s">
        <v>146</v>
      </c>
      <c r="F49" s="81" t="s">
        <v>147</v>
      </c>
      <c r="G49" s="81" t="s">
        <v>148</v>
      </c>
      <c r="H49" s="81" t="s">
        <v>149</v>
      </c>
      <c r="I49" s="81" t="s">
        <v>150</v>
      </c>
    </row>
    <row r="50" spans="1:22">
      <c r="A50" s="82"/>
      <c r="B50" s="82" t="s">
        <v>151</v>
      </c>
      <c r="C50" s="83"/>
      <c r="D50" s="84"/>
      <c r="E50" s="84"/>
      <c r="F50" s="85"/>
      <c r="G50" s="85"/>
      <c r="H50" s="85"/>
      <c r="I50" s="85"/>
    </row>
    <row r="51" spans="1:22">
      <c r="A51" s="82"/>
      <c r="B51" s="82" t="s">
        <v>152</v>
      </c>
      <c r="C51" s="86">
        <f>SUM(C52:C104)</f>
        <v>36327971.424176186</v>
      </c>
      <c r="D51" s="86"/>
      <c r="E51" s="86">
        <f>SUM(E52:E104)</f>
        <v>-36327971.424176186</v>
      </c>
      <c r="F51" s="85"/>
      <c r="G51" s="85"/>
      <c r="H51" s="85"/>
      <c r="I51" s="85"/>
    </row>
    <row r="52" spans="1:22" s="234" customFormat="1">
      <c r="A52" s="230" t="s">
        <v>138</v>
      </c>
      <c r="B52" s="252" t="s">
        <v>74</v>
      </c>
      <c r="C52" s="251">
        <v>-8742488.1500000004</v>
      </c>
      <c r="D52" s="253" t="s">
        <v>508</v>
      </c>
      <c r="E52" s="253">
        <f t="shared" ref="E52:E77" si="2">-C52</f>
        <v>8742488.1500000004</v>
      </c>
      <c r="F52" s="253" t="s">
        <v>5</v>
      </c>
      <c r="G52" s="232"/>
      <c r="H52" s="232" t="s">
        <v>153</v>
      </c>
      <c r="I52" s="232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</row>
    <row r="53" spans="1:22" s="234" customFormat="1">
      <c r="A53" s="230" t="s">
        <v>154</v>
      </c>
      <c r="B53" s="252" t="s">
        <v>36</v>
      </c>
      <c r="C53" s="251">
        <f>-2171981.13</f>
        <v>-2171981.13</v>
      </c>
      <c r="D53" s="253" t="s">
        <v>6</v>
      </c>
      <c r="E53" s="253">
        <f t="shared" si="2"/>
        <v>2171981.13</v>
      </c>
      <c r="F53" s="253" t="s">
        <v>14</v>
      </c>
      <c r="G53" s="232"/>
      <c r="H53" s="232" t="s">
        <v>522</v>
      </c>
      <c r="I53" s="232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</row>
    <row r="54" spans="1:22" s="234" customFormat="1">
      <c r="A54" s="230" t="s">
        <v>155</v>
      </c>
      <c r="B54" s="252" t="s">
        <v>42</v>
      </c>
      <c r="C54" s="251">
        <v>6215430.3200000003</v>
      </c>
      <c r="D54" s="253" t="s">
        <v>16</v>
      </c>
      <c r="E54" s="253">
        <f t="shared" si="2"/>
        <v>-6215430.3200000003</v>
      </c>
      <c r="F54" s="253" t="s">
        <v>13</v>
      </c>
      <c r="G54" s="232"/>
      <c r="H54" s="232" t="s">
        <v>156</v>
      </c>
      <c r="I54" s="232" t="s">
        <v>157</v>
      </c>
      <c r="J54" s="235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</row>
    <row r="55" spans="1:22" s="234" customFormat="1">
      <c r="A55" s="230" t="s">
        <v>158</v>
      </c>
      <c r="B55" s="252" t="s">
        <v>42</v>
      </c>
      <c r="C55" s="251">
        <v>2218805.3199999998</v>
      </c>
      <c r="D55" s="253" t="s">
        <v>16</v>
      </c>
      <c r="E55" s="253">
        <f t="shared" si="2"/>
        <v>-2218805.3199999998</v>
      </c>
      <c r="F55" s="253" t="s">
        <v>413</v>
      </c>
      <c r="G55" s="232"/>
      <c r="H55" s="232" t="s">
        <v>159</v>
      </c>
      <c r="I55" s="232" t="s">
        <v>157</v>
      </c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</row>
    <row r="56" spans="1:22" s="234" customFormat="1">
      <c r="A56" s="230" t="s">
        <v>160</v>
      </c>
      <c r="B56" s="252" t="s">
        <v>42</v>
      </c>
      <c r="C56" s="251">
        <v>6187398.5</v>
      </c>
      <c r="D56" s="253" t="s">
        <v>16</v>
      </c>
      <c r="E56" s="253">
        <f t="shared" si="2"/>
        <v>-6187398.5</v>
      </c>
      <c r="F56" s="253" t="s">
        <v>11</v>
      </c>
      <c r="G56" s="232"/>
      <c r="H56" s="232" t="s">
        <v>491</v>
      </c>
      <c r="I56" s="232" t="s">
        <v>157</v>
      </c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</row>
    <row r="57" spans="1:22" s="234" customFormat="1">
      <c r="A57" s="230" t="s">
        <v>161</v>
      </c>
      <c r="B57" s="252" t="s">
        <v>40</v>
      </c>
      <c r="C57" s="251">
        <v>81551.59</v>
      </c>
      <c r="D57" s="253" t="s">
        <v>16</v>
      </c>
      <c r="E57" s="253">
        <f t="shared" si="2"/>
        <v>-81551.59</v>
      </c>
      <c r="F57" s="253" t="s">
        <v>13</v>
      </c>
      <c r="G57" s="232"/>
      <c r="H57" s="232" t="s">
        <v>162</v>
      </c>
      <c r="I57" s="232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</row>
    <row r="58" spans="1:22" s="234" customFormat="1">
      <c r="A58" s="230" t="s">
        <v>163</v>
      </c>
      <c r="B58" s="252" t="s">
        <v>42</v>
      </c>
      <c r="C58" s="251">
        <v>-171035.29</v>
      </c>
      <c r="D58" s="253" t="s">
        <v>16</v>
      </c>
      <c r="E58" s="253">
        <f t="shared" si="2"/>
        <v>171035.29</v>
      </c>
      <c r="F58" s="253" t="s">
        <v>13</v>
      </c>
      <c r="G58" s="232"/>
      <c r="H58" s="232" t="s">
        <v>164</v>
      </c>
      <c r="I58" s="232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</row>
    <row r="59" spans="1:22" s="234" customFormat="1">
      <c r="A59" s="230" t="s">
        <v>168</v>
      </c>
      <c r="B59" s="252" t="s">
        <v>37</v>
      </c>
      <c r="C59" s="251">
        <v>-1182641.51</v>
      </c>
      <c r="D59" s="253" t="s">
        <v>21</v>
      </c>
      <c r="E59" s="253">
        <f t="shared" si="2"/>
        <v>1182641.51</v>
      </c>
      <c r="F59" s="253" t="s">
        <v>6</v>
      </c>
      <c r="G59" s="232"/>
      <c r="H59" s="232" t="s">
        <v>523</v>
      </c>
      <c r="I59" s="232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</row>
    <row r="60" spans="1:22" s="234" customFormat="1">
      <c r="A60" s="230" t="s">
        <v>169</v>
      </c>
      <c r="B60" s="252" t="s">
        <v>40</v>
      </c>
      <c r="C60" s="251">
        <v>1572983.67</v>
      </c>
      <c r="D60" s="253" t="s">
        <v>14</v>
      </c>
      <c r="E60" s="253">
        <f t="shared" si="2"/>
        <v>-1572983.67</v>
      </c>
      <c r="F60" s="253" t="s">
        <v>4</v>
      </c>
      <c r="G60" s="232"/>
      <c r="H60" s="232" t="s">
        <v>509</v>
      </c>
      <c r="I60" s="232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</row>
    <row r="61" spans="1:22" s="234" customFormat="1">
      <c r="A61" s="230" t="s">
        <v>170</v>
      </c>
      <c r="B61" s="252" t="s">
        <v>40</v>
      </c>
      <c r="C61" s="251">
        <v>-4823765.5470000003</v>
      </c>
      <c r="D61" s="253" t="s">
        <v>14</v>
      </c>
      <c r="E61" s="253">
        <f t="shared" si="2"/>
        <v>4823765.5470000003</v>
      </c>
      <c r="F61" s="253" t="s">
        <v>5</v>
      </c>
      <c r="G61" s="232"/>
      <c r="H61" s="232" t="s">
        <v>171</v>
      </c>
      <c r="I61" s="232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</row>
    <row r="62" spans="1:22" s="234" customFormat="1">
      <c r="A62" s="230" t="s">
        <v>172</v>
      </c>
      <c r="B62" s="252" t="s">
        <v>42</v>
      </c>
      <c r="C62" s="251">
        <v>-1646611.669999999</v>
      </c>
      <c r="D62" s="253" t="s">
        <v>14</v>
      </c>
      <c r="E62" s="253">
        <f t="shared" si="2"/>
        <v>1646611.669999999</v>
      </c>
      <c r="F62" s="253" t="s">
        <v>4</v>
      </c>
      <c r="G62" s="232"/>
      <c r="H62" s="232" t="s">
        <v>173</v>
      </c>
      <c r="I62" s="232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</row>
    <row r="63" spans="1:22" s="234" customFormat="1">
      <c r="A63" s="230" t="s">
        <v>174</v>
      </c>
      <c r="B63" s="252" t="s">
        <v>77</v>
      </c>
      <c r="C63" s="264">
        <v>1131314.6100000001</v>
      </c>
      <c r="D63" s="253" t="s">
        <v>6</v>
      </c>
      <c r="E63" s="253">
        <f t="shared" si="2"/>
        <v>-1131314.6100000001</v>
      </c>
      <c r="F63" s="253" t="s">
        <v>4</v>
      </c>
      <c r="G63" s="232"/>
      <c r="H63" s="236" t="s">
        <v>495</v>
      </c>
      <c r="I63" s="232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</row>
    <row r="64" spans="1:22" s="234" customFormat="1">
      <c r="A64" s="230" t="s">
        <v>175</v>
      </c>
      <c r="B64" s="252" t="s">
        <v>74</v>
      </c>
      <c r="C64" s="251">
        <v>23401170.230000086</v>
      </c>
      <c r="D64" s="253" t="s">
        <v>6</v>
      </c>
      <c r="E64" s="253">
        <f t="shared" si="2"/>
        <v>-23401170.230000086</v>
      </c>
      <c r="F64" s="253" t="s">
        <v>5</v>
      </c>
      <c r="G64" s="232"/>
      <c r="H64" s="232" t="s">
        <v>176</v>
      </c>
      <c r="I64" s="232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</row>
    <row r="65" spans="1:22" s="234" customFormat="1">
      <c r="A65" s="230" t="s">
        <v>177</v>
      </c>
      <c r="B65" s="252" t="s">
        <v>74</v>
      </c>
      <c r="C65" s="251">
        <v>3052222.22</v>
      </c>
      <c r="D65" s="253" t="s">
        <v>22</v>
      </c>
      <c r="E65" s="253">
        <f t="shared" si="2"/>
        <v>-3052222.22</v>
      </c>
      <c r="F65" s="253" t="s">
        <v>5</v>
      </c>
      <c r="G65" s="232"/>
      <c r="H65" s="232" t="s">
        <v>178</v>
      </c>
      <c r="I65" s="232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</row>
    <row r="66" spans="1:22" s="234" customFormat="1">
      <c r="A66" s="230" t="s">
        <v>179</v>
      </c>
      <c r="B66" s="252" t="s">
        <v>74</v>
      </c>
      <c r="C66" s="251">
        <v>160666.66666666669</v>
      </c>
      <c r="D66" s="253" t="s">
        <v>23</v>
      </c>
      <c r="E66" s="253">
        <f t="shared" si="2"/>
        <v>-160666.66666666669</v>
      </c>
      <c r="F66" s="253" t="s">
        <v>5</v>
      </c>
      <c r="G66" s="232"/>
      <c r="H66" s="232" t="s">
        <v>180</v>
      </c>
      <c r="I66" s="232"/>
      <c r="J66" s="233"/>
      <c r="K66" s="237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</row>
    <row r="67" spans="1:22" s="234" customFormat="1">
      <c r="A67" s="230" t="s">
        <v>183</v>
      </c>
      <c r="B67" s="253" t="s">
        <v>74</v>
      </c>
      <c r="C67" s="251">
        <v>-273781.44</v>
      </c>
      <c r="D67" s="253" t="s">
        <v>11</v>
      </c>
      <c r="E67" s="253">
        <f t="shared" si="2"/>
        <v>273781.44</v>
      </c>
      <c r="F67" s="253" t="s">
        <v>5</v>
      </c>
      <c r="G67" s="232"/>
      <c r="H67" s="232" t="s">
        <v>513</v>
      </c>
      <c r="I67" s="232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</row>
    <row r="68" spans="1:22" s="234" customFormat="1">
      <c r="A68" s="230" t="s">
        <v>184</v>
      </c>
      <c r="B68" s="253" t="s">
        <v>40</v>
      </c>
      <c r="C68" s="251">
        <v>-1008115.98</v>
      </c>
      <c r="D68" s="253" t="s">
        <v>13</v>
      </c>
      <c r="E68" s="253">
        <f t="shared" si="2"/>
        <v>1008115.98</v>
      </c>
      <c r="F68" s="253" t="s">
        <v>5</v>
      </c>
      <c r="G68" s="232"/>
      <c r="H68" s="236" t="s">
        <v>185</v>
      </c>
      <c r="I68" s="232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</row>
    <row r="69" spans="1:22" s="234" customFormat="1">
      <c r="A69" s="230" t="s">
        <v>186</v>
      </c>
      <c r="B69" s="253" t="s">
        <v>37</v>
      </c>
      <c r="C69" s="251">
        <v>2628820.7599999998</v>
      </c>
      <c r="D69" s="253" t="s">
        <v>6</v>
      </c>
      <c r="E69" s="253">
        <f t="shared" si="2"/>
        <v>-2628820.7599999998</v>
      </c>
      <c r="F69" s="253" t="s">
        <v>4</v>
      </c>
      <c r="G69" s="232"/>
      <c r="H69" s="238" t="s">
        <v>496</v>
      </c>
      <c r="I69" s="232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</row>
    <row r="70" spans="1:22" s="234" customFormat="1">
      <c r="A70" s="230" t="s">
        <v>187</v>
      </c>
      <c r="B70" s="258" t="s">
        <v>74</v>
      </c>
      <c r="C70" s="251">
        <v>-100997.03</v>
      </c>
      <c r="D70" s="258" t="s">
        <v>413</v>
      </c>
      <c r="E70" s="258">
        <f t="shared" si="2"/>
        <v>100997.03</v>
      </c>
      <c r="F70" s="258" t="s">
        <v>5</v>
      </c>
      <c r="G70" s="238"/>
      <c r="H70" s="238" t="s">
        <v>188</v>
      </c>
      <c r="I70" s="232"/>
      <c r="J70" s="239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</row>
    <row r="71" spans="1:22" s="234" customFormat="1">
      <c r="A71" s="230" t="s">
        <v>189</v>
      </c>
      <c r="B71" s="253" t="s">
        <v>77</v>
      </c>
      <c r="C71" s="253">
        <v>2442270.1600000011</v>
      </c>
      <c r="D71" s="253" t="s">
        <v>6</v>
      </c>
      <c r="E71" s="253">
        <f t="shared" si="2"/>
        <v>-2442270.1600000011</v>
      </c>
      <c r="F71" s="253" t="s">
        <v>4</v>
      </c>
      <c r="G71" s="232"/>
      <c r="H71" s="232" t="s">
        <v>494</v>
      </c>
      <c r="I71" s="232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</row>
    <row r="72" spans="1:22" s="234" customFormat="1">
      <c r="A72" s="230" t="s">
        <v>190</v>
      </c>
      <c r="B72" s="253" t="s">
        <v>37</v>
      </c>
      <c r="C72" s="251">
        <v>566037.73</v>
      </c>
      <c r="D72" s="253" t="s">
        <v>22</v>
      </c>
      <c r="E72" s="253">
        <f t="shared" si="2"/>
        <v>-566037.73</v>
      </c>
      <c r="F72" s="256" t="s">
        <v>27</v>
      </c>
      <c r="G72" s="240"/>
      <c r="H72" s="232" t="s">
        <v>546</v>
      </c>
      <c r="I72" s="240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</row>
    <row r="73" spans="1:22" s="234" customFormat="1">
      <c r="A73" s="230" t="s">
        <v>190</v>
      </c>
      <c r="B73" s="232" t="s">
        <v>37</v>
      </c>
      <c r="C73" s="231"/>
      <c r="D73" s="232" t="s">
        <v>23</v>
      </c>
      <c r="E73" s="232">
        <f t="shared" si="2"/>
        <v>0</v>
      </c>
      <c r="F73" s="240" t="s">
        <v>27</v>
      </c>
      <c r="G73" s="240"/>
      <c r="H73" s="232"/>
      <c r="I73" s="240"/>
      <c r="J73" s="233"/>
      <c r="K73" s="233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</row>
    <row r="74" spans="1:22" s="234" customFormat="1" ht="18.75" customHeight="1">
      <c r="A74" s="230" t="s">
        <v>191</v>
      </c>
      <c r="B74" s="253" t="s">
        <v>38</v>
      </c>
      <c r="C74" s="251">
        <f>-650072.2</f>
        <v>-650072.19999999995</v>
      </c>
      <c r="D74" s="253" t="s">
        <v>10</v>
      </c>
      <c r="E74" s="253">
        <f t="shared" si="2"/>
        <v>650072.19999999995</v>
      </c>
      <c r="F74" s="256" t="s">
        <v>6</v>
      </c>
      <c r="G74" s="240"/>
      <c r="H74" s="232" t="s">
        <v>192</v>
      </c>
      <c r="I74" s="241" t="s">
        <v>193</v>
      </c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</row>
    <row r="75" spans="1:22" s="234" customFormat="1">
      <c r="A75" s="230" t="s">
        <v>194</v>
      </c>
      <c r="B75" s="252" t="s">
        <v>38</v>
      </c>
      <c r="C75" s="251">
        <v>-387613.01886792498</v>
      </c>
      <c r="D75" s="253" t="s">
        <v>8</v>
      </c>
      <c r="E75" s="253">
        <f t="shared" si="2"/>
        <v>387613.01886792498</v>
      </c>
      <c r="F75" s="253" t="s">
        <v>6</v>
      </c>
      <c r="G75" s="232"/>
      <c r="H75" s="232" t="s">
        <v>195</v>
      </c>
      <c r="I75" s="232" t="s">
        <v>196</v>
      </c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</row>
    <row r="76" spans="1:22" s="234" customFormat="1">
      <c r="A76" s="230" t="s">
        <v>197</v>
      </c>
      <c r="B76" s="253" t="s">
        <v>38</v>
      </c>
      <c r="C76" s="251">
        <v>-1575985.55</v>
      </c>
      <c r="D76" s="253" t="s">
        <v>8</v>
      </c>
      <c r="E76" s="253">
        <f t="shared" si="2"/>
        <v>1575985.55</v>
      </c>
      <c r="F76" s="256" t="s">
        <v>4</v>
      </c>
      <c r="G76" s="240"/>
      <c r="H76" s="232" t="s">
        <v>198</v>
      </c>
      <c r="I76" s="240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</row>
    <row r="77" spans="1:22" s="234" customFormat="1">
      <c r="A77" s="230" t="s">
        <v>181</v>
      </c>
      <c r="B77" s="253" t="s">
        <v>40</v>
      </c>
      <c r="C77" s="251">
        <v>1575985.55</v>
      </c>
      <c r="D77" s="253" t="s">
        <v>8</v>
      </c>
      <c r="E77" s="253">
        <f t="shared" si="2"/>
        <v>-1575985.55</v>
      </c>
      <c r="F77" s="253" t="s">
        <v>4</v>
      </c>
      <c r="G77" s="232"/>
      <c r="H77" s="232" t="s">
        <v>182</v>
      </c>
      <c r="I77" s="232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</row>
    <row r="78" spans="1:22" s="234" customFormat="1">
      <c r="A78" s="230" t="s">
        <v>201</v>
      </c>
      <c r="B78" s="253" t="s">
        <v>38</v>
      </c>
      <c r="C78" s="251">
        <f>-358490.57</f>
        <v>-358490.57</v>
      </c>
      <c r="D78" s="253" t="s">
        <v>8</v>
      </c>
      <c r="E78" s="253">
        <f t="shared" ref="E78:E84" si="3">-C78</f>
        <v>358490.57</v>
      </c>
      <c r="F78" s="253" t="s">
        <v>22</v>
      </c>
      <c r="G78" s="232"/>
      <c r="H78" s="232" t="s">
        <v>536</v>
      </c>
      <c r="I78" s="232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</row>
    <row r="79" spans="1:22" s="234" customFormat="1">
      <c r="A79" s="230" t="s">
        <v>202</v>
      </c>
      <c r="B79" s="252" t="s">
        <v>42</v>
      </c>
      <c r="C79" s="251">
        <f>-35321.3</f>
        <v>-35321.300000000003</v>
      </c>
      <c r="D79" s="253" t="s">
        <v>17</v>
      </c>
      <c r="E79" s="253">
        <f t="shared" si="3"/>
        <v>35321.300000000003</v>
      </c>
      <c r="F79" s="253" t="s">
        <v>21</v>
      </c>
      <c r="G79" s="232"/>
      <c r="H79" s="232" t="s">
        <v>203</v>
      </c>
      <c r="I79" s="232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</row>
    <row r="80" spans="1:22" s="234" customFormat="1">
      <c r="A80" s="230" t="s">
        <v>204</v>
      </c>
      <c r="B80" s="252" t="s">
        <v>40</v>
      </c>
      <c r="C80" s="251">
        <v>87270.81</v>
      </c>
      <c r="D80" s="253" t="s">
        <v>17</v>
      </c>
      <c r="E80" s="253">
        <f t="shared" si="3"/>
        <v>-87270.81</v>
      </c>
      <c r="F80" s="253" t="s">
        <v>21</v>
      </c>
      <c r="G80" s="232"/>
      <c r="H80" s="232" t="s">
        <v>203</v>
      </c>
      <c r="I80" s="232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</row>
    <row r="81" spans="1:22" s="234" customFormat="1">
      <c r="A81" s="230" t="s">
        <v>206</v>
      </c>
      <c r="B81" s="252" t="s">
        <v>42</v>
      </c>
      <c r="C81" s="251">
        <v>1280910.8999999999</v>
      </c>
      <c r="D81" s="253" t="s">
        <v>13</v>
      </c>
      <c r="E81" s="253">
        <f t="shared" si="3"/>
        <v>-1280910.8999999999</v>
      </c>
      <c r="F81" s="253" t="s">
        <v>15</v>
      </c>
      <c r="G81" s="232"/>
      <c r="H81" s="242" t="s">
        <v>207</v>
      </c>
      <c r="I81" s="232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</row>
    <row r="82" spans="1:22" s="234" customFormat="1">
      <c r="A82" s="230" t="s">
        <v>208</v>
      </c>
      <c r="B82" s="252" t="s">
        <v>38</v>
      </c>
      <c r="C82" s="251">
        <v>-2073331.96</v>
      </c>
      <c r="D82" s="253" t="s">
        <v>10</v>
      </c>
      <c r="E82" s="253">
        <f t="shared" si="3"/>
        <v>2073331.96</v>
      </c>
      <c r="F82" s="253" t="s">
        <v>15</v>
      </c>
      <c r="G82" s="232"/>
      <c r="H82" s="232" t="s">
        <v>209</v>
      </c>
      <c r="I82" s="232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</row>
    <row r="83" spans="1:22" s="234" customFormat="1">
      <c r="A83" s="230" t="s">
        <v>210</v>
      </c>
      <c r="B83" s="252" t="s">
        <v>38</v>
      </c>
      <c r="C83" s="254">
        <v>-8820.66</v>
      </c>
      <c r="D83" s="253" t="s">
        <v>10</v>
      </c>
      <c r="E83" s="253">
        <f t="shared" si="3"/>
        <v>8820.66</v>
      </c>
      <c r="F83" s="253" t="s">
        <v>15</v>
      </c>
      <c r="G83" s="232"/>
      <c r="H83" s="238" t="s">
        <v>511</v>
      </c>
      <c r="I83" s="232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</row>
    <row r="84" spans="1:22" s="234" customFormat="1">
      <c r="A84" s="230" t="s">
        <v>211</v>
      </c>
      <c r="B84" s="252" t="s">
        <v>38</v>
      </c>
      <c r="C84" s="251">
        <v>-107289.83</v>
      </c>
      <c r="D84" s="253" t="s">
        <v>10</v>
      </c>
      <c r="E84" s="253">
        <f t="shared" si="3"/>
        <v>107289.83</v>
      </c>
      <c r="F84" s="253" t="s">
        <v>15</v>
      </c>
      <c r="G84" s="232"/>
      <c r="H84" s="232" t="s">
        <v>212</v>
      </c>
      <c r="I84" s="232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</row>
    <row r="85" spans="1:22" s="234" customFormat="1">
      <c r="A85" s="230" t="s">
        <v>213</v>
      </c>
      <c r="B85" s="253" t="s">
        <v>38</v>
      </c>
      <c r="C85" s="255">
        <v>-132648.73499999999</v>
      </c>
      <c r="D85" s="253" t="s">
        <v>10</v>
      </c>
      <c r="E85" s="253">
        <f>-C85</f>
        <v>132648.73499999999</v>
      </c>
      <c r="F85" s="253" t="s">
        <v>15</v>
      </c>
      <c r="G85" s="240"/>
      <c r="H85" s="232" t="s">
        <v>512</v>
      </c>
      <c r="I85" s="240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</row>
    <row r="86" spans="1:22" s="234" customFormat="1">
      <c r="A86" s="230"/>
      <c r="B86" s="232" t="s">
        <v>42</v>
      </c>
      <c r="C86" s="243"/>
      <c r="D86" s="232"/>
      <c r="E86" s="232"/>
      <c r="F86" s="240"/>
      <c r="G86" s="240"/>
      <c r="H86" s="240"/>
      <c r="I86" s="240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</row>
    <row r="87" spans="1:22" s="234" customFormat="1">
      <c r="A87" s="230" t="s">
        <v>215</v>
      </c>
      <c r="B87" s="253" t="s">
        <v>38</v>
      </c>
      <c r="C87" s="251">
        <f>-(540000-80000)/1.06</f>
        <v>-433962.26415094337</v>
      </c>
      <c r="D87" s="253" t="s">
        <v>8</v>
      </c>
      <c r="E87" s="253">
        <f t="shared" ref="E87:E103" si="4">-C87</f>
        <v>433962.26415094337</v>
      </c>
      <c r="F87" s="256" t="s">
        <v>6</v>
      </c>
      <c r="G87" s="240"/>
      <c r="H87" s="240" t="s">
        <v>216</v>
      </c>
      <c r="I87" s="240" t="s">
        <v>217</v>
      </c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</row>
    <row r="88" spans="1:22" s="234" customFormat="1">
      <c r="A88" s="230" t="s">
        <v>218</v>
      </c>
      <c r="B88" s="252" t="s">
        <v>38</v>
      </c>
      <c r="C88" s="253">
        <f>-(71707.72+36247.86)*0.9</f>
        <v>-97160.021999999997</v>
      </c>
      <c r="D88" s="253" t="s">
        <v>8</v>
      </c>
      <c r="E88" s="253">
        <f t="shared" si="4"/>
        <v>97160.021999999997</v>
      </c>
      <c r="F88" s="253" t="s">
        <v>6</v>
      </c>
      <c r="G88" s="232"/>
      <c r="H88" s="232" t="s">
        <v>219</v>
      </c>
      <c r="I88" s="232" t="s">
        <v>220</v>
      </c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</row>
    <row r="89" spans="1:22" s="234" customFormat="1">
      <c r="A89" s="230" t="s">
        <v>221</v>
      </c>
      <c r="B89" s="252" t="s">
        <v>38</v>
      </c>
      <c r="C89" s="253">
        <f>-(241666.67-20000+370555.56-20000+370555.56-20000)/1.06</f>
        <v>-870545.08490566036</v>
      </c>
      <c r="D89" s="253" t="s">
        <v>8</v>
      </c>
      <c r="E89" s="253">
        <f t="shared" si="4"/>
        <v>870545.08490566036</v>
      </c>
      <c r="F89" s="253" t="s">
        <v>6</v>
      </c>
      <c r="G89" s="232"/>
      <c r="H89" s="232" t="s">
        <v>222</v>
      </c>
      <c r="I89" s="232" t="s">
        <v>223</v>
      </c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</row>
    <row r="90" spans="1:22" s="234" customFormat="1">
      <c r="A90" s="230" t="s">
        <v>224</v>
      </c>
      <c r="B90" s="252" t="s">
        <v>38</v>
      </c>
      <c r="C90" s="251">
        <v>-115761.179245283</v>
      </c>
      <c r="D90" s="253" t="s">
        <v>8</v>
      </c>
      <c r="E90" s="253">
        <f t="shared" si="4"/>
        <v>115761.179245283</v>
      </c>
      <c r="F90" s="253" t="s">
        <v>6</v>
      </c>
      <c r="G90" s="232"/>
      <c r="H90" s="232" t="s">
        <v>225</v>
      </c>
      <c r="I90" s="232" t="s">
        <v>226</v>
      </c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</row>
    <row r="91" spans="1:22" s="234" customFormat="1">
      <c r="A91" s="230" t="s">
        <v>228</v>
      </c>
      <c r="B91" s="252" t="s">
        <v>37</v>
      </c>
      <c r="C91" s="251">
        <v>-1478370.64</v>
      </c>
      <c r="D91" s="253" t="s">
        <v>21</v>
      </c>
      <c r="E91" s="253">
        <f t="shared" si="4"/>
        <v>1478370.64</v>
      </c>
      <c r="F91" s="256" t="s">
        <v>4</v>
      </c>
      <c r="G91" s="240"/>
      <c r="H91" s="244" t="s">
        <v>167</v>
      </c>
      <c r="I91" s="240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</row>
    <row r="92" spans="1:22" s="234" customFormat="1">
      <c r="A92" s="230" t="s">
        <v>229</v>
      </c>
      <c r="B92" s="252" t="s">
        <v>37</v>
      </c>
      <c r="C92" s="251">
        <f>-1769075.47</f>
        <v>-1769075.47</v>
      </c>
      <c r="D92" s="253" t="s">
        <v>23</v>
      </c>
      <c r="E92" s="253">
        <f t="shared" si="4"/>
        <v>1769075.47</v>
      </c>
      <c r="F92" s="256" t="s">
        <v>4</v>
      </c>
      <c r="G92" s="240"/>
      <c r="H92" s="244" t="s">
        <v>167</v>
      </c>
      <c r="I92" s="240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</row>
    <row r="93" spans="1:22" s="234" customFormat="1">
      <c r="A93" s="230" t="s">
        <v>230</v>
      </c>
      <c r="B93" s="252" t="s">
        <v>40</v>
      </c>
      <c r="C93" s="251">
        <v>6818966.4800000004</v>
      </c>
      <c r="D93" s="253" t="s">
        <v>16</v>
      </c>
      <c r="E93" s="253">
        <f t="shared" si="4"/>
        <v>-6818966.4800000004</v>
      </c>
      <c r="F93" s="253" t="s">
        <v>11</v>
      </c>
      <c r="G93" s="240"/>
      <c r="H93" s="232" t="s">
        <v>231</v>
      </c>
      <c r="I93" s="240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</row>
    <row r="94" spans="1:22" s="234" customFormat="1">
      <c r="A94" s="230" t="s">
        <v>232</v>
      </c>
      <c r="B94" s="253" t="s">
        <v>42</v>
      </c>
      <c r="C94" s="251">
        <v>-3541739.59</v>
      </c>
      <c r="D94" s="253" t="s">
        <v>16</v>
      </c>
      <c r="E94" s="253">
        <f t="shared" si="4"/>
        <v>3541739.59</v>
      </c>
      <c r="F94" s="256" t="s">
        <v>11</v>
      </c>
      <c r="G94" s="240"/>
      <c r="H94" s="232" t="s">
        <v>233</v>
      </c>
      <c r="I94" s="240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</row>
    <row r="95" spans="1:22" s="234" customFormat="1">
      <c r="A95" s="230" t="s">
        <v>234</v>
      </c>
      <c r="B95" s="253" t="s">
        <v>74</v>
      </c>
      <c r="C95" s="251">
        <v>-2604102.4</v>
      </c>
      <c r="D95" s="253" t="s">
        <v>16</v>
      </c>
      <c r="E95" s="253">
        <f t="shared" si="4"/>
        <v>2604102.4</v>
      </c>
      <c r="F95" s="256" t="s">
        <v>11</v>
      </c>
      <c r="G95" s="240"/>
      <c r="H95" s="232" t="s">
        <v>235</v>
      </c>
      <c r="I95" s="240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</row>
    <row r="96" spans="1:22" s="234" customFormat="1">
      <c r="A96" s="230" t="s">
        <v>236</v>
      </c>
      <c r="B96" s="253" t="s">
        <v>36</v>
      </c>
      <c r="C96" s="251">
        <v>-37735.85</v>
      </c>
      <c r="D96" s="253" t="s">
        <v>16</v>
      </c>
      <c r="E96" s="253">
        <f t="shared" si="4"/>
        <v>37735.85</v>
      </c>
      <c r="F96" s="256" t="s">
        <v>11</v>
      </c>
      <c r="G96" s="240"/>
      <c r="H96" s="240" t="s">
        <v>237</v>
      </c>
      <c r="I96" s="240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</row>
    <row r="97" spans="1:22" s="234" customFormat="1">
      <c r="A97" s="230" t="s">
        <v>238</v>
      </c>
      <c r="B97" s="252" t="s">
        <v>40</v>
      </c>
      <c r="C97" s="251">
        <v>12676701.34</v>
      </c>
      <c r="D97" s="253" t="s">
        <v>413</v>
      </c>
      <c r="E97" s="253">
        <f t="shared" si="4"/>
        <v>-12676701.34</v>
      </c>
      <c r="F97" s="253" t="s">
        <v>4</v>
      </c>
      <c r="G97" s="240"/>
      <c r="H97" s="89" t="s">
        <v>548</v>
      </c>
      <c r="I97" s="240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</row>
    <row r="98" spans="1:22" s="234" customFormat="1">
      <c r="A98" s="230"/>
      <c r="B98" s="232" t="s">
        <v>40</v>
      </c>
      <c r="C98" s="231"/>
      <c r="D98" s="232" t="s">
        <v>14</v>
      </c>
      <c r="E98" s="232">
        <f t="shared" si="4"/>
        <v>0</v>
      </c>
      <c r="F98" s="240" t="s">
        <v>4</v>
      </c>
      <c r="G98" s="240"/>
      <c r="H98" s="240" t="s">
        <v>542</v>
      </c>
      <c r="I98" s="240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</row>
    <row r="99" spans="1:22" s="234" customFormat="1">
      <c r="A99" s="230" t="s">
        <v>242</v>
      </c>
      <c r="B99" s="252" t="s">
        <v>38</v>
      </c>
      <c r="C99" s="253">
        <f>-(11666.67+38333.33)*0.47/1.06</f>
        <v>-22169.811320754718</v>
      </c>
      <c r="D99" s="253" t="s">
        <v>8</v>
      </c>
      <c r="E99" s="253">
        <f t="shared" si="4"/>
        <v>22169.811320754718</v>
      </c>
      <c r="F99" s="256" t="s">
        <v>6</v>
      </c>
      <c r="G99" s="240"/>
      <c r="H99" s="232" t="s">
        <v>243</v>
      </c>
      <c r="I99" s="232" t="s">
        <v>244</v>
      </c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</row>
    <row r="100" spans="1:22" s="234" customFormat="1">
      <c r="A100" s="230" t="s">
        <v>245</v>
      </c>
      <c r="B100" s="252" t="s">
        <v>38</v>
      </c>
      <c r="C100" s="257">
        <v>50244.53</v>
      </c>
      <c r="D100" s="253" t="s">
        <v>8</v>
      </c>
      <c r="E100" s="253">
        <f t="shared" si="4"/>
        <v>-50244.53</v>
      </c>
      <c r="F100" s="256" t="s">
        <v>6</v>
      </c>
      <c r="G100" s="240"/>
      <c r="H100" s="232" t="s">
        <v>246</v>
      </c>
      <c r="I100" s="245" t="s">
        <v>247</v>
      </c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</row>
    <row r="101" spans="1:22" s="247" customFormat="1">
      <c r="A101" s="230" t="s">
        <v>181</v>
      </c>
      <c r="B101" s="253" t="s">
        <v>73</v>
      </c>
      <c r="C101" s="257">
        <v>650943</v>
      </c>
      <c r="D101" s="253" t="s">
        <v>14</v>
      </c>
      <c r="E101" s="253">
        <f t="shared" si="4"/>
        <v>-650943</v>
      </c>
      <c r="F101" s="253" t="s">
        <v>15</v>
      </c>
      <c r="G101" s="232"/>
      <c r="H101" s="232" t="s">
        <v>248</v>
      </c>
      <c r="I101" s="232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</row>
    <row r="102" spans="1:22" s="234" customFormat="1">
      <c r="A102" s="230"/>
      <c r="B102" s="252" t="s">
        <v>73</v>
      </c>
      <c r="C102" s="257">
        <v>-112109.08</v>
      </c>
      <c r="D102" s="253" t="s">
        <v>15</v>
      </c>
      <c r="E102" s="253">
        <f t="shared" si="4"/>
        <v>112109.08</v>
      </c>
      <c r="F102" s="256" t="s">
        <v>6</v>
      </c>
      <c r="G102" s="240"/>
      <c r="H102" s="240" t="s">
        <v>535</v>
      </c>
      <c r="I102" s="245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</row>
    <row r="103" spans="1:22" s="67" customFormat="1">
      <c r="A103" s="88"/>
      <c r="B103" s="89" t="s">
        <v>37</v>
      </c>
      <c r="C103" s="93">
        <f>-9000</f>
        <v>-9000</v>
      </c>
      <c r="D103" s="89" t="s">
        <v>22</v>
      </c>
      <c r="E103" s="253">
        <f t="shared" si="4"/>
        <v>9000</v>
      </c>
      <c r="F103" s="89" t="s">
        <v>6</v>
      </c>
      <c r="G103" s="89"/>
      <c r="H103" s="94" t="s">
        <v>553</v>
      </c>
      <c r="I103" s="89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</row>
    <row r="104" spans="1:22">
      <c r="A104" s="88" t="s">
        <v>249</v>
      </c>
      <c r="B104" s="89" t="s">
        <v>37</v>
      </c>
      <c r="C104" s="93">
        <f>71000</f>
        <v>71000</v>
      </c>
      <c r="D104" s="89" t="s">
        <v>6</v>
      </c>
      <c r="E104" s="253">
        <f>-C104</f>
        <v>-71000</v>
      </c>
      <c r="F104" s="89" t="s">
        <v>4</v>
      </c>
      <c r="G104" s="89"/>
      <c r="H104" s="94" t="s">
        <v>553</v>
      </c>
      <c r="I104" s="94"/>
    </row>
    <row r="105" spans="1:22">
      <c r="A105" s="82"/>
      <c r="B105" s="82" t="s">
        <v>250</v>
      </c>
      <c r="C105" s="86"/>
      <c r="D105" s="87"/>
      <c r="E105" s="87">
        <f>SUM(E106:E162)</f>
        <v>-52947.789999999986</v>
      </c>
      <c r="F105" s="85"/>
      <c r="G105" s="85"/>
      <c r="H105" s="85"/>
      <c r="I105" s="85"/>
    </row>
    <row r="106" spans="1:22">
      <c r="A106" s="88" t="s">
        <v>138</v>
      </c>
      <c r="B106" s="88" t="s">
        <v>78</v>
      </c>
      <c r="C106" s="96">
        <f t="shared" ref="C106:C116" si="5">ROUND(IF(OR(LEFT(B52,1)="2",(LEFT(B52,1)="4")),0,C52*0.06*0.12),2)</f>
        <v>0</v>
      </c>
      <c r="D106" s="89" t="str">
        <f t="shared" ref="D106:D137" si="6">D52</f>
        <v>证券投资部</v>
      </c>
      <c r="E106" s="89">
        <f>-C106</f>
        <v>0</v>
      </c>
      <c r="F106" s="89" t="str">
        <f t="shared" ref="F106:F137" si="7">F52</f>
        <v>总部中后台</v>
      </c>
      <c r="G106" s="97"/>
      <c r="H106" s="97"/>
      <c r="I106" s="97"/>
    </row>
    <row r="107" spans="1:22" s="225" customFormat="1">
      <c r="A107" s="223" t="s">
        <v>154</v>
      </c>
      <c r="B107" s="223" t="s">
        <v>78</v>
      </c>
      <c r="C107" s="222">
        <f t="shared" si="5"/>
        <v>-15638.26</v>
      </c>
      <c r="D107" s="95" t="str">
        <f t="shared" si="6"/>
        <v>经纪业务部</v>
      </c>
      <c r="E107" s="95">
        <f t="shared" ref="E107:E109" si="8">-C107</f>
        <v>15638.26</v>
      </c>
      <c r="F107" s="95" t="str">
        <f t="shared" si="7"/>
        <v>固定收益市场部</v>
      </c>
      <c r="G107" s="229"/>
      <c r="H107" s="229"/>
      <c r="I107" s="229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</row>
    <row r="108" spans="1:22">
      <c r="A108" s="88" t="s">
        <v>155</v>
      </c>
      <c r="B108" s="88" t="s">
        <v>78</v>
      </c>
      <c r="C108" s="96">
        <f t="shared" si="5"/>
        <v>0</v>
      </c>
      <c r="D108" s="89" t="str">
        <f t="shared" si="6"/>
        <v>证券投资部</v>
      </c>
      <c r="E108" s="89">
        <f t="shared" si="8"/>
        <v>0</v>
      </c>
      <c r="F108" s="89" t="str">
        <f t="shared" si="7"/>
        <v>固定收益投资部</v>
      </c>
      <c r="G108" s="97"/>
      <c r="H108" s="97"/>
      <c r="I108" s="97"/>
    </row>
    <row r="109" spans="1:22">
      <c r="A109" s="88" t="s">
        <v>158</v>
      </c>
      <c r="B109" s="88" t="s">
        <v>78</v>
      </c>
      <c r="C109" s="96">
        <f t="shared" si="5"/>
        <v>0</v>
      </c>
      <c r="D109" s="89" t="str">
        <f t="shared" si="6"/>
        <v>证券投资部</v>
      </c>
      <c r="E109" s="89">
        <f t="shared" si="8"/>
        <v>0</v>
      </c>
      <c r="F109" s="89" t="str">
        <f t="shared" si="7"/>
        <v>金融衍生品部</v>
      </c>
      <c r="G109" s="97"/>
      <c r="H109" s="97"/>
      <c r="I109" s="97"/>
    </row>
    <row r="110" spans="1:22">
      <c r="A110" s="88" t="s">
        <v>160</v>
      </c>
      <c r="B110" s="88" t="s">
        <v>78</v>
      </c>
      <c r="C110" s="96">
        <f t="shared" si="5"/>
        <v>0</v>
      </c>
      <c r="D110" s="89" t="str">
        <f t="shared" si="6"/>
        <v>证券投资部</v>
      </c>
      <c r="E110" s="89">
        <f t="shared" ref="E110:E122" si="9">-C110</f>
        <v>0</v>
      </c>
      <c r="F110" s="89" t="str">
        <f t="shared" si="7"/>
        <v>量化产品投资部</v>
      </c>
      <c r="G110" s="97"/>
      <c r="H110" s="97"/>
      <c r="I110" s="97"/>
    </row>
    <row r="111" spans="1:22">
      <c r="A111" s="88" t="s">
        <v>161</v>
      </c>
      <c r="B111" s="88" t="s">
        <v>78</v>
      </c>
      <c r="C111" s="96">
        <f t="shared" si="5"/>
        <v>587.16999999999996</v>
      </c>
      <c r="D111" s="89" t="str">
        <f t="shared" si="6"/>
        <v>证券投资部</v>
      </c>
      <c r="E111" s="89">
        <f t="shared" si="9"/>
        <v>-587.16999999999996</v>
      </c>
      <c r="F111" s="89" t="str">
        <f t="shared" si="7"/>
        <v>固定收益投资部</v>
      </c>
      <c r="G111" s="97"/>
      <c r="H111" s="97"/>
      <c r="I111" s="97"/>
    </row>
    <row r="112" spans="1:22">
      <c r="A112" s="88" t="s">
        <v>163</v>
      </c>
      <c r="B112" s="88" t="s">
        <v>78</v>
      </c>
      <c r="C112" s="96">
        <f t="shared" si="5"/>
        <v>0</v>
      </c>
      <c r="D112" s="89" t="str">
        <f t="shared" si="6"/>
        <v>证券投资部</v>
      </c>
      <c r="E112" s="89">
        <f t="shared" si="9"/>
        <v>0</v>
      </c>
      <c r="F112" s="89" t="str">
        <f t="shared" si="7"/>
        <v>固定收益投资部</v>
      </c>
      <c r="G112" s="97"/>
      <c r="H112" s="97"/>
      <c r="I112" s="97"/>
    </row>
    <row r="113" spans="1:9">
      <c r="A113" s="88" t="s">
        <v>165</v>
      </c>
      <c r="B113" s="88" t="s">
        <v>78</v>
      </c>
      <c r="C113" s="96">
        <f t="shared" si="5"/>
        <v>-8515.02</v>
      </c>
      <c r="D113" s="89" t="str">
        <f t="shared" si="6"/>
        <v>投资银行三部</v>
      </c>
      <c r="E113" s="95">
        <f>-C113</f>
        <v>8515.02</v>
      </c>
      <c r="F113" s="89" t="str">
        <f t="shared" si="7"/>
        <v>经纪业务部</v>
      </c>
      <c r="G113" s="97"/>
      <c r="H113" s="97"/>
      <c r="I113" s="97"/>
    </row>
    <row r="114" spans="1:9">
      <c r="A114" s="88" t="s">
        <v>166</v>
      </c>
      <c r="B114" s="88" t="s">
        <v>78</v>
      </c>
      <c r="C114" s="96">
        <f t="shared" si="5"/>
        <v>11325.48</v>
      </c>
      <c r="D114" s="89" t="str">
        <f t="shared" si="6"/>
        <v>固定收益市场部</v>
      </c>
      <c r="E114" s="89">
        <f t="shared" si="9"/>
        <v>-11325.48</v>
      </c>
      <c r="F114" s="89" t="str">
        <f t="shared" si="7"/>
        <v>其他</v>
      </c>
      <c r="G114" s="97"/>
      <c r="H114" s="97"/>
      <c r="I114" s="97"/>
    </row>
    <row r="115" spans="1:9">
      <c r="A115" s="88" t="s">
        <v>168</v>
      </c>
      <c r="B115" s="88" t="s">
        <v>78</v>
      </c>
      <c r="C115" s="96">
        <f t="shared" si="5"/>
        <v>-34731.11</v>
      </c>
      <c r="D115" s="89" t="str">
        <f t="shared" si="6"/>
        <v>固定收益市场部</v>
      </c>
      <c r="E115" s="89">
        <f t="shared" si="9"/>
        <v>34731.11</v>
      </c>
      <c r="F115" s="89" t="str">
        <f t="shared" si="7"/>
        <v>总部中后台</v>
      </c>
      <c r="G115" s="97"/>
      <c r="H115" s="97"/>
      <c r="I115" s="97"/>
    </row>
    <row r="116" spans="1:9">
      <c r="A116" s="88" t="s">
        <v>169</v>
      </c>
      <c r="B116" s="88" t="s">
        <v>78</v>
      </c>
      <c r="C116" s="96">
        <f t="shared" si="5"/>
        <v>0</v>
      </c>
      <c r="D116" s="89" t="str">
        <f t="shared" si="6"/>
        <v>固定收益市场部</v>
      </c>
      <c r="E116" s="89">
        <f t="shared" si="9"/>
        <v>0</v>
      </c>
      <c r="F116" s="89" t="str">
        <f t="shared" si="7"/>
        <v>其他</v>
      </c>
      <c r="G116" s="97"/>
      <c r="H116" s="97"/>
      <c r="I116" s="97"/>
    </row>
    <row r="117" spans="1:9">
      <c r="A117" s="88" t="s">
        <v>170</v>
      </c>
      <c r="B117" s="88" t="s">
        <v>78</v>
      </c>
      <c r="C117" s="222"/>
      <c r="D117" s="89" t="str">
        <f t="shared" si="6"/>
        <v>经纪业务部</v>
      </c>
      <c r="E117" s="89">
        <f t="shared" si="9"/>
        <v>0</v>
      </c>
      <c r="F117" s="89" t="str">
        <f t="shared" si="7"/>
        <v>其他</v>
      </c>
      <c r="G117" s="97"/>
      <c r="H117" s="98" t="s">
        <v>524</v>
      </c>
      <c r="I117" s="98"/>
    </row>
    <row r="118" spans="1:9">
      <c r="A118" s="88" t="s">
        <v>172</v>
      </c>
      <c r="B118" s="88" t="s">
        <v>78</v>
      </c>
      <c r="C118" s="96">
        <f t="shared" ref="C118:C124" si="10">ROUND(IF(OR(LEFT(B64,1)="2",(LEFT(B64,1)="4")),0,C64*0.06*0.12),2)</f>
        <v>0</v>
      </c>
      <c r="D118" s="89" t="str">
        <f t="shared" si="6"/>
        <v>经纪业务部</v>
      </c>
      <c r="E118" s="89">
        <f t="shared" si="9"/>
        <v>0</v>
      </c>
      <c r="F118" s="89" t="str">
        <f t="shared" si="7"/>
        <v>总部中后台</v>
      </c>
      <c r="G118" s="97"/>
      <c r="H118" s="98"/>
      <c r="I118" s="98"/>
    </row>
    <row r="119" spans="1:9">
      <c r="A119" s="88" t="s">
        <v>174</v>
      </c>
      <c r="B119" s="88" t="s">
        <v>78</v>
      </c>
      <c r="C119" s="96">
        <f t="shared" si="10"/>
        <v>0</v>
      </c>
      <c r="D119" s="89" t="str">
        <f t="shared" si="6"/>
        <v>投资银行一部</v>
      </c>
      <c r="E119" s="89">
        <f t="shared" si="9"/>
        <v>0</v>
      </c>
      <c r="F119" s="89" t="str">
        <f t="shared" si="7"/>
        <v>总部中后台</v>
      </c>
      <c r="G119" s="97"/>
      <c r="H119" s="99"/>
      <c r="I119" s="98"/>
    </row>
    <row r="120" spans="1:9">
      <c r="A120" s="88" t="s">
        <v>175</v>
      </c>
      <c r="B120" s="88" t="s">
        <v>78</v>
      </c>
      <c r="C120" s="96">
        <f t="shared" si="10"/>
        <v>0</v>
      </c>
      <c r="D120" s="89" t="str">
        <f t="shared" si="6"/>
        <v>投资银行二部</v>
      </c>
      <c r="E120" s="89">
        <f t="shared" si="9"/>
        <v>0</v>
      </c>
      <c r="F120" s="89" t="str">
        <f t="shared" si="7"/>
        <v>总部中后台</v>
      </c>
      <c r="G120" s="97"/>
      <c r="H120" s="98"/>
      <c r="I120" s="98"/>
    </row>
    <row r="121" spans="1:9">
      <c r="A121" s="88" t="s">
        <v>177</v>
      </c>
      <c r="B121" s="88" t="s">
        <v>78</v>
      </c>
      <c r="C121" s="96">
        <f t="shared" si="10"/>
        <v>0</v>
      </c>
      <c r="D121" s="89" t="str">
        <f t="shared" si="6"/>
        <v>量化产品投资部</v>
      </c>
      <c r="E121" s="89">
        <f t="shared" si="9"/>
        <v>0</v>
      </c>
      <c r="F121" s="89" t="str">
        <f t="shared" si="7"/>
        <v>总部中后台</v>
      </c>
      <c r="G121" s="97"/>
      <c r="H121" s="98"/>
      <c r="I121" s="98"/>
    </row>
    <row r="122" spans="1:9">
      <c r="A122" s="88" t="s">
        <v>179</v>
      </c>
      <c r="B122" s="88" t="s">
        <v>78</v>
      </c>
      <c r="C122" s="96">
        <f t="shared" si="10"/>
        <v>-7258.44</v>
      </c>
      <c r="D122" s="89" t="str">
        <f t="shared" si="6"/>
        <v>固定收益投资部</v>
      </c>
      <c r="E122" s="89">
        <f t="shared" si="9"/>
        <v>7258.44</v>
      </c>
      <c r="F122" s="89" t="str">
        <f t="shared" si="7"/>
        <v>总部中后台</v>
      </c>
      <c r="G122" s="97"/>
      <c r="H122" s="98"/>
      <c r="I122" s="98"/>
    </row>
    <row r="123" spans="1:9">
      <c r="A123" s="88" t="s">
        <v>181</v>
      </c>
      <c r="B123" s="88" t="s">
        <v>78</v>
      </c>
      <c r="C123" s="222">
        <f t="shared" si="10"/>
        <v>18927.509999999998</v>
      </c>
      <c r="D123" s="89" t="str">
        <f t="shared" si="6"/>
        <v>经纪业务部</v>
      </c>
      <c r="E123" s="89">
        <f t="shared" ref="E123:E155" si="11">-C123</f>
        <v>-18927.509999999998</v>
      </c>
      <c r="F123" s="89" t="str">
        <f t="shared" si="7"/>
        <v>其他</v>
      </c>
      <c r="G123" s="97"/>
      <c r="H123" s="97"/>
      <c r="I123" s="98"/>
    </row>
    <row r="124" spans="1:9">
      <c r="A124" s="88" t="s">
        <v>183</v>
      </c>
      <c r="B124" s="88" t="s">
        <v>78</v>
      </c>
      <c r="C124" s="96">
        <f t="shared" si="10"/>
        <v>0</v>
      </c>
      <c r="D124" s="89" t="str">
        <f t="shared" si="6"/>
        <v>金融衍生品部</v>
      </c>
      <c r="E124" s="89">
        <f t="shared" si="11"/>
        <v>0</v>
      </c>
      <c r="F124" s="89" t="str">
        <f t="shared" si="7"/>
        <v>总部中后台</v>
      </c>
      <c r="G124" s="97"/>
      <c r="H124" s="97"/>
      <c r="I124" s="98"/>
    </row>
    <row r="125" spans="1:9">
      <c r="A125" s="88" t="s">
        <v>184</v>
      </c>
      <c r="B125" s="88" t="s">
        <v>78</v>
      </c>
      <c r="C125" s="222"/>
      <c r="D125" s="95" t="str">
        <f t="shared" si="6"/>
        <v>经纪业务部</v>
      </c>
      <c r="E125" s="95">
        <f t="shared" si="11"/>
        <v>0</v>
      </c>
      <c r="F125" s="89" t="str">
        <f t="shared" si="7"/>
        <v>其他</v>
      </c>
      <c r="G125" s="97"/>
      <c r="H125" s="97" t="s">
        <v>528</v>
      </c>
      <c r="I125" s="98"/>
    </row>
    <row r="126" spans="1:9">
      <c r="A126" s="88" t="s">
        <v>186</v>
      </c>
      <c r="B126" s="88" t="s">
        <v>78</v>
      </c>
      <c r="C126" s="96">
        <f t="shared" ref="C126:C160" si="12">ROUND(IF(OR(LEFT(B72,1)="2",(LEFT(B72,1)="4")),0,C72*0.06*0.12),2)</f>
        <v>4075.47</v>
      </c>
      <c r="D126" s="89" t="str">
        <f t="shared" si="6"/>
        <v>投资银行一部</v>
      </c>
      <c r="E126" s="89">
        <f t="shared" si="11"/>
        <v>-4075.47</v>
      </c>
      <c r="F126" s="89" t="str">
        <f t="shared" si="7"/>
        <v>投资银行管理部</v>
      </c>
      <c r="G126" s="97"/>
      <c r="H126" s="97"/>
      <c r="I126" s="98"/>
    </row>
    <row r="127" spans="1:9">
      <c r="A127" s="88" t="s">
        <v>187</v>
      </c>
      <c r="B127" s="88" t="s">
        <v>78</v>
      </c>
      <c r="C127" s="96">
        <f t="shared" si="12"/>
        <v>0</v>
      </c>
      <c r="D127" s="89" t="str">
        <f t="shared" si="6"/>
        <v>投资银行二部</v>
      </c>
      <c r="E127" s="89">
        <f t="shared" si="11"/>
        <v>0</v>
      </c>
      <c r="F127" s="89" t="str">
        <f t="shared" si="7"/>
        <v>投资银行管理部</v>
      </c>
      <c r="G127" s="97"/>
      <c r="H127" s="98"/>
      <c r="I127" s="98"/>
    </row>
    <row r="128" spans="1:9">
      <c r="A128" s="88" t="s">
        <v>189</v>
      </c>
      <c r="B128" s="88" t="s">
        <v>78</v>
      </c>
      <c r="C128" s="96">
        <f>ROUND(IF(OR(LEFT(B74,1)="2",(LEFT(B74,1)="4")),0,C74*0.06*0.12),2)</f>
        <v>-4680.5200000000004</v>
      </c>
      <c r="D128" s="89" t="str">
        <f t="shared" si="6"/>
        <v>固收产品投资部</v>
      </c>
      <c r="E128" s="95">
        <f t="shared" si="11"/>
        <v>4680.5200000000004</v>
      </c>
      <c r="F128" s="89" t="str">
        <f t="shared" si="7"/>
        <v>经纪业务部</v>
      </c>
      <c r="G128" s="97"/>
      <c r="H128" s="98"/>
      <c r="I128" s="98"/>
    </row>
    <row r="129" spans="1:22">
      <c r="A129" s="88" t="s">
        <v>190</v>
      </c>
      <c r="B129" s="88" t="s">
        <v>78</v>
      </c>
      <c r="C129" s="96">
        <f t="shared" si="12"/>
        <v>-2790.81</v>
      </c>
      <c r="D129" s="89" t="str">
        <f t="shared" si="6"/>
        <v>资产管理部</v>
      </c>
      <c r="E129" s="95">
        <f t="shared" si="11"/>
        <v>2790.81</v>
      </c>
      <c r="F129" s="89" t="str">
        <f t="shared" si="7"/>
        <v>经纪业务部</v>
      </c>
      <c r="G129" s="97"/>
      <c r="H129" s="98"/>
      <c r="I129" s="98"/>
    </row>
    <row r="130" spans="1:22" s="68" customFormat="1">
      <c r="A130" s="88" t="s">
        <v>191</v>
      </c>
      <c r="B130" s="88" t="s">
        <v>78</v>
      </c>
      <c r="C130" s="96">
        <f t="shared" si="12"/>
        <v>-11347.1</v>
      </c>
      <c r="D130" s="89" t="str">
        <f t="shared" si="6"/>
        <v>资产管理部</v>
      </c>
      <c r="E130" s="89">
        <f t="shared" si="11"/>
        <v>11347.1</v>
      </c>
      <c r="F130" s="89" t="str">
        <f t="shared" si="7"/>
        <v>其他</v>
      </c>
      <c r="G130" s="101"/>
      <c r="H130" s="102"/>
      <c r="I130" s="102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>
      <c r="A131" s="88" t="s">
        <v>194</v>
      </c>
      <c r="B131" s="88" t="s">
        <v>78</v>
      </c>
      <c r="C131" s="96">
        <f t="shared" si="12"/>
        <v>11347.1</v>
      </c>
      <c r="D131" s="89" t="str">
        <f t="shared" si="6"/>
        <v>资产管理部</v>
      </c>
      <c r="E131" s="89">
        <f t="shared" ref="E131" si="13">-C131</f>
        <v>-11347.1</v>
      </c>
      <c r="F131" s="89" t="str">
        <f t="shared" si="7"/>
        <v>其他</v>
      </c>
      <c r="G131" s="97"/>
      <c r="H131" s="98"/>
      <c r="I131" s="98"/>
    </row>
    <row r="132" spans="1:22">
      <c r="A132" s="88" t="s">
        <v>197</v>
      </c>
      <c r="B132" s="88" t="s">
        <v>78</v>
      </c>
      <c r="C132" s="96">
        <f t="shared" si="12"/>
        <v>-2581.13</v>
      </c>
      <c r="D132" s="89" t="str">
        <f t="shared" si="6"/>
        <v>资产管理部</v>
      </c>
      <c r="E132" s="89">
        <f t="shared" si="11"/>
        <v>2581.13</v>
      </c>
      <c r="F132" s="89" t="str">
        <f t="shared" si="7"/>
        <v>投资银行一部</v>
      </c>
      <c r="G132" s="97"/>
      <c r="H132" s="98"/>
      <c r="I132" s="98"/>
    </row>
    <row r="133" spans="1:22">
      <c r="A133" s="88" t="s">
        <v>199</v>
      </c>
      <c r="B133" s="88" t="s">
        <v>78</v>
      </c>
      <c r="C133" s="96">
        <f t="shared" si="12"/>
        <v>0</v>
      </c>
      <c r="D133" s="89" t="str">
        <f t="shared" si="6"/>
        <v>做市业务部</v>
      </c>
      <c r="E133" s="89">
        <f t="shared" si="11"/>
        <v>0</v>
      </c>
      <c r="F133" s="89" t="str">
        <f t="shared" si="7"/>
        <v>投资银行三部</v>
      </c>
      <c r="G133" s="97"/>
      <c r="H133" s="98"/>
      <c r="I133" s="98"/>
    </row>
    <row r="134" spans="1:22">
      <c r="A134" s="88" t="s">
        <v>200</v>
      </c>
      <c r="B134" s="88" t="s">
        <v>78</v>
      </c>
      <c r="C134" s="96">
        <f t="shared" si="12"/>
        <v>628.35</v>
      </c>
      <c r="D134" s="89" t="str">
        <f t="shared" si="6"/>
        <v>做市业务部</v>
      </c>
      <c r="E134" s="89">
        <f t="shared" si="11"/>
        <v>-628.35</v>
      </c>
      <c r="F134" s="89" t="str">
        <f t="shared" si="7"/>
        <v>投资银行三部</v>
      </c>
      <c r="G134" s="97"/>
      <c r="H134" s="98"/>
      <c r="I134" s="98"/>
    </row>
    <row r="135" spans="1:22">
      <c r="A135" s="88" t="s">
        <v>201</v>
      </c>
      <c r="B135" s="88" t="s">
        <v>78</v>
      </c>
      <c r="C135" s="96">
        <f t="shared" si="12"/>
        <v>0</v>
      </c>
      <c r="D135" s="89" t="str">
        <f t="shared" si="6"/>
        <v>固定收益投资部</v>
      </c>
      <c r="E135" s="89">
        <f t="shared" si="11"/>
        <v>0</v>
      </c>
      <c r="F135" s="89" t="str">
        <f t="shared" si="7"/>
        <v>投顾业务部</v>
      </c>
      <c r="G135" s="97"/>
      <c r="H135" s="98"/>
      <c r="I135" s="98"/>
    </row>
    <row r="136" spans="1:22">
      <c r="A136" s="88" t="s">
        <v>202</v>
      </c>
      <c r="B136" s="88" t="s">
        <v>78</v>
      </c>
      <c r="C136" s="96">
        <f t="shared" si="12"/>
        <v>-14927.99</v>
      </c>
      <c r="D136" s="89" t="str">
        <f t="shared" si="6"/>
        <v>固收产品投资部</v>
      </c>
      <c r="E136" s="89">
        <f t="shared" si="11"/>
        <v>14927.99</v>
      </c>
      <c r="F136" s="89" t="str">
        <f t="shared" si="7"/>
        <v>投顾业务部</v>
      </c>
      <c r="G136" s="97"/>
      <c r="H136" s="98"/>
      <c r="I136" s="98"/>
    </row>
    <row r="137" spans="1:22">
      <c r="A137" s="88" t="s">
        <v>204</v>
      </c>
      <c r="B137" s="88" t="s">
        <v>78</v>
      </c>
      <c r="C137" s="96">
        <f t="shared" si="12"/>
        <v>-63.51</v>
      </c>
      <c r="D137" s="89" t="str">
        <f t="shared" si="6"/>
        <v>固收产品投资部</v>
      </c>
      <c r="E137" s="89">
        <f t="shared" si="11"/>
        <v>63.51</v>
      </c>
      <c r="F137" s="89" t="str">
        <f t="shared" si="7"/>
        <v>投顾业务部</v>
      </c>
      <c r="G137" s="97"/>
      <c r="H137" s="98"/>
      <c r="I137" s="98"/>
    </row>
    <row r="138" spans="1:22">
      <c r="A138" s="88" t="s">
        <v>205</v>
      </c>
      <c r="B138" s="88" t="s">
        <v>78</v>
      </c>
      <c r="C138" s="96">
        <f t="shared" si="12"/>
        <v>-772.49</v>
      </c>
      <c r="D138" s="89" t="str">
        <f t="shared" ref="D138:D166" si="14">D84</f>
        <v>固收产品投资部</v>
      </c>
      <c r="E138" s="89">
        <f t="shared" si="11"/>
        <v>772.49</v>
      </c>
      <c r="F138" s="89" t="str">
        <f t="shared" ref="F138:F166" si="15">F84</f>
        <v>投顾业务部</v>
      </c>
      <c r="G138" s="97"/>
      <c r="H138" s="98"/>
      <c r="I138" s="98"/>
    </row>
    <row r="139" spans="1:22">
      <c r="A139" s="88" t="s">
        <v>206</v>
      </c>
      <c r="B139" s="88" t="s">
        <v>78</v>
      </c>
      <c r="C139" s="96">
        <f t="shared" si="12"/>
        <v>-955.07</v>
      </c>
      <c r="D139" s="89" t="str">
        <f t="shared" si="14"/>
        <v>固收产品投资部</v>
      </c>
      <c r="E139" s="89">
        <f t="shared" si="11"/>
        <v>955.07</v>
      </c>
      <c r="F139" s="89" t="str">
        <f t="shared" si="15"/>
        <v>投顾业务部</v>
      </c>
      <c r="G139" s="97"/>
      <c r="H139" s="98"/>
      <c r="I139" s="98"/>
    </row>
    <row r="140" spans="1:22">
      <c r="A140" s="88"/>
      <c r="B140" s="88" t="s">
        <v>532</v>
      </c>
      <c r="C140" s="96">
        <f t="shared" si="12"/>
        <v>0</v>
      </c>
      <c r="D140" s="89">
        <f t="shared" si="14"/>
        <v>0</v>
      </c>
      <c r="E140" s="89">
        <f t="shared" ref="E140" si="16">-C140</f>
        <v>0</v>
      </c>
      <c r="F140" s="89">
        <f t="shared" si="15"/>
        <v>0</v>
      </c>
      <c r="G140" s="97"/>
      <c r="H140" s="98"/>
      <c r="I140" s="98"/>
    </row>
    <row r="141" spans="1:22">
      <c r="A141" s="88" t="s">
        <v>208</v>
      </c>
      <c r="B141" s="88" t="s">
        <v>78</v>
      </c>
      <c r="C141" s="96">
        <f t="shared" si="12"/>
        <v>-3124.53</v>
      </c>
      <c r="D141" s="89" t="str">
        <f t="shared" si="14"/>
        <v>资产管理部</v>
      </c>
      <c r="E141" s="95">
        <f t="shared" si="11"/>
        <v>3124.53</v>
      </c>
      <c r="F141" s="89" t="str">
        <f t="shared" si="15"/>
        <v>经纪业务部</v>
      </c>
      <c r="G141" s="97"/>
      <c r="H141" s="98"/>
      <c r="I141" s="98"/>
    </row>
    <row r="142" spans="1:22">
      <c r="A142" s="88" t="s">
        <v>210</v>
      </c>
      <c r="B142" s="88" t="s">
        <v>78</v>
      </c>
      <c r="C142" s="96">
        <f t="shared" si="12"/>
        <v>-699.55</v>
      </c>
      <c r="D142" s="89" t="str">
        <f t="shared" si="14"/>
        <v>资产管理部</v>
      </c>
      <c r="E142" s="95">
        <f t="shared" si="11"/>
        <v>699.55</v>
      </c>
      <c r="F142" s="89" t="str">
        <f t="shared" si="15"/>
        <v>经纪业务部</v>
      </c>
      <c r="G142" s="97"/>
      <c r="H142" s="98"/>
      <c r="I142" s="98"/>
    </row>
    <row r="143" spans="1:22">
      <c r="A143" s="88" t="s">
        <v>211</v>
      </c>
      <c r="B143" s="88" t="s">
        <v>78</v>
      </c>
      <c r="C143" s="96">
        <f t="shared" si="12"/>
        <v>-6267.92</v>
      </c>
      <c r="D143" s="89" t="str">
        <f t="shared" si="14"/>
        <v>资产管理部</v>
      </c>
      <c r="E143" s="95">
        <f t="shared" si="11"/>
        <v>6267.92</v>
      </c>
      <c r="F143" s="89" t="str">
        <f t="shared" si="15"/>
        <v>经纪业务部</v>
      </c>
      <c r="G143" s="97"/>
      <c r="H143" s="98"/>
      <c r="I143" s="98"/>
    </row>
    <row r="144" spans="1:22">
      <c r="A144" s="88" t="s">
        <v>213</v>
      </c>
      <c r="B144" s="88" t="s">
        <v>78</v>
      </c>
      <c r="C144" s="96">
        <f t="shared" si="12"/>
        <v>-833.48</v>
      </c>
      <c r="D144" s="89" t="str">
        <f t="shared" si="14"/>
        <v>资产管理部</v>
      </c>
      <c r="E144" s="95">
        <f t="shared" si="11"/>
        <v>833.48</v>
      </c>
      <c r="F144" s="89" t="str">
        <f t="shared" si="15"/>
        <v>经纪业务部</v>
      </c>
      <c r="G144" s="97"/>
      <c r="H144" s="103"/>
      <c r="I144" s="98"/>
    </row>
    <row r="145" spans="1:9">
      <c r="A145" s="88" t="s">
        <v>214</v>
      </c>
      <c r="B145" s="88" t="s">
        <v>78</v>
      </c>
      <c r="C145" s="96">
        <f t="shared" si="12"/>
        <v>-10644.27</v>
      </c>
      <c r="D145" s="89" t="str">
        <f t="shared" si="14"/>
        <v>投资银行三部</v>
      </c>
      <c r="E145" s="89">
        <f t="shared" si="11"/>
        <v>10644.27</v>
      </c>
      <c r="F145" s="89" t="str">
        <f t="shared" si="15"/>
        <v>其他</v>
      </c>
      <c r="G145" s="97"/>
      <c r="H145" s="98"/>
      <c r="I145" s="98"/>
    </row>
    <row r="146" spans="1:9">
      <c r="A146" s="88" t="s">
        <v>215</v>
      </c>
      <c r="B146" s="88" t="s">
        <v>78</v>
      </c>
      <c r="C146" s="96">
        <f t="shared" si="12"/>
        <v>-12737.34</v>
      </c>
      <c r="D146" s="89" t="str">
        <f t="shared" si="14"/>
        <v>投资银行二部</v>
      </c>
      <c r="E146" s="89">
        <f t="shared" si="11"/>
        <v>12737.34</v>
      </c>
      <c r="F146" s="89" t="str">
        <f t="shared" si="15"/>
        <v>其他</v>
      </c>
      <c r="G146" s="97"/>
      <c r="H146" s="98"/>
      <c r="I146" s="98"/>
    </row>
    <row r="147" spans="1:9">
      <c r="A147" s="88" t="s">
        <v>218</v>
      </c>
      <c r="B147" s="88" t="s">
        <v>78</v>
      </c>
      <c r="C147" s="96">
        <f t="shared" si="12"/>
        <v>49096.56</v>
      </c>
      <c r="D147" s="89" t="str">
        <f t="shared" si="14"/>
        <v>证券投资部</v>
      </c>
      <c r="E147" s="89">
        <f t="shared" si="11"/>
        <v>-49096.56</v>
      </c>
      <c r="F147" s="89" t="str">
        <f t="shared" si="15"/>
        <v>量化产品投资部</v>
      </c>
      <c r="G147" s="97"/>
      <c r="H147" s="98"/>
      <c r="I147" s="98"/>
    </row>
    <row r="148" spans="1:9">
      <c r="A148" s="88" t="s">
        <v>221</v>
      </c>
      <c r="B148" s="88" t="s">
        <v>78</v>
      </c>
      <c r="C148" s="96">
        <f t="shared" si="12"/>
        <v>0</v>
      </c>
      <c r="D148" s="89" t="str">
        <f t="shared" si="14"/>
        <v>证券投资部</v>
      </c>
      <c r="E148" s="89">
        <f t="shared" si="11"/>
        <v>0</v>
      </c>
      <c r="F148" s="89" t="str">
        <f t="shared" si="15"/>
        <v>量化产品投资部</v>
      </c>
      <c r="G148" s="97"/>
      <c r="H148" s="98"/>
      <c r="I148" s="98"/>
    </row>
    <row r="149" spans="1:9">
      <c r="A149" s="88" t="s">
        <v>224</v>
      </c>
      <c r="B149" s="88" t="s">
        <v>78</v>
      </c>
      <c r="C149" s="96">
        <f t="shared" si="12"/>
        <v>0</v>
      </c>
      <c r="D149" s="89" t="str">
        <f t="shared" si="14"/>
        <v>证券投资部</v>
      </c>
      <c r="E149" s="89">
        <f t="shared" si="11"/>
        <v>0</v>
      </c>
      <c r="F149" s="89" t="str">
        <f t="shared" si="15"/>
        <v>量化产品投资部</v>
      </c>
      <c r="G149" s="97"/>
      <c r="H149" s="98"/>
      <c r="I149" s="98"/>
    </row>
    <row r="150" spans="1:9">
      <c r="A150" s="88" t="s">
        <v>227</v>
      </c>
      <c r="B150" s="88" t="s">
        <v>78</v>
      </c>
      <c r="C150" s="96">
        <f t="shared" si="12"/>
        <v>-271.7</v>
      </c>
      <c r="D150" s="89" t="str">
        <f t="shared" si="14"/>
        <v>证券投资部</v>
      </c>
      <c r="E150" s="89">
        <f t="shared" si="11"/>
        <v>271.7</v>
      </c>
      <c r="F150" s="89" t="str">
        <f t="shared" si="15"/>
        <v>量化产品投资部</v>
      </c>
      <c r="G150" s="97"/>
      <c r="H150" s="98"/>
      <c r="I150" s="98"/>
    </row>
    <row r="151" spans="1:9">
      <c r="A151" s="88" t="s">
        <v>228</v>
      </c>
      <c r="B151" s="88" t="s">
        <v>78</v>
      </c>
      <c r="C151" s="96">
        <f t="shared" si="12"/>
        <v>91272.25</v>
      </c>
      <c r="D151" s="89" t="str">
        <f t="shared" si="14"/>
        <v>金融衍生品部</v>
      </c>
      <c r="E151" s="89">
        <f t="shared" si="11"/>
        <v>-91272.25</v>
      </c>
      <c r="F151" s="89" t="str">
        <f t="shared" si="15"/>
        <v>其他</v>
      </c>
      <c r="G151" s="97"/>
      <c r="H151" s="98"/>
      <c r="I151" s="98"/>
    </row>
    <row r="152" spans="1:9">
      <c r="A152" s="88" t="s">
        <v>229</v>
      </c>
      <c r="B152" s="88" t="s">
        <v>78</v>
      </c>
      <c r="C152" s="96">
        <f t="shared" si="12"/>
        <v>0</v>
      </c>
      <c r="D152" s="89" t="str">
        <f t="shared" si="14"/>
        <v>固定收益市场部</v>
      </c>
      <c r="E152" s="89">
        <f t="shared" si="11"/>
        <v>0</v>
      </c>
      <c r="F152" s="89" t="str">
        <f t="shared" si="15"/>
        <v>其他</v>
      </c>
      <c r="G152" s="97"/>
      <c r="H152" s="98"/>
      <c r="I152" s="98"/>
    </row>
    <row r="153" spans="1:9">
      <c r="A153" s="88" t="s">
        <v>230</v>
      </c>
      <c r="B153" s="88" t="s">
        <v>78</v>
      </c>
      <c r="C153" s="96">
        <f t="shared" si="12"/>
        <v>-159.62</v>
      </c>
      <c r="D153" s="89" t="str">
        <f t="shared" si="14"/>
        <v>资产管理部</v>
      </c>
      <c r="E153" s="95">
        <f t="shared" si="11"/>
        <v>159.62</v>
      </c>
      <c r="F153" s="89" t="str">
        <f t="shared" si="15"/>
        <v>经纪业务部</v>
      </c>
      <c r="G153" s="97"/>
      <c r="H153" s="98"/>
      <c r="I153" s="98"/>
    </row>
    <row r="154" spans="1:9">
      <c r="A154" s="88" t="s">
        <v>232</v>
      </c>
      <c r="B154" s="88" t="s">
        <v>78</v>
      </c>
      <c r="C154" s="96">
        <f t="shared" si="12"/>
        <v>361.76</v>
      </c>
      <c r="D154" s="89" t="str">
        <f t="shared" si="14"/>
        <v>资产管理部</v>
      </c>
      <c r="E154" s="95">
        <f t="shared" si="11"/>
        <v>-361.76</v>
      </c>
      <c r="F154" s="89" t="str">
        <f t="shared" si="15"/>
        <v>经纪业务部</v>
      </c>
      <c r="G154" s="97"/>
      <c r="H154" s="98"/>
      <c r="I154" s="98"/>
    </row>
    <row r="155" spans="1:9">
      <c r="A155" s="88" t="s">
        <v>234</v>
      </c>
      <c r="B155" s="88" t="s">
        <v>78</v>
      </c>
      <c r="C155" s="96">
        <f t="shared" si="12"/>
        <v>4686.79</v>
      </c>
      <c r="D155" s="89" t="str">
        <f t="shared" si="14"/>
        <v>固定收益市场部</v>
      </c>
      <c r="E155" s="89">
        <f t="shared" si="11"/>
        <v>-4686.79</v>
      </c>
      <c r="F155" s="89" t="str">
        <f t="shared" si="15"/>
        <v>投顾业务部</v>
      </c>
      <c r="G155" s="97"/>
      <c r="H155" s="98"/>
      <c r="I155" s="98"/>
    </row>
    <row r="156" spans="1:9">
      <c r="A156" s="88" t="s">
        <v>236</v>
      </c>
      <c r="B156" s="88" t="s">
        <v>78</v>
      </c>
      <c r="C156" s="96">
        <f t="shared" si="12"/>
        <v>-807.19</v>
      </c>
      <c r="D156" s="89" t="str">
        <f t="shared" si="14"/>
        <v>投顾业务部</v>
      </c>
      <c r="E156" s="89">
        <f t="shared" ref="E156:E157" si="17">-C156</f>
        <v>807.19</v>
      </c>
      <c r="F156" s="89" t="str">
        <f t="shared" si="15"/>
        <v>经纪业务部</v>
      </c>
      <c r="G156" s="97"/>
      <c r="H156" s="98"/>
      <c r="I156" s="98"/>
    </row>
    <row r="157" spans="1:9">
      <c r="A157" s="88" t="s">
        <v>238</v>
      </c>
      <c r="B157" s="88" t="s">
        <v>78</v>
      </c>
      <c r="C157" s="96">
        <f t="shared" si="12"/>
        <v>-64.8</v>
      </c>
      <c r="D157" s="89" t="str">
        <f t="shared" si="14"/>
        <v>投资银行一部</v>
      </c>
      <c r="E157" s="89">
        <f t="shared" si="17"/>
        <v>64.8</v>
      </c>
      <c r="F157" s="89" t="str">
        <f t="shared" si="15"/>
        <v>经纪业务部</v>
      </c>
      <c r="G157" s="97"/>
      <c r="H157" s="98"/>
      <c r="I157" s="98"/>
    </row>
    <row r="158" spans="1:9">
      <c r="A158" s="88" t="s">
        <v>239</v>
      </c>
      <c r="B158" s="88" t="s">
        <v>78</v>
      </c>
      <c r="C158" s="96">
        <f t="shared" si="12"/>
        <v>511.2</v>
      </c>
      <c r="D158" s="89" t="str">
        <f t="shared" si="14"/>
        <v>经纪业务部</v>
      </c>
      <c r="E158" s="89">
        <f t="shared" ref="E158:E160" si="18">-C158</f>
        <v>-511.2</v>
      </c>
      <c r="F158" s="89" t="str">
        <f t="shared" si="15"/>
        <v>其他</v>
      </c>
      <c r="G158" s="97"/>
      <c r="H158" s="98"/>
      <c r="I158" s="98"/>
    </row>
    <row r="159" spans="1:9">
      <c r="A159" s="88" t="s">
        <v>240</v>
      </c>
      <c r="B159" s="88" t="s">
        <v>78</v>
      </c>
      <c r="C159" s="96">
        <f t="shared" si="12"/>
        <v>0</v>
      </c>
      <c r="D159" s="89">
        <f t="shared" si="14"/>
        <v>0</v>
      </c>
      <c r="E159" s="89">
        <f t="shared" si="18"/>
        <v>0</v>
      </c>
      <c r="F159" s="89">
        <f t="shared" si="15"/>
        <v>0</v>
      </c>
      <c r="G159" s="97"/>
      <c r="H159" s="98"/>
      <c r="I159" s="98"/>
    </row>
    <row r="160" spans="1:9">
      <c r="A160" s="88" t="s">
        <v>241</v>
      </c>
      <c r="B160" s="88" t="s">
        <v>78</v>
      </c>
      <c r="C160" s="96">
        <f t="shared" si="12"/>
        <v>0</v>
      </c>
      <c r="D160" s="89" t="str">
        <f t="shared" si="14"/>
        <v>证券投资部</v>
      </c>
      <c r="E160" s="89">
        <f t="shared" si="18"/>
        <v>0</v>
      </c>
      <c r="F160" s="89" t="str">
        <f t="shared" si="15"/>
        <v>总部中后台</v>
      </c>
      <c r="G160" s="97"/>
      <c r="H160" s="98"/>
      <c r="I160" s="98"/>
    </row>
    <row r="161" spans="1:9">
      <c r="A161" s="88" t="s">
        <v>242</v>
      </c>
      <c r="B161" s="88" t="s">
        <v>78</v>
      </c>
      <c r="C161" s="96"/>
      <c r="D161" s="89" t="str">
        <f t="shared" si="14"/>
        <v>经纪业务部</v>
      </c>
      <c r="E161" s="89">
        <f t="shared" ref="E161:E163" si="19">-C161</f>
        <v>0</v>
      </c>
      <c r="F161" s="89" t="str">
        <f t="shared" si="15"/>
        <v>固定收益市场部</v>
      </c>
      <c r="G161" s="97"/>
      <c r="H161" s="98"/>
      <c r="I161" s="98"/>
    </row>
    <row r="162" spans="1:9">
      <c r="A162" s="88" t="s">
        <v>245</v>
      </c>
      <c r="B162" s="88" t="s">
        <v>78</v>
      </c>
      <c r="C162" s="96"/>
      <c r="D162" s="89" t="str">
        <f t="shared" si="14"/>
        <v>证券投资部</v>
      </c>
      <c r="E162" s="89">
        <f t="shared" si="19"/>
        <v>0</v>
      </c>
      <c r="F162" s="89" t="str">
        <f t="shared" si="15"/>
        <v>固定收益投资部</v>
      </c>
      <c r="G162" s="97"/>
      <c r="H162" s="98"/>
      <c r="I162" s="98"/>
    </row>
    <row r="163" spans="1:9">
      <c r="A163" s="88" t="s">
        <v>251</v>
      </c>
      <c r="B163" s="88" t="s">
        <v>78</v>
      </c>
      <c r="C163" s="96"/>
      <c r="D163" s="89" t="str">
        <f t="shared" si="14"/>
        <v>证券投资部</v>
      </c>
      <c r="E163" s="89">
        <f t="shared" si="19"/>
        <v>0</v>
      </c>
      <c r="F163" s="89" t="str">
        <f t="shared" si="15"/>
        <v>金融衍生品部</v>
      </c>
      <c r="G163" s="97"/>
      <c r="H163" s="98"/>
      <c r="I163" s="98"/>
    </row>
    <row r="164" spans="1:9">
      <c r="A164" s="88"/>
      <c r="B164" s="88" t="s">
        <v>78</v>
      </c>
      <c r="C164" s="96"/>
      <c r="D164" s="89" t="str">
        <f t="shared" si="14"/>
        <v>证券投资部</v>
      </c>
      <c r="E164" s="89"/>
      <c r="F164" s="89" t="str">
        <f t="shared" si="15"/>
        <v>量化产品投资部</v>
      </c>
      <c r="G164" s="97"/>
      <c r="H164" s="98"/>
      <c r="I164" s="98"/>
    </row>
    <row r="165" spans="1:9">
      <c r="A165" s="88"/>
      <c r="B165" s="88" t="s">
        <v>78</v>
      </c>
      <c r="C165" s="96"/>
      <c r="D165" s="89" t="str">
        <f t="shared" si="14"/>
        <v>证券投资部</v>
      </c>
      <c r="E165" s="89">
        <f t="shared" ref="E165" si="20">-C165</f>
        <v>0</v>
      </c>
      <c r="F165" s="89" t="str">
        <f t="shared" si="15"/>
        <v>固定收益投资部</v>
      </c>
      <c r="G165" s="105"/>
      <c r="H165" s="105" t="s">
        <v>252</v>
      </c>
      <c r="I165" s="98"/>
    </row>
    <row r="166" spans="1:9">
      <c r="A166" s="88" t="s">
        <v>249</v>
      </c>
      <c r="B166" s="88" t="s">
        <v>78</v>
      </c>
      <c r="C166" s="96"/>
      <c r="D166" s="89" t="str">
        <f t="shared" si="14"/>
        <v>证券投资部</v>
      </c>
      <c r="E166" s="89"/>
      <c r="F166" s="89" t="str">
        <f t="shared" si="15"/>
        <v>固定收益投资部</v>
      </c>
      <c r="G166" s="105"/>
      <c r="H166" s="105" t="s">
        <v>252</v>
      </c>
      <c r="I166" s="98"/>
    </row>
    <row r="167" spans="1:9">
      <c r="A167" s="82"/>
      <c r="B167" s="82" t="s">
        <v>253</v>
      </c>
      <c r="C167" s="86">
        <f>SUM(C168:C267)</f>
        <v>-2698338.75</v>
      </c>
      <c r="D167" s="87"/>
      <c r="E167" s="86">
        <f>SUM(E168:E267)</f>
        <v>2698338.75</v>
      </c>
      <c r="F167" s="106"/>
      <c r="G167" s="82" t="s">
        <v>148</v>
      </c>
      <c r="H167" s="106" t="s">
        <v>149</v>
      </c>
      <c r="I167" s="106" t="s">
        <v>150</v>
      </c>
    </row>
    <row r="168" spans="1:9">
      <c r="A168" s="88" t="s">
        <v>138</v>
      </c>
      <c r="B168" s="107" t="s">
        <v>79</v>
      </c>
      <c r="C168" s="108">
        <f t="shared" ref="C168:C178" si="21">ROUND(C52*0.0175,2)</f>
        <v>-152993.54</v>
      </c>
      <c r="D168" s="104" t="str">
        <f t="shared" ref="D168:D199" si="22">D52</f>
        <v>证券投资部</v>
      </c>
      <c r="E168" s="104">
        <f>-C168</f>
        <v>152993.54</v>
      </c>
      <c r="F168" s="104" t="str">
        <f t="shared" ref="F168:F199" si="23">F52</f>
        <v>总部中后台</v>
      </c>
      <c r="G168" s="89" t="s">
        <v>103</v>
      </c>
      <c r="H168" s="99"/>
      <c r="I168" s="99"/>
    </row>
    <row r="169" spans="1:9">
      <c r="A169" s="88" t="s">
        <v>154</v>
      </c>
      <c r="B169" s="107" t="s">
        <v>79</v>
      </c>
      <c r="C169" s="108">
        <f t="shared" si="21"/>
        <v>-38009.67</v>
      </c>
      <c r="D169" s="104" t="str">
        <f t="shared" si="22"/>
        <v>经纪业务部</v>
      </c>
      <c r="E169" s="104">
        <f t="shared" ref="E169:E225" si="24">-C169</f>
        <v>38009.67</v>
      </c>
      <c r="F169" s="104" t="str">
        <f t="shared" si="23"/>
        <v>固定收益市场部</v>
      </c>
      <c r="G169" s="89" t="s">
        <v>103</v>
      </c>
      <c r="H169" s="99"/>
      <c r="I169" s="99"/>
    </row>
    <row r="170" spans="1:9">
      <c r="A170" s="88" t="s">
        <v>155</v>
      </c>
      <c r="B170" s="107" t="s">
        <v>79</v>
      </c>
      <c r="C170" s="108">
        <f t="shared" si="21"/>
        <v>108770.03</v>
      </c>
      <c r="D170" s="104" t="str">
        <f t="shared" si="22"/>
        <v>证券投资部</v>
      </c>
      <c r="E170" s="104">
        <f t="shared" si="24"/>
        <v>-108770.03</v>
      </c>
      <c r="F170" s="104" t="str">
        <f t="shared" si="23"/>
        <v>固定收益投资部</v>
      </c>
      <c r="G170" s="89" t="s">
        <v>103</v>
      </c>
      <c r="H170" s="99"/>
      <c r="I170" s="99"/>
    </row>
    <row r="171" spans="1:9">
      <c r="A171" s="88" t="s">
        <v>158</v>
      </c>
      <c r="B171" s="107" t="s">
        <v>79</v>
      </c>
      <c r="C171" s="108">
        <f t="shared" si="21"/>
        <v>38829.089999999997</v>
      </c>
      <c r="D171" s="104" t="str">
        <f t="shared" si="22"/>
        <v>证券投资部</v>
      </c>
      <c r="E171" s="104">
        <f t="shared" si="24"/>
        <v>-38829.089999999997</v>
      </c>
      <c r="F171" s="104" t="str">
        <f t="shared" si="23"/>
        <v>金融衍生品部</v>
      </c>
      <c r="G171" s="89" t="s">
        <v>103</v>
      </c>
      <c r="H171" s="99"/>
      <c r="I171" s="99"/>
    </row>
    <row r="172" spans="1:9">
      <c r="A172" s="88" t="s">
        <v>160</v>
      </c>
      <c r="B172" s="107" t="s">
        <v>79</v>
      </c>
      <c r="C172" s="108">
        <f t="shared" si="21"/>
        <v>108279.47</v>
      </c>
      <c r="D172" s="104" t="str">
        <f t="shared" si="22"/>
        <v>证券投资部</v>
      </c>
      <c r="E172" s="104">
        <f t="shared" si="24"/>
        <v>-108279.47</v>
      </c>
      <c r="F172" s="104" t="str">
        <f t="shared" si="23"/>
        <v>量化产品投资部</v>
      </c>
      <c r="G172" s="89" t="s">
        <v>103</v>
      </c>
      <c r="H172" s="99"/>
      <c r="I172" s="99"/>
    </row>
    <row r="173" spans="1:9">
      <c r="A173" s="88" t="s">
        <v>161</v>
      </c>
      <c r="B173" s="107" t="s">
        <v>79</v>
      </c>
      <c r="C173" s="108">
        <f t="shared" si="21"/>
        <v>1427.15</v>
      </c>
      <c r="D173" s="104" t="str">
        <f t="shared" si="22"/>
        <v>证券投资部</v>
      </c>
      <c r="E173" s="104">
        <f t="shared" si="24"/>
        <v>-1427.15</v>
      </c>
      <c r="F173" s="104" t="str">
        <f t="shared" si="23"/>
        <v>固定收益投资部</v>
      </c>
      <c r="G173" s="89" t="s">
        <v>103</v>
      </c>
      <c r="H173" s="99"/>
      <c r="I173" s="99"/>
    </row>
    <row r="174" spans="1:9">
      <c r="A174" s="88" t="s">
        <v>163</v>
      </c>
      <c r="B174" s="107" t="s">
        <v>79</v>
      </c>
      <c r="C174" s="108">
        <f t="shared" si="21"/>
        <v>-2993.12</v>
      </c>
      <c r="D174" s="104" t="str">
        <f t="shared" si="22"/>
        <v>证券投资部</v>
      </c>
      <c r="E174" s="104">
        <f t="shared" si="24"/>
        <v>2993.12</v>
      </c>
      <c r="F174" s="104" t="str">
        <f t="shared" si="23"/>
        <v>固定收益投资部</v>
      </c>
      <c r="G174" s="89" t="s">
        <v>103</v>
      </c>
      <c r="H174" s="99"/>
      <c r="I174" s="99"/>
    </row>
    <row r="175" spans="1:9">
      <c r="A175" s="88" t="s">
        <v>165</v>
      </c>
      <c r="B175" s="107" t="s">
        <v>79</v>
      </c>
      <c r="C175" s="108">
        <f t="shared" si="21"/>
        <v>-20696.23</v>
      </c>
      <c r="D175" s="104" t="str">
        <f t="shared" si="22"/>
        <v>投资银行三部</v>
      </c>
      <c r="E175" s="104">
        <f>-C175</f>
        <v>20696.23</v>
      </c>
      <c r="F175" s="104" t="str">
        <f t="shared" si="23"/>
        <v>经纪业务部</v>
      </c>
      <c r="G175" s="89" t="s">
        <v>103</v>
      </c>
      <c r="H175" s="99"/>
      <c r="I175" s="99"/>
    </row>
    <row r="176" spans="1:9">
      <c r="A176" s="88" t="s">
        <v>166</v>
      </c>
      <c r="B176" s="107" t="s">
        <v>79</v>
      </c>
      <c r="C176" s="108">
        <f t="shared" si="21"/>
        <v>27527.21</v>
      </c>
      <c r="D176" s="104" t="str">
        <f t="shared" si="22"/>
        <v>固定收益市场部</v>
      </c>
      <c r="E176" s="104">
        <f t="shared" si="24"/>
        <v>-27527.21</v>
      </c>
      <c r="F176" s="104" t="str">
        <f t="shared" si="23"/>
        <v>其他</v>
      </c>
      <c r="G176" s="89" t="s">
        <v>103</v>
      </c>
      <c r="H176" s="99"/>
      <c r="I176" s="99"/>
    </row>
    <row r="177" spans="1:9">
      <c r="A177" s="88" t="s">
        <v>168</v>
      </c>
      <c r="B177" s="107" t="s">
        <v>79</v>
      </c>
      <c r="C177" s="108">
        <f t="shared" si="21"/>
        <v>-84415.9</v>
      </c>
      <c r="D177" s="104" t="str">
        <f t="shared" si="22"/>
        <v>固定收益市场部</v>
      </c>
      <c r="E177" s="104">
        <f t="shared" si="24"/>
        <v>84415.9</v>
      </c>
      <c r="F177" s="104" t="str">
        <f t="shared" si="23"/>
        <v>总部中后台</v>
      </c>
      <c r="G177" s="89" t="s">
        <v>103</v>
      </c>
      <c r="H177" s="99"/>
      <c r="I177" s="99"/>
    </row>
    <row r="178" spans="1:9">
      <c r="A178" s="88" t="s">
        <v>169</v>
      </c>
      <c r="B178" s="107" t="s">
        <v>79</v>
      </c>
      <c r="C178" s="108">
        <f t="shared" si="21"/>
        <v>-28815.7</v>
      </c>
      <c r="D178" s="104" t="str">
        <f t="shared" si="22"/>
        <v>固定收益市场部</v>
      </c>
      <c r="E178" s="104">
        <f t="shared" si="24"/>
        <v>28815.7</v>
      </c>
      <c r="F178" s="104" t="str">
        <f t="shared" si="23"/>
        <v>其他</v>
      </c>
      <c r="G178" s="89" t="s">
        <v>103</v>
      </c>
      <c r="H178" s="99"/>
      <c r="I178" s="99"/>
    </row>
    <row r="179" spans="1:9">
      <c r="A179" s="88" t="s">
        <v>170</v>
      </c>
      <c r="B179" s="107" t="s">
        <v>79</v>
      </c>
      <c r="C179" s="108"/>
      <c r="D179" s="104" t="str">
        <f t="shared" si="22"/>
        <v>经纪业务部</v>
      </c>
      <c r="E179" s="104">
        <f t="shared" si="24"/>
        <v>0</v>
      </c>
      <c r="F179" s="104" t="str">
        <f t="shared" si="23"/>
        <v>其他</v>
      </c>
      <c r="G179" s="89" t="s">
        <v>103</v>
      </c>
      <c r="H179" s="99" t="s">
        <v>529</v>
      </c>
      <c r="I179" s="99"/>
    </row>
    <row r="180" spans="1:9">
      <c r="A180" s="88" t="s">
        <v>172</v>
      </c>
      <c r="B180" s="107" t="s">
        <v>79</v>
      </c>
      <c r="C180" s="108">
        <f t="shared" ref="C180:C186" si="25">ROUND(C64*0.0175,2)</f>
        <v>409520.48</v>
      </c>
      <c r="D180" s="104" t="str">
        <f t="shared" si="22"/>
        <v>经纪业务部</v>
      </c>
      <c r="E180" s="104">
        <f t="shared" si="24"/>
        <v>-409520.48</v>
      </c>
      <c r="F180" s="104" t="str">
        <f t="shared" si="23"/>
        <v>总部中后台</v>
      </c>
      <c r="G180" s="89" t="s">
        <v>103</v>
      </c>
      <c r="H180" s="99"/>
      <c r="I180" s="99"/>
    </row>
    <row r="181" spans="1:9">
      <c r="A181" s="88" t="s">
        <v>174</v>
      </c>
      <c r="B181" s="107" t="s">
        <v>79</v>
      </c>
      <c r="C181" s="108">
        <f t="shared" si="25"/>
        <v>53413.89</v>
      </c>
      <c r="D181" s="104" t="str">
        <f t="shared" si="22"/>
        <v>投资银行一部</v>
      </c>
      <c r="E181" s="104">
        <f t="shared" si="24"/>
        <v>-53413.89</v>
      </c>
      <c r="F181" s="104" t="str">
        <f t="shared" si="23"/>
        <v>总部中后台</v>
      </c>
      <c r="G181" s="89" t="s">
        <v>103</v>
      </c>
      <c r="H181" s="99"/>
      <c r="I181" s="99"/>
    </row>
    <row r="182" spans="1:9">
      <c r="A182" s="88" t="s">
        <v>175</v>
      </c>
      <c r="B182" s="107" t="s">
        <v>79</v>
      </c>
      <c r="C182" s="108">
        <f t="shared" si="25"/>
        <v>2811.67</v>
      </c>
      <c r="D182" s="104" t="str">
        <f t="shared" si="22"/>
        <v>投资银行二部</v>
      </c>
      <c r="E182" s="104">
        <f t="shared" si="24"/>
        <v>-2811.67</v>
      </c>
      <c r="F182" s="104" t="str">
        <f t="shared" si="23"/>
        <v>总部中后台</v>
      </c>
      <c r="G182" s="89" t="s">
        <v>103</v>
      </c>
      <c r="H182" s="99"/>
      <c r="I182" s="99"/>
    </row>
    <row r="183" spans="1:9">
      <c r="A183" s="88" t="s">
        <v>177</v>
      </c>
      <c r="B183" s="107" t="s">
        <v>79</v>
      </c>
      <c r="C183" s="108">
        <f t="shared" si="25"/>
        <v>-4791.18</v>
      </c>
      <c r="D183" s="104" t="str">
        <f t="shared" si="22"/>
        <v>量化产品投资部</v>
      </c>
      <c r="E183" s="104">
        <f t="shared" si="24"/>
        <v>4791.18</v>
      </c>
      <c r="F183" s="104" t="str">
        <f t="shared" si="23"/>
        <v>总部中后台</v>
      </c>
      <c r="G183" s="89" t="s">
        <v>103</v>
      </c>
      <c r="H183" s="99"/>
      <c r="I183" s="99"/>
    </row>
    <row r="184" spans="1:9">
      <c r="A184" s="88" t="s">
        <v>179</v>
      </c>
      <c r="B184" s="107" t="s">
        <v>79</v>
      </c>
      <c r="C184" s="108">
        <f t="shared" si="25"/>
        <v>-17642.03</v>
      </c>
      <c r="D184" s="104" t="str">
        <f t="shared" si="22"/>
        <v>固定收益投资部</v>
      </c>
      <c r="E184" s="104">
        <f t="shared" si="24"/>
        <v>17642.03</v>
      </c>
      <c r="F184" s="104" t="str">
        <f t="shared" si="23"/>
        <v>总部中后台</v>
      </c>
      <c r="G184" s="89" t="s">
        <v>103</v>
      </c>
      <c r="H184" s="99"/>
      <c r="I184" s="99"/>
    </row>
    <row r="185" spans="1:9">
      <c r="A185" s="88" t="s">
        <v>181</v>
      </c>
      <c r="B185" s="107" t="s">
        <v>79</v>
      </c>
      <c r="C185" s="108">
        <f t="shared" si="25"/>
        <v>46004.36</v>
      </c>
      <c r="D185" s="104" t="str">
        <f t="shared" si="22"/>
        <v>经纪业务部</v>
      </c>
      <c r="E185" s="104">
        <f t="shared" si="24"/>
        <v>-46004.36</v>
      </c>
      <c r="F185" s="104" t="str">
        <f t="shared" si="23"/>
        <v>其他</v>
      </c>
      <c r="G185" s="89" t="s">
        <v>103</v>
      </c>
      <c r="H185" s="99"/>
      <c r="I185" s="99"/>
    </row>
    <row r="186" spans="1:9">
      <c r="A186" s="88" t="s">
        <v>183</v>
      </c>
      <c r="B186" s="107" t="s">
        <v>79</v>
      </c>
      <c r="C186" s="108">
        <f t="shared" si="25"/>
        <v>-1767.45</v>
      </c>
      <c r="D186" s="104" t="str">
        <f t="shared" si="22"/>
        <v>金融衍生品部</v>
      </c>
      <c r="E186" s="104">
        <f t="shared" si="24"/>
        <v>1767.45</v>
      </c>
      <c r="F186" s="104" t="str">
        <f t="shared" si="23"/>
        <v>总部中后台</v>
      </c>
      <c r="G186" s="89" t="s">
        <v>103</v>
      </c>
      <c r="H186" s="99"/>
      <c r="I186" s="99"/>
    </row>
    <row r="187" spans="1:9">
      <c r="A187" s="88" t="s">
        <v>184</v>
      </c>
      <c r="B187" s="107" t="s">
        <v>79</v>
      </c>
      <c r="C187" s="108"/>
      <c r="D187" s="104" t="str">
        <f t="shared" si="22"/>
        <v>经纪业务部</v>
      </c>
      <c r="E187" s="104">
        <f t="shared" si="24"/>
        <v>0</v>
      </c>
      <c r="F187" s="104" t="str">
        <f t="shared" si="23"/>
        <v>其他</v>
      </c>
      <c r="G187" s="89" t="s">
        <v>103</v>
      </c>
      <c r="H187" s="99" t="s">
        <v>530</v>
      </c>
      <c r="I187" s="99"/>
    </row>
    <row r="188" spans="1:9">
      <c r="A188" s="88" t="s">
        <v>186</v>
      </c>
      <c r="B188" s="107" t="s">
        <v>79</v>
      </c>
      <c r="C188" s="108">
        <f t="shared" ref="C188:C220" si="26">ROUND(C72*0.0175,2)</f>
        <v>9905.66</v>
      </c>
      <c r="D188" s="104" t="str">
        <f t="shared" si="22"/>
        <v>投资银行一部</v>
      </c>
      <c r="E188" s="104">
        <f t="shared" si="24"/>
        <v>-9905.66</v>
      </c>
      <c r="F188" s="104" t="str">
        <f t="shared" si="23"/>
        <v>投资银行管理部</v>
      </c>
      <c r="G188" s="89" t="s">
        <v>103</v>
      </c>
      <c r="H188" s="99"/>
      <c r="I188" s="99"/>
    </row>
    <row r="189" spans="1:9">
      <c r="A189" s="88" t="s">
        <v>187</v>
      </c>
      <c r="B189" s="107" t="s">
        <v>79</v>
      </c>
      <c r="C189" s="108">
        <f t="shared" si="26"/>
        <v>0</v>
      </c>
      <c r="D189" s="104" t="str">
        <f t="shared" si="22"/>
        <v>投资银行二部</v>
      </c>
      <c r="E189" s="104">
        <f t="shared" si="24"/>
        <v>0</v>
      </c>
      <c r="F189" s="104" t="str">
        <f t="shared" si="23"/>
        <v>投资银行管理部</v>
      </c>
      <c r="G189" s="89" t="s">
        <v>103</v>
      </c>
      <c r="H189" s="99"/>
      <c r="I189" s="99"/>
    </row>
    <row r="190" spans="1:9">
      <c r="A190" s="88" t="s">
        <v>189</v>
      </c>
      <c r="B190" s="107" t="s">
        <v>79</v>
      </c>
      <c r="C190" s="108">
        <f t="shared" si="26"/>
        <v>-11376.26</v>
      </c>
      <c r="D190" s="104" t="str">
        <f t="shared" si="22"/>
        <v>固收产品投资部</v>
      </c>
      <c r="E190" s="104">
        <f t="shared" si="24"/>
        <v>11376.26</v>
      </c>
      <c r="F190" s="104" t="str">
        <f t="shared" si="23"/>
        <v>经纪业务部</v>
      </c>
      <c r="G190" s="89" t="s">
        <v>103</v>
      </c>
      <c r="H190" s="99"/>
      <c r="I190" s="99"/>
    </row>
    <row r="191" spans="1:9">
      <c r="A191" s="88" t="s">
        <v>190</v>
      </c>
      <c r="B191" s="107" t="s">
        <v>79</v>
      </c>
      <c r="C191" s="108">
        <f t="shared" si="26"/>
        <v>-6783.23</v>
      </c>
      <c r="D191" s="104" t="str">
        <f t="shared" si="22"/>
        <v>资产管理部</v>
      </c>
      <c r="E191" s="104">
        <f t="shared" si="24"/>
        <v>6783.23</v>
      </c>
      <c r="F191" s="104" t="str">
        <f t="shared" si="23"/>
        <v>经纪业务部</v>
      </c>
      <c r="G191" s="89" t="s">
        <v>103</v>
      </c>
      <c r="H191" s="99"/>
      <c r="I191" s="99"/>
    </row>
    <row r="192" spans="1:9">
      <c r="A192" s="88" t="s">
        <v>191</v>
      </c>
      <c r="B192" s="107" t="s">
        <v>79</v>
      </c>
      <c r="C192" s="108">
        <f t="shared" si="26"/>
        <v>-27579.75</v>
      </c>
      <c r="D192" s="104" t="str">
        <f t="shared" si="22"/>
        <v>资产管理部</v>
      </c>
      <c r="E192" s="104">
        <f t="shared" si="24"/>
        <v>27579.75</v>
      </c>
      <c r="F192" s="104" t="str">
        <f t="shared" si="23"/>
        <v>其他</v>
      </c>
      <c r="G192" s="89" t="s">
        <v>103</v>
      </c>
      <c r="H192" s="99"/>
      <c r="I192" s="99"/>
    </row>
    <row r="193" spans="1:9">
      <c r="A193" s="88" t="s">
        <v>194</v>
      </c>
      <c r="B193" s="107" t="s">
        <v>79</v>
      </c>
      <c r="C193" s="108">
        <f t="shared" si="26"/>
        <v>27579.75</v>
      </c>
      <c r="D193" s="104" t="str">
        <f t="shared" si="22"/>
        <v>资产管理部</v>
      </c>
      <c r="E193" s="104">
        <f t="shared" si="24"/>
        <v>-27579.75</v>
      </c>
      <c r="F193" s="104" t="str">
        <f t="shared" si="23"/>
        <v>其他</v>
      </c>
      <c r="G193" s="89" t="s">
        <v>103</v>
      </c>
      <c r="H193" s="99"/>
      <c r="I193" s="99"/>
    </row>
    <row r="194" spans="1:9">
      <c r="A194" s="88" t="s">
        <v>197</v>
      </c>
      <c r="B194" s="107" t="s">
        <v>79</v>
      </c>
      <c r="C194" s="108">
        <f t="shared" si="26"/>
        <v>-6273.58</v>
      </c>
      <c r="D194" s="104" t="str">
        <f t="shared" si="22"/>
        <v>资产管理部</v>
      </c>
      <c r="E194" s="104">
        <f t="shared" si="24"/>
        <v>6273.58</v>
      </c>
      <c r="F194" s="104" t="str">
        <f t="shared" si="23"/>
        <v>投资银行一部</v>
      </c>
      <c r="G194" s="89" t="s">
        <v>103</v>
      </c>
      <c r="H194" s="99"/>
      <c r="I194" s="99"/>
    </row>
    <row r="195" spans="1:9">
      <c r="A195" s="88" t="s">
        <v>199</v>
      </c>
      <c r="B195" s="107" t="s">
        <v>79</v>
      </c>
      <c r="C195" s="108">
        <f t="shared" si="26"/>
        <v>-618.12</v>
      </c>
      <c r="D195" s="104" t="str">
        <f t="shared" si="22"/>
        <v>做市业务部</v>
      </c>
      <c r="E195" s="104">
        <f t="shared" si="24"/>
        <v>618.12</v>
      </c>
      <c r="F195" s="104" t="str">
        <f t="shared" si="23"/>
        <v>投资银行三部</v>
      </c>
      <c r="G195" s="89" t="s">
        <v>103</v>
      </c>
      <c r="H195" s="99"/>
      <c r="I195" s="99"/>
    </row>
    <row r="196" spans="1:9">
      <c r="A196" s="88" t="s">
        <v>200</v>
      </c>
      <c r="B196" s="107" t="s">
        <v>79</v>
      </c>
      <c r="C196" s="108">
        <f t="shared" si="26"/>
        <v>1527.24</v>
      </c>
      <c r="D196" s="104" t="str">
        <f t="shared" si="22"/>
        <v>做市业务部</v>
      </c>
      <c r="E196" s="104">
        <f t="shared" si="24"/>
        <v>-1527.24</v>
      </c>
      <c r="F196" s="104" t="str">
        <f t="shared" si="23"/>
        <v>投资银行三部</v>
      </c>
      <c r="G196" s="89" t="s">
        <v>103</v>
      </c>
      <c r="H196" s="99"/>
      <c r="I196" s="99"/>
    </row>
    <row r="197" spans="1:9">
      <c r="A197" s="88" t="s">
        <v>201</v>
      </c>
      <c r="B197" s="107" t="s">
        <v>79</v>
      </c>
      <c r="C197" s="108">
        <f t="shared" si="26"/>
        <v>22415.94</v>
      </c>
      <c r="D197" s="104" t="str">
        <f t="shared" si="22"/>
        <v>固定收益投资部</v>
      </c>
      <c r="E197" s="104">
        <f t="shared" si="24"/>
        <v>-22415.94</v>
      </c>
      <c r="F197" s="104" t="str">
        <f t="shared" si="23"/>
        <v>投顾业务部</v>
      </c>
      <c r="G197" s="89" t="s">
        <v>103</v>
      </c>
      <c r="H197" s="99"/>
      <c r="I197" s="99"/>
    </row>
    <row r="198" spans="1:9">
      <c r="A198" s="88" t="s">
        <v>202</v>
      </c>
      <c r="B198" s="107" t="s">
        <v>79</v>
      </c>
      <c r="C198" s="108">
        <f t="shared" si="26"/>
        <v>-36283.31</v>
      </c>
      <c r="D198" s="104" t="str">
        <f t="shared" si="22"/>
        <v>固收产品投资部</v>
      </c>
      <c r="E198" s="104">
        <f t="shared" si="24"/>
        <v>36283.31</v>
      </c>
      <c r="F198" s="104" t="str">
        <f t="shared" si="23"/>
        <v>投顾业务部</v>
      </c>
      <c r="G198" s="89" t="s">
        <v>103</v>
      </c>
      <c r="H198" s="99"/>
      <c r="I198" s="99"/>
    </row>
    <row r="199" spans="1:9">
      <c r="A199" s="88" t="s">
        <v>204</v>
      </c>
      <c r="B199" s="107" t="s">
        <v>79</v>
      </c>
      <c r="C199" s="108">
        <f t="shared" si="26"/>
        <v>-154.36000000000001</v>
      </c>
      <c r="D199" s="104" t="str">
        <f t="shared" si="22"/>
        <v>固收产品投资部</v>
      </c>
      <c r="E199" s="104">
        <f t="shared" si="24"/>
        <v>154.36000000000001</v>
      </c>
      <c r="F199" s="104" t="str">
        <f t="shared" si="23"/>
        <v>投顾业务部</v>
      </c>
      <c r="G199" s="89" t="s">
        <v>103</v>
      </c>
      <c r="H199" s="99"/>
      <c r="I199" s="99"/>
    </row>
    <row r="200" spans="1:9">
      <c r="A200" s="88" t="s">
        <v>205</v>
      </c>
      <c r="B200" s="107" t="s">
        <v>79</v>
      </c>
      <c r="C200" s="108">
        <f t="shared" si="26"/>
        <v>-1877.57</v>
      </c>
      <c r="D200" s="104" t="str">
        <f t="shared" ref="D200:D227" si="27">D84</f>
        <v>固收产品投资部</v>
      </c>
      <c r="E200" s="104">
        <f t="shared" si="24"/>
        <v>1877.57</v>
      </c>
      <c r="F200" s="104" t="str">
        <f t="shared" ref="F200:F217" si="28">F84</f>
        <v>投顾业务部</v>
      </c>
      <c r="G200" s="89" t="s">
        <v>103</v>
      </c>
      <c r="H200" s="99"/>
      <c r="I200" s="99"/>
    </row>
    <row r="201" spans="1:9">
      <c r="A201" s="88" t="s">
        <v>206</v>
      </c>
      <c r="B201" s="107" t="s">
        <v>79</v>
      </c>
      <c r="C201" s="108">
        <f t="shared" si="26"/>
        <v>-2321.35</v>
      </c>
      <c r="D201" s="104" t="str">
        <f t="shared" si="27"/>
        <v>固收产品投资部</v>
      </c>
      <c r="E201" s="104">
        <f t="shared" si="24"/>
        <v>2321.35</v>
      </c>
      <c r="F201" s="104" t="str">
        <f t="shared" si="28"/>
        <v>投顾业务部</v>
      </c>
      <c r="G201" s="89" t="s">
        <v>103</v>
      </c>
      <c r="H201" s="99"/>
      <c r="I201" s="99"/>
    </row>
    <row r="202" spans="1:9">
      <c r="A202" s="88" t="s">
        <v>208</v>
      </c>
      <c r="B202" s="107" t="s">
        <v>533</v>
      </c>
      <c r="C202" s="108">
        <f t="shared" si="26"/>
        <v>0</v>
      </c>
      <c r="D202" s="104">
        <f t="shared" si="27"/>
        <v>0</v>
      </c>
      <c r="E202" s="104">
        <f t="shared" ref="E202" si="29">-C202</f>
        <v>0</v>
      </c>
      <c r="F202" s="104">
        <f t="shared" si="28"/>
        <v>0</v>
      </c>
      <c r="G202" s="89" t="s">
        <v>103</v>
      </c>
      <c r="H202" s="99"/>
      <c r="I202" s="99"/>
    </row>
    <row r="203" spans="1:9">
      <c r="A203" s="88" t="s">
        <v>208</v>
      </c>
      <c r="B203" s="107" t="s">
        <v>79</v>
      </c>
      <c r="C203" s="108">
        <f t="shared" si="26"/>
        <v>-7594.34</v>
      </c>
      <c r="D203" s="104" t="str">
        <f t="shared" si="27"/>
        <v>资产管理部</v>
      </c>
      <c r="E203" s="104">
        <f t="shared" si="24"/>
        <v>7594.34</v>
      </c>
      <c r="F203" s="104" t="str">
        <f t="shared" si="28"/>
        <v>经纪业务部</v>
      </c>
      <c r="G203" s="89" t="s">
        <v>103</v>
      </c>
      <c r="H203" s="99"/>
      <c r="I203" s="99"/>
    </row>
    <row r="204" spans="1:9">
      <c r="A204" s="88" t="s">
        <v>210</v>
      </c>
      <c r="B204" s="107" t="s">
        <v>79</v>
      </c>
      <c r="C204" s="108">
        <f t="shared" si="26"/>
        <v>-1700.3</v>
      </c>
      <c r="D204" s="104" t="str">
        <f t="shared" si="27"/>
        <v>资产管理部</v>
      </c>
      <c r="E204" s="104">
        <f t="shared" si="24"/>
        <v>1700.3</v>
      </c>
      <c r="F204" s="104" t="str">
        <f t="shared" si="28"/>
        <v>经纪业务部</v>
      </c>
      <c r="G204" s="89" t="s">
        <v>103</v>
      </c>
      <c r="H204" s="99"/>
      <c r="I204" s="99"/>
    </row>
    <row r="205" spans="1:9">
      <c r="A205" s="88" t="s">
        <v>211</v>
      </c>
      <c r="B205" s="107" t="s">
        <v>79</v>
      </c>
      <c r="C205" s="108">
        <f t="shared" si="26"/>
        <v>-15234.54</v>
      </c>
      <c r="D205" s="104" t="str">
        <f t="shared" si="27"/>
        <v>资产管理部</v>
      </c>
      <c r="E205" s="104">
        <f t="shared" si="24"/>
        <v>15234.54</v>
      </c>
      <c r="F205" s="104" t="str">
        <f t="shared" si="28"/>
        <v>经纪业务部</v>
      </c>
      <c r="G205" s="89" t="s">
        <v>103</v>
      </c>
      <c r="H205" s="99"/>
      <c r="I205" s="99"/>
    </row>
    <row r="206" spans="1:9">
      <c r="A206" s="88" t="s">
        <v>213</v>
      </c>
      <c r="B206" s="107" t="s">
        <v>79</v>
      </c>
      <c r="C206" s="108">
        <f t="shared" si="26"/>
        <v>-2025.82</v>
      </c>
      <c r="D206" s="104" t="str">
        <f t="shared" si="27"/>
        <v>资产管理部</v>
      </c>
      <c r="E206" s="104">
        <f t="shared" si="24"/>
        <v>2025.82</v>
      </c>
      <c r="F206" s="104" t="str">
        <f t="shared" si="28"/>
        <v>经纪业务部</v>
      </c>
      <c r="G206" s="89" t="s">
        <v>103</v>
      </c>
      <c r="H206" s="99"/>
      <c r="I206" s="99"/>
    </row>
    <row r="207" spans="1:9">
      <c r="A207" s="88" t="s">
        <v>214</v>
      </c>
      <c r="B207" s="107" t="s">
        <v>79</v>
      </c>
      <c r="C207" s="108">
        <f t="shared" si="26"/>
        <v>-25871.49</v>
      </c>
      <c r="D207" s="104" t="str">
        <f t="shared" si="27"/>
        <v>投资银行三部</v>
      </c>
      <c r="E207" s="104">
        <f t="shared" si="24"/>
        <v>25871.49</v>
      </c>
      <c r="F207" s="104" t="str">
        <f t="shared" si="28"/>
        <v>其他</v>
      </c>
      <c r="G207" s="89" t="s">
        <v>103</v>
      </c>
      <c r="H207" s="99"/>
      <c r="I207" s="99"/>
    </row>
    <row r="208" spans="1:9">
      <c r="A208" s="88" t="s">
        <v>215</v>
      </c>
      <c r="B208" s="107" t="s">
        <v>79</v>
      </c>
      <c r="C208" s="108">
        <f t="shared" si="26"/>
        <v>-30958.82</v>
      </c>
      <c r="D208" s="104" t="str">
        <f t="shared" si="27"/>
        <v>投资银行二部</v>
      </c>
      <c r="E208" s="104">
        <f t="shared" si="24"/>
        <v>30958.82</v>
      </c>
      <c r="F208" s="104" t="str">
        <f t="shared" si="28"/>
        <v>其他</v>
      </c>
      <c r="G208" s="89" t="s">
        <v>103</v>
      </c>
      <c r="H208" s="99"/>
      <c r="I208" s="99"/>
    </row>
    <row r="209" spans="1:9">
      <c r="A209" s="88" t="s">
        <v>218</v>
      </c>
      <c r="B209" s="107" t="s">
        <v>79</v>
      </c>
      <c r="C209" s="108">
        <f t="shared" si="26"/>
        <v>119331.91</v>
      </c>
      <c r="D209" s="104" t="str">
        <f t="shared" si="27"/>
        <v>证券投资部</v>
      </c>
      <c r="E209" s="104">
        <f t="shared" si="24"/>
        <v>-119331.91</v>
      </c>
      <c r="F209" s="104" t="str">
        <f t="shared" si="28"/>
        <v>量化产品投资部</v>
      </c>
      <c r="G209" s="89" t="s">
        <v>103</v>
      </c>
      <c r="H209" s="99"/>
      <c r="I209" s="99"/>
    </row>
    <row r="210" spans="1:9">
      <c r="A210" s="88" t="s">
        <v>221</v>
      </c>
      <c r="B210" s="107" t="s">
        <v>79</v>
      </c>
      <c r="C210" s="108">
        <f t="shared" si="26"/>
        <v>-61980.44</v>
      </c>
      <c r="D210" s="104" t="str">
        <f t="shared" si="27"/>
        <v>证券投资部</v>
      </c>
      <c r="E210" s="104">
        <f t="shared" si="24"/>
        <v>61980.44</v>
      </c>
      <c r="F210" s="104" t="str">
        <f t="shared" si="28"/>
        <v>量化产品投资部</v>
      </c>
      <c r="G210" s="89" t="s">
        <v>103</v>
      </c>
      <c r="H210" s="99"/>
      <c r="I210" s="99"/>
    </row>
    <row r="211" spans="1:9">
      <c r="A211" s="88" t="s">
        <v>224</v>
      </c>
      <c r="B211" s="107" t="s">
        <v>79</v>
      </c>
      <c r="C211" s="108">
        <f t="shared" si="26"/>
        <v>-45571.79</v>
      </c>
      <c r="D211" s="104" t="str">
        <f t="shared" si="27"/>
        <v>证券投资部</v>
      </c>
      <c r="E211" s="104">
        <f t="shared" si="24"/>
        <v>45571.79</v>
      </c>
      <c r="F211" s="104" t="str">
        <f t="shared" si="28"/>
        <v>量化产品投资部</v>
      </c>
      <c r="G211" s="89" t="s">
        <v>103</v>
      </c>
      <c r="H211" s="99"/>
      <c r="I211" s="99"/>
    </row>
    <row r="212" spans="1:9">
      <c r="A212" s="88" t="s">
        <v>227</v>
      </c>
      <c r="B212" s="107" t="s">
        <v>79</v>
      </c>
      <c r="C212" s="108">
        <f t="shared" si="26"/>
        <v>-660.38</v>
      </c>
      <c r="D212" s="104" t="str">
        <f t="shared" si="27"/>
        <v>证券投资部</v>
      </c>
      <c r="E212" s="104">
        <f t="shared" si="24"/>
        <v>660.38</v>
      </c>
      <c r="F212" s="104" t="str">
        <f t="shared" si="28"/>
        <v>量化产品投资部</v>
      </c>
      <c r="G212" s="89" t="s">
        <v>103</v>
      </c>
      <c r="H212" s="99"/>
      <c r="I212" s="99"/>
    </row>
    <row r="213" spans="1:9">
      <c r="A213" s="88" t="s">
        <v>228</v>
      </c>
      <c r="B213" s="107" t="s">
        <v>79</v>
      </c>
      <c r="C213" s="108">
        <f t="shared" si="26"/>
        <v>221842.27</v>
      </c>
      <c r="D213" s="104" t="str">
        <f t="shared" si="27"/>
        <v>金融衍生品部</v>
      </c>
      <c r="E213" s="104">
        <f t="shared" si="24"/>
        <v>-221842.27</v>
      </c>
      <c r="F213" s="104" t="str">
        <f t="shared" si="28"/>
        <v>其他</v>
      </c>
      <c r="G213" s="89" t="s">
        <v>103</v>
      </c>
      <c r="H213" s="99"/>
      <c r="I213" s="99"/>
    </row>
    <row r="214" spans="1:9">
      <c r="A214" s="88" t="s">
        <v>229</v>
      </c>
      <c r="B214" s="107" t="s">
        <v>79</v>
      </c>
      <c r="C214" s="108">
        <f t="shared" si="26"/>
        <v>0</v>
      </c>
      <c r="D214" s="104" t="str">
        <f t="shared" si="27"/>
        <v>固定收益市场部</v>
      </c>
      <c r="E214" s="104">
        <f t="shared" si="24"/>
        <v>0</v>
      </c>
      <c r="F214" s="104" t="str">
        <f t="shared" si="28"/>
        <v>其他</v>
      </c>
      <c r="G214" s="89" t="s">
        <v>103</v>
      </c>
      <c r="H214" s="99"/>
      <c r="I214" s="99"/>
    </row>
    <row r="215" spans="1:9">
      <c r="A215" s="88" t="s">
        <v>230</v>
      </c>
      <c r="B215" s="107" t="s">
        <v>79</v>
      </c>
      <c r="C215" s="108">
        <f t="shared" si="26"/>
        <v>-387.97</v>
      </c>
      <c r="D215" s="104" t="str">
        <f t="shared" si="27"/>
        <v>资产管理部</v>
      </c>
      <c r="E215" s="104">
        <f t="shared" si="24"/>
        <v>387.97</v>
      </c>
      <c r="F215" s="104" t="str">
        <f t="shared" si="28"/>
        <v>经纪业务部</v>
      </c>
      <c r="G215" s="89" t="s">
        <v>103</v>
      </c>
      <c r="H215" s="99"/>
      <c r="I215" s="99"/>
    </row>
    <row r="216" spans="1:9">
      <c r="A216" s="88" t="s">
        <v>232</v>
      </c>
      <c r="B216" s="107" t="s">
        <v>79</v>
      </c>
      <c r="C216" s="108">
        <f t="shared" si="26"/>
        <v>879.28</v>
      </c>
      <c r="D216" s="104" t="str">
        <f t="shared" si="27"/>
        <v>资产管理部</v>
      </c>
      <c r="E216" s="104">
        <f t="shared" si="24"/>
        <v>-879.28</v>
      </c>
      <c r="F216" s="104" t="str">
        <f t="shared" si="28"/>
        <v>经纪业务部</v>
      </c>
      <c r="G216" s="89" t="s">
        <v>103</v>
      </c>
      <c r="H216" s="99"/>
      <c r="I216" s="99"/>
    </row>
    <row r="217" spans="1:9">
      <c r="A217" s="88" t="s">
        <v>234</v>
      </c>
      <c r="B217" s="107" t="s">
        <v>79</v>
      </c>
      <c r="C217" s="108">
        <f t="shared" si="26"/>
        <v>11391.5</v>
      </c>
      <c r="D217" s="104" t="str">
        <f t="shared" si="27"/>
        <v>固定收益市场部</v>
      </c>
      <c r="E217" s="104">
        <f t="shared" si="24"/>
        <v>-11391.5</v>
      </c>
      <c r="F217" s="104" t="str">
        <f t="shared" si="28"/>
        <v>投顾业务部</v>
      </c>
      <c r="G217" s="89" t="s">
        <v>103</v>
      </c>
      <c r="H217" s="99"/>
      <c r="I217" s="99"/>
    </row>
    <row r="218" spans="1:9">
      <c r="A218" s="88" t="s">
        <v>236</v>
      </c>
      <c r="B218" s="107" t="s">
        <v>79</v>
      </c>
      <c r="C218" s="108">
        <f t="shared" si="26"/>
        <v>-1961.91</v>
      </c>
      <c r="D218" s="104" t="str">
        <f t="shared" si="27"/>
        <v>投顾业务部</v>
      </c>
      <c r="E218" s="104">
        <f t="shared" si="24"/>
        <v>1961.91</v>
      </c>
      <c r="F218" s="104" t="str">
        <f t="shared" ref="F218:F227" si="30">F102</f>
        <v>经纪业务部</v>
      </c>
      <c r="G218" s="89" t="s">
        <v>103</v>
      </c>
      <c r="H218" s="99"/>
      <c r="I218" s="99"/>
    </row>
    <row r="219" spans="1:9">
      <c r="A219" s="88" t="s">
        <v>238</v>
      </c>
      <c r="B219" s="107" t="s">
        <v>79</v>
      </c>
      <c r="C219" s="108">
        <f t="shared" si="26"/>
        <v>-157.5</v>
      </c>
      <c r="D219" s="104" t="str">
        <f t="shared" si="27"/>
        <v>投资银行一部</v>
      </c>
      <c r="E219" s="104">
        <f t="shared" si="24"/>
        <v>157.5</v>
      </c>
      <c r="F219" s="104" t="str">
        <f t="shared" si="30"/>
        <v>经纪业务部</v>
      </c>
      <c r="G219" s="89" t="s">
        <v>103</v>
      </c>
      <c r="H219" s="99"/>
      <c r="I219" s="99"/>
    </row>
    <row r="220" spans="1:9">
      <c r="A220" s="88" t="s">
        <v>239</v>
      </c>
      <c r="B220" s="107" t="s">
        <v>79</v>
      </c>
      <c r="C220" s="108">
        <f t="shared" si="26"/>
        <v>1242.5</v>
      </c>
      <c r="D220" s="104" t="str">
        <f t="shared" si="27"/>
        <v>经纪业务部</v>
      </c>
      <c r="E220" s="104">
        <f t="shared" si="24"/>
        <v>-1242.5</v>
      </c>
      <c r="F220" s="104" t="str">
        <f t="shared" si="30"/>
        <v>其他</v>
      </c>
      <c r="G220" s="89" t="s">
        <v>103</v>
      </c>
      <c r="H220" s="99"/>
      <c r="I220" s="99"/>
    </row>
    <row r="221" spans="1:9">
      <c r="A221" s="88" t="s">
        <v>240</v>
      </c>
      <c r="B221" s="107" t="s">
        <v>79</v>
      </c>
      <c r="C221" s="108"/>
      <c r="D221" s="104">
        <f t="shared" si="27"/>
        <v>0</v>
      </c>
      <c r="E221" s="104">
        <f t="shared" si="24"/>
        <v>0</v>
      </c>
      <c r="F221" s="104">
        <f t="shared" si="30"/>
        <v>0</v>
      </c>
      <c r="G221" s="89" t="s">
        <v>103</v>
      </c>
      <c r="H221" s="99"/>
      <c r="I221" s="99"/>
    </row>
    <row r="222" spans="1:9">
      <c r="A222" s="88" t="s">
        <v>241</v>
      </c>
      <c r="B222" s="107" t="s">
        <v>79</v>
      </c>
      <c r="C222" s="108"/>
      <c r="D222" s="104" t="str">
        <f t="shared" si="27"/>
        <v>证券投资部</v>
      </c>
      <c r="E222" s="104">
        <f t="shared" si="24"/>
        <v>0</v>
      </c>
      <c r="F222" s="104" t="str">
        <f t="shared" si="30"/>
        <v>总部中后台</v>
      </c>
      <c r="G222" s="89" t="s">
        <v>103</v>
      </c>
      <c r="H222" s="99"/>
      <c r="I222" s="99"/>
    </row>
    <row r="223" spans="1:9">
      <c r="A223" s="88" t="s">
        <v>242</v>
      </c>
      <c r="B223" s="107" t="s">
        <v>79</v>
      </c>
      <c r="C223" s="108"/>
      <c r="D223" s="104" t="str">
        <f t="shared" si="27"/>
        <v>经纪业务部</v>
      </c>
      <c r="E223" s="104">
        <f t="shared" si="24"/>
        <v>0</v>
      </c>
      <c r="F223" s="104" t="str">
        <f t="shared" si="30"/>
        <v>固定收益市场部</v>
      </c>
      <c r="G223" s="89" t="s">
        <v>103</v>
      </c>
      <c r="H223" s="99"/>
      <c r="I223" s="99"/>
    </row>
    <row r="224" spans="1:9">
      <c r="A224" s="88" t="s">
        <v>245</v>
      </c>
      <c r="B224" s="107" t="s">
        <v>79</v>
      </c>
      <c r="C224" s="108"/>
      <c r="D224" s="104" t="str">
        <f t="shared" si="27"/>
        <v>证券投资部</v>
      </c>
      <c r="E224" s="104">
        <f t="shared" si="24"/>
        <v>0</v>
      </c>
      <c r="F224" s="104" t="str">
        <f t="shared" si="30"/>
        <v>固定收益投资部</v>
      </c>
      <c r="G224" s="89" t="s">
        <v>103</v>
      </c>
      <c r="H224" s="99"/>
      <c r="I224" s="99"/>
    </row>
    <row r="225" spans="1:22">
      <c r="A225" s="88" t="s">
        <v>251</v>
      </c>
      <c r="B225" s="107" t="s">
        <v>79</v>
      </c>
      <c r="C225" s="108"/>
      <c r="D225" s="104" t="str">
        <f t="shared" si="27"/>
        <v>证券投资部</v>
      </c>
      <c r="E225" s="104">
        <f t="shared" si="24"/>
        <v>0</v>
      </c>
      <c r="F225" s="104" t="str">
        <f t="shared" si="30"/>
        <v>金融衍生品部</v>
      </c>
      <c r="G225" s="89" t="s">
        <v>103</v>
      </c>
      <c r="H225" s="99"/>
      <c r="I225" s="99"/>
    </row>
    <row r="226" spans="1:22">
      <c r="A226" s="88" t="s">
        <v>249</v>
      </c>
      <c r="B226" s="107" t="s">
        <v>79</v>
      </c>
      <c r="C226" s="108"/>
      <c r="D226" s="104" t="str">
        <f t="shared" si="27"/>
        <v>证券投资部</v>
      </c>
      <c r="E226" s="104">
        <f t="shared" ref="E226" si="31">-C226</f>
        <v>0</v>
      </c>
      <c r="F226" s="104" t="str">
        <f t="shared" si="30"/>
        <v>量化产品投资部</v>
      </c>
      <c r="G226" s="89" t="s">
        <v>103</v>
      </c>
      <c r="H226" s="99"/>
      <c r="I226" s="99"/>
    </row>
    <row r="227" spans="1:22">
      <c r="A227" s="88" t="s">
        <v>249</v>
      </c>
      <c r="B227" s="107" t="s">
        <v>79</v>
      </c>
      <c r="C227" s="108"/>
      <c r="D227" s="104" t="str">
        <f t="shared" si="27"/>
        <v>证券投资部</v>
      </c>
      <c r="E227" s="104">
        <f t="shared" ref="E227" si="32">-C227</f>
        <v>0</v>
      </c>
      <c r="F227" s="104" t="str">
        <f t="shared" si="30"/>
        <v>固定收益投资部</v>
      </c>
      <c r="G227" s="89" t="s">
        <v>103</v>
      </c>
      <c r="H227" s="99"/>
      <c r="I227" s="99"/>
    </row>
    <row r="228" spans="1:22">
      <c r="A228" s="82"/>
      <c r="B228" s="82"/>
      <c r="C228" s="87"/>
      <c r="D228" s="87"/>
      <c r="E228" s="87"/>
      <c r="F228" s="106" t="s">
        <v>6</v>
      </c>
      <c r="G228" s="82"/>
      <c r="H228" s="106"/>
      <c r="I228" s="106"/>
    </row>
    <row r="229" spans="1:22" s="234" customFormat="1">
      <c r="A229" s="230" t="s">
        <v>138</v>
      </c>
      <c r="B229" s="252" t="s">
        <v>79</v>
      </c>
      <c r="C229" s="253">
        <v>-514548</v>
      </c>
      <c r="D229" s="253" t="s">
        <v>8</v>
      </c>
      <c r="E229" s="253">
        <f t="shared" ref="E229:E236" si="33">-C229</f>
        <v>514548</v>
      </c>
      <c r="F229" s="253" t="s">
        <v>4</v>
      </c>
      <c r="G229" s="232" t="s">
        <v>101</v>
      </c>
      <c r="H229" s="240" t="s">
        <v>254</v>
      </c>
      <c r="I229" s="240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</row>
    <row r="230" spans="1:22" s="234" customFormat="1">
      <c r="A230" s="230" t="s">
        <v>154</v>
      </c>
      <c r="B230" s="252" t="s">
        <v>79</v>
      </c>
      <c r="C230" s="253">
        <v>-69673.039999999994</v>
      </c>
      <c r="D230" s="253" t="s">
        <v>8</v>
      </c>
      <c r="E230" s="253">
        <f t="shared" si="33"/>
        <v>69673.039999999994</v>
      </c>
      <c r="F230" s="253" t="s">
        <v>6</v>
      </c>
      <c r="G230" s="232" t="s">
        <v>525</v>
      </c>
      <c r="H230" s="240" t="s">
        <v>255</v>
      </c>
      <c r="I230" s="232" t="s">
        <v>256</v>
      </c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</row>
    <row r="231" spans="1:22" s="234" customFormat="1">
      <c r="A231" s="230" t="s">
        <v>155</v>
      </c>
      <c r="B231" s="252" t="s">
        <v>79</v>
      </c>
      <c r="C231" s="253">
        <v>53230</v>
      </c>
      <c r="D231" s="253" t="s">
        <v>8</v>
      </c>
      <c r="E231" s="253">
        <f t="shared" si="33"/>
        <v>-53230</v>
      </c>
      <c r="F231" s="253" t="s">
        <v>5</v>
      </c>
      <c r="G231" s="232" t="s">
        <v>526</v>
      </c>
      <c r="H231" s="240" t="s">
        <v>521</v>
      </c>
      <c r="I231" s="240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</row>
    <row r="232" spans="1:22" s="234" customFormat="1">
      <c r="A232" s="230" t="s">
        <v>181</v>
      </c>
      <c r="B232" s="252" t="s">
        <v>79</v>
      </c>
      <c r="C232" s="253">
        <v>14212</v>
      </c>
      <c r="D232" s="253" t="s">
        <v>16</v>
      </c>
      <c r="E232" s="253">
        <f t="shared" si="33"/>
        <v>-14212</v>
      </c>
      <c r="F232" s="253" t="s">
        <v>5</v>
      </c>
      <c r="G232" s="232" t="s">
        <v>107</v>
      </c>
      <c r="H232" s="240" t="s">
        <v>492</v>
      </c>
      <c r="I232" s="240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</row>
    <row r="233" spans="1:22" s="234" customFormat="1">
      <c r="A233" s="230" t="s">
        <v>183</v>
      </c>
      <c r="B233" s="252" t="s">
        <v>79</v>
      </c>
      <c r="C233" s="253">
        <v>28706</v>
      </c>
      <c r="D233" s="253" t="s">
        <v>413</v>
      </c>
      <c r="E233" s="253">
        <f t="shared" si="33"/>
        <v>-28706</v>
      </c>
      <c r="F233" s="253" t="s">
        <v>5</v>
      </c>
      <c r="G233" s="232" t="s">
        <v>107</v>
      </c>
      <c r="H233" s="240" t="s">
        <v>492</v>
      </c>
      <c r="I233" s="240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</row>
    <row r="234" spans="1:22" s="234" customFormat="1">
      <c r="A234" s="230" t="s">
        <v>184</v>
      </c>
      <c r="B234" s="252" t="s">
        <v>79</v>
      </c>
      <c r="C234" s="253">
        <v>138038</v>
      </c>
      <c r="D234" s="253" t="s">
        <v>23</v>
      </c>
      <c r="E234" s="253">
        <f t="shared" si="33"/>
        <v>-138038</v>
      </c>
      <c r="F234" s="253" t="s">
        <v>5</v>
      </c>
      <c r="G234" s="232" t="s">
        <v>107</v>
      </c>
      <c r="H234" s="240" t="s">
        <v>493</v>
      </c>
      <c r="I234" s="240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U234" s="233"/>
      <c r="V234" s="233"/>
    </row>
    <row r="235" spans="1:22" s="234" customFormat="1">
      <c r="A235" s="230" t="s">
        <v>186</v>
      </c>
      <c r="B235" s="259" t="s">
        <v>79</v>
      </c>
      <c r="C235" s="253">
        <v>154360</v>
      </c>
      <c r="D235" s="260" t="s">
        <v>21</v>
      </c>
      <c r="E235" s="253">
        <f t="shared" si="33"/>
        <v>-154360</v>
      </c>
      <c r="F235" s="253" t="s">
        <v>5</v>
      </c>
      <c r="G235" s="232" t="s">
        <v>107</v>
      </c>
      <c r="H235" s="240" t="s">
        <v>493</v>
      </c>
      <c r="I235" s="248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U235" s="233"/>
      <c r="V235" s="233"/>
    </row>
    <row r="236" spans="1:22" s="234" customFormat="1">
      <c r="A236" s="230" t="s">
        <v>187</v>
      </c>
      <c r="B236" s="259" t="s">
        <v>79</v>
      </c>
      <c r="C236" s="253">
        <v>931112</v>
      </c>
      <c r="D236" s="260" t="s">
        <v>22</v>
      </c>
      <c r="E236" s="253">
        <f t="shared" si="33"/>
        <v>-931112</v>
      </c>
      <c r="F236" s="253" t="s">
        <v>5</v>
      </c>
      <c r="G236" s="232" t="s">
        <v>107</v>
      </c>
      <c r="H236" s="240" t="s">
        <v>493</v>
      </c>
      <c r="I236" s="248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U236" s="233"/>
      <c r="V236" s="233"/>
    </row>
    <row r="237" spans="1:22" s="234" customFormat="1">
      <c r="A237" s="230" t="s">
        <v>189</v>
      </c>
      <c r="B237" s="252" t="s">
        <v>79</v>
      </c>
      <c r="C237" s="253">
        <v>2328</v>
      </c>
      <c r="D237" s="253" t="s">
        <v>17</v>
      </c>
      <c r="E237" s="253">
        <f t="shared" ref="E237:E248" si="34">-C237</f>
        <v>-2328</v>
      </c>
      <c r="F237" s="253" t="s">
        <v>5</v>
      </c>
      <c r="G237" s="232" t="s">
        <v>107</v>
      </c>
      <c r="H237" s="240" t="s">
        <v>493</v>
      </c>
      <c r="I237" s="240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U237" s="233"/>
      <c r="V237" s="233"/>
    </row>
    <row r="238" spans="1:22" s="234" customFormat="1">
      <c r="A238" s="230" t="s">
        <v>191</v>
      </c>
      <c r="B238" s="252" t="s">
        <v>79</v>
      </c>
      <c r="C238" s="253">
        <v>2097.5</v>
      </c>
      <c r="D238" s="253" t="s">
        <v>13</v>
      </c>
      <c r="E238" s="253">
        <f>-C238</f>
        <v>-2097.5</v>
      </c>
      <c r="F238" s="253" t="s">
        <v>5</v>
      </c>
      <c r="G238" s="232" t="s">
        <v>107</v>
      </c>
      <c r="H238" s="232" t="s">
        <v>510</v>
      </c>
      <c r="I238" s="240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U238" s="233"/>
      <c r="V238" s="233"/>
    </row>
    <row r="239" spans="1:22" s="234" customFormat="1">
      <c r="A239" s="230" t="s">
        <v>194</v>
      </c>
      <c r="B239" s="252" t="s">
        <v>79</v>
      </c>
      <c r="C239" s="253">
        <v>7872.5</v>
      </c>
      <c r="D239" s="253" t="s">
        <v>14</v>
      </c>
      <c r="E239" s="253">
        <f t="shared" si="34"/>
        <v>-7872.5</v>
      </c>
      <c r="F239" s="253" t="s">
        <v>5</v>
      </c>
      <c r="G239" s="232" t="s">
        <v>107</v>
      </c>
      <c r="H239" s="232" t="s">
        <v>510</v>
      </c>
      <c r="I239" s="240"/>
      <c r="J239" s="233"/>
      <c r="K239" s="233"/>
      <c r="L239" s="233"/>
      <c r="M239" s="233"/>
      <c r="N239" s="233"/>
      <c r="O239" s="233"/>
      <c r="P239" s="233"/>
      <c r="Q239" s="233"/>
      <c r="R239" s="233"/>
      <c r="S239" s="233"/>
      <c r="T239" s="233"/>
      <c r="U239" s="233"/>
      <c r="V239" s="233"/>
    </row>
    <row r="240" spans="1:22" s="234" customFormat="1">
      <c r="A240" s="230" t="s">
        <v>197</v>
      </c>
      <c r="B240" s="252" t="s">
        <v>79</v>
      </c>
      <c r="C240" s="253">
        <v>2097.5</v>
      </c>
      <c r="D240" s="253" t="s">
        <v>15</v>
      </c>
      <c r="E240" s="253">
        <f t="shared" si="34"/>
        <v>-2097.5</v>
      </c>
      <c r="F240" s="253" t="s">
        <v>5</v>
      </c>
      <c r="G240" s="232" t="s">
        <v>107</v>
      </c>
      <c r="H240" s="232" t="s">
        <v>510</v>
      </c>
      <c r="I240" s="240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</row>
    <row r="241" spans="1:22" s="234" customFormat="1">
      <c r="A241" s="230" t="s">
        <v>199</v>
      </c>
      <c r="B241" s="252" t="s">
        <v>79</v>
      </c>
      <c r="C241" s="253">
        <v>2097.5</v>
      </c>
      <c r="D241" s="253" t="s">
        <v>10</v>
      </c>
      <c r="E241" s="253">
        <f t="shared" si="34"/>
        <v>-2097.5</v>
      </c>
      <c r="F241" s="253" t="s">
        <v>5</v>
      </c>
      <c r="G241" s="232" t="s">
        <v>107</v>
      </c>
      <c r="H241" s="232" t="s">
        <v>510</v>
      </c>
      <c r="I241" s="240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</row>
    <row r="242" spans="1:22" s="234" customFormat="1">
      <c r="A242" s="230" t="s">
        <v>166</v>
      </c>
      <c r="B242" s="252" t="s">
        <v>79</v>
      </c>
      <c r="C242" s="253">
        <v>-815533.98</v>
      </c>
      <c r="D242" s="253" t="s">
        <v>11</v>
      </c>
      <c r="E242" s="253">
        <f>-C242</f>
        <v>815533.98</v>
      </c>
      <c r="F242" s="253" t="s">
        <v>4</v>
      </c>
      <c r="G242" s="232" t="s">
        <v>112</v>
      </c>
      <c r="H242" s="240" t="s">
        <v>514</v>
      </c>
      <c r="I242" s="240" t="s">
        <v>258</v>
      </c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</row>
    <row r="243" spans="1:22" s="234" customFormat="1">
      <c r="A243" s="230" t="s">
        <v>201</v>
      </c>
      <c r="B243" s="252" t="s">
        <v>79</v>
      </c>
      <c r="C243" s="253">
        <v>158300</v>
      </c>
      <c r="D243" s="253" t="s">
        <v>11</v>
      </c>
      <c r="E243" s="253">
        <f t="shared" si="34"/>
        <v>-158300</v>
      </c>
      <c r="F243" s="253" t="s">
        <v>4</v>
      </c>
      <c r="G243" s="232" t="s">
        <v>101</v>
      </c>
      <c r="H243" s="232" t="s">
        <v>515</v>
      </c>
      <c r="I243" s="240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</row>
    <row r="244" spans="1:22" s="234" customFormat="1">
      <c r="A244" s="230" t="s">
        <v>202</v>
      </c>
      <c r="B244" s="252" t="s">
        <v>79</v>
      </c>
      <c r="C244" s="253">
        <v>244500</v>
      </c>
      <c r="D244" s="253" t="s">
        <v>11</v>
      </c>
      <c r="E244" s="253">
        <f t="shared" si="34"/>
        <v>-244500</v>
      </c>
      <c r="F244" s="253" t="s">
        <v>4</v>
      </c>
      <c r="G244" s="232" t="s">
        <v>101</v>
      </c>
      <c r="H244" s="232" t="s">
        <v>516</v>
      </c>
      <c r="I244" s="248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</row>
    <row r="245" spans="1:22" s="234" customFormat="1">
      <c r="A245" s="230" t="s">
        <v>204</v>
      </c>
      <c r="B245" s="252" t="s">
        <v>79</v>
      </c>
      <c r="C245" s="253">
        <f>43500+150000</f>
        <v>193500</v>
      </c>
      <c r="D245" s="253" t="s">
        <v>11</v>
      </c>
      <c r="E245" s="253">
        <f t="shared" si="34"/>
        <v>-193500</v>
      </c>
      <c r="F245" s="253" t="s">
        <v>4</v>
      </c>
      <c r="G245" s="232" t="s">
        <v>101</v>
      </c>
      <c r="H245" s="232" t="s">
        <v>517</v>
      </c>
      <c r="I245" s="248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</row>
    <row r="246" spans="1:22" s="234" customFormat="1">
      <c r="A246" s="230" t="s">
        <v>205</v>
      </c>
      <c r="B246" s="252" t="s">
        <v>79</v>
      </c>
      <c r="C246" s="253">
        <v>130000</v>
      </c>
      <c r="D246" s="253" t="s">
        <v>11</v>
      </c>
      <c r="E246" s="253">
        <f t="shared" si="34"/>
        <v>-130000</v>
      </c>
      <c r="F246" s="253" t="s">
        <v>4</v>
      </c>
      <c r="G246" s="232" t="s">
        <v>101</v>
      </c>
      <c r="H246" s="232" t="s">
        <v>518</v>
      </c>
      <c r="I246" s="248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</row>
    <row r="247" spans="1:22" s="234" customFormat="1">
      <c r="A247" s="230" t="s">
        <v>206</v>
      </c>
      <c r="B247" s="252" t="s">
        <v>79</v>
      </c>
      <c r="C247" s="253">
        <v>-5182</v>
      </c>
      <c r="D247" s="253" t="s">
        <v>11</v>
      </c>
      <c r="E247" s="253">
        <f t="shared" si="34"/>
        <v>5182</v>
      </c>
      <c r="F247" s="253" t="s">
        <v>4</v>
      </c>
      <c r="G247" s="89" t="s">
        <v>107</v>
      </c>
      <c r="H247" s="232" t="s">
        <v>519</v>
      </c>
      <c r="I247" s="248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</row>
    <row r="248" spans="1:22" s="234" customFormat="1">
      <c r="A248" s="230" t="s">
        <v>208</v>
      </c>
      <c r="B248" s="259" t="s">
        <v>79</v>
      </c>
      <c r="C248" s="253">
        <v>-606</v>
      </c>
      <c r="D248" s="253" t="s">
        <v>11</v>
      </c>
      <c r="E248" s="253">
        <f t="shared" si="34"/>
        <v>606</v>
      </c>
      <c r="F248" s="253" t="s">
        <v>4</v>
      </c>
      <c r="G248" s="89" t="s">
        <v>102</v>
      </c>
      <c r="H248" s="232" t="s">
        <v>519</v>
      </c>
      <c r="I248" s="248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</row>
    <row r="249" spans="1:22" s="234" customFormat="1">
      <c r="A249" s="230" t="s">
        <v>208</v>
      </c>
      <c r="B249" s="259" t="s">
        <v>79</v>
      </c>
      <c r="C249" s="253">
        <v>-42673.5</v>
      </c>
      <c r="D249" s="253" t="s">
        <v>11</v>
      </c>
      <c r="E249" s="253">
        <f t="shared" ref="E249:E255" si="35">-C249</f>
        <v>42673.5</v>
      </c>
      <c r="F249" s="253" t="s">
        <v>4</v>
      </c>
      <c r="G249" s="89" t="s">
        <v>108</v>
      </c>
      <c r="H249" s="232" t="s">
        <v>520</v>
      </c>
      <c r="I249" s="248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</row>
    <row r="250" spans="1:22" s="234" customFormat="1">
      <c r="A250" s="230" t="s">
        <v>210</v>
      </c>
      <c r="B250" s="259" t="s">
        <v>79</v>
      </c>
      <c r="C250" s="253">
        <v>-7943.42</v>
      </c>
      <c r="D250" s="260" t="s">
        <v>410</v>
      </c>
      <c r="E250" s="253">
        <f t="shared" si="35"/>
        <v>7943.42</v>
      </c>
      <c r="F250" s="260" t="s">
        <v>6</v>
      </c>
      <c r="G250" s="232" t="s">
        <v>121</v>
      </c>
      <c r="H250" s="240" t="s">
        <v>261</v>
      </c>
      <c r="I250" s="248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</row>
    <row r="251" spans="1:22" s="234" customFormat="1">
      <c r="A251" s="230" t="s">
        <v>211</v>
      </c>
      <c r="B251" s="259" t="s">
        <v>79</v>
      </c>
      <c r="C251" s="253">
        <v>-274503.2</v>
      </c>
      <c r="D251" s="260" t="s">
        <v>410</v>
      </c>
      <c r="E251" s="253">
        <f t="shared" si="35"/>
        <v>274503.2</v>
      </c>
      <c r="F251" s="260" t="s">
        <v>4</v>
      </c>
      <c r="G251" s="232" t="s">
        <v>132</v>
      </c>
      <c r="H251" s="240" t="s">
        <v>262</v>
      </c>
      <c r="I251" s="248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</row>
    <row r="252" spans="1:22" s="234" customFormat="1">
      <c r="A252" s="230" t="s">
        <v>213</v>
      </c>
      <c r="B252" s="259" t="s">
        <v>79</v>
      </c>
      <c r="C252" s="253">
        <v>-641570.48</v>
      </c>
      <c r="D252" s="260" t="s">
        <v>410</v>
      </c>
      <c r="E252" s="253">
        <f t="shared" si="35"/>
        <v>641570.48</v>
      </c>
      <c r="F252" s="260" t="s">
        <v>6</v>
      </c>
      <c r="G252" s="232" t="s">
        <v>132</v>
      </c>
      <c r="H252" s="240" t="s">
        <v>263</v>
      </c>
      <c r="I252" s="248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</row>
    <row r="253" spans="1:22" s="234" customFormat="1">
      <c r="A253" s="230" t="s">
        <v>170</v>
      </c>
      <c r="B253" s="252" t="s">
        <v>79</v>
      </c>
      <c r="C253" s="253">
        <v>94399.61</v>
      </c>
      <c r="D253" s="253" t="s">
        <v>10</v>
      </c>
      <c r="E253" s="253">
        <f t="shared" si="35"/>
        <v>-94399.61</v>
      </c>
      <c r="F253" s="253" t="s">
        <v>4</v>
      </c>
      <c r="G253" s="232" t="s">
        <v>101</v>
      </c>
      <c r="H253" s="232" t="s">
        <v>539</v>
      </c>
      <c r="I253" s="240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</row>
    <row r="254" spans="1:22" s="234" customFormat="1">
      <c r="A254" s="230" t="s">
        <v>172</v>
      </c>
      <c r="B254" s="252" t="s">
        <v>79</v>
      </c>
      <c r="C254" s="263">
        <f>61903.63+54935.68+84766.89+86950.08+86263.35+132050.12+122278.34+173760.13+165789.61+186934.48</f>
        <v>1155632.31</v>
      </c>
      <c r="D254" s="253" t="s">
        <v>10</v>
      </c>
      <c r="E254" s="253">
        <f t="shared" si="35"/>
        <v>-1155632.31</v>
      </c>
      <c r="F254" s="253" t="s">
        <v>4</v>
      </c>
      <c r="G254" s="232" t="s">
        <v>101</v>
      </c>
      <c r="H254" s="232" t="s">
        <v>540</v>
      </c>
      <c r="I254" s="240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</row>
    <row r="255" spans="1:22" s="234" customFormat="1">
      <c r="A255" s="230" t="s">
        <v>174</v>
      </c>
      <c r="B255" s="252" t="s">
        <v>79</v>
      </c>
      <c r="C255" s="253">
        <v>183558.24</v>
      </c>
      <c r="D255" s="253" t="s">
        <v>10</v>
      </c>
      <c r="E255" s="253">
        <f t="shared" si="35"/>
        <v>-183558.24</v>
      </c>
      <c r="F255" s="253" t="s">
        <v>4</v>
      </c>
      <c r="G255" s="232" t="s">
        <v>101</v>
      </c>
      <c r="H255" s="232" t="s">
        <v>541</v>
      </c>
      <c r="I255" s="240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</row>
    <row r="256" spans="1:22" s="234" customFormat="1">
      <c r="A256" s="230" t="s">
        <v>224</v>
      </c>
      <c r="B256" s="252" t="s">
        <v>79</v>
      </c>
      <c r="C256" s="253">
        <v>24700</v>
      </c>
      <c r="D256" s="253" t="s">
        <v>9</v>
      </c>
      <c r="E256" s="253">
        <f t="shared" ref="E256:E264" si="36">-C256</f>
        <v>-24700</v>
      </c>
      <c r="F256" s="253" t="s">
        <v>5</v>
      </c>
      <c r="G256" s="238" t="s">
        <v>107</v>
      </c>
      <c r="H256" s="240" t="s">
        <v>257</v>
      </c>
      <c r="I256" s="248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</row>
    <row r="257" spans="1:22" s="234" customFormat="1">
      <c r="A257" s="230" t="s">
        <v>229</v>
      </c>
      <c r="B257" s="259" t="s">
        <v>79</v>
      </c>
      <c r="C257" s="253">
        <v>-95388.82</v>
      </c>
      <c r="D257" s="260" t="s">
        <v>23</v>
      </c>
      <c r="E257" s="253">
        <f t="shared" si="36"/>
        <v>95388.82</v>
      </c>
      <c r="F257" s="253" t="s">
        <v>502</v>
      </c>
      <c r="G257" s="232" t="s">
        <v>108</v>
      </c>
      <c r="H257" s="240" t="s">
        <v>506</v>
      </c>
      <c r="I257" s="248"/>
      <c r="J257" s="233"/>
      <c r="K257" s="233"/>
      <c r="L257" s="233"/>
      <c r="M257" s="233"/>
      <c r="N257" s="233"/>
      <c r="O257" s="233"/>
      <c r="P257" s="233"/>
      <c r="Q257" s="233"/>
      <c r="R257" s="233"/>
      <c r="S257" s="233"/>
      <c r="T257" s="233"/>
      <c r="U257" s="233"/>
      <c r="V257" s="233"/>
    </row>
    <row r="258" spans="1:22" s="234" customFormat="1">
      <c r="A258" s="230" t="s">
        <v>230</v>
      </c>
      <c r="B258" s="259" t="s">
        <v>79</v>
      </c>
      <c r="C258" s="260">
        <v>-37859.07</v>
      </c>
      <c r="D258" s="260" t="s">
        <v>23</v>
      </c>
      <c r="E258" s="253">
        <f t="shared" si="36"/>
        <v>37859.07</v>
      </c>
      <c r="F258" s="253" t="s">
        <v>502</v>
      </c>
      <c r="G258" s="232" t="s">
        <v>107</v>
      </c>
      <c r="H258" s="240" t="s">
        <v>507</v>
      </c>
      <c r="I258" s="248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</row>
    <row r="259" spans="1:22" s="234" customFormat="1">
      <c r="A259" s="230" t="s">
        <v>232</v>
      </c>
      <c r="B259" s="259" t="s">
        <v>79</v>
      </c>
      <c r="C259" s="253">
        <v>-3584.9</v>
      </c>
      <c r="D259" s="260" t="s">
        <v>23</v>
      </c>
      <c r="E259" s="253">
        <f t="shared" si="36"/>
        <v>3584.9</v>
      </c>
      <c r="F259" s="253" t="s">
        <v>502</v>
      </c>
      <c r="G259" s="232" t="s">
        <v>92</v>
      </c>
      <c r="H259" s="240" t="s">
        <v>507</v>
      </c>
      <c r="I259" s="248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</row>
    <row r="260" spans="1:22" s="234" customFormat="1" ht="20.25" customHeight="1">
      <c r="A260" s="230" t="s">
        <v>177</v>
      </c>
      <c r="B260" s="252" t="s">
        <v>79</v>
      </c>
      <c r="C260" s="253">
        <v>-8789056.6199999992</v>
      </c>
      <c r="D260" s="253" t="s">
        <v>6</v>
      </c>
      <c r="E260" s="253">
        <f>-C260</f>
        <v>8789056.6199999992</v>
      </c>
      <c r="F260" s="253" t="s">
        <v>4</v>
      </c>
      <c r="G260" s="238" t="s">
        <v>102</v>
      </c>
      <c r="H260" s="236" t="s">
        <v>260</v>
      </c>
      <c r="I260" s="240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</row>
    <row r="261" spans="1:22" s="234" customFormat="1">
      <c r="A261" s="230" t="s">
        <v>179</v>
      </c>
      <c r="B261" s="252" t="s">
        <v>79</v>
      </c>
      <c r="C261" s="253">
        <v>25615.4</v>
      </c>
      <c r="D261" s="253" t="s">
        <v>6</v>
      </c>
      <c r="E261" s="253">
        <f>-C261</f>
        <v>-25615.4</v>
      </c>
      <c r="F261" s="253" t="s">
        <v>5</v>
      </c>
      <c r="G261" s="238" t="s">
        <v>133</v>
      </c>
      <c r="H261" s="240" t="s">
        <v>497</v>
      </c>
      <c r="I261" s="240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</row>
    <row r="262" spans="1:22" s="234" customFormat="1">
      <c r="A262" s="230" t="s">
        <v>169</v>
      </c>
      <c r="B262" s="252" t="s">
        <v>79</v>
      </c>
      <c r="C262" s="264">
        <v>8543938.2899999991</v>
      </c>
      <c r="D262" s="253" t="s">
        <v>527</v>
      </c>
      <c r="E262" s="253">
        <f t="shared" si="36"/>
        <v>-8543938.2899999991</v>
      </c>
      <c r="F262" s="253" t="s">
        <v>4</v>
      </c>
      <c r="G262" s="232" t="s">
        <v>133</v>
      </c>
      <c r="H262" s="232" t="s">
        <v>259</v>
      </c>
      <c r="I262" s="240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</row>
    <row r="263" spans="1:22" s="234" customFormat="1">
      <c r="A263" s="230" t="s">
        <v>238</v>
      </c>
      <c r="B263" s="252" t="s">
        <v>79</v>
      </c>
      <c r="C263" s="253">
        <v>-821800</v>
      </c>
      <c r="D263" s="253" t="s">
        <v>6</v>
      </c>
      <c r="E263" s="253">
        <f t="shared" si="36"/>
        <v>821800</v>
      </c>
      <c r="F263" s="253" t="s">
        <v>5</v>
      </c>
      <c r="G263" s="232" t="s">
        <v>107</v>
      </c>
      <c r="H263" s="240" t="s">
        <v>500</v>
      </c>
      <c r="I263" s="240"/>
      <c r="J263" s="253">
        <f>E269+E270</f>
        <v>18135464.329999998</v>
      </c>
      <c r="K263" s="233"/>
      <c r="L263" s="233"/>
      <c r="M263" s="233"/>
      <c r="N263" s="233"/>
      <c r="O263" s="233"/>
      <c r="P263" s="233"/>
      <c r="Q263" s="233"/>
      <c r="R263" s="233"/>
      <c r="S263" s="233"/>
      <c r="T263" s="233"/>
      <c r="U263" s="233"/>
      <c r="V263" s="233"/>
    </row>
    <row r="264" spans="1:22" s="234" customFormat="1">
      <c r="A264" s="230" t="s">
        <v>239</v>
      </c>
      <c r="B264" s="252" t="s">
        <v>79</v>
      </c>
      <c r="C264" s="253">
        <v>117154</v>
      </c>
      <c r="D264" s="253" t="s">
        <v>6</v>
      </c>
      <c r="E264" s="253">
        <f t="shared" si="36"/>
        <v>-117154</v>
      </c>
      <c r="F264" s="253" t="s">
        <v>5</v>
      </c>
      <c r="G264" s="232" t="s">
        <v>107</v>
      </c>
      <c r="H264" s="232" t="s">
        <v>501</v>
      </c>
      <c r="I264" s="240">
        <f>[2]考核调整事项表!$C$138-C264</f>
        <v>-27120</v>
      </c>
      <c r="J264" s="233"/>
      <c r="K264" s="233"/>
      <c r="L264" s="233"/>
      <c r="M264" s="233"/>
      <c r="N264" s="233"/>
      <c r="O264" s="233"/>
      <c r="P264" s="233"/>
      <c r="Q264" s="233"/>
      <c r="R264" s="233"/>
      <c r="S264" s="233"/>
      <c r="T264" s="233"/>
      <c r="U264" s="233"/>
      <c r="V264" s="233"/>
    </row>
    <row r="265" spans="1:22" s="234" customFormat="1">
      <c r="A265" s="230" t="s">
        <v>264</v>
      </c>
      <c r="B265" s="252" t="s">
        <v>79</v>
      </c>
      <c r="C265" s="253">
        <v>10539.48</v>
      </c>
      <c r="D265" s="253" t="s">
        <v>6</v>
      </c>
      <c r="E265" s="253">
        <f t="shared" ref="E265:E274" si="37">-C265</f>
        <v>-10539.48</v>
      </c>
      <c r="F265" s="253" t="s">
        <v>5</v>
      </c>
      <c r="G265" s="232" t="s">
        <v>107</v>
      </c>
      <c r="H265" s="232" t="s">
        <v>265</v>
      </c>
      <c r="I265" s="248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</row>
    <row r="266" spans="1:22" s="234" customFormat="1">
      <c r="A266" s="230" t="s">
        <v>266</v>
      </c>
      <c r="B266" s="252" t="s">
        <v>79</v>
      </c>
      <c r="C266" s="253">
        <v>54994</v>
      </c>
      <c r="D266" s="253" t="s">
        <v>6</v>
      </c>
      <c r="E266" s="253">
        <f t="shared" si="37"/>
        <v>-54994</v>
      </c>
      <c r="F266" s="253" t="s">
        <v>21</v>
      </c>
      <c r="G266" s="232" t="s">
        <v>102</v>
      </c>
      <c r="H266" s="232" t="s">
        <v>531</v>
      </c>
      <c r="I266" s="248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3"/>
      <c r="V266" s="233"/>
    </row>
    <row r="267" spans="1:22" s="234" customFormat="1">
      <c r="A267" s="230" t="s">
        <v>267</v>
      </c>
      <c r="B267" s="252" t="s">
        <v>79</v>
      </c>
      <c r="C267" s="253">
        <v>-3424599.8000000003</v>
      </c>
      <c r="D267" s="253" t="s">
        <v>6</v>
      </c>
      <c r="E267" s="253">
        <f t="shared" si="37"/>
        <v>3424599.8000000003</v>
      </c>
      <c r="F267" s="253" t="s">
        <v>5</v>
      </c>
      <c r="G267" s="232" t="s">
        <v>89</v>
      </c>
      <c r="H267" s="240" t="s">
        <v>268</v>
      </c>
      <c r="I267" s="243"/>
      <c r="J267" s="233"/>
      <c r="K267" s="233"/>
      <c r="L267" s="233"/>
      <c r="M267" s="233"/>
      <c r="N267" s="233"/>
      <c r="O267" s="233"/>
      <c r="P267" s="233"/>
      <c r="Q267" s="233"/>
      <c r="R267" s="233"/>
      <c r="S267" s="233"/>
      <c r="T267" s="233"/>
      <c r="U267" s="233"/>
      <c r="V267" s="233"/>
    </row>
    <row r="268" spans="1:22" s="234" customFormat="1">
      <c r="A268" s="230" t="s">
        <v>537</v>
      </c>
      <c r="B268" s="252" t="s">
        <v>79</v>
      </c>
      <c r="C268" s="261">
        <v>282380</v>
      </c>
      <c r="D268" s="261" t="s">
        <v>11</v>
      </c>
      <c r="E268" s="261">
        <f t="shared" si="37"/>
        <v>-282380</v>
      </c>
      <c r="F268" s="262" t="s">
        <v>4</v>
      </c>
      <c r="G268" s="249" t="s">
        <v>101</v>
      </c>
      <c r="H268" s="232" t="s">
        <v>538</v>
      </c>
      <c r="I268" s="24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3"/>
      <c r="U268" s="233"/>
      <c r="V268" s="233"/>
    </row>
    <row r="269" spans="1:22" s="234" customFormat="1">
      <c r="A269" s="250"/>
      <c r="B269" s="252" t="s">
        <v>79</v>
      </c>
      <c r="C269" s="260">
        <v>-16382200</v>
      </c>
      <c r="D269" s="253" t="s">
        <v>22</v>
      </c>
      <c r="E269" s="253">
        <f t="shared" si="37"/>
        <v>16382200</v>
      </c>
      <c r="F269" s="253" t="s">
        <v>5</v>
      </c>
      <c r="G269" s="232" t="s">
        <v>102</v>
      </c>
      <c r="H269" s="240" t="s">
        <v>543</v>
      </c>
      <c r="I269" s="243"/>
      <c r="J269" s="233"/>
      <c r="K269" s="233"/>
      <c r="L269" s="233"/>
      <c r="M269" s="233"/>
      <c r="N269" s="233"/>
      <c r="O269" s="233"/>
      <c r="P269" s="233"/>
      <c r="Q269" s="233"/>
      <c r="R269" s="233"/>
      <c r="S269" s="233"/>
      <c r="T269" s="233"/>
      <c r="U269" s="233"/>
      <c r="V269" s="233"/>
    </row>
    <row r="270" spans="1:22" s="234" customFormat="1">
      <c r="A270" s="250"/>
      <c r="B270" s="252" t="s">
        <v>79</v>
      </c>
      <c r="C270" s="260">
        <v>-1753264.33</v>
      </c>
      <c r="D270" s="253" t="s">
        <v>23</v>
      </c>
      <c r="E270" s="253">
        <f t="shared" si="37"/>
        <v>1753264.33</v>
      </c>
      <c r="F270" s="253" t="s">
        <v>5</v>
      </c>
      <c r="G270" s="232" t="s">
        <v>102</v>
      </c>
      <c r="H270" s="240" t="s">
        <v>543</v>
      </c>
      <c r="I270" s="243"/>
      <c r="J270" s="233"/>
      <c r="K270" s="233"/>
      <c r="L270" s="233"/>
      <c r="M270" s="233"/>
      <c r="N270" s="233"/>
      <c r="O270" s="233"/>
      <c r="P270" s="233"/>
      <c r="Q270" s="233"/>
      <c r="R270" s="233"/>
      <c r="S270" s="233"/>
      <c r="T270" s="233"/>
      <c r="U270" s="233"/>
      <c r="V270" s="233"/>
    </row>
    <row r="271" spans="1:22" s="234" customFormat="1">
      <c r="A271" s="250"/>
      <c r="B271" s="252" t="s">
        <v>79</v>
      </c>
      <c r="C271" s="260">
        <v>8400</v>
      </c>
      <c r="D271" s="253" t="s">
        <v>502</v>
      </c>
      <c r="E271" s="253">
        <f t="shared" si="37"/>
        <v>-8400</v>
      </c>
      <c r="F271" s="253" t="s">
        <v>5</v>
      </c>
      <c r="G271" s="232" t="s">
        <v>107</v>
      </c>
      <c r="H271" s="232" t="s">
        <v>544</v>
      </c>
      <c r="I271" s="243"/>
      <c r="J271" s="233"/>
      <c r="K271" s="233"/>
      <c r="L271" s="233"/>
      <c r="M271" s="233"/>
      <c r="N271" s="233"/>
      <c r="O271" s="233"/>
      <c r="P271" s="233"/>
      <c r="Q271" s="233"/>
      <c r="R271" s="233"/>
      <c r="S271" s="233"/>
      <c r="T271" s="233"/>
      <c r="U271" s="233"/>
      <c r="V271" s="233"/>
    </row>
    <row r="272" spans="1:22" s="234" customFormat="1">
      <c r="A272" s="250"/>
      <c r="B272" s="252" t="s">
        <v>79</v>
      </c>
      <c r="C272" s="260">
        <v>1493793.1</v>
      </c>
      <c r="D272" s="253" t="s">
        <v>27</v>
      </c>
      <c r="E272" s="253">
        <f t="shared" si="37"/>
        <v>-1493793.1</v>
      </c>
      <c r="F272" s="253" t="s">
        <v>23</v>
      </c>
      <c r="G272" s="232" t="s">
        <v>89</v>
      </c>
      <c r="H272" s="240" t="s">
        <v>545</v>
      </c>
      <c r="I272" s="243"/>
      <c r="J272" s="233"/>
      <c r="K272" s="233"/>
      <c r="L272" s="233"/>
      <c r="M272" s="233"/>
      <c r="N272" s="233"/>
      <c r="O272" s="233"/>
      <c r="P272" s="233"/>
      <c r="Q272" s="233"/>
      <c r="R272" s="233"/>
      <c r="S272" s="233"/>
      <c r="T272" s="233"/>
      <c r="U272" s="233"/>
      <c r="V272" s="233"/>
    </row>
    <row r="273" spans="1:22" s="234" customFormat="1">
      <c r="A273" s="250"/>
      <c r="B273" s="252" t="s">
        <v>79</v>
      </c>
      <c r="C273" s="253">
        <f>63750/4</f>
        <v>15937.5</v>
      </c>
      <c r="D273" s="253" t="s">
        <v>11</v>
      </c>
      <c r="E273" s="253">
        <f t="shared" si="37"/>
        <v>-15937.5</v>
      </c>
      <c r="F273" s="253" t="s">
        <v>8</v>
      </c>
      <c r="G273" s="89" t="s">
        <v>101</v>
      </c>
      <c r="H273" s="71" t="s">
        <v>549</v>
      </c>
      <c r="I273" s="243"/>
      <c r="J273" s="233"/>
      <c r="K273" s="233"/>
      <c r="L273" s="233"/>
      <c r="M273" s="233"/>
      <c r="N273" s="233"/>
      <c r="O273" s="233"/>
      <c r="P273" s="233"/>
      <c r="Q273" s="233"/>
      <c r="R273" s="233"/>
      <c r="S273" s="233"/>
      <c r="T273" s="233"/>
      <c r="U273" s="233"/>
      <c r="V273" s="233"/>
    </row>
    <row r="274" spans="1:22" s="234" customFormat="1">
      <c r="A274" s="250"/>
      <c r="B274" s="252" t="s">
        <v>79</v>
      </c>
      <c r="C274" s="253">
        <f>55277.75+71066.65</f>
        <v>126344.4</v>
      </c>
      <c r="D274" s="253" t="s">
        <v>10</v>
      </c>
      <c r="E274" s="253">
        <f t="shared" si="37"/>
        <v>-126344.4</v>
      </c>
      <c r="F274" s="253" t="s">
        <v>8</v>
      </c>
      <c r="G274" s="93" t="s">
        <v>101</v>
      </c>
      <c r="H274" s="104" t="s">
        <v>550</v>
      </c>
      <c r="I274" s="243"/>
      <c r="J274" s="233"/>
      <c r="K274" s="233"/>
      <c r="L274" s="233"/>
      <c r="M274" s="233"/>
      <c r="N274" s="233"/>
      <c r="O274" s="233"/>
      <c r="P274" s="233"/>
      <c r="Q274" s="233"/>
      <c r="R274" s="233"/>
      <c r="S274" s="233"/>
      <c r="T274" s="233"/>
      <c r="U274" s="233"/>
      <c r="V274" s="233"/>
    </row>
    <row r="275" spans="1:22" s="225" customFormat="1">
      <c r="A275" s="228"/>
      <c r="B275" s="89" t="s">
        <v>79</v>
      </c>
      <c r="C275" s="93">
        <f>71000</f>
        <v>71000</v>
      </c>
      <c r="D275" s="89" t="s">
        <v>6</v>
      </c>
      <c r="E275" s="253">
        <f>-C275</f>
        <v>-71000</v>
      </c>
      <c r="F275" s="89" t="s">
        <v>4</v>
      </c>
      <c r="G275" s="232" t="s">
        <v>102</v>
      </c>
      <c r="H275" s="94" t="s">
        <v>554</v>
      </c>
      <c r="I275" s="226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</row>
    <row r="276" spans="1:22" ht="17.25" thickBot="1">
      <c r="A276" s="109"/>
      <c r="B276" s="109"/>
      <c r="C276" s="110"/>
      <c r="D276" s="111"/>
      <c r="E276" s="111"/>
      <c r="F276" s="112"/>
      <c r="G276" s="109"/>
      <c r="H276" s="112"/>
      <c r="I276" s="112"/>
    </row>
    <row r="277" spans="1:22">
      <c r="D277" s="113"/>
      <c r="E277" s="113"/>
      <c r="H277" s="99"/>
      <c r="I277" s="99"/>
    </row>
    <row r="278" spans="1:22">
      <c r="A278" s="114"/>
      <c r="B278" s="114" t="s">
        <v>60</v>
      </c>
      <c r="C278" s="92"/>
      <c r="D278" s="115" t="s">
        <v>6</v>
      </c>
      <c r="E278" s="115"/>
      <c r="F278" s="115"/>
      <c r="G278" s="116"/>
      <c r="H278" s="99"/>
      <c r="I278" s="99"/>
    </row>
    <row r="279" spans="1:22">
      <c r="A279" s="114"/>
      <c r="B279" s="114" t="s">
        <v>60</v>
      </c>
      <c r="C279" s="92"/>
      <c r="D279" s="115" t="s">
        <v>13</v>
      </c>
      <c r="E279" s="115"/>
      <c r="F279" s="115"/>
      <c r="G279" s="116"/>
      <c r="H279" s="99"/>
      <c r="I279" s="99"/>
    </row>
    <row r="280" spans="1:22">
      <c r="A280" s="114"/>
      <c r="B280" s="114" t="s">
        <v>60</v>
      </c>
      <c r="C280" s="92"/>
      <c r="D280" s="115"/>
      <c r="E280" s="115"/>
      <c r="F280" s="115"/>
      <c r="G280" s="116"/>
      <c r="H280" s="99"/>
      <c r="I280" s="99"/>
    </row>
    <row r="281" spans="1:22">
      <c r="A281" s="114"/>
      <c r="B281" s="114" t="s">
        <v>60</v>
      </c>
      <c r="C281" s="92"/>
      <c r="D281" s="115"/>
      <c r="E281" s="115"/>
      <c r="F281" s="115"/>
      <c r="G281" s="116"/>
      <c r="H281" s="99"/>
      <c r="I281" s="99"/>
    </row>
    <row r="282" spans="1:22">
      <c r="A282" s="114"/>
      <c r="B282" s="114" t="s">
        <v>60</v>
      </c>
      <c r="C282" s="92"/>
      <c r="D282" s="115"/>
      <c r="E282" s="115"/>
      <c r="F282" s="115"/>
      <c r="G282" s="116"/>
      <c r="H282" s="99"/>
      <c r="I282" s="99"/>
    </row>
    <row r="283" spans="1:22">
      <c r="A283" s="114"/>
      <c r="B283" s="114" t="s">
        <v>60</v>
      </c>
      <c r="C283" s="108"/>
      <c r="D283" s="115" t="s">
        <v>13</v>
      </c>
      <c r="E283" s="115"/>
      <c r="F283" s="115"/>
      <c r="G283" s="116"/>
      <c r="H283" s="99"/>
      <c r="I283" s="99"/>
    </row>
    <row r="284" spans="1:22">
      <c r="A284" s="114"/>
      <c r="B284" s="114" t="s">
        <v>60</v>
      </c>
      <c r="C284" s="108"/>
      <c r="D284" s="117" t="s">
        <v>16</v>
      </c>
      <c r="E284" s="117"/>
      <c r="F284" s="117"/>
      <c r="G284" s="118"/>
      <c r="H284" s="99"/>
      <c r="I284" s="99"/>
    </row>
    <row r="285" spans="1:22">
      <c r="A285" s="119"/>
      <c r="B285" s="119" t="s">
        <v>269</v>
      </c>
      <c r="C285" s="120"/>
      <c r="D285" s="121">
        <f>C276-SUM(D277:D284)</f>
        <v>0</v>
      </c>
      <c r="E285" s="121"/>
      <c r="F285" s="121">
        <f>E276-SUM(F277:F284)</f>
        <v>0</v>
      </c>
      <c r="G285" s="122"/>
      <c r="H285" s="112"/>
      <c r="I285" s="112"/>
    </row>
    <row r="286" spans="1:22" ht="18">
      <c r="A286" s="123"/>
      <c r="B286" s="123"/>
      <c r="C286" s="124"/>
      <c r="D286" s="125"/>
      <c r="E286" s="126"/>
      <c r="F286" s="127"/>
      <c r="G286" s="127"/>
      <c r="H286" s="127"/>
      <c r="I286" s="127"/>
    </row>
    <row r="287" spans="1:22" ht="18">
      <c r="A287" s="123"/>
      <c r="B287" s="123"/>
      <c r="C287" s="124"/>
      <c r="D287" s="125"/>
      <c r="E287" s="126" t="s">
        <v>270</v>
      </c>
      <c r="F287" s="127"/>
      <c r="G287" s="127"/>
      <c r="H287" s="127"/>
      <c r="I287" s="127"/>
    </row>
    <row r="288" spans="1:22">
      <c r="A288" s="80" t="s">
        <v>143</v>
      </c>
      <c r="B288" s="80" t="s">
        <v>2</v>
      </c>
      <c r="C288" s="128" t="s">
        <v>144</v>
      </c>
      <c r="D288" s="80" t="s">
        <v>145</v>
      </c>
      <c r="E288" s="80" t="s">
        <v>146</v>
      </c>
      <c r="F288" s="81" t="s">
        <v>147</v>
      </c>
      <c r="G288" s="81" t="s">
        <v>271</v>
      </c>
      <c r="H288" s="81" t="s">
        <v>149</v>
      </c>
      <c r="I288" s="81" t="s">
        <v>150</v>
      </c>
    </row>
    <row r="289" spans="1:9">
      <c r="A289" s="129"/>
      <c r="B289" s="129" t="s">
        <v>272</v>
      </c>
      <c r="C289" s="130">
        <f>SUM(C290:C301)</f>
        <v>179320233.51666665</v>
      </c>
      <c r="D289" s="129"/>
      <c r="E289" s="129">
        <f>SUM(E290:E299)</f>
        <v>-180524004.03666663</v>
      </c>
      <c r="F289" s="131"/>
      <c r="G289" s="131"/>
      <c r="H289" s="131"/>
      <c r="I289" s="131"/>
    </row>
    <row r="290" spans="1:9">
      <c r="A290" s="132" t="s">
        <v>138</v>
      </c>
      <c r="B290" s="252" t="s">
        <v>56</v>
      </c>
      <c r="C290" s="255">
        <f>-累计利润调整表!O26/0.75-C291</f>
        <v>-18626954.093333334</v>
      </c>
      <c r="D290" s="253" t="s">
        <v>16</v>
      </c>
      <c r="E290" s="133">
        <f>-C290</f>
        <v>18626954.093333334</v>
      </c>
      <c r="F290" s="133" t="s">
        <v>16</v>
      </c>
      <c r="G290" s="133" t="s">
        <v>42</v>
      </c>
      <c r="H290" s="133" t="s">
        <v>273</v>
      </c>
      <c r="I290" s="133"/>
    </row>
    <row r="291" spans="1:9">
      <c r="A291" s="132" t="s">
        <v>154</v>
      </c>
      <c r="B291" s="132" t="s">
        <v>56</v>
      </c>
      <c r="C291" s="255">
        <v>2196408</v>
      </c>
      <c r="D291" s="253" t="s">
        <v>16</v>
      </c>
      <c r="E291" s="133">
        <f>-C291</f>
        <v>-2196408</v>
      </c>
      <c r="F291" s="133" t="s">
        <v>9</v>
      </c>
      <c r="G291" s="133" t="s">
        <v>42</v>
      </c>
      <c r="H291" s="133" t="s">
        <v>274</v>
      </c>
      <c r="I291" s="133"/>
    </row>
    <row r="292" spans="1:9">
      <c r="A292" s="132" t="s">
        <v>155</v>
      </c>
      <c r="B292" s="252" t="s">
        <v>56</v>
      </c>
      <c r="C292" s="255">
        <v>193622271.15999997</v>
      </c>
      <c r="D292" s="133" t="s">
        <v>9</v>
      </c>
      <c r="E292" s="133">
        <f t="shared" ref="E292:E298" si="38">-C292</f>
        <v>-193622271.15999997</v>
      </c>
      <c r="F292" s="133" t="s">
        <v>9</v>
      </c>
      <c r="G292" s="133" t="s">
        <v>42</v>
      </c>
      <c r="H292" s="134"/>
      <c r="I292" s="133"/>
    </row>
    <row r="293" spans="1:9">
      <c r="A293" s="132" t="s">
        <v>158</v>
      </c>
      <c r="B293" s="252" t="s">
        <v>56</v>
      </c>
      <c r="C293" s="255">
        <f>-累计利润调整表!J26/0.75</f>
        <v>872277.84</v>
      </c>
      <c r="D293" s="133" t="s">
        <v>11</v>
      </c>
      <c r="E293" s="133">
        <f t="shared" si="38"/>
        <v>-872277.84</v>
      </c>
      <c r="F293" s="133" t="s">
        <v>11</v>
      </c>
      <c r="G293" s="133" t="s">
        <v>42</v>
      </c>
      <c r="H293" s="135" t="s">
        <v>275</v>
      </c>
      <c r="I293" s="135"/>
    </row>
    <row r="294" spans="1:9">
      <c r="A294" s="132" t="s">
        <v>160</v>
      </c>
      <c r="B294" s="132" t="s">
        <v>56</v>
      </c>
      <c r="C294" s="255">
        <v>7387393.5</v>
      </c>
      <c r="D294" s="253" t="s">
        <v>13</v>
      </c>
      <c r="E294" s="133">
        <f t="shared" si="38"/>
        <v>-7387393.5</v>
      </c>
      <c r="F294" s="133" t="s">
        <v>13</v>
      </c>
      <c r="G294" s="133" t="s">
        <v>42</v>
      </c>
      <c r="H294" s="133" t="s">
        <v>276</v>
      </c>
      <c r="I294" s="133"/>
    </row>
    <row r="295" spans="1:9">
      <c r="A295" s="132" t="s">
        <v>161</v>
      </c>
      <c r="B295" s="132" t="s">
        <v>56</v>
      </c>
      <c r="C295" s="255">
        <v>167526.60999999999</v>
      </c>
      <c r="D295" s="253" t="s">
        <v>15</v>
      </c>
      <c r="E295" s="136">
        <f t="shared" si="38"/>
        <v>-167526.60999999999</v>
      </c>
      <c r="F295" s="133" t="s">
        <v>10</v>
      </c>
      <c r="G295" s="133" t="s">
        <v>42</v>
      </c>
      <c r="H295" s="133" t="s">
        <v>534</v>
      </c>
      <c r="I295" s="133"/>
    </row>
    <row r="296" spans="1:9">
      <c r="A296" s="132" t="s">
        <v>163</v>
      </c>
      <c r="B296" s="252" t="s">
        <v>56</v>
      </c>
      <c r="C296" s="255">
        <v>174941.23</v>
      </c>
      <c r="D296" s="133" t="s">
        <v>8</v>
      </c>
      <c r="E296" s="133">
        <f t="shared" si="38"/>
        <v>-174941.23</v>
      </c>
      <c r="F296" s="133" t="s">
        <v>8</v>
      </c>
      <c r="G296" s="133" t="s">
        <v>42</v>
      </c>
      <c r="H296" s="133" t="s">
        <v>277</v>
      </c>
      <c r="I296" s="133"/>
    </row>
    <row r="297" spans="1:9">
      <c r="A297" s="132" t="s">
        <v>165</v>
      </c>
      <c r="B297" s="252" t="s">
        <v>56</v>
      </c>
      <c r="C297" s="251">
        <f>-3047616-335053.2</f>
        <v>-3382669.2</v>
      </c>
      <c r="D297" s="133" t="s">
        <v>10</v>
      </c>
      <c r="E297" s="133">
        <f t="shared" si="38"/>
        <v>3382669.2</v>
      </c>
      <c r="F297" s="133" t="s">
        <v>10</v>
      </c>
      <c r="G297" s="133" t="s">
        <v>42</v>
      </c>
      <c r="H297" s="133" t="s">
        <v>278</v>
      </c>
      <c r="I297" s="135"/>
    </row>
    <row r="298" spans="1:9">
      <c r="A298" s="132" t="s">
        <v>166</v>
      </c>
      <c r="B298" s="252" t="s">
        <v>56</v>
      </c>
      <c r="C298" s="255">
        <f>-累计利润调整表!E26/0.75</f>
        <v>-1719664.4000000001</v>
      </c>
      <c r="D298" s="253" t="s">
        <v>6</v>
      </c>
      <c r="E298" s="133">
        <f t="shared" si="38"/>
        <v>1719664.4000000001</v>
      </c>
      <c r="F298" s="133" t="s">
        <v>6</v>
      </c>
      <c r="G298" s="133" t="s">
        <v>42</v>
      </c>
      <c r="H298" s="135" t="s">
        <v>279</v>
      </c>
      <c r="I298" s="135"/>
    </row>
    <row r="299" spans="1:9">
      <c r="A299" s="132"/>
      <c r="B299" s="132" t="s">
        <v>56</v>
      </c>
      <c r="C299" s="255">
        <f>-C295</f>
        <v>-167526.60999999999</v>
      </c>
      <c r="D299" s="253" t="s">
        <v>15</v>
      </c>
      <c r="E299" s="136">
        <f t="shared" ref="E299:E301" si="39">-C299</f>
        <v>167526.60999999999</v>
      </c>
      <c r="F299" s="133" t="s">
        <v>15</v>
      </c>
      <c r="G299" s="133" t="s">
        <v>42</v>
      </c>
      <c r="H299" s="133" t="s">
        <v>534</v>
      </c>
      <c r="I299" s="135"/>
    </row>
    <row r="300" spans="1:9">
      <c r="A300" s="137"/>
      <c r="B300" s="267" t="s">
        <v>56</v>
      </c>
      <c r="C300" s="253">
        <f>ROUND(-1203770.51/2,2)</f>
        <v>-601885.26</v>
      </c>
      <c r="D300" s="253" t="s">
        <v>13</v>
      </c>
      <c r="E300" s="268">
        <f t="shared" si="39"/>
        <v>601885.26</v>
      </c>
      <c r="F300" s="268" t="s">
        <v>10</v>
      </c>
      <c r="G300" s="268" t="s">
        <v>42</v>
      </c>
      <c r="H300" s="268" t="s">
        <v>551</v>
      </c>
      <c r="I300" s="139"/>
    </row>
    <row r="301" spans="1:9">
      <c r="A301" s="137"/>
      <c r="B301" s="267" t="s">
        <v>56</v>
      </c>
      <c r="C301" s="253">
        <f>ROUND(-1203770.51/2,2)</f>
        <v>-601885.26</v>
      </c>
      <c r="D301" s="253" t="s">
        <v>13</v>
      </c>
      <c r="E301" s="268">
        <f t="shared" si="39"/>
        <v>601885.26</v>
      </c>
      <c r="F301" s="268" t="s">
        <v>15</v>
      </c>
      <c r="G301" s="268" t="s">
        <v>42</v>
      </c>
      <c r="H301" s="269" t="s">
        <v>552</v>
      </c>
      <c r="I301" s="139"/>
    </row>
    <row r="302" spans="1:9">
      <c r="A302" s="73"/>
      <c r="B302" s="73" t="s">
        <v>280</v>
      </c>
      <c r="C302" s="138"/>
      <c r="D302" s="73"/>
      <c r="E302" s="73"/>
      <c r="F302" s="73"/>
      <c r="G302" s="73"/>
      <c r="H302" s="73"/>
    </row>
    <row r="303" spans="1:9">
      <c r="A303" s="73"/>
      <c r="B303" s="73" t="s">
        <v>281</v>
      </c>
      <c r="C303" s="138"/>
      <c r="D303" s="73"/>
      <c r="E303" s="73"/>
      <c r="F303" s="73"/>
      <c r="G303" s="73"/>
      <c r="H303" s="73"/>
    </row>
    <row r="304" spans="1:9">
      <c r="A304" s="73"/>
      <c r="B304" s="73" t="s">
        <v>282</v>
      </c>
      <c r="C304" s="138"/>
      <c r="D304" s="73"/>
      <c r="E304" s="73"/>
      <c r="F304" s="73"/>
      <c r="G304" s="73"/>
      <c r="H304" s="73"/>
    </row>
    <row r="305" spans="1:8">
      <c r="A305" s="73"/>
      <c r="B305" s="73" t="s">
        <v>283</v>
      </c>
      <c r="C305" s="138"/>
      <c r="D305" s="73"/>
      <c r="E305" s="73"/>
      <c r="F305" s="73"/>
      <c r="G305" s="73"/>
      <c r="H305" s="73"/>
    </row>
    <row r="306" spans="1:8">
      <c r="A306" s="73"/>
      <c r="B306" s="73" t="s">
        <v>284</v>
      </c>
      <c r="C306" s="138"/>
      <c r="D306" s="91"/>
      <c r="E306" s="91"/>
      <c r="F306" s="73"/>
      <c r="G306" s="73"/>
      <c r="H306" s="73"/>
    </row>
    <row r="307" spans="1:8">
      <c r="A307" s="73"/>
      <c r="B307" s="73"/>
      <c r="C307" s="138"/>
      <c r="D307" s="73"/>
      <c r="E307" s="73"/>
      <c r="F307" s="73"/>
      <c r="G307" s="73"/>
      <c r="H307" s="73"/>
    </row>
    <row r="308" spans="1:8">
      <c r="A308" s="73"/>
      <c r="B308" s="73" t="s">
        <v>58</v>
      </c>
      <c r="C308" s="140">
        <f>C289+累计利润调整表!B58</f>
        <v>-3.3333301544189453E-3</v>
      </c>
      <c r="D308" s="270">
        <f>C297+C296+C293+C292+累计利润调整表!G28+累计利润调整表!H28+累计利润调整表!I28+累计利润调整表!J28</f>
        <v>3.3333286410197616E-3</v>
      </c>
      <c r="E308" s="91">
        <f>D308/2</f>
        <v>1.6666643205098808E-3</v>
      </c>
      <c r="F308" s="73"/>
      <c r="G308" s="73"/>
      <c r="H308" s="73"/>
    </row>
    <row r="309" spans="1:8">
      <c r="C309" s="227"/>
    </row>
    <row r="310" spans="1:8">
      <c r="C310" s="90"/>
    </row>
  </sheetData>
  <autoFilter ref="A228:Y275"/>
  <dataConsolidate/>
  <mergeCells count="1">
    <mergeCell ref="A48:I48"/>
  </mergeCells>
  <phoneticPr fontId="34" type="noConversion"/>
  <conditionalFormatting sqref="D241">
    <cfRule type="expression" dxfId="15" priority="14" stopIfTrue="1">
      <formula>LEFT(B216,1)="综"</formula>
    </cfRule>
  </conditionalFormatting>
  <conditionalFormatting sqref="D256">
    <cfRule type="expression" dxfId="14" priority="21" stopIfTrue="1">
      <formula>LEFT(B237,1)="综"</formula>
    </cfRule>
  </conditionalFormatting>
  <conditionalFormatting sqref="D257:D259">
    <cfRule type="expression" dxfId="13" priority="19" stopIfTrue="1">
      <formula>LEFT(#REF!,1)="综"</formula>
    </cfRule>
  </conditionalFormatting>
  <conditionalFormatting sqref="D106:D140">
    <cfRule type="expression" dxfId="12" priority="74" stopIfTrue="1">
      <formula>LEFT(B52,1)="综"</formula>
    </cfRule>
  </conditionalFormatting>
  <conditionalFormatting sqref="D168:D202">
    <cfRule type="expression" dxfId="11" priority="75" stopIfTrue="1">
      <formula>LEFT(B52,1)="综"</formula>
    </cfRule>
  </conditionalFormatting>
  <conditionalFormatting sqref="D141:D166">
    <cfRule type="expression" dxfId="10" priority="77" stopIfTrue="1">
      <formula>LEFT(B86,1)="综"</formula>
    </cfRule>
  </conditionalFormatting>
  <conditionalFormatting sqref="D203:D227">
    <cfRule type="expression" dxfId="9" priority="79" stopIfTrue="1">
      <formula>LEFT(B86,1)="综"</formula>
    </cfRule>
  </conditionalFormatting>
  <conditionalFormatting sqref="D254:D255">
    <cfRule type="expression" dxfId="8" priority="9" stopIfTrue="1">
      <formula>LEFT(B165,1)="综"</formula>
    </cfRule>
  </conditionalFormatting>
  <conditionalFormatting sqref="D269">
    <cfRule type="expression" dxfId="7" priority="8" stopIfTrue="1">
      <formula>LEFT(B240,1)="综"</formula>
    </cfRule>
  </conditionalFormatting>
  <conditionalFormatting sqref="D272">
    <cfRule type="expression" dxfId="6" priority="7" stopIfTrue="1">
      <formula>LEFT(B243,1)="综"</formula>
    </cfRule>
  </conditionalFormatting>
  <conditionalFormatting sqref="D300:D301">
    <cfRule type="containsText" dxfId="5" priority="2" operator="containsText" text="投顾业务部">
      <formula>NOT(ISERROR(SEARCH("投顾业务部",D300)))</formula>
    </cfRule>
    <cfRule type="containsText" dxfId="4" priority="5" operator="containsText" text="固定收益投资部">
      <formula>NOT(ISERROR(SEARCH("固定收益投资部",D300)))</formula>
    </cfRule>
    <cfRule type="containsText" dxfId="3" priority="6" operator="containsText" text="固定收益市场部">
      <formula>NOT(ISERROR(SEARCH("固定收益市场部",D300)))</formula>
    </cfRule>
  </conditionalFormatting>
  <conditionalFormatting sqref="F300:F301">
    <cfRule type="containsText" dxfId="2" priority="1" operator="containsText" text="投顾业务部">
      <formula>NOT(ISERROR(SEARCH("投顾业务部",F300)))</formula>
    </cfRule>
    <cfRule type="containsText" dxfId="1" priority="3" operator="containsText" text="固定收益投资部">
      <formula>NOT(ISERROR(SEARCH("固定收益投资部",F300)))</formula>
    </cfRule>
    <cfRule type="containsText" dxfId="0" priority="4" operator="containsText" text="固定收益市场部">
      <formula>NOT(ISERROR(SEARCH("固定收益市场部",F300)))</formula>
    </cfRule>
  </conditionalFormatting>
  <dataValidations count="10">
    <dataValidation type="list" allowBlank="1" showInputMessage="1" showErrorMessage="1" sqref="F250:F252 F70:F77 F302:F1048576 D102 D293:D296 F102 D52:D54 F293:F296 D105:D228 D56:D59 D83 D69:D73 F98:F100 D63:D67 F1:F67 D76:D81 F79:F82 F87:F96 D85:D100 F230:F242 F276:F290 D230:D252 D276:D291 D298:D299 F256:F268 D256:D268 F298:F299 F105:F228">
      <formula1>$K$1:$K$29</formula1>
    </dataValidation>
    <dataValidation type="list" allowBlank="1" showInputMessage="1" showErrorMessage="1" sqref="D292 D297 D68 D82 D84 F83:F86 D60:D62 D74:D75 D271">
      <formula1>$K$1:$K$30</formula1>
    </dataValidation>
    <dataValidation type="list" allowBlank="1" showInputMessage="1" showErrorMessage="1" sqref="D229 F229 F297 F291:F292 F243:F249 F78 D253:D255 F253:F255 F273:F274 D273:D274">
      <formula1>$K$1:$K$24</formula1>
    </dataValidation>
    <dataValidation type="list" allowBlank="1" showInputMessage="1" showErrorMessage="1" sqref="F103:F104 D103:D104 F97 D101 F101 F68:F69 F275 D275">
      <formula1>$K$1:$K$25</formula1>
    </dataValidation>
    <dataValidation type="list" allowBlank="1" showInputMessage="1" showErrorMessage="1" sqref="B106:B166 G290:G301 B52:B104 B290:B301 B168:B275">
      <formula1>$I$1:$I$17</formula1>
    </dataValidation>
    <dataValidation type="list" allowBlank="1" showInputMessage="1" showErrorMessage="1" sqref="E278:E284">
      <formula1>部门名称</formula1>
    </dataValidation>
    <dataValidation type="list" allowBlank="1" showInputMessage="1" showErrorMessage="1" sqref="D55">
      <formula1>$K$1:$K$31</formula1>
    </dataValidation>
    <dataValidation type="list" allowBlank="1" showInputMessage="1" showErrorMessage="1" sqref="G168:G275">
      <formula1>$M$1:$M$44</formula1>
    </dataValidation>
    <dataValidation type="list" allowBlank="1" showInputMessage="1" showErrorMessage="1" sqref="D300:D301 D269:D270 D272 F269:F272 F301">
      <formula1>$K$1:$K$21</formula1>
    </dataValidation>
    <dataValidation type="list" allowBlank="1" showInputMessage="1" showErrorMessage="1" sqref="F300">
      <formula1>$K$1:$K$35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285</v>
      </c>
    </row>
    <row r="2" spans="1:8">
      <c r="A2" t="s">
        <v>286</v>
      </c>
    </row>
    <row r="3" spans="1:8">
      <c r="A3" t="s">
        <v>287</v>
      </c>
    </row>
    <row r="4" spans="1:8">
      <c r="A4" t="s">
        <v>288</v>
      </c>
    </row>
    <row r="5" spans="1:8">
      <c r="A5" t="s">
        <v>289</v>
      </c>
    </row>
    <row r="6" spans="1:8">
      <c r="A6" t="s">
        <v>290</v>
      </c>
    </row>
    <row r="7" spans="1:8">
      <c r="A7" t="s">
        <v>291</v>
      </c>
    </row>
    <row r="8" spans="1:8">
      <c r="A8" t="s">
        <v>285</v>
      </c>
    </row>
    <row r="9" spans="1:8">
      <c r="A9" t="s">
        <v>286</v>
      </c>
    </row>
    <row r="10" spans="1:8">
      <c r="A10" t="s">
        <v>287</v>
      </c>
    </row>
    <row r="11" spans="1:8">
      <c r="A11" t="s">
        <v>288</v>
      </c>
    </row>
    <row r="12" spans="1:8">
      <c r="A12" t="s">
        <v>289</v>
      </c>
    </row>
    <row r="13" spans="1:8">
      <c r="A13" t="s">
        <v>290</v>
      </c>
    </row>
    <row r="14" spans="1:8">
      <c r="A14" t="s">
        <v>291</v>
      </c>
    </row>
    <row r="15" spans="1:8">
      <c r="A15">
        <v>1</v>
      </c>
      <c r="B15" t="s">
        <v>292</v>
      </c>
      <c r="C15">
        <v>13.858000000000001</v>
      </c>
      <c r="D15">
        <v>11.4</v>
      </c>
      <c r="E15">
        <v>43</v>
      </c>
      <c r="F15" t="s">
        <v>293</v>
      </c>
      <c r="G15">
        <v>0.26</v>
      </c>
      <c r="H15">
        <v>0.247</v>
      </c>
    </row>
    <row r="16" spans="1:8">
      <c r="A16">
        <v>2</v>
      </c>
      <c r="B16" t="s">
        <v>294</v>
      </c>
      <c r="C16">
        <v>10.355</v>
      </c>
      <c r="D16">
        <v>10.401999999999999</v>
      </c>
      <c r="E16">
        <v>44</v>
      </c>
      <c r="F16" t="s">
        <v>295</v>
      </c>
      <c r="G16">
        <v>0.251</v>
      </c>
      <c r="H16">
        <v>0.128</v>
      </c>
    </row>
    <row r="17" spans="1:8">
      <c r="A17">
        <v>3</v>
      </c>
      <c r="B17" t="s">
        <v>296</v>
      </c>
      <c r="C17">
        <v>3.294</v>
      </c>
      <c r="D17">
        <v>4.7709999999999999</v>
      </c>
      <c r="E17">
        <v>45</v>
      </c>
      <c r="F17" t="s">
        <v>297</v>
      </c>
      <c r="G17">
        <v>0.24</v>
      </c>
      <c r="H17">
        <v>0.23799999999999999</v>
      </c>
    </row>
    <row r="18" spans="1:8">
      <c r="A18">
        <v>4</v>
      </c>
      <c r="B18" t="s">
        <v>298</v>
      </c>
      <c r="C18">
        <v>3.528</v>
      </c>
      <c r="D18">
        <v>4.4770000000000003</v>
      </c>
      <c r="E18">
        <v>46</v>
      </c>
      <c r="F18" t="s">
        <v>299</v>
      </c>
      <c r="G18">
        <v>0.221</v>
      </c>
      <c r="H18">
        <v>0.23699999999999999</v>
      </c>
    </row>
    <row r="19" spans="1:8">
      <c r="A19">
        <v>5</v>
      </c>
      <c r="B19" t="s">
        <v>300</v>
      </c>
      <c r="C19">
        <v>4.5739999999999998</v>
      </c>
      <c r="D19">
        <v>4.2050000000000001</v>
      </c>
      <c r="E19">
        <v>47</v>
      </c>
      <c r="F19" t="s">
        <v>301</v>
      </c>
      <c r="G19">
        <v>0.218</v>
      </c>
      <c r="H19">
        <v>0.20200000000000001</v>
      </c>
    </row>
    <row r="20" spans="1:8">
      <c r="A20">
        <v>6</v>
      </c>
      <c r="B20" t="s">
        <v>302</v>
      </c>
      <c r="C20">
        <v>2.7639999999999998</v>
      </c>
      <c r="D20">
        <v>3.5790000000000002</v>
      </c>
      <c r="E20">
        <v>48</v>
      </c>
      <c r="F20" t="s">
        <v>303</v>
      </c>
      <c r="G20">
        <v>0.20799999999999999</v>
      </c>
      <c r="H20">
        <v>0.312</v>
      </c>
    </row>
    <row r="21" spans="1:8">
      <c r="A21">
        <v>7</v>
      </c>
      <c r="B21" t="s">
        <v>304</v>
      </c>
      <c r="C21">
        <v>3.75</v>
      </c>
      <c r="D21">
        <v>3.5470000000000002</v>
      </c>
      <c r="E21">
        <v>49</v>
      </c>
      <c r="F21" t="s">
        <v>305</v>
      </c>
      <c r="G21">
        <v>0.20300000000000001</v>
      </c>
      <c r="H21">
        <v>0.11799999999999999</v>
      </c>
    </row>
    <row r="22" spans="1:8">
      <c r="A22">
        <v>8</v>
      </c>
      <c r="B22" t="s">
        <v>306</v>
      </c>
      <c r="C22">
        <v>2.3929999999999998</v>
      </c>
      <c r="D22">
        <v>3.34</v>
      </c>
      <c r="E22">
        <v>50</v>
      </c>
      <c r="F22" t="s">
        <v>307</v>
      </c>
      <c r="G22">
        <v>0.18099999999999999</v>
      </c>
      <c r="H22">
        <v>0.35199999999999998</v>
      </c>
    </row>
    <row r="23" spans="1:8">
      <c r="A23">
        <v>9</v>
      </c>
      <c r="B23" t="s">
        <v>308</v>
      </c>
      <c r="C23">
        <v>2.8340000000000001</v>
      </c>
      <c r="D23">
        <v>3.0310000000000001</v>
      </c>
      <c r="E23">
        <v>51</v>
      </c>
      <c r="F23" t="s">
        <v>309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310</v>
      </c>
      <c r="C24">
        <v>2.952</v>
      </c>
      <c r="D24">
        <v>3.0009999999999999</v>
      </c>
      <c r="E24">
        <v>52</v>
      </c>
      <c r="F24" t="s">
        <v>311</v>
      </c>
      <c r="G24">
        <v>0.17499999999999999</v>
      </c>
      <c r="H24">
        <v>0.157</v>
      </c>
    </row>
    <row r="25" spans="1:8">
      <c r="A25">
        <v>11</v>
      </c>
      <c r="B25" t="s">
        <v>312</v>
      </c>
      <c r="C25">
        <v>2.411</v>
      </c>
      <c r="D25">
        <v>2.9990000000000001</v>
      </c>
      <c r="E25">
        <v>53</v>
      </c>
      <c r="F25" t="s">
        <v>313</v>
      </c>
      <c r="G25">
        <v>0.158</v>
      </c>
      <c r="H25">
        <v>7.2999999999999995E-2</v>
      </c>
    </row>
    <row r="26" spans="1:8">
      <c r="A26">
        <v>12</v>
      </c>
      <c r="B26" t="s">
        <v>314</v>
      </c>
      <c r="C26">
        <v>2.782</v>
      </c>
      <c r="D26">
        <v>2.516</v>
      </c>
      <c r="E26">
        <v>54</v>
      </c>
      <c r="F26" t="s">
        <v>315</v>
      </c>
      <c r="G26">
        <v>0.14799999999999999</v>
      </c>
      <c r="H26">
        <v>8.5999999999999993E-2</v>
      </c>
    </row>
    <row r="27" spans="1:8">
      <c r="A27">
        <v>13</v>
      </c>
      <c r="B27" t="s">
        <v>316</v>
      </c>
      <c r="C27">
        <v>2.9039999999999999</v>
      </c>
      <c r="D27">
        <v>2.4020000000000001</v>
      </c>
      <c r="E27">
        <v>55</v>
      </c>
      <c r="F27" t="s">
        <v>317</v>
      </c>
      <c r="G27">
        <v>0.14000000000000001</v>
      </c>
      <c r="H27">
        <v>0.23799999999999999</v>
      </c>
    </row>
    <row r="28" spans="1:8">
      <c r="A28">
        <v>14</v>
      </c>
      <c r="B28" t="s">
        <v>318</v>
      </c>
      <c r="C28">
        <v>1.1459999999999999</v>
      </c>
      <c r="D28">
        <v>1.873</v>
      </c>
      <c r="E28">
        <v>56</v>
      </c>
      <c r="F28" t="s">
        <v>319</v>
      </c>
      <c r="G28">
        <v>0.13</v>
      </c>
      <c r="H28">
        <v>8.8999999999999996E-2</v>
      </c>
    </row>
    <row r="29" spans="1:8">
      <c r="A29">
        <v>15</v>
      </c>
      <c r="B29" t="s">
        <v>320</v>
      </c>
      <c r="C29">
        <v>1.833</v>
      </c>
      <c r="D29">
        <v>1.829</v>
      </c>
      <c r="E29">
        <v>57</v>
      </c>
      <c r="F29" t="s">
        <v>321</v>
      </c>
      <c r="G29">
        <v>0.12</v>
      </c>
      <c r="H29">
        <v>0.104</v>
      </c>
    </row>
    <row r="30" spans="1:8">
      <c r="A30">
        <v>16</v>
      </c>
      <c r="B30" t="s">
        <v>322</v>
      </c>
      <c r="C30">
        <v>1.5069999999999999</v>
      </c>
      <c r="D30">
        <v>1.5940000000000001</v>
      </c>
      <c r="E30">
        <v>58</v>
      </c>
      <c r="F30" t="s">
        <v>323</v>
      </c>
      <c r="G30">
        <v>0.112</v>
      </c>
      <c r="H30">
        <v>0.157</v>
      </c>
    </row>
    <row r="31" spans="1:8">
      <c r="A31">
        <v>17</v>
      </c>
      <c r="B31" t="s">
        <v>324</v>
      </c>
      <c r="C31">
        <v>1.407</v>
      </c>
      <c r="D31">
        <v>1.534</v>
      </c>
      <c r="E31">
        <v>59</v>
      </c>
      <c r="F31" t="s">
        <v>325</v>
      </c>
      <c r="G31">
        <v>0.107</v>
      </c>
      <c r="H31">
        <v>0.10100000000000001</v>
      </c>
    </row>
    <row r="32" spans="1:8">
      <c r="A32">
        <v>18</v>
      </c>
      <c r="B32" t="s">
        <v>326</v>
      </c>
      <c r="C32">
        <v>1.264</v>
      </c>
      <c r="D32">
        <v>1.49</v>
      </c>
      <c r="E32">
        <v>60</v>
      </c>
      <c r="F32" t="s">
        <v>327</v>
      </c>
      <c r="G32">
        <v>0.10199999999999999</v>
      </c>
      <c r="H32">
        <v>9.9000000000000005E-2</v>
      </c>
    </row>
    <row r="33" spans="1:8">
      <c r="A33">
        <v>19</v>
      </c>
      <c r="B33" t="s">
        <v>328</v>
      </c>
      <c r="C33">
        <v>1.099</v>
      </c>
      <c r="D33">
        <v>1.171</v>
      </c>
      <c r="E33">
        <v>61</v>
      </c>
      <c r="F33" t="s">
        <v>329</v>
      </c>
      <c r="G33">
        <v>9.9000000000000005E-2</v>
      </c>
      <c r="H33">
        <v>6.8000000000000005E-2</v>
      </c>
    </row>
    <row r="34" spans="1:8">
      <c r="A34">
        <v>20</v>
      </c>
      <c r="B34" t="s">
        <v>330</v>
      </c>
      <c r="C34">
        <v>0.73899999999999999</v>
      </c>
      <c r="D34">
        <v>0.99099999999999999</v>
      </c>
      <c r="E34">
        <v>62</v>
      </c>
      <c r="F34" t="s">
        <v>331</v>
      </c>
      <c r="G34">
        <v>9.2999999999999999E-2</v>
      </c>
      <c r="H34">
        <v>0.11</v>
      </c>
    </row>
    <row r="35" spans="1:8">
      <c r="A35">
        <v>21</v>
      </c>
      <c r="B35" t="s">
        <v>332</v>
      </c>
      <c r="C35">
        <v>0.73799999999999999</v>
      </c>
      <c r="D35">
        <v>0.97899999999999998</v>
      </c>
      <c r="E35">
        <v>63</v>
      </c>
      <c r="F35" t="s">
        <v>333</v>
      </c>
      <c r="G35">
        <v>7.0000000000000007E-2</v>
      </c>
      <c r="H35">
        <v>0.11700000000000001</v>
      </c>
    </row>
    <row r="36" spans="1:8">
      <c r="A36">
        <v>22</v>
      </c>
      <c r="B36" t="s">
        <v>334</v>
      </c>
      <c r="C36">
        <v>1.202</v>
      </c>
      <c r="D36">
        <v>0.92100000000000004</v>
      </c>
      <c r="E36">
        <v>64</v>
      </c>
      <c r="F36" t="s">
        <v>335</v>
      </c>
      <c r="G36">
        <v>6.3E-2</v>
      </c>
      <c r="H36">
        <v>3.3000000000000002E-2</v>
      </c>
    </row>
    <row r="37" spans="1:8">
      <c r="A37">
        <v>23</v>
      </c>
      <c r="B37" t="s">
        <v>336</v>
      </c>
      <c r="C37">
        <v>1.3140000000000001</v>
      </c>
      <c r="D37">
        <v>0.88800000000000001</v>
      </c>
      <c r="E37">
        <v>65</v>
      </c>
      <c r="F37" t="s">
        <v>337</v>
      </c>
      <c r="G37">
        <v>5.7000000000000002E-2</v>
      </c>
      <c r="H37">
        <v>5.6000000000000001E-2</v>
      </c>
    </row>
    <row r="38" spans="1:8">
      <c r="A38">
        <v>24</v>
      </c>
      <c r="B38" t="s">
        <v>338</v>
      </c>
      <c r="C38">
        <v>0.81799999999999995</v>
      </c>
      <c r="D38">
        <v>0.82799999999999996</v>
      </c>
      <c r="E38">
        <v>66</v>
      </c>
      <c r="F38" t="s">
        <v>339</v>
      </c>
      <c r="G38">
        <v>4.9000000000000002E-2</v>
      </c>
      <c r="H38">
        <v>7.2999999999999995E-2</v>
      </c>
    </row>
    <row r="39" spans="1:8">
      <c r="A39">
        <v>25</v>
      </c>
      <c r="B39" t="s">
        <v>340</v>
      </c>
      <c r="C39">
        <v>0.72099999999999997</v>
      </c>
      <c r="D39">
        <v>0.82299999999999995</v>
      </c>
      <c r="E39">
        <v>67</v>
      </c>
      <c r="F39" t="s">
        <v>341</v>
      </c>
      <c r="G39">
        <v>4.4999999999999998E-2</v>
      </c>
      <c r="H39">
        <v>4.7E-2</v>
      </c>
    </row>
    <row r="40" spans="1:8">
      <c r="A40">
        <v>26</v>
      </c>
      <c r="B40" t="s">
        <v>342</v>
      </c>
      <c r="C40">
        <v>0.86</v>
      </c>
      <c r="D40">
        <v>0.73499999999999999</v>
      </c>
      <c r="E40">
        <v>68</v>
      </c>
      <c r="F40" t="s">
        <v>343</v>
      </c>
      <c r="G40">
        <v>4.1000000000000002E-2</v>
      </c>
      <c r="H40">
        <v>1.4999999999999999E-2</v>
      </c>
    </row>
    <row r="41" spans="1:8">
      <c r="A41">
        <v>27</v>
      </c>
      <c r="B41" t="s">
        <v>344</v>
      </c>
      <c r="C41">
        <v>0.498</v>
      </c>
      <c r="D41">
        <v>0.72399999999999998</v>
      </c>
      <c r="E41">
        <v>69</v>
      </c>
      <c r="F41" t="s">
        <v>345</v>
      </c>
      <c r="G41">
        <v>3.5000000000000003E-2</v>
      </c>
      <c r="H41">
        <v>0.10199999999999999</v>
      </c>
    </row>
    <row r="42" spans="1:8">
      <c r="A42">
        <v>28</v>
      </c>
      <c r="B42" t="s">
        <v>346</v>
      </c>
      <c r="C42">
        <v>0.49399999999999999</v>
      </c>
      <c r="D42">
        <v>0.63800000000000001</v>
      </c>
      <c r="E42">
        <v>70</v>
      </c>
      <c r="F42" t="s">
        <v>347</v>
      </c>
      <c r="G42">
        <v>3.4000000000000002E-2</v>
      </c>
      <c r="H42">
        <v>3.2000000000000001E-2</v>
      </c>
    </row>
    <row r="43" spans="1:8">
      <c r="A43">
        <v>29</v>
      </c>
      <c r="B43" t="s">
        <v>348</v>
      </c>
      <c r="C43">
        <v>0.76100000000000001</v>
      </c>
      <c r="D43">
        <v>0.56299999999999994</v>
      </c>
      <c r="E43">
        <v>71</v>
      </c>
      <c r="F43" t="s">
        <v>349</v>
      </c>
      <c r="G43">
        <v>3.4000000000000002E-2</v>
      </c>
      <c r="H43">
        <v>2.7E-2</v>
      </c>
    </row>
    <row r="44" spans="1:8">
      <c r="A44">
        <v>30</v>
      </c>
      <c r="B44" t="s">
        <v>350</v>
      </c>
      <c r="C44">
        <v>0.28100000000000003</v>
      </c>
      <c r="D44">
        <v>0.46</v>
      </c>
      <c r="E44">
        <v>72</v>
      </c>
      <c r="F44" t="s">
        <v>351</v>
      </c>
      <c r="G44">
        <v>2.8000000000000001E-2</v>
      </c>
      <c r="H44">
        <v>8.0000000000000002E-3</v>
      </c>
    </row>
    <row r="45" spans="1:8">
      <c r="A45">
        <v>31</v>
      </c>
      <c r="B45" t="s">
        <v>352</v>
      </c>
      <c r="C45">
        <v>0.504</v>
      </c>
      <c r="D45">
        <v>0.45800000000000002</v>
      </c>
      <c r="E45">
        <v>73</v>
      </c>
      <c r="F45" t="s">
        <v>353</v>
      </c>
      <c r="G45">
        <v>1.7999999999999999E-2</v>
      </c>
      <c r="H45">
        <v>3.3000000000000002E-2</v>
      </c>
    </row>
    <row r="46" spans="1:8">
      <c r="A46">
        <v>32</v>
      </c>
      <c r="B46" t="s">
        <v>354</v>
      </c>
      <c r="C46">
        <v>0.51200000000000001</v>
      </c>
      <c r="D46">
        <v>0.442</v>
      </c>
      <c r="E46">
        <v>74</v>
      </c>
      <c r="F46" t="s">
        <v>355</v>
      </c>
      <c r="G46">
        <v>1.4E-2</v>
      </c>
      <c r="H46">
        <v>1.2E-2</v>
      </c>
    </row>
    <row r="47" spans="1:8">
      <c r="A47">
        <v>33</v>
      </c>
      <c r="B47" t="s">
        <v>356</v>
      </c>
      <c r="C47">
        <v>0.44</v>
      </c>
      <c r="D47">
        <v>0.41799999999999998</v>
      </c>
      <c r="E47">
        <v>75</v>
      </c>
      <c r="F47" t="s">
        <v>357</v>
      </c>
      <c r="G47">
        <v>1.2999999999999999E-2</v>
      </c>
      <c r="H47">
        <v>0.17199999999999999</v>
      </c>
    </row>
    <row r="48" spans="1:8">
      <c r="A48">
        <v>34</v>
      </c>
      <c r="B48" t="s">
        <v>309</v>
      </c>
      <c r="C48">
        <v>0.17599999999999999</v>
      </c>
      <c r="D48">
        <v>0.41499999999999998</v>
      </c>
      <c r="E48">
        <v>76</v>
      </c>
      <c r="F48" t="s">
        <v>358</v>
      </c>
      <c r="G48">
        <v>0.01</v>
      </c>
      <c r="H48">
        <v>8.9999999999999993E-3</v>
      </c>
    </row>
    <row r="49" spans="1:15">
      <c r="A49">
        <v>35</v>
      </c>
      <c r="B49" t="s">
        <v>359</v>
      </c>
      <c r="C49">
        <v>0.52500000000000002</v>
      </c>
      <c r="D49">
        <v>0.40699999999999997</v>
      </c>
      <c r="E49">
        <v>77</v>
      </c>
      <c r="F49" t="s">
        <v>360</v>
      </c>
      <c r="G49">
        <v>6.0000000000000001E-3</v>
      </c>
      <c r="H49">
        <v>1.0999999999999999E-2</v>
      </c>
    </row>
    <row r="50" spans="1:15">
      <c r="A50">
        <v>36</v>
      </c>
      <c r="B50" t="s">
        <v>361</v>
      </c>
      <c r="C50">
        <v>0.316</v>
      </c>
      <c r="D50">
        <v>0.40500000000000003</v>
      </c>
      <c r="E50">
        <v>78</v>
      </c>
      <c r="F50" t="s">
        <v>362</v>
      </c>
      <c r="G50">
        <v>6.0000000000000001E-3</v>
      </c>
      <c r="H50">
        <v>1.0999999999999999E-2</v>
      </c>
    </row>
    <row r="51" spans="1:15">
      <c r="A51">
        <v>37</v>
      </c>
      <c r="B51" t="s">
        <v>363</v>
      </c>
      <c r="C51">
        <v>0.44900000000000001</v>
      </c>
      <c r="D51">
        <v>0.39300000000000002</v>
      </c>
      <c r="E51">
        <v>79</v>
      </c>
      <c r="F51" t="s">
        <v>364</v>
      </c>
      <c r="G51">
        <v>5.0000000000000001E-3</v>
      </c>
      <c r="H51">
        <v>2.8000000000000001E-2</v>
      </c>
    </row>
    <row r="52" spans="1:15">
      <c r="A52">
        <v>38</v>
      </c>
      <c r="B52" t="s">
        <v>365</v>
      </c>
      <c r="C52">
        <v>0.38100000000000001</v>
      </c>
      <c r="D52">
        <v>0.38800000000000001</v>
      </c>
      <c r="E52">
        <v>80</v>
      </c>
      <c r="F52" t="s">
        <v>366</v>
      </c>
      <c r="G52">
        <v>1E-3</v>
      </c>
      <c r="H52">
        <v>4.0000000000000001E-3</v>
      </c>
    </row>
    <row r="53" spans="1:15">
      <c r="A53">
        <v>39</v>
      </c>
      <c r="B53" t="s">
        <v>367</v>
      </c>
      <c r="C53">
        <v>0.377</v>
      </c>
      <c r="D53">
        <v>0.36899999999999999</v>
      </c>
      <c r="E53">
        <v>81</v>
      </c>
      <c r="F53" t="s">
        <v>368</v>
      </c>
      <c r="G53">
        <v>1E-3</v>
      </c>
      <c r="H53">
        <v>1E-3</v>
      </c>
    </row>
    <row r="54" spans="1:15">
      <c r="A54">
        <v>40</v>
      </c>
      <c r="B54" t="s">
        <v>307</v>
      </c>
      <c r="C54">
        <v>0.18099999999999999</v>
      </c>
      <c r="D54">
        <v>0.35199999999999998</v>
      </c>
      <c r="E54">
        <v>82</v>
      </c>
      <c r="F54" t="s">
        <v>369</v>
      </c>
      <c r="G54">
        <v>0</v>
      </c>
      <c r="H54">
        <v>1E-3</v>
      </c>
    </row>
    <row r="55" spans="1:15">
      <c r="A55">
        <v>41</v>
      </c>
      <c r="B55" t="s">
        <v>370</v>
      </c>
      <c r="C55">
        <v>0.27600000000000002</v>
      </c>
      <c r="D55">
        <v>0.34200000000000003</v>
      </c>
      <c r="E55">
        <v>83</v>
      </c>
      <c r="F55" t="s">
        <v>371</v>
      </c>
      <c r="G55">
        <v>0</v>
      </c>
      <c r="H55">
        <v>0</v>
      </c>
    </row>
    <row r="56" spans="1:15">
      <c r="A56">
        <v>42</v>
      </c>
      <c r="B56" t="s">
        <v>303</v>
      </c>
      <c r="C56">
        <v>0.20799999999999999</v>
      </c>
      <c r="D56">
        <v>0.312</v>
      </c>
      <c r="E56">
        <v>84</v>
      </c>
      <c r="F56" t="s">
        <v>372</v>
      </c>
      <c r="G56">
        <v>0</v>
      </c>
      <c r="H56">
        <v>0</v>
      </c>
    </row>
    <row r="57" spans="1:15">
      <c r="B57" t="s">
        <v>373</v>
      </c>
      <c r="C57">
        <v>0.26600000000000001</v>
      </c>
      <c r="D57">
        <v>0.28699999999999998</v>
      </c>
    </row>
    <row r="58" spans="1:15">
      <c r="B58" t="s">
        <v>374</v>
      </c>
      <c r="C58">
        <v>0.41599999999999998</v>
      </c>
      <c r="D58">
        <v>0.253</v>
      </c>
    </row>
    <row r="59" spans="1:15">
      <c r="B59" t="s">
        <v>293</v>
      </c>
      <c r="C59">
        <v>0.26</v>
      </c>
      <c r="D59">
        <v>0.247</v>
      </c>
      <c r="L59" s="66" t="s">
        <v>375</v>
      </c>
      <c r="M59" t="s">
        <v>376</v>
      </c>
    </row>
    <row r="60" spans="1:15">
      <c r="B60" t="s">
        <v>297</v>
      </c>
      <c r="C60">
        <v>0.24</v>
      </c>
      <c r="D60">
        <v>0.23799999999999999</v>
      </c>
      <c r="L60" t="s">
        <v>377</v>
      </c>
      <c r="M60" t="s">
        <v>378</v>
      </c>
      <c r="N60" t="s">
        <v>379</v>
      </c>
      <c r="O60" t="s">
        <v>380</v>
      </c>
    </row>
    <row r="61" spans="1:15">
      <c r="B61" t="s">
        <v>317</v>
      </c>
      <c r="C61">
        <v>0.14000000000000001</v>
      </c>
      <c r="D61">
        <v>0.23799999999999999</v>
      </c>
      <c r="L61" t="s">
        <v>381</v>
      </c>
      <c r="M61" t="s">
        <v>382</v>
      </c>
      <c r="N61" t="s">
        <v>383</v>
      </c>
      <c r="O61" t="s">
        <v>384</v>
      </c>
    </row>
    <row r="62" spans="1:15">
      <c r="B62" t="s">
        <v>299</v>
      </c>
      <c r="C62">
        <v>0.221</v>
      </c>
      <c r="D62">
        <v>0.23699999999999999</v>
      </c>
      <c r="L62" t="s">
        <v>385</v>
      </c>
    </row>
    <row r="63" spans="1:15">
      <c r="B63" t="s">
        <v>386</v>
      </c>
      <c r="C63">
        <v>0.29499999999999998</v>
      </c>
      <c r="D63">
        <v>0.20399999999999999</v>
      </c>
      <c r="L63" t="s">
        <v>387</v>
      </c>
    </row>
    <row r="64" spans="1:15">
      <c r="B64" t="s">
        <v>301</v>
      </c>
      <c r="C64">
        <v>0.218</v>
      </c>
      <c r="D64">
        <v>0.20200000000000001</v>
      </c>
      <c r="L64" t="s">
        <v>383</v>
      </c>
      <c r="M64" t="s">
        <v>384</v>
      </c>
      <c r="N64" t="s">
        <v>388</v>
      </c>
    </row>
    <row r="65" spans="2:16">
      <c r="B65" t="s">
        <v>357</v>
      </c>
      <c r="C65">
        <v>1.2999999999999999E-2</v>
      </c>
      <c r="D65">
        <v>0.17199999999999999</v>
      </c>
      <c r="L65" t="s">
        <v>288</v>
      </c>
    </row>
    <row r="66" spans="2:16">
      <c r="B66" t="s">
        <v>311</v>
      </c>
      <c r="C66">
        <v>0.17499999999999999</v>
      </c>
      <c r="D66">
        <v>0.157</v>
      </c>
      <c r="L66" t="s">
        <v>143</v>
      </c>
      <c r="M66" t="s">
        <v>376</v>
      </c>
    </row>
    <row r="67" spans="2:16">
      <c r="B67" t="s">
        <v>323</v>
      </c>
      <c r="C67">
        <v>0.112</v>
      </c>
      <c r="D67">
        <v>0.157</v>
      </c>
      <c r="L67" t="s">
        <v>377</v>
      </c>
      <c r="M67" t="s">
        <v>378</v>
      </c>
      <c r="N67" t="s">
        <v>379</v>
      </c>
      <c r="O67" t="s">
        <v>380</v>
      </c>
    </row>
    <row r="68" spans="2:16">
      <c r="B68" t="s">
        <v>295</v>
      </c>
      <c r="C68">
        <v>0.251</v>
      </c>
      <c r="D68">
        <v>0.128</v>
      </c>
      <c r="L68" t="s">
        <v>381</v>
      </c>
      <c r="M68" t="s">
        <v>382</v>
      </c>
      <c r="N68" t="s">
        <v>383</v>
      </c>
      <c r="O68" t="s">
        <v>384</v>
      </c>
    </row>
    <row r="69" spans="2:16">
      <c r="B69" t="s">
        <v>305</v>
      </c>
      <c r="C69">
        <v>0.20300000000000001</v>
      </c>
      <c r="D69">
        <v>0.11799999999999999</v>
      </c>
      <c r="L69" t="s">
        <v>385</v>
      </c>
    </row>
    <row r="70" spans="2:16">
      <c r="B70" t="s">
        <v>333</v>
      </c>
      <c r="C70">
        <v>7.0000000000000007E-2</v>
      </c>
      <c r="D70">
        <v>0.11700000000000001</v>
      </c>
      <c r="L70" t="s">
        <v>387</v>
      </c>
    </row>
    <row r="71" spans="2:16">
      <c r="B71" t="s">
        <v>331</v>
      </c>
      <c r="C71">
        <v>9.2999999999999999E-2</v>
      </c>
      <c r="D71">
        <v>0.11</v>
      </c>
      <c r="L71" t="s">
        <v>383</v>
      </c>
      <c r="M71" t="s">
        <v>384</v>
      </c>
      <c r="N71" t="s">
        <v>388</v>
      </c>
    </row>
    <row r="72" spans="2:16">
      <c r="B72" t="s">
        <v>321</v>
      </c>
      <c r="C72">
        <v>0.12</v>
      </c>
      <c r="D72">
        <v>0.104</v>
      </c>
      <c r="L72" t="s">
        <v>288</v>
      </c>
    </row>
    <row r="73" spans="2:16">
      <c r="B73" t="s">
        <v>345</v>
      </c>
      <c r="C73">
        <v>3.5000000000000003E-2</v>
      </c>
      <c r="D73">
        <v>0.10199999999999999</v>
      </c>
      <c r="L73">
        <v>1</v>
      </c>
      <c r="M73" t="s">
        <v>314</v>
      </c>
      <c r="N73">
        <v>16.192</v>
      </c>
      <c r="O73">
        <v>8.9139999999999997</v>
      </c>
      <c r="P73">
        <v>43</v>
      </c>
    </row>
    <row r="74" spans="2:16">
      <c r="B74" t="s">
        <v>325</v>
      </c>
      <c r="C74">
        <v>0.107</v>
      </c>
      <c r="D74">
        <v>0.10100000000000001</v>
      </c>
      <c r="L74">
        <v>2</v>
      </c>
      <c r="M74" t="s">
        <v>302</v>
      </c>
      <c r="N74">
        <v>0.69299999999999995</v>
      </c>
      <c r="O74">
        <v>7.306</v>
      </c>
      <c r="P74">
        <v>44</v>
      </c>
    </row>
    <row r="75" spans="2:16">
      <c r="B75" t="s">
        <v>327</v>
      </c>
      <c r="C75">
        <v>0.10199999999999999</v>
      </c>
      <c r="D75">
        <v>9.9000000000000005E-2</v>
      </c>
      <c r="L75">
        <v>3</v>
      </c>
      <c r="M75" t="s">
        <v>298</v>
      </c>
      <c r="N75">
        <v>7.1440000000000001</v>
      </c>
      <c r="O75">
        <v>7.1870000000000003</v>
      </c>
      <c r="P75">
        <v>45</v>
      </c>
    </row>
    <row r="76" spans="2:16">
      <c r="B76" t="s">
        <v>319</v>
      </c>
      <c r="C76">
        <v>0.13</v>
      </c>
      <c r="D76">
        <v>8.8999999999999996E-2</v>
      </c>
      <c r="L76">
        <v>4</v>
      </c>
      <c r="M76" t="s">
        <v>300</v>
      </c>
      <c r="N76">
        <v>1.464</v>
      </c>
      <c r="O76">
        <v>6.6050000000000004</v>
      </c>
      <c r="P76">
        <v>46</v>
      </c>
    </row>
    <row r="77" spans="2:16">
      <c r="B77" t="s">
        <v>315</v>
      </c>
      <c r="C77">
        <v>0.14799999999999999</v>
      </c>
      <c r="D77">
        <v>8.5999999999999993E-2</v>
      </c>
      <c r="L77">
        <v>5</v>
      </c>
      <c r="M77" t="s">
        <v>308</v>
      </c>
      <c r="N77">
        <v>10.355</v>
      </c>
      <c r="O77">
        <v>6.5869999999999997</v>
      </c>
      <c r="P77">
        <v>47</v>
      </c>
    </row>
    <row r="78" spans="2:16">
      <c r="B78" t="s">
        <v>313</v>
      </c>
      <c r="C78">
        <v>0.158</v>
      </c>
      <c r="D78">
        <v>7.2999999999999995E-2</v>
      </c>
      <c r="L78">
        <v>6</v>
      </c>
      <c r="M78" t="s">
        <v>310</v>
      </c>
      <c r="N78">
        <v>7.8730000000000002</v>
      </c>
      <c r="O78">
        <v>6.2469999999999999</v>
      </c>
      <c r="P78">
        <v>48</v>
      </c>
    </row>
    <row r="79" spans="2:16">
      <c r="B79" t="s">
        <v>339</v>
      </c>
      <c r="C79">
        <v>4.9000000000000002E-2</v>
      </c>
      <c r="D79">
        <v>7.2999999999999995E-2</v>
      </c>
      <c r="L79">
        <v>7</v>
      </c>
      <c r="M79" t="s">
        <v>312</v>
      </c>
      <c r="N79">
        <v>3.1989999999999998</v>
      </c>
      <c r="O79">
        <v>5.2619999999999996</v>
      </c>
      <c r="P79">
        <v>49</v>
      </c>
    </row>
    <row r="80" spans="2:16">
      <c r="B80" t="s">
        <v>329</v>
      </c>
      <c r="C80">
        <v>9.9000000000000005E-2</v>
      </c>
      <c r="D80">
        <v>6.8000000000000005E-2</v>
      </c>
      <c r="L80">
        <v>8</v>
      </c>
      <c r="M80" t="s">
        <v>320</v>
      </c>
      <c r="N80">
        <v>14.849</v>
      </c>
      <c r="O80">
        <v>5.0110000000000001</v>
      </c>
      <c r="P80">
        <v>50</v>
      </c>
    </row>
    <row r="81" spans="2:16">
      <c r="B81" t="s">
        <v>337</v>
      </c>
      <c r="C81">
        <v>5.7000000000000002E-2</v>
      </c>
      <c r="D81">
        <v>5.6000000000000001E-2</v>
      </c>
      <c r="L81">
        <v>9</v>
      </c>
      <c r="M81" t="s">
        <v>294</v>
      </c>
      <c r="N81">
        <v>2.5659999999999998</v>
      </c>
      <c r="O81">
        <v>4.9379999999999997</v>
      </c>
      <c r="P81">
        <v>51</v>
      </c>
    </row>
    <row r="82" spans="2:16">
      <c r="B82" t="s">
        <v>341</v>
      </c>
      <c r="C82">
        <v>4.4999999999999998E-2</v>
      </c>
      <c r="D82">
        <v>4.7E-2</v>
      </c>
      <c r="L82">
        <v>10</v>
      </c>
      <c r="M82" t="s">
        <v>324</v>
      </c>
      <c r="N82">
        <v>6.7469999999999999</v>
      </c>
      <c r="O82">
        <v>4.7439999999999998</v>
      </c>
      <c r="P82">
        <v>52</v>
      </c>
    </row>
    <row r="83" spans="2:16">
      <c r="B83" t="s">
        <v>335</v>
      </c>
      <c r="C83">
        <v>6.3E-2</v>
      </c>
      <c r="D83">
        <v>3.3000000000000002E-2</v>
      </c>
      <c r="L83">
        <v>11</v>
      </c>
      <c r="M83" t="s">
        <v>336</v>
      </c>
      <c r="N83">
        <v>2.4700000000000002</v>
      </c>
      <c r="O83">
        <v>4.359</v>
      </c>
      <c r="P83">
        <v>53</v>
      </c>
    </row>
    <row r="84" spans="2:16">
      <c r="B84" t="s">
        <v>353</v>
      </c>
      <c r="C84">
        <v>1.7999999999999999E-2</v>
      </c>
      <c r="D84">
        <v>3.3000000000000002E-2</v>
      </c>
      <c r="L84">
        <v>12</v>
      </c>
      <c r="M84" t="s">
        <v>338</v>
      </c>
      <c r="N84">
        <v>3.5419999999999998</v>
      </c>
      <c r="O84">
        <v>2.9350000000000001</v>
      </c>
      <c r="P84">
        <v>54</v>
      </c>
    </row>
    <row r="85" spans="2:16">
      <c r="B85" t="s">
        <v>347</v>
      </c>
      <c r="C85">
        <v>3.4000000000000002E-2</v>
      </c>
      <c r="D85">
        <v>3.2000000000000001E-2</v>
      </c>
      <c r="L85">
        <v>13</v>
      </c>
      <c r="M85" t="s">
        <v>301</v>
      </c>
      <c r="N85">
        <v>3.7050000000000001</v>
      </c>
      <c r="O85">
        <v>2.2250000000000001</v>
      </c>
      <c r="P85">
        <v>55</v>
      </c>
    </row>
    <row r="86" spans="2:16">
      <c r="B86" t="s">
        <v>364</v>
      </c>
      <c r="C86">
        <v>5.0000000000000001E-3</v>
      </c>
      <c r="D86">
        <v>2.8000000000000001E-2</v>
      </c>
      <c r="L86">
        <v>14</v>
      </c>
      <c r="M86" t="s">
        <v>344</v>
      </c>
      <c r="N86">
        <v>0.627</v>
      </c>
      <c r="O86">
        <v>1.8959999999999999</v>
      </c>
      <c r="P86">
        <v>56</v>
      </c>
    </row>
    <row r="87" spans="2:16">
      <c r="B87" t="s">
        <v>349</v>
      </c>
      <c r="C87">
        <v>3.4000000000000002E-2</v>
      </c>
      <c r="D87">
        <v>2.7E-2</v>
      </c>
      <c r="L87">
        <v>15</v>
      </c>
      <c r="M87" t="s">
        <v>307</v>
      </c>
      <c r="N87">
        <v>1.3129999999999999</v>
      </c>
      <c r="O87">
        <v>1.8120000000000001</v>
      </c>
      <c r="P87">
        <v>57</v>
      </c>
    </row>
    <row r="88" spans="2:16">
      <c r="B88" t="s">
        <v>343</v>
      </c>
      <c r="C88">
        <v>4.1000000000000002E-2</v>
      </c>
      <c r="D88">
        <v>1.4999999999999999E-2</v>
      </c>
      <c r="L88">
        <v>16</v>
      </c>
      <c r="M88" t="s">
        <v>306</v>
      </c>
      <c r="N88">
        <v>0.38</v>
      </c>
      <c r="O88">
        <v>1.77</v>
      </c>
      <c r="P88">
        <v>58</v>
      </c>
    </row>
    <row r="89" spans="2:16">
      <c r="B89" t="s">
        <v>355</v>
      </c>
      <c r="C89">
        <v>1.4E-2</v>
      </c>
      <c r="D89">
        <v>1.2E-2</v>
      </c>
      <c r="L89">
        <v>17</v>
      </c>
      <c r="M89" t="s">
        <v>359</v>
      </c>
      <c r="N89">
        <v>2.012</v>
      </c>
      <c r="O89">
        <v>1.7410000000000001</v>
      </c>
      <c r="P89">
        <v>59</v>
      </c>
    </row>
    <row r="90" spans="2:16">
      <c r="B90" t="s">
        <v>360</v>
      </c>
      <c r="C90">
        <v>6.0000000000000001E-3</v>
      </c>
      <c r="D90">
        <v>1.0999999999999999E-2</v>
      </c>
      <c r="L90">
        <v>18</v>
      </c>
      <c r="M90" t="s">
        <v>304</v>
      </c>
      <c r="N90">
        <v>1.645</v>
      </c>
      <c r="O90">
        <v>1.696</v>
      </c>
      <c r="P90">
        <v>60</v>
      </c>
    </row>
    <row r="91" spans="2:16">
      <c r="B91" t="s">
        <v>362</v>
      </c>
      <c r="C91">
        <v>6.0000000000000001E-3</v>
      </c>
      <c r="D91">
        <v>1.0999999999999999E-2</v>
      </c>
      <c r="L91">
        <v>19</v>
      </c>
      <c r="M91" t="s">
        <v>361</v>
      </c>
      <c r="N91">
        <v>0.53600000000000003</v>
      </c>
      <c r="O91">
        <v>1.446</v>
      </c>
      <c r="P91">
        <v>61</v>
      </c>
    </row>
    <row r="92" spans="2:16">
      <c r="B92" t="s">
        <v>358</v>
      </c>
      <c r="C92">
        <v>0.01</v>
      </c>
      <c r="D92">
        <v>8.9999999999999993E-3</v>
      </c>
      <c r="L92">
        <v>20</v>
      </c>
      <c r="M92" t="s">
        <v>296</v>
      </c>
      <c r="N92">
        <v>0.24099999999999999</v>
      </c>
      <c r="O92">
        <v>1.282</v>
      </c>
      <c r="P92">
        <v>62</v>
      </c>
    </row>
    <row r="93" spans="2:16">
      <c r="B93" t="s">
        <v>351</v>
      </c>
      <c r="C93">
        <v>2.8000000000000001E-2</v>
      </c>
      <c r="D93">
        <v>8.0000000000000002E-3</v>
      </c>
      <c r="L93">
        <v>21</v>
      </c>
      <c r="M93" t="s">
        <v>332</v>
      </c>
      <c r="N93">
        <v>1.319</v>
      </c>
      <c r="O93">
        <v>1.228</v>
      </c>
      <c r="P93">
        <v>63</v>
      </c>
    </row>
    <row r="94" spans="2:16">
      <c r="B94" t="s">
        <v>366</v>
      </c>
      <c r="C94">
        <v>1E-3</v>
      </c>
      <c r="D94">
        <v>4.0000000000000001E-3</v>
      </c>
      <c r="L94">
        <v>22</v>
      </c>
      <c r="M94" t="s">
        <v>330</v>
      </c>
      <c r="N94">
        <v>0.45200000000000001</v>
      </c>
      <c r="O94">
        <v>0.98899999999999999</v>
      </c>
      <c r="P94">
        <v>64</v>
      </c>
    </row>
    <row r="95" spans="2:16">
      <c r="B95" t="s">
        <v>368</v>
      </c>
      <c r="C95">
        <v>1E-3</v>
      </c>
      <c r="D95">
        <v>1E-3</v>
      </c>
      <c r="L95">
        <v>23</v>
      </c>
      <c r="M95" t="s">
        <v>352</v>
      </c>
      <c r="N95">
        <v>1.2829999999999999</v>
      </c>
      <c r="O95">
        <v>0.97399999999999998</v>
      </c>
      <c r="P95">
        <v>65</v>
      </c>
    </row>
    <row r="96" spans="2:16">
      <c r="B96" t="s">
        <v>369</v>
      </c>
      <c r="C96">
        <v>0</v>
      </c>
      <c r="D96">
        <v>1E-3</v>
      </c>
      <c r="L96">
        <v>24</v>
      </c>
      <c r="M96" t="s">
        <v>346</v>
      </c>
      <c r="N96">
        <v>0.253</v>
      </c>
      <c r="O96">
        <v>0.94399999999999995</v>
      </c>
      <c r="P96">
        <v>66</v>
      </c>
    </row>
    <row r="97" spans="2:16">
      <c r="B97" t="s">
        <v>371</v>
      </c>
      <c r="C97">
        <v>0</v>
      </c>
      <c r="D97">
        <v>0</v>
      </c>
      <c r="L97">
        <v>25</v>
      </c>
      <c r="M97" t="s">
        <v>365</v>
      </c>
      <c r="N97">
        <v>0.32500000000000001</v>
      </c>
      <c r="O97">
        <v>0.70499999999999996</v>
      </c>
      <c r="P97">
        <v>67</v>
      </c>
    </row>
    <row r="98" spans="2:16">
      <c r="B98" t="s">
        <v>372</v>
      </c>
      <c r="C98">
        <v>0</v>
      </c>
      <c r="D98">
        <v>0</v>
      </c>
      <c r="L98">
        <v>26</v>
      </c>
      <c r="M98" t="s">
        <v>363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348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374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297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311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342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322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340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305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317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354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326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303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315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295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373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337</v>
      </c>
      <c r="N114">
        <v>0.22900000000000001</v>
      </c>
      <c r="O114">
        <v>0.215</v>
      </c>
      <c r="P114">
        <v>84</v>
      </c>
    </row>
    <row r="115" spans="12:16">
      <c r="M115" t="s">
        <v>350</v>
      </c>
      <c r="N115">
        <v>0.06</v>
      </c>
      <c r="O115">
        <v>0.21199999999999999</v>
      </c>
    </row>
    <row r="116" spans="12:16">
      <c r="M116" t="s">
        <v>316</v>
      </c>
      <c r="N116">
        <v>1.7999999999999999E-2</v>
      </c>
      <c r="O116">
        <v>0.191</v>
      </c>
    </row>
    <row r="117" spans="12:16">
      <c r="M117" t="s">
        <v>370</v>
      </c>
      <c r="N117">
        <v>0.10199999999999999</v>
      </c>
      <c r="O117">
        <v>0.185</v>
      </c>
    </row>
    <row r="118" spans="12:16">
      <c r="M118" t="s">
        <v>292</v>
      </c>
      <c r="N118">
        <v>5.3999999999999999E-2</v>
      </c>
      <c r="O118">
        <v>0.17899999999999999</v>
      </c>
    </row>
    <row r="119" spans="12:16">
      <c r="M119" t="s">
        <v>309</v>
      </c>
      <c r="N119">
        <v>2.4E-2</v>
      </c>
      <c r="O119">
        <v>0.159</v>
      </c>
    </row>
    <row r="120" spans="12:16">
      <c r="M120" t="s">
        <v>325</v>
      </c>
      <c r="N120">
        <v>2.4E-2</v>
      </c>
      <c r="O120">
        <v>0.14399999999999999</v>
      </c>
    </row>
    <row r="121" spans="12:16">
      <c r="M121" t="s">
        <v>334</v>
      </c>
      <c r="N121">
        <v>0.121</v>
      </c>
      <c r="O121">
        <v>0.14199999999999999</v>
      </c>
    </row>
    <row r="122" spans="12:16">
      <c r="M122" t="s">
        <v>367</v>
      </c>
      <c r="N122">
        <v>7.1999999999999995E-2</v>
      </c>
      <c r="O122">
        <v>0.13700000000000001</v>
      </c>
    </row>
    <row r="123" spans="12:16">
      <c r="M123" t="s">
        <v>341</v>
      </c>
      <c r="N123">
        <v>1.7999999999999999E-2</v>
      </c>
      <c r="O123">
        <v>0.13500000000000001</v>
      </c>
    </row>
    <row r="124" spans="12:16">
      <c r="M124" t="s">
        <v>323</v>
      </c>
      <c r="N124">
        <v>7.8E-2</v>
      </c>
      <c r="O124">
        <v>0.13</v>
      </c>
    </row>
    <row r="125" spans="12:16">
      <c r="M125" t="s">
        <v>386</v>
      </c>
      <c r="N125">
        <v>6.6000000000000003E-2</v>
      </c>
      <c r="O125">
        <v>0.12</v>
      </c>
    </row>
    <row r="126" spans="12:16">
      <c r="M126" t="s">
        <v>347</v>
      </c>
      <c r="N126">
        <v>0.16900000000000001</v>
      </c>
      <c r="O126">
        <v>0.113</v>
      </c>
    </row>
    <row r="127" spans="12:16">
      <c r="M127" t="s">
        <v>357</v>
      </c>
      <c r="N127">
        <v>6.0000000000000001E-3</v>
      </c>
      <c r="O127">
        <v>0.108</v>
      </c>
    </row>
    <row r="128" spans="12:16">
      <c r="M128" t="s">
        <v>351</v>
      </c>
      <c r="N128">
        <v>0.68700000000000006</v>
      </c>
      <c r="O128">
        <v>0.105</v>
      </c>
    </row>
    <row r="129" spans="13:15">
      <c r="M129" t="s">
        <v>328</v>
      </c>
      <c r="N129">
        <v>0.09</v>
      </c>
      <c r="O129">
        <v>0.10100000000000001</v>
      </c>
    </row>
    <row r="130" spans="13:15">
      <c r="M130" t="s">
        <v>327</v>
      </c>
      <c r="N130">
        <v>0.06</v>
      </c>
      <c r="O130">
        <v>9.7000000000000003E-2</v>
      </c>
    </row>
    <row r="131" spans="13:15">
      <c r="M131" t="s">
        <v>335</v>
      </c>
      <c r="N131">
        <v>0.10199999999999999</v>
      </c>
      <c r="O131">
        <v>8.5000000000000006E-2</v>
      </c>
    </row>
    <row r="132" spans="13:15">
      <c r="M132" t="s">
        <v>293</v>
      </c>
      <c r="N132">
        <v>6.6000000000000003E-2</v>
      </c>
      <c r="O132">
        <v>7.4999999999999997E-2</v>
      </c>
    </row>
    <row r="133" spans="13:15">
      <c r="M133" t="s">
        <v>364</v>
      </c>
      <c r="N133">
        <v>6.0000000000000001E-3</v>
      </c>
      <c r="O133">
        <v>7.4999999999999997E-2</v>
      </c>
    </row>
    <row r="134" spans="13:15">
      <c r="M134" t="s">
        <v>329</v>
      </c>
      <c r="N134">
        <v>0.13300000000000001</v>
      </c>
      <c r="O134">
        <v>7.2999999999999995E-2</v>
      </c>
    </row>
    <row r="135" spans="13:15">
      <c r="M135" t="s">
        <v>360</v>
      </c>
      <c r="N135">
        <v>0</v>
      </c>
      <c r="O135">
        <v>7.0999999999999994E-2</v>
      </c>
    </row>
    <row r="136" spans="13:15">
      <c r="M136" t="s">
        <v>321</v>
      </c>
      <c r="N136">
        <v>2.4E-2</v>
      </c>
      <c r="O136">
        <v>6.4000000000000001E-2</v>
      </c>
    </row>
    <row r="137" spans="13:15">
      <c r="M137" t="s">
        <v>319</v>
      </c>
      <c r="N137">
        <v>1.2E-2</v>
      </c>
      <c r="O137">
        <v>0.06</v>
      </c>
    </row>
    <row r="138" spans="13:15">
      <c r="M138" t="s">
        <v>331</v>
      </c>
      <c r="N138">
        <v>0.03</v>
      </c>
      <c r="O138">
        <v>5.8000000000000003E-2</v>
      </c>
    </row>
    <row r="139" spans="13:15">
      <c r="M139" t="s">
        <v>299</v>
      </c>
      <c r="N139">
        <v>2.4E-2</v>
      </c>
      <c r="O139">
        <v>5.8000000000000003E-2</v>
      </c>
    </row>
    <row r="140" spans="13:15">
      <c r="M140" t="s">
        <v>339</v>
      </c>
      <c r="N140">
        <v>1.7999999999999999E-2</v>
      </c>
      <c r="O140">
        <v>5.2999999999999999E-2</v>
      </c>
    </row>
    <row r="141" spans="13:15">
      <c r="M141" t="s">
        <v>318</v>
      </c>
      <c r="N141">
        <v>0.03</v>
      </c>
      <c r="O141">
        <v>5.1999999999999998E-2</v>
      </c>
    </row>
    <row r="142" spans="13:15">
      <c r="M142" t="s">
        <v>362</v>
      </c>
      <c r="N142">
        <v>0</v>
      </c>
      <c r="O142">
        <v>4.9000000000000002E-2</v>
      </c>
    </row>
    <row r="143" spans="13:15">
      <c r="M143" t="s">
        <v>345</v>
      </c>
      <c r="N143">
        <v>6.0000000000000001E-3</v>
      </c>
      <c r="O143">
        <v>4.5999999999999999E-2</v>
      </c>
    </row>
    <row r="144" spans="13:15">
      <c r="M144" t="s">
        <v>313</v>
      </c>
      <c r="N144">
        <v>7.8E-2</v>
      </c>
      <c r="O144">
        <v>4.4999999999999998E-2</v>
      </c>
    </row>
    <row r="145" spans="13:15">
      <c r="M145" t="s">
        <v>353</v>
      </c>
      <c r="N145">
        <v>9.6000000000000002E-2</v>
      </c>
      <c r="O145">
        <v>0.03</v>
      </c>
    </row>
    <row r="146" spans="13:15">
      <c r="M146" t="s">
        <v>368</v>
      </c>
      <c r="N146">
        <v>0</v>
      </c>
      <c r="O146">
        <v>2.9000000000000001E-2</v>
      </c>
    </row>
    <row r="147" spans="13:15">
      <c r="M147" t="s">
        <v>356</v>
      </c>
      <c r="N147">
        <v>3.5999999999999997E-2</v>
      </c>
      <c r="O147">
        <v>2.8000000000000001E-2</v>
      </c>
    </row>
    <row r="148" spans="13:15">
      <c r="M148" t="s">
        <v>358</v>
      </c>
      <c r="N148">
        <v>0.09</v>
      </c>
      <c r="O148">
        <v>2.5999999999999999E-2</v>
      </c>
    </row>
    <row r="149" spans="13:15">
      <c r="M149" t="s">
        <v>333</v>
      </c>
      <c r="N149">
        <v>0</v>
      </c>
      <c r="O149">
        <v>2.5999999999999999E-2</v>
      </c>
    </row>
    <row r="150" spans="13:15">
      <c r="M150" t="s">
        <v>355</v>
      </c>
      <c r="N150">
        <v>6.0000000000000001E-3</v>
      </c>
      <c r="O150">
        <v>2.3E-2</v>
      </c>
    </row>
    <row r="151" spans="13:15">
      <c r="M151" t="s">
        <v>349</v>
      </c>
      <c r="N151">
        <v>0</v>
      </c>
      <c r="O151">
        <v>2.1000000000000001E-2</v>
      </c>
    </row>
    <row r="152" spans="13:15">
      <c r="M152" t="s">
        <v>343</v>
      </c>
      <c r="N152">
        <v>1.2E-2</v>
      </c>
      <c r="O152">
        <v>1.6E-2</v>
      </c>
    </row>
    <row r="153" spans="13:15">
      <c r="M153" t="s">
        <v>371</v>
      </c>
      <c r="N153">
        <v>6.0000000000000001E-3</v>
      </c>
      <c r="O153">
        <v>6.0000000000000001E-3</v>
      </c>
    </row>
    <row r="154" spans="13:15">
      <c r="M154" t="s">
        <v>366</v>
      </c>
      <c r="N154">
        <v>0</v>
      </c>
      <c r="O154">
        <v>5.0000000000000001E-3</v>
      </c>
    </row>
    <row r="155" spans="13:15">
      <c r="M155" t="s">
        <v>369</v>
      </c>
      <c r="N155">
        <v>0</v>
      </c>
      <c r="O155">
        <v>4.0000000000000001E-3</v>
      </c>
    </row>
    <row r="156" spans="13:15">
      <c r="M156" t="s">
        <v>372</v>
      </c>
      <c r="N156">
        <v>0</v>
      </c>
      <c r="O156">
        <v>2E-3</v>
      </c>
    </row>
  </sheetData>
  <sortState ref="M73:O156">
    <sortCondition descending="1" ref="O73:O156"/>
  </sortState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389</v>
      </c>
    </row>
    <row r="2" spans="1:107">
      <c r="A2" s="52"/>
      <c r="B2" s="53" t="s">
        <v>390</v>
      </c>
      <c r="C2" s="54" t="s">
        <v>391</v>
      </c>
      <c r="D2" s="54" t="s">
        <v>392</v>
      </c>
      <c r="E2" s="54" t="s">
        <v>393</v>
      </c>
      <c r="F2" s="54" t="s">
        <v>394</v>
      </c>
      <c r="G2" s="55" t="s">
        <v>395</v>
      </c>
      <c r="H2" s="55" t="s">
        <v>303</v>
      </c>
      <c r="I2" s="61" t="s">
        <v>396</v>
      </c>
      <c r="J2" s="61" t="s">
        <v>397</v>
      </c>
      <c r="K2" s="61" t="s">
        <v>398</v>
      </c>
      <c r="L2" s="61" t="s">
        <v>399</v>
      </c>
      <c r="M2" s="61" t="s">
        <v>400</v>
      </c>
      <c r="N2" s="61" t="s">
        <v>401</v>
      </c>
      <c r="O2" s="61" t="s">
        <v>402</v>
      </c>
      <c r="P2" s="61" t="s">
        <v>403</v>
      </c>
      <c r="Q2" s="61" t="s">
        <v>68</v>
      </c>
      <c r="R2" s="61" t="s">
        <v>404</v>
      </c>
      <c r="S2" s="61" t="s">
        <v>405</v>
      </c>
      <c r="T2" s="61" t="s">
        <v>406</v>
      </c>
      <c r="U2" s="61" t="s">
        <v>407</v>
      </c>
      <c r="V2" s="61" t="s">
        <v>408</v>
      </c>
      <c r="W2" s="61" t="s">
        <v>409</v>
      </c>
      <c r="X2" s="61" t="s">
        <v>410</v>
      </c>
      <c r="Y2" s="61" t="s">
        <v>411</v>
      </c>
      <c r="Z2" s="61" t="s">
        <v>67</v>
      </c>
      <c r="AA2" s="61" t="s">
        <v>15</v>
      </c>
      <c r="AB2" s="61" t="s">
        <v>16</v>
      </c>
      <c r="AC2" s="61" t="s">
        <v>412</v>
      </c>
      <c r="AD2" s="61" t="s">
        <v>413</v>
      </c>
      <c r="AE2" s="61" t="s">
        <v>17</v>
      </c>
      <c r="AF2" s="61" t="s">
        <v>414</v>
      </c>
      <c r="AG2" s="61" t="s">
        <v>70</v>
      </c>
      <c r="AH2" s="61" t="s">
        <v>415</v>
      </c>
      <c r="AI2" s="61" t="s">
        <v>69</v>
      </c>
      <c r="AJ2" s="61" t="s">
        <v>8</v>
      </c>
      <c r="AK2" s="61" t="s">
        <v>31</v>
      </c>
      <c r="AL2" s="61" t="s">
        <v>416</v>
      </c>
      <c r="AM2" s="61" t="s">
        <v>30</v>
      </c>
      <c r="AN2" s="61" t="s">
        <v>32</v>
      </c>
      <c r="AO2" s="61" t="s">
        <v>417</v>
      </c>
      <c r="AP2" s="61" t="s">
        <v>418</v>
      </c>
      <c r="AQ2" s="61" t="s">
        <v>33</v>
      </c>
      <c r="AR2" s="61" t="s">
        <v>419</v>
      </c>
      <c r="AS2" s="61" t="s">
        <v>420</v>
      </c>
      <c r="AT2" s="61" t="s">
        <v>421</v>
      </c>
      <c r="AU2" s="61" t="s">
        <v>422</v>
      </c>
      <c r="AV2" s="61" t="s">
        <v>423</v>
      </c>
      <c r="AW2" s="61" t="s">
        <v>424</v>
      </c>
      <c r="AX2" s="61" t="s">
        <v>425</v>
      </c>
      <c r="AY2" s="61" t="s">
        <v>426</v>
      </c>
      <c r="AZ2" s="61" t="s">
        <v>427</v>
      </c>
      <c r="BA2" s="61" t="s">
        <v>428</v>
      </c>
      <c r="BB2" s="61" t="s">
        <v>429</v>
      </c>
      <c r="BC2" s="61" t="s">
        <v>430</v>
      </c>
      <c r="BD2" s="61" t="s">
        <v>431</v>
      </c>
      <c r="BE2" s="61" t="s">
        <v>432</v>
      </c>
      <c r="BF2" s="61" t="s">
        <v>433</v>
      </c>
      <c r="BG2" s="61" t="s">
        <v>434</v>
      </c>
      <c r="BH2" s="61" t="s">
        <v>435</v>
      </c>
      <c r="BI2" s="61" t="s">
        <v>436</v>
      </c>
      <c r="BJ2" s="61" t="s">
        <v>437</v>
      </c>
      <c r="BK2" s="61" t="s">
        <v>438</v>
      </c>
      <c r="BL2" s="61" t="s">
        <v>439</v>
      </c>
      <c r="BM2" s="61" t="s">
        <v>440</v>
      </c>
      <c r="BN2" s="61" t="s">
        <v>441</v>
      </c>
      <c r="BO2" s="61" t="s">
        <v>442</v>
      </c>
      <c r="BP2" s="61" t="s">
        <v>443</v>
      </c>
      <c r="BQ2" s="61" t="s">
        <v>444</v>
      </c>
      <c r="BR2" s="61" t="s">
        <v>445</v>
      </c>
      <c r="BS2" s="61" t="s">
        <v>446</v>
      </c>
      <c r="BT2" s="61" t="s">
        <v>447</v>
      </c>
      <c r="BU2" s="61" t="s">
        <v>448</v>
      </c>
      <c r="BV2" s="61" t="s">
        <v>449</v>
      </c>
      <c r="BW2" s="61" t="s">
        <v>450</v>
      </c>
      <c r="BX2" s="61" t="s">
        <v>451</v>
      </c>
      <c r="BY2" s="61" t="s">
        <v>452</v>
      </c>
      <c r="BZ2" s="61" t="s">
        <v>453</v>
      </c>
      <c r="CA2" s="61" t="s">
        <v>454</v>
      </c>
      <c r="CB2" s="61" t="s">
        <v>455</v>
      </c>
      <c r="CC2" s="61" t="s">
        <v>456</v>
      </c>
      <c r="CD2" s="61" t="s">
        <v>457</v>
      </c>
      <c r="CE2" s="61" t="s">
        <v>458</v>
      </c>
      <c r="CF2" s="61" t="s">
        <v>459</v>
      </c>
      <c r="CG2" s="61" t="s">
        <v>460</v>
      </c>
      <c r="CH2" s="61" t="s">
        <v>461</v>
      </c>
      <c r="CI2" s="61" t="s">
        <v>462</v>
      </c>
      <c r="CJ2" s="61" t="s">
        <v>463</v>
      </c>
      <c r="CK2" s="61" t="s">
        <v>464</v>
      </c>
      <c r="CL2" s="61" t="s">
        <v>465</v>
      </c>
      <c r="CM2" s="61" t="s">
        <v>466</v>
      </c>
      <c r="CN2" s="61" t="s">
        <v>467</v>
      </c>
      <c r="CO2" s="61" t="s">
        <v>468</v>
      </c>
      <c r="CP2" s="61" t="s">
        <v>469</v>
      </c>
      <c r="CQ2" s="61" t="s">
        <v>470</v>
      </c>
      <c r="CR2" s="61" t="s">
        <v>471</v>
      </c>
      <c r="CS2" s="61" t="s">
        <v>472</v>
      </c>
      <c r="CT2" s="61" t="s">
        <v>473</v>
      </c>
      <c r="CU2" s="61" t="s">
        <v>474</v>
      </c>
      <c r="CV2" s="61" t="s">
        <v>475</v>
      </c>
      <c r="CW2" s="61" t="s">
        <v>476</v>
      </c>
      <c r="CX2" s="61" t="s">
        <v>477</v>
      </c>
      <c r="CY2" s="61" t="s">
        <v>478</v>
      </c>
      <c r="CZ2" s="61" t="s">
        <v>479</v>
      </c>
      <c r="DA2" s="61" t="s">
        <v>480</v>
      </c>
      <c r="DB2" s="61" t="s">
        <v>481</v>
      </c>
      <c r="DC2" s="62" t="s">
        <v>482</v>
      </c>
    </row>
    <row r="3" spans="1:107">
      <c r="A3" s="47" t="s">
        <v>89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90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91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92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93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94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95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96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97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98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99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101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102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103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104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105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99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107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108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109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110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111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112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113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114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115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116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117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118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119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99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121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122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123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124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125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126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127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128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129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130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131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132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133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134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135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136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99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483</v>
      </c>
    </row>
    <row r="55" spans="1:107">
      <c r="A55" s="52"/>
      <c r="B55" s="53" t="s">
        <v>390</v>
      </c>
      <c r="C55" s="54" t="s">
        <v>391</v>
      </c>
      <c r="D55" s="54" t="s">
        <v>392</v>
      </c>
      <c r="E55" s="54" t="s">
        <v>393</v>
      </c>
      <c r="F55" s="54" t="s">
        <v>394</v>
      </c>
      <c r="G55" s="55" t="s">
        <v>395</v>
      </c>
      <c r="H55" s="55" t="s">
        <v>303</v>
      </c>
      <c r="I55" s="61" t="s">
        <v>396</v>
      </c>
      <c r="J55" s="61" t="s">
        <v>397</v>
      </c>
      <c r="K55" s="61" t="s">
        <v>398</v>
      </c>
      <c r="L55" s="61" t="s">
        <v>399</v>
      </c>
      <c r="M55" s="61" t="s">
        <v>400</v>
      </c>
      <c r="N55" s="61" t="s">
        <v>401</v>
      </c>
      <c r="O55" s="61" t="s">
        <v>402</v>
      </c>
      <c r="P55" s="61" t="s">
        <v>403</v>
      </c>
      <c r="Q55" s="61" t="s">
        <v>68</v>
      </c>
      <c r="R55" s="61" t="s">
        <v>404</v>
      </c>
      <c r="S55" s="61" t="s">
        <v>405</v>
      </c>
      <c r="T55" s="61" t="s">
        <v>406</v>
      </c>
      <c r="U55" s="61" t="s">
        <v>407</v>
      </c>
      <c r="V55" s="61" t="s">
        <v>408</v>
      </c>
      <c r="W55" s="61" t="s">
        <v>409</v>
      </c>
      <c r="X55" s="61" t="s">
        <v>410</v>
      </c>
      <c r="Y55" s="61" t="s">
        <v>411</v>
      </c>
      <c r="Z55" s="61" t="s">
        <v>67</v>
      </c>
      <c r="AA55" s="61" t="s">
        <v>15</v>
      </c>
      <c r="AB55" s="61" t="s">
        <v>16</v>
      </c>
      <c r="AC55" s="61" t="s">
        <v>412</v>
      </c>
      <c r="AD55" s="61" t="s">
        <v>413</v>
      </c>
      <c r="AE55" s="61" t="s">
        <v>17</v>
      </c>
      <c r="AF55" s="61" t="s">
        <v>414</v>
      </c>
      <c r="AG55" s="61" t="s">
        <v>70</v>
      </c>
      <c r="AH55" s="61" t="s">
        <v>415</v>
      </c>
      <c r="AI55" s="61" t="s">
        <v>69</v>
      </c>
      <c r="AJ55" s="61" t="s">
        <v>8</v>
      </c>
      <c r="AK55" s="61" t="s">
        <v>31</v>
      </c>
      <c r="AL55" s="61" t="s">
        <v>416</v>
      </c>
      <c r="AM55" s="61" t="s">
        <v>30</v>
      </c>
      <c r="AN55" s="61" t="s">
        <v>32</v>
      </c>
      <c r="AO55" s="61" t="s">
        <v>417</v>
      </c>
      <c r="AP55" s="61" t="s">
        <v>418</v>
      </c>
      <c r="AQ55" s="61" t="s">
        <v>33</v>
      </c>
      <c r="AR55" s="61" t="s">
        <v>419</v>
      </c>
      <c r="AS55" s="61" t="s">
        <v>420</v>
      </c>
      <c r="AT55" s="61" t="s">
        <v>421</v>
      </c>
      <c r="AU55" s="61" t="s">
        <v>422</v>
      </c>
      <c r="AV55" s="61" t="s">
        <v>423</v>
      </c>
      <c r="AW55" s="61" t="s">
        <v>424</v>
      </c>
      <c r="AX55" s="61" t="s">
        <v>425</v>
      </c>
      <c r="AY55" s="61" t="s">
        <v>426</v>
      </c>
      <c r="AZ55" s="61" t="s">
        <v>427</v>
      </c>
      <c r="BA55" s="61" t="s">
        <v>428</v>
      </c>
      <c r="BB55" s="61" t="s">
        <v>429</v>
      </c>
      <c r="BC55" s="61" t="s">
        <v>430</v>
      </c>
      <c r="BD55" s="61" t="s">
        <v>431</v>
      </c>
      <c r="BE55" s="61" t="s">
        <v>432</v>
      </c>
      <c r="BF55" s="61" t="s">
        <v>433</v>
      </c>
      <c r="BG55" s="61" t="s">
        <v>434</v>
      </c>
      <c r="BH55" s="61" t="s">
        <v>435</v>
      </c>
      <c r="BI55" s="61" t="s">
        <v>436</v>
      </c>
      <c r="BJ55" s="61" t="s">
        <v>437</v>
      </c>
      <c r="BK55" s="61" t="s">
        <v>438</v>
      </c>
      <c r="BL55" s="61" t="s">
        <v>439</v>
      </c>
      <c r="BM55" s="61" t="s">
        <v>440</v>
      </c>
      <c r="BN55" s="61" t="s">
        <v>441</v>
      </c>
      <c r="BO55" s="61" t="s">
        <v>442</v>
      </c>
      <c r="BP55" s="61" t="s">
        <v>443</v>
      </c>
      <c r="BQ55" s="61" t="s">
        <v>444</v>
      </c>
      <c r="BR55" s="61" t="s">
        <v>445</v>
      </c>
      <c r="BS55" s="61" t="s">
        <v>446</v>
      </c>
      <c r="BT55" s="61" t="s">
        <v>447</v>
      </c>
      <c r="BU55" s="61" t="s">
        <v>448</v>
      </c>
      <c r="BV55" s="61" t="s">
        <v>449</v>
      </c>
      <c r="BW55" s="61" t="s">
        <v>450</v>
      </c>
      <c r="BX55" s="61" t="s">
        <v>451</v>
      </c>
      <c r="BY55" s="61" t="s">
        <v>452</v>
      </c>
      <c r="BZ55" s="61" t="s">
        <v>453</v>
      </c>
      <c r="CA55" s="61" t="s">
        <v>454</v>
      </c>
      <c r="CB55" s="61" t="s">
        <v>455</v>
      </c>
      <c r="CC55" s="61" t="s">
        <v>456</v>
      </c>
      <c r="CD55" s="61" t="s">
        <v>457</v>
      </c>
      <c r="CE55" s="61" t="s">
        <v>458</v>
      </c>
      <c r="CF55" s="61" t="s">
        <v>459</v>
      </c>
      <c r="CG55" s="61" t="s">
        <v>460</v>
      </c>
      <c r="CH55" s="61" t="s">
        <v>461</v>
      </c>
      <c r="CI55" s="61" t="s">
        <v>462</v>
      </c>
      <c r="CJ55" s="61" t="s">
        <v>463</v>
      </c>
      <c r="CK55" s="61" t="s">
        <v>464</v>
      </c>
      <c r="CL55" s="61" t="s">
        <v>465</v>
      </c>
      <c r="CM55" s="61" t="s">
        <v>466</v>
      </c>
      <c r="CN55" s="61" t="s">
        <v>467</v>
      </c>
      <c r="CO55" s="61" t="s">
        <v>468</v>
      </c>
      <c r="CP55" s="61" t="s">
        <v>469</v>
      </c>
      <c r="CQ55" s="61" t="s">
        <v>470</v>
      </c>
      <c r="CR55" s="61" t="s">
        <v>471</v>
      </c>
      <c r="CS55" s="61" t="s">
        <v>472</v>
      </c>
      <c r="CT55" s="61" t="s">
        <v>473</v>
      </c>
      <c r="CU55" s="61" t="s">
        <v>474</v>
      </c>
      <c r="CV55" s="61" t="s">
        <v>475</v>
      </c>
      <c r="CW55" s="61" t="s">
        <v>476</v>
      </c>
      <c r="CX55" s="61" t="s">
        <v>477</v>
      </c>
      <c r="CY55" s="61" t="s">
        <v>478</v>
      </c>
      <c r="CZ55" s="61" t="s">
        <v>479</v>
      </c>
      <c r="DA55" s="61" t="s">
        <v>480</v>
      </c>
      <c r="DB55" s="61" t="s">
        <v>481</v>
      </c>
      <c r="DC55" s="62" t="s">
        <v>482</v>
      </c>
    </row>
    <row r="56" spans="1:107">
      <c r="A56" s="47" t="s">
        <v>89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90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91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92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93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94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95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96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97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98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99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101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102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103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104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105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99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107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108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109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110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111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112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113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114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115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116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117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118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119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99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121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122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123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124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125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126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127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128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129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130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131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132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133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134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135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136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99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3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84" sqref="A84"/>
    </sheetView>
  </sheetViews>
  <sheetFormatPr defaultColWidth="9" defaultRowHeight="13.5"/>
  <cols>
    <col min="1" max="1" width="23.375" customWidth="1"/>
    <col min="2" max="2" width="12.125" customWidth="1"/>
    <col min="3" max="3" width="11.625" customWidth="1"/>
    <col min="6" max="6" width="9.5" customWidth="1"/>
    <col min="7" max="7" width="11.625" customWidth="1"/>
    <col min="8" max="8" width="12.625" customWidth="1"/>
    <col min="9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  <col min="27" max="27" width="16.375" customWidth="1"/>
    <col min="32" max="46" width="9" style="2"/>
  </cols>
  <sheetData>
    <row r="1" spans="1:31">
      <c r="A1" s="29" t="s">
        <v>63</v>
      </c>
    </row>
    <row r="2" spans="1:31" s="2" customFormat="1">
      <c r="A2" s="17" t="s">
        <v>2</v>
      </c>
      <c r="B2" s="18" t="str">
        <f>累计利润调整表!B3</f>
        <v>合计</v>
      </c>
      <c r="C2" s="18" t="str">
        <f>累计利润调整表!C3</f>
        <v>其他</v>
      </c>
      <c r="D2" s="18" t="str">
        <f>累计利润调整表!D3</f>
        <v>总部中后台</v>
      </c>
      <c r="E2" s="18" t="str">
        <f>累计利润调整表!E3</f>
        <v>经纪业务部</v>
      </c>
      <c r="F2" s="18" t="str">
        <f>累计利润调整表!F3</f>
        <v>资管业务</v>
      </c>
      <c r="G2" s="18" t="str">
        <f>累计利润调整表!G3</f>
        <v>资产管理部</v>
      </c>
      <c r="H2" s="18" t="str">
        <f>累计利润调整表!H3</f>
        <v>权益产品投资部</v>
      </c>
      <c r="I2" s="18" t="str">
        <f>累计利润调整表!I3</f>
        <v>固收产品投资部</v>
      </c>
      <c r="J2" s="18" t="str">
        <f>累计利润调整表!J3</f>
        <v>量化产品投资部</v>
      </c>
      <c r="K2" s="18" t="str">
        <f>累计利润调整表!K3</f>
        <v>深分公司合计</v>
      </c>
      <c r="L2" s="18" t="str">
        <f>累计利润调整表!L3</f>
        <v>固定收益投资部</v>
      </c>
      <c r="M2" s="18" t="str">
        <f>累计利润调整表!M3</f>
        <v>固定收益市场部</v>
      </c>
      <c r="N2" s="18" t="str">
        <f>累计利润调整表!N3</f>
        <v>投顾业务部</v>
      </c>
      <c r="O2" s="18" t="str">
        <f>累计利润调整表!O3</f>
        <v>证券投资部</v>
      </c>
      <c r="P2" s="18" t="str">
        <f>累计利润调整表!P3</f>
        <v>做市业务部</v>
      </c>
      <c r="Q2" s="18" t="str">
        <f>累计利润调整表!Q3</f>
        <v>金融衍生品部</v>
      </c>
      <c r="R2" s="18" t="str">
        <f>累计利润调整表!R3</f>
        <v>深圳管理总部</v>
      </c>
      <c r="S2" s="18" t="str">
        <f>累计利润调整表!S3</f>
        <v>投资银行合计</v>
      </c>
      <c r="T2" s="18" t="str">
        <f>累计利润调整表!T3</f>
        <v>投资银行三部</v>
      </c>
      <c r="U2" s="18" t="str">
        <f>累计利润调整表!U3</f>
        <v>投资银行一部</v>
      </c>
      <c r="V2" s="18" t="str">
        <f>累计利润调整表!V3</f>
        <v>投资银行二部</v>
      </c>
      <c r="W2" s="18" t="str">
        <f>累计利润调整表!W3</f>
        <v>投资银行四部</v>
      </c>
      <c r="X2" s="18" t="str">
        <f>累计利润调整表!X3</f>
        <v>投资银行北京一部</v>
      </c>
      <c r="Y2" s="18" t="str">
        <f>累计利润调整表!Y3</f>
        <v>投资银行北京二部</v>
      </c>
      <c r="Z2" s="18" t="str">
        <f>累计利润调整表!Z3</f>
        <v>投资银行深圳一部（筹）</v>
      </c>
      <c r="AA2" s="18" t="str">
        <f>累计利润调整表!AA3</f>
        <v>投资银行管理部</v>
      </c>
      <c r="AB2" s="18" t="str">
        <f>累计利润调整表!AB3</f>
        <v>运营支持部</v>
      </c>
      <c r="AC2" s="18"/>
      <c r="AD2" s="18"/>
      <c r="AE2" s="18"/>
    </row>
    <row r="3" spans="1:31" ht="14.25">
      <c r="A3" s="30" t="s">
        <v>34</v>
      </c>
      <c r="B3" s="30">
        <f>累计利润调整表!B65/10000</f>
        <v>89228.409182333344</v>
      </c>
      <c r="C3" s="30">
        <f>累计利润调整表!C65/10000</f>
        <v>-1285.106849</v>
      </c>
      <c r="D3" s="283" t="s">
        <v>555</v>
      </c>
      <c r="E3" s="30">
        <f>累计利润调整表!E65/10000</f>
        <v>90453.940674049067</v>
      </c>
      <c r="F3" s="30">
        <f>累计利润调整表!F65/10000</f>
        <v>-22946.560355549052</v>
      </c>
      <c r="G3" s="30">
        <f>累计利润调整表!G65/10000</f>
        <v>861.90425795094336</v>
      </c>
      <c r="H3" s="30">
        <f>累计利润调整表!H65/10000</f>
        <v>-24617.914734999995</v>
      </c>
      <c r="I3" s="30">
        <f>累计利润调整表!I65/10000</f>
        <v>1185.2747855</v>
      </c>
      <c r="J3" s="30">
        <f>累计利润调整表!J65/10000</f>
        <v>-375.82466399999998</v>
      </c>
      <c r="K3" s="30">
        <f>累计利润调整表!K65/10000</f>
        <v>21111.794039133336</v>
      </c>
      <c r="L3" s="30">
        <f>累计利润调整表!L65/10000</f>
        <v>5484.3310899999988</v>
      </c>
      <c r="M3" s="30">
        <f>累计利润调整表!M65/10000</f>
        <v>2954.7445183</v>
      </c>
      <c r="N3" s="30">
        <f>累计利润调整表!N65/10000</f>
        <v>558.89412149999987</v>
      </c>
      <c r="O3" s="30">
        <f>累计利润调整表!O65/10000</f>
        <v>10530.401155333335</v>
      </c>
      <c r="P3" s="30">
        <f>累计利润调整表!P65/10000</f>
        <v>1336.03691</v>
      </c>
      <c r="Q3" s="30">
        <f>累计利润调整表!Q65/10000</f>
        <v>235.49500300000003</v>
      </c>
      <c r="R3" s="30">
        <f>累计利润调整表!R65/10000</f>
        <v>0.68033299999999997</v>
      </c>
      <c r="S3" s="30">
        <f>累计利润调整表!S65/10000</f>
        <v>28505.206892666669</v>
      </c>
      <c r="T3" s="30">
        <f>累计利润调整表!T65/10000</f>
        <v>1662.0832070000001</v>
      </c>
      <c r="U3" s="30">
        <f>累计利润调整表!U65/10000</f>
        <v>23732.500409</v>
      </c>
      <c r="V3" s="30">
        <f>累计利润调整表!V65/10000</f>
        <v>2765.1987466666665</v>
      </c>
      <c r="W3" s="30">
        <f>累计利润调整表!W65/10000</f>
        <v>345.42453</v>
      </c>
      <c r="X3" s="30">
        <f>累计利润调整表!X65/10000</f>
        <v>0</v>
      </c>
      <c r="Y3" s="30">
        <f>累计利润调整表!Y65/10000</f>
        <v>0</v>
      </c>
      <c r="Z3" s="30">
        <f>累计利润调整表!Z65/10000</f>
        <v>0</v>
      </c>
      <c r="AA3" s="30">
        <f>累计利润调整表!AA65/10000</f>
        <v>0</v>
      </c>
      <c r="AB3" s="30">
        <f>累计利润调整表!AB65/10000</f>
        <v>0</v>
      </c>
      <c r="AC3" s="30"/>
      <c r="AD3" s="30"/>
      <c r="AE3" s="30"/>
    </row>
    <row r="4" spans="1:31">
      <c r="A4" s="31" t="s">
        <v>35</v>
      </c>
      <c r="B4" s="32">
        <f>累计利润调整表!B66/10000</f>
        <v>75450.047697000002</v>
      </c>
      <c r="C4" s="32">
        <f>累计利润调整表!C66/10000</f>
        <v>212.35609000000002</v>
      </c>
      <c r="D4" s="32">
        <f>累计利润调整表!D66/10000</f>
        <v>-216.46547100000001</v>
      </c>
      <c r="E4" s="32">
        <f>累计利润调整表!E66/10000</f>
        <v>41417.451879049055</v>
      </c>
      <c r="F4" s="32">
        <f>累计利润调整表!F66/10000</f>
        <v>5326.1033464509446</v>
      </c>
      <c r="G4" s="32">
        <f>累计利润调整表!G66/10000</f>
        <v>837.67383095094328</v>
      </c>
      <c r="H4" s="32">
        <f>累计利润调整表!H66/10000</f>
        <v>3418.8977749999999</v>
      </c>
      <c r="I4" s="32">
        <f>累计利润调整表!I66/10000</f>
        <v>801.16968149999991</v>
      </c>
      <c r="J4" s="32">
        <f>累计利润调整表!J66/10000</f>
        <v>268.36205900000004</v>
      </c>
      <c r="K4" s="32">
        <f>累计利润调整表!K66/10000</f>
        <v>520.25912349999999</v>
      </c>
      <c r="L4" s="32">
        <f>累计利润调整表!L66/10000</f>
        <v>-159.766944</v>
      </c>
      <c r="M4" s="32">
        <f>累计利润调整表!M66/10000</f>
        <v>219.07505399999999</v>
      </c>
      <c r="N4" s="32">
        <f>累计利润调整表!N66/10000</f>
        <v>433.76723649999991</v>
      </c>
      <c r="O4" s="32">
        <f>累计利润调整表!O66/10000</f>
        <v>17.667050999999997</v>
      </c>
      <c r="P4" s="32">
        <f>累计利润调整表!P66/10000</f>
        <v>0</v>
      </c>
      <c r="Q4" s="32">
        <f>累计利润调整表!Q66/10000</f>
        <v>-1.426982</v>
      </c>
      <c r="R4" s="32">
        <f>累计利润调整表!R66/10000</f>
        <v>-0.26719999999999999</v>
      </c>
      <c r="S4" s="32">
        <f>累计利润调整表!S66/10000</f>
        <v>28190.342729000004</v>
      </c>
      <c r="T4" s="32">
        <f>累计利润调整表!T66/10000</f>
        <v>1667.2781580000001</v>
      </c>
      <c r="U4" s="32">
        <f>累计利润调整表!U66/10000</f>
        <v>23428.507961000003</v>
      </c>
      <c r="V4" s="32">
        <f>累计利润调整表!V66/10000</f>
        <v>2749.1320799999999</v>
      </c>
      <c r="W4" s="32">
        <f>累计利润调整表!W66/10000</f>
        <v>345.42453</v>
      </c>
      <c r="X4" s="32">
        <f>累计利润调整表!X66/10000</f>
        <v>0</v>
      </c>
      <c r="Y4" s="32">
        <f>累计利润调整表!Y66/10000</f>
        <v>0</v>
      </c>
      <c r="Z4" s="32">
        <f>累计利润调整表!Z66/10000</f>
        <v>0</v>
      </c>
      <c r="AA4" s="32">
        <f>累计利润调整表!AA66/10000</f>
        <v>0</v>
      </c>
      <c r="AB4" s="32">
        <f>累计利润调整表!AB66/10000</f>
        <v>0</v>
      </c>
      <c r="AC4" s="32"/>
      <c r="AD4" s="32"/>
      <c r="AE4" s="32"/>
    </row>
    <row r="5" spans="1:31">
      <c r="A5" s="33" t="s">
        <v>36</v>
      </c>
      <c r="B5" s="33">
        <f>累计利润调整表!B67/10000</f>
        <v>40738.633008999997</v>
      </c>
      <c r="C5" s="33">
        <f>累计利润调整表!C67/10000</f>
        <v>-5.0000000000000001E-3</v>
      </c>
      <c r="D5" s="33">
        <f>累计利润调整表!D67/10000</f>
        <v>-170.18992499999999</v>
      </c>
      <c r="E5" s="33">
        <f>累计利润调整表!E67/10000</f>
        <v>40580.445335000004</v>
      </c>
      <c r="F5" s="33">
        <f>累计利润调整表!F67/10000</f>
        <v>94.944417000000001</v>
      </c>
      <c r="G5" s="33">
        <f>累计利润调整表!G67/10000</f>
        <v>41.857541999999995</v>
      </c>
      <c r="H5" s="33">
        <f>累计利润调整表!H67/10000</f>
        <v>0</v>
      </c>
      <c r="I5" s="33">
        <f>累计利润调整表!I67/10000</f>
        <v>0</v>
      </c>
      <c r="J5" s="33">
        <f>累计利润调整表!J67/10000</f>
        <v>53.086874999999999</v>
      </c>
      <c r="K5" s="33">
        <f>累计利润调整表!K67/10000</f>
        <v>233.43818199999998</v>
      </c>
      <c r="L5" s="33">
        <f>累计利润调整表!L67/10000</f>
        <v>0</v>
      </c>
      <c r="M5" s="33">
        <f>累计利润调整表!M67/10000</f>
        <v>217.19811299999998</v>
      </c>
      <c r="N5" s="33">
        <f>累计利润调整表!N67/10000</f>
        <v>0</v>
      </c>
      <c r="O5" s="33">
        <f>累计利润调整表!O67/10000</f>
        <v>17.667050999999997</v>
      </c>
      <c r="P5" s="33">
        <f>累计利润调整表!P67/10000</f>
        <v>0</v>
      </c>
      <c r="Q5" s="33">
        <f>累计利润调整表!Q67/10000</f>
        <v>-1.426982</v>
      </c>
      <c r="R5" s="33">
        <f>累计利润调整表!R67/10000</f>
        <v>0</v>
      </c>
      <c r="S5" s="33">
        <f>累计利润调整表!S67/10000</f>
        <v>0</v>
      </c>
      <c r="T5" s="33">
        <f>累计利润调整表!T67/10000</f>
        <v>0</v>
      </c>
      <c r="U5" s="33">
        <f>累计利润调整表!U67/10000</f>
        <v>0</v>
      </c>
      <c r="V5" s="33">
        <f>累计利润调整表!V67/10000</f>
        <v>0</v>
      </c>
      <c r="W5" s="33">
        <f>累计利润调整表!W67/10000</f>
        <v>0</v>
      </c>
      <c r="X5" s="33">
        <f>累计利润调整表!X67/10000</f>
        <v>0</v>
      </c>
      <c r="Y5" s="33">
        <f>累计利润调整表!Y67/10000</f>
        <v>0</v>
      </c>
      <c r="Z5" s="33">
        <f>累计利润调整表!Z67/10000</f>
        <v>0</v>
      </c>
      <c r="AA5" s="33">
        <f>累计利润调整表!AA67/10000</f>
        <v>0</v>
      </c>
      <c r="AB5" s="33">
        <f>累计利润调整表!AB67/10000</f>
        <v>0</v>
      </c>
      <c r="AC5" s="33"/>
      <c r="AD5" s="33"/>
      <c r="AE5" s="33"/>
    </row>
    <row r="6" spans="1:31">
      <c r="A6" s="33" t="s">
        <v>37</v>
      </c>
      <c r="B6" s="33">
        <f>累计利润调整表!B68/10000</f>
        <v>28598.402433999996</v>
      </c>
      <c r="C6" s="33">
        <f>累计利润调整表!C68/10000</f>
        <v>54.762535000000007</v>
      </c>
      <c r="D6" s="33">
        <f>累计利润调整表!D68/10000</f>
        <v>0</v>
      </c>
      <c r="E6" s="33">
        <f>累计利润调整表!E68/10000</f>
        <v>389.14622699999995</v>
      </c>
      <c r="F6" s="33">
        <f>累计利润调整表!F68/10000</f>
        <v>0</v>
      </c>
      <c r="G6" s="33">
        <f>累计利润调整表!G68/10000</f>
        <v>0</v>
      </c>
      <c r="H6" s="33">
        <f>累计利润调整表!H68/10000</f>
        <v>0</v>
      </c>
      <c r="I6" s="33">
        <f>累计利润调整表!I68/10000</f>
        <v>0</v>
      </c>
      <c r="J6" s="33">
        <f>累计利润调整表!J68/10000</f>
        <v>0</v>
      </c>
      <c r="K6" s="33">
        <f>累计利润调整表!K68/10000</f>
        <v>0</v>
      </c>
      <c r="L6" s="33">
        <f>累计利润调整表!L68/10000</f>
        <v>0</v>
      </c>
      <c r="M6" s="33">
        <f>累计利润调整表!M68/10000</f>
        <v>0</v>
      </c>
      <c r="N6" s="33">
        <f>累计利润调整表!N68/10000</f>
        <v>0</v>
      </c>
      <c r="O6" s="33">
        <f>累计利润调整表!O68/10000</f>
        <v>0</v>
      </c>
      <c r="P6" s="33">
        <f>累计利润调整表!P68/10000</f>
        <v>0</v>
      </c>
      <c r="Q6" s="33">
        <f>累计利润调整表!Q68/10000</f>
        <v>0</v>
      </c>
      <c r="R6" s="33">
        <f>累计利润调整表!R68/10000</f>
        <v>0</v>
      </c>
      <c r="S6" s="33">
        <f>累计利润调整表!S68/10000</f>
        <v>28154.493672000004</v>
      </c>
      <c r="T6" s="33">
        <f>累计利润调整表!T68/10000</f>
        <v>1667.2781580000001</v>
      </c>
      <c r="U6" s="33">
        <f>累计利润调整表!U68/10000</f>
        <v>23392.658904</v>
      </c>
      <c r="V6" s="33">
        <f>累计利润调整表!V68/10000</f>
        <v>2749.1320799999999</v>
      </c>
      <c r="W6" s="33">
        <f>累计利润调整表!W68/10000</f>
        <v>345.42453</v>
      </c>
      <c r="X6" s="33">
        <f>累计利润调整表!X68/10000</f>
        <v>0</v>
      </c>
      <c r="Y6" s="33">
        <f>累计利润调整表!Y68/10000</f>
        <v>0</v>
      </c>
      <c r="Z6" s="33">
        <f>累计利润调整表!Z68/10000</f>
        <v>0</v>
      </c>
      <c r="AA6" s="33">
        <f>累计利润调整表!AA68/10000</f>
        <v>0</v>
      </c>
      <c r="AB6" s="33">
        <f>累计利润调整表!AB68/10000</f>
        <v>0</v>
      </c>
      <c r="AC6" s="33"/>
      <c r="AD6" s="33"/>
      <c r="AE6" s="33"/>
    </row>
    <row r="7" spans="1:31">
      <c r="A7" s="33" t="s">
        <v>38</v>
      </c>
      <c r="B7" s="33">
        <f>累计利润调整表!B69/10000</f>
        <v>5910.316092</v>
      </c>
      <c r="C7" s="33">
        <f>累计利润调整表!C69/10000</f>
        <v>157.598555</v>
      </c>
      <c r="D7" s="33">
        <f>累计利润调整表!D69/10000</f>
        <v>0</v>
      </c>
      <c r="E7" s="33">
        <f>累计利润调整表!E69/10000</f>
        <v>252.70390504905666</v>
      </c>
      <c r="F7" s="33">
        <f>累计利润调整表!F69/10000</f>
        <v>5231.9554564509435</v>
      </c>
      <c r="G7" s="33">
        <f>累计利润调整表!G69/10000</f>
        <v>796.6128159509434</v>
      </c>
      <c r="H7" s="33">
        <f>累计利润调整表!H69/10000</f>
        <v>3418.8977749999999</v>
      </c>
      <c r="I7" s="33">
        <f>累计利润调整表!I69/10000</f>
        <v>801.16968149999991</v>
      </c>
      <c r="J7" s="33">
        <f>累计利润调整表!J69/10000</f>
        <v>215.275184</v>
      </c>
      <c r="K7" s="33">
        <f>累计利润调整表!K69/10000</f>
        <v>232.20911849999996</v>
      </c>
      <c r="L7" s="33">
        <f>累计利润调整表!L69/10000</f>
        <v>0</v>
      </c>
      <c r="M7" s="33">
        <f>累计利润调整表!M69/10000</f>
        <v>0</v>
      </c>
      <c r="N7" s="33">
        <f>累计利润调整表!N69/10000</f>
        <v>232.20911849999996</v>
      </c>
      <c r="O7" s="33">
        <f>累计利润调整表!O69/10000</f>
        <v>0</v>
      </c>
      <c r="P7" s="33">
        <f>累计利润调整表!P69/10000</f>
        <v>0</v>
      </c>
      <c r="Q7" s="33">
        <f>累计利润调整表!Q69/10000</f>
        <v>0</v>
      </c>
      <c r="R7" s="33">
        <f>累计利润调整表!R69/10000</f>
        <v>0</v>
      </c>
      <c r="S7" s="33">
        <f>累计利润调整表!S69/10000</f>
        <v>35.849057000000002</v>
      </c>
      <c r="T7" s="33">
        <f>累计利润调整表!T69/10000</f>
        <v>0</v>
      </c>
      <c r="U7" s="33">
        <f>累计利润调整表!U69/10000</f>
        <v>35.849057000000002</v>
      </c>
      <c r="V7" s="33">
        <f>累计利润调整表!V69/10000</f>
        <v>0</v>
      </c>
      <c r="W7" s="33">
        <f>累计利润调整表!W69/10000</f>
        <v>0</v>
      </c>
      <c r="X7" s="33">
        <f>累计利润调整表!X69/10000</f>
        <v>0</v>
      </c>
      <c r="Y7" s="33">
        <f>累计利润调整表!Y69/10000</f>
        <v>0</v>
      </c>
      <c r="Z7" s="33">
        <f>累计利润调整表!Z69/10000</f>
        <v>0</v>
      </c>
      <c r="AA7" s="33">
        <f>累计利润调整表!AA69/10000</f>
        <v>0</v>
      </c>
      <c r="AB7" s="33">
        <f>累计利润调整表!AB69/10000</f>
        <v>0</v>
      </c>
      <c r="AC7" s="33"/>
      <c r="AD7" s="33"/>
      <c r="AE7" s="33"/>
    </row>
    <row r="8" spans="1:31">
      <c r="A8" s="31" t="s">
        <v>39</v>
      </c>
      <c r="B8" s="31">
        <f>累计利润调整表!B70/10000</f>
        <v>23447.912718</v>
      </c>
      <c r="C8" s="31">
        <f>累计利润调整表!C70/10000</f>
        <v>277.80142699999999</v>
      </c>
      <c r="D8" s="31">
        <f>累计利润调整表!D70/10000</f>
        <v>-27048.610089666676</v>
      </c>
      <c r="E8" s="31">
        <f>累计利润调整表!E70/10000</f>
        <v>47370.595877000007</v>
      </c>
      <c r="F8" s="31">
        <f>累计利润调整表!F70/10000</f>
        <v>266.50892400000004</v>
      </c>
      <c r="G8" s="31">
        <f>累计利润调整表!G70/10000</f>
        <v>26.001963</v>
      </c>
      <c r="H8" s="31">
        <f>累计利润调整表!H70/10000</f>
        <v>7.4748649999999994</v>
      </c>
      <c r="I8" s="31">
        <f>累计利润调整表!I70/10000</f>
        <v>0</v>
      </c>
      <c r="J8" s="31">
        <f>累计利润调整表!J70/10000</f>
        <v>233.032096</v>
      </c>
      <c r="K8" s="31">
        <f>累计利润调整表!K70/10000</f>
        <v>2261.5574649999999</v>
      </c>
      <c r="L8" s="31">
        <f>累计利润调整表!L70/10000</f>
        <v>17.362715999999999</v>
      </c>
      <c r="M8" s="31">
        <f>累计利润调整表!M70/10000</f>
        <v>-3.760535</v>
      </c>
      <c r="N8" s="31">
        <f>累计利润调整表!N70/10000</f>
        <v>0</v>
      </c>
      <c r="O8" s="31">
        <f>累计利润调整表!O70/10000</f>
        <v>2191.8220469999997</v>
      </c>
      <c r="P8" s="31">
        <f>累计利润调整表!P70/10000</f>
        <v>0</v>
      </c>
      <c r="Q8" s="31">
        <f>累计利润调整表!Q70/10000</f>
        <v>55.185703999999994</v>
      </c>
      <c r="R8" s="31">
        <f>累计利润调整表!R70/10000</f>
        <v>0.94753299999999996</v>
      </c>
      <c r="S8" s="31">
        <f>累计利润调整表!S70/10000</f>
        <v>320.05911466666663</v>
      </c>
      <c r="T8" s="31">
        <f>累计利润调整表!T70/10000</f>
        <v>0</v>
      </c>
      <c r="U8" s="31">
        <f>累计利润调整表!U70/10000</f>
        <v>303.99244800000002</v>
      </c>
      <c r="V8" s="31">
        <f>累计利润调整表!V70/10000</f>
        <v>16.06666666666667</v>
      </c>
      <c r="W8" s="31">
        <f>累计利润调整表!W70/10000</f>
        <v>0</v>
      </c>
      <c r="X8" s="31">
        <f>累计利润调整表!X70/10000</f>
        <v>0</v>
      </c>
      <c r="Y8" s="31">
        <f>累计利润调整表!Y70/10000</f>
        <v>0</v>
      </c>
      <c r="Z8" s="31">
        <f>累计利润调整表!Z70/10000</f>
        <v>0</v>
      </c>
      <c r="AA8" s="31">
        <f>累计利润调整表!AA70/10000</f>
        <v>0</v>
      </c>
      <c r="AB8" s="31">
        <f>累计利润调整表!AB70/10000</f>
        <v>0</v>
      </c>
      <c r="AC8" s="31"/>
      <c r="AD8" s="31"/>
      <c r="AE8" s="31"/>
    </row>
    <row r="9" spans="1:31">
      <c r="A9" s="31" t="s">
        <v>40</v>
      </c>
      <c r="B9" s="31">
        <f>累计利润调整表!B71/10000</f>
        <v>6468.1529829999999</v>
      </c>
      <c r="C9" s="31">
        <f>累计利润调整表!C71/10000</f>
        <v>-1582.5670559999999</v>
      </c>
      <c r="D9" s="31">
        <f>累计利润调整表!D71/10000</f>
        <v>645.63523270000007</v>
      </c>
      <c r="E9" s="31">
        <f>累计利润调整表!E71/10000</f>
        <v>17.014206000000001</v>
      </c>
      <c r="F9" s="31">
        <f>累计利润调整表!F71/10000</f>
        <v>-8969.7196970000023</v>
      </c>
      <c r="G9" s="31">
        <f>累计利润调整表!G71/10000</f>
        <v>15.722587000000011</v>
      </c>
      <c r="H9" s="31">
        <f>累计利润调整表!H71/10000</f>
        <v>-8462.4194590000006</v>
      </c>
      <c r="I9" s="31">
        <f>累计利润调整表!I71/10000</f>
        <v>2.4023189999999999</v>
      </c>
      <c r="J9" s="31">
        <f>累计利润调整表!J71/10000</f>
        <v>-525.42514400000005</v>
      </c>
      <c r="K9" s="31">
        <f>累计利润调整表!K71/10000</f>
        <v>16366.517378299999</v>
      </c>
      <c r="L9" s="31">
        <f>累计利润调整表!L71/10000</f>
        <v>6568.9308810000002</v>
      </c>
      <c r="M9" s="31">
        <f>累计利润调整表!M71/10000</f>
        <v>6258.7093962999998</v>
      </c>
      <c r="N9" s="31">
        <f>累计利润调整表!N71/10000</f>
        <v>176.27678799999998</v>
      </c>
      <c r="O9" s="31">
        <f>累计利润调整表!O71/10000</f>
        <v>1164.1662440000002</v>
      </c>
      <c r="P9" s="31">
        <f>累计利润调整表!P71/10000</f>
        <v>1223.444876</v>
      </c>
      <c r="Q9" s="31">
        <f>累计利润调整表!Q71/10000</f>
        <v>974.989193</v>
      </c>
      <c r="R9" s="31">
        <f>累计利润调整表!R71/10000</f>
        <v>0</v>
      </c>
      <c r="S9" s="31">
        <f>累计利润调整表!S71/10000</f>
        <v>-8.7270810000000001</v>
      </c>
      <c r="T9" s="31">
        <f>累计利润调整表!T71/10000</f>
        <v>-8.7270810000000001</v>
      </c>
      <c r="U9" s="31">
        <f>累计利润调整表!U71/10000</f>
        <v>0</v>
      </c>
      <c r="V9" s="31">
        <f>累计利润调整表!V71/10000</f>
        <v>0</v>
      </c>
      <c r="W9" s="31">
        <f>累计利润调整表!W71/10000</f>
        <v>0</v>
      </c>
      <c r="X9" s="31">
        <f>累计利润调整表!X71/10000</f>
        <v>0</v>
      </c>
      <c r="Y9" s="31">
        <f>累计利润调整表!Y71/10000</f>
        <v>0</v>
      </c>
      <c r="Z9" s="31">
        <f>累计利润调整表!Z71/10000</f>
        <v>0</v>
      </c>
      <c r="AA9" s="31">
        <f>累计利润调整表!AA71/10000</f>
        <v>0</v>
      </c>
      <c r="AB9" s="31">
        <f>累计利润调整表!AB71/10000</f>
        <v>0</v>
      </c>
      <c r="AC9" s="31"/>
      <c r="AD9" s="31"/>
      <c r="AE9" s="31"/>
    </row>
    <row r="10" spans="1:31">
      <c r="A10" s="31" t="s">
        <v>41</v>
      </c>
      <c r="B10" s="31">
        <f>累计利润调整表!B72/10000</f>
        <v>0</v>
      </c>
      <c r="C10" s="31">
        <f>累计利润调整表!C72/10000</f>
        <v>0</v>
      </c>
      <c r="D10" s="31">
        <f>累计利润调整表!D72/10000</f>
        <v>0</v>
      </c>
      <c r="E10" s="31">
        <f>累计利润调整表!E72/10000</f>
        <v>0</v>
      </c>
      <c r="F10" s="31">
        <f>累计利润调整表!F72/10000</f>
        <v>0</v>
      </c>
      <c r="G10" s="31">
        <f>累计利润调整表!G72/10000</f>
        <v>0</v>
      </c>
      <c r="H10" s="31">
        <f>累计利润调整表!H72/10000</f>
        <v>0</v>
      </c>
      <c r="I10" s="31">
        <f>累计利润调整表!I72/10000</f>
        <v>0</v>
      </c>
      <c r="J10" s="31">
        <f>累计利润调整表!J72/10000</f>
        <v>0</v>
      </c>
      <c r="K10" s="31">
        <f>累计利润调整表!K72/10000</f>
        <v>0</v>
      </c>
      <c r="L10" s="31">
        <f>累计利润调整表!L72/10000</f>
        <v>0</v>
      </c>
      <c r="M10" s="31">
        <f>累计利润调整表!M72/10000</f>
        <v>0</v>
      </c>
      <c r="N10" s="31">
        <f>累计利润调整表!N72/10000</f>
        <v>0</v>
      </c>
      <c r="O10" s="31">
        <f>累计利润调整表!O72/10000</f>
        <v>0</v>
      </c>
      <c r="P10" s="31">
        <f>累计利润调整表!P72/10000</f>
        <v>0</v>
      </c>
      <c r="Q10" s="31">
        <f>累计利润调整表!Q72/10000</f>
        <v>0</v>
      </c>
      <c r="R10" s="31">
        <f>累计利润调整表!R72/10000</f>
        <v>0</v>
      </c>
      <c r="S10" s="31">
        <f>累计利润调整表!S72/10000</f>
        <v>0</v>
      </c>
      <c r="T10" s="31">
        <f>累计利润调整表!T72/10000</f>
        <v>0</v>
      </c>
      <c r="U10" s="31">
        <f>累计利润调整表!U72/10000</f>
        <v>0</v>
      </c>
      <c r="V10" s="31">
        <f>累计利润调整表!V72/10000</f>
        <v>0</v>
      </c>
      <c r="W10" s="31">
        <f>累计利润调整表!W72/10000</f>
        <v>0</v>
      </c>
      <c r="X10" s="31">
        <f>累计利润调整表!X72/10000</f>
        <v>0</v>
      </c>
      <c r="Y10" s="31">
        <f>累计利润调整表!Y72/10000</f>
        <v>0</v>
      </c>
      <c r="Z10" s="31">
        <f>累计利润调整表!Z72/10000</f>
        <v>0</v>
      </c>
      <c r="AA10" s="31">
        <f>累计利润调整表!AA72/10000</f>
        <v>0</v>
      </c>
      <c r="AB10" s="31">
        <f>累计利润调整表!AB72/10000</f>
        <v>0</v>
      </c>
      <c r="AC10" s="31"/>
      <c r="AD10" s="31"/>
      <c r="AE10" s="31"/>
    </row>
    <row r="11" spans="1:31">
      <c r="A11" s="31" t="s">
        <v>42</v>
      </c>
      <c r="B11" s="31">
        <f>累计利润调整表!B73/10000</f>
        <v>-17265.833119666662</v>
      </c>
      <c r="C11" s="31">
        <f>累计利润调整表!C73/10000</f>
        <v>164.66116699999989</v>
      </c>
      <c r="D11" s="31">
        <f>累计利润调整表!D73/10000</f>
        <v>0</v>
      </c>
      <c r="E11" s="31">
        <f>累计利润调整表!E73/10000</f>
        <v>171.96644000000001</v>
      </c>
      <c r="F11" s="31">
        <f>累计利润调整表!F73/10000</f>
        <v>-19569.452928999995</v>
      </c>
      <c r="G11" s="31">
        <f>累计利润调整表!G73/10000</f>
        <v>-17.494123000000002</v>
      </c>
      <c r="H11" s="31">
        <f>累计利润调整表!H73/10000</f>
        <v>-19581.867915999996</v>
      </c>
      <c r="I11" s="31">
        <f>累计利润调整表!I73/10000</f>
        <v>381.70278500000006</v>
      </c>
      <c r="J11" s="31">
        <f>累计利润调整表!J73/10000</f>
        <v>-351.79367500000001</v>
      </c>
      <c r="K11" s="31">
        <f>累计利润调整表!K73/10000</f>
        <v>1963.4600723333335</v>
      </c>
      <c r="L11" s="31">
        <f>累计利润调整表!L73/10000</f>
        <v>-942.19556300000011</v>
      </c>
      <c r="M11" s="31">
        <f>累计利润调整表!M73/10000</f>
        <v>-3519.2793969999998</v>
      </c>
      <c r="N11" s="31">
        <f>累计利润调整表!N73/10000</f>
        <v>-51.149902999999988</v>
      </c>
      <c r="O11" s="31">
        <f>累计利润调整表!O73/10000</f>
        <v>7156.7458133333339</v>
      </c>
      <c r="P11" s="31">
        <f>累计利润调整表!P73/10000</f>
        <v>112.59203399999998</v>
      </c>
      <c r="Q11" s="31">
        <f>累计利润调整表!Q73/10000</f>
        <v>-793.25291199999992</v>
      </c>
      <c r="R11" s="31">
        <f>累计利润调整表!R73/10000</f>
        <v>0</v>
      </c>
      <c r="S11" s="31">
        <f>累计利润调整表!S73/10000</f>
        <v>3.5321300000000004</v>
      </c>
      <c r="T11" s="31">
        <f>累计利润调整表!T73/10000</f>
        <v>3.5321300000000004</v>
      </c>
      <c r="U11" s="31">
        <f>累计利润调整表!U73/10000</f>
        <v>0</v>
      </c>
      <c r="V11" s="31">
        <f>累计利润调整表!V73/10000</f>
        <v>0</v>
      </c>
      <c r="W11" s="31">
        <f>累计利润调整表!W73/10000</f>
        <v>0</v>
      </c>
      <c r="X11" s="31">
        <f>累计利润调整表!X73/10000</f>
        <v>0</v>
      </c>
      <c r="Y11" s="31">
        <f>累计利润调整表!Y73/10000</f>
        <v>0</v>
      </c>
      <c r="Z11" s="31">
        <f>累计利润调整表!Z73/10000</f>
        <v>0</v>
      </c>
      <c r="AA11" s="31">
        <f>累计利润调整表!AA73/10000</f>
        <v>0</v>
      </c>
      <c r="AB11" s="31">
        <f>累计利润调整表!AB73/10000</f>
        <v>0</v>
      </c>
      <c r="AC11" s="31"/>
      <c r="AD11" s="31"/>
      <c r="AE11" s="31"/>
    </row>
    <row r="12" spans="1:31">
      <c r="A12" s="31" t="s">
        <v>43</v>
      </c>
      <c r="B12" s="31">
        <f>累计利润调整表!B74/10000</f>
        <v>-73.590716999999998</v>
      </c>
      <c r="C12" s="31">
        <f>累计利润调整表!C74/10000</f>
        <v>0</v>
      </c>
      <c r="D12" s="31">
        <f>累计利润调整表!D74/10000</f>
        <v>8.5751089999999994</v>
      </c>
      <c r="E12" s="31">
        <f>累计利润调整表!E74/10000</f>
        <v>-82.165825999999996</v>
      </c>
      <c r="F12" s="31">
        <f>累计利润调整表!F74/10000</f>
        <v>0</v>
      </c>
      <c r="G12" s="31">
        <f>累计利润调整表!G74/10000</f>
        <v>0</v>
      </c>
      <c r="H12" s="31">
        <f>累计利润调整表!H74/10000</f>
        <v>0</v>
      </c>
      <c r="I12" s="31">
        <f>累计利润调整表!I74/10000</f>
        <v>0</v>
      </c>
      <c r="J12" s="31">
        <f>累计利润调整表!J74/10000</f>
        <v>0</v>
      </c>
      <c r="K12" s="31">
        <f>累计利润调整表!K74/10000</f>
        <v>0</v>
      </c>
      <c r="L12" s="31">
        <f>累计利润调整表!L74/10000</f>
        <v>0</v>
      </c>
      <c r="M12" s="31">
        <f>累计利润调整表!M74/10000</f>
        <v>0</v>
      </c>
      <c r="N12" s="31">
        <f>累计利润调整表!N74/10000</f>
        <v>0</v>
      </c>
      <c r="O12" s="31">
        <f>累计利润调整表!O74/10000</f>
        <v>0</v>
      </c>
      <c r="P12" s="31">
        <f>累计利润调整表!P74/10000</f>
        <v>0</v>
      </c>
      <c r="Q12" s="31">
        <f>累计利润调整表!Q74/10000</f>
        <v>0</v>
      </c>
      <c r="R12" s="31">
        <f>累计利润调整表!R74/10000</f>
        <v>0</v>
      </c>
      <c r="S12" s="31">
        <f>累计利润调整表!S74/10000</f>
        <v>0</v>
      </c>
      <c r="T12" s="31">
        <f>累计利润调整表!T74/10000</f>
        <v>0</v>
      </c>
      <c r="U12" s="31">
        <f>累计利润调整表!U74/10000</f>
        <v>0</v>
      </c>
      <c r="V12" s="31">
        <f>累计利润调整表!V74/10000</f>
        <v>0</v>
      </c>
      <c r="W12" s="31">
        <f>累计利润调整表!W74/10000</f>
        <v>0</v>
      </c>
      <c r="X12" s="31">
        <f>累计利润调整表!X74/10000</f>
        <v>0</v>
      </c>
      <c r="Y12" s="31">
        <f>累计利润调整表!Y74/10000</f>
        <v>0</v>
      </c>
      <c r="Z12" s="31">
        <f>累计利润调整表!Z74/10000</f>
        <v>0</v>
      </c>
      <c r="AA12" s="31">
        <f>累计利润调整表!AA74/10000</f>
        <v>0</v>
      </c>
      <c r="AB12" s="31">
        <f>累计利润调整表!AB74/10000</f>
        <v>0</v>
      </c>
      <c r="AC12" s="31"/>
      <c r="AD12" s="31"/>
      <c r="AE12" s="31"/>
    </row>
    <row r="13" spans="1:31">
      <c r="A13" s="31" t="s">
        <v>44</v>
      </c>
      <c r="B13" s="31">
        <f>累计利润调整表!B75/10000</f>
        <v>1201.7196210000002</v>
      </c>
      <c r="C13" s="31">
        <f>累计利润调整表!C75/10000</f>
        <v>-357.35847700000016</v>
      </c>
      <c r="D13" s="31">
        <f>累计利润调整表!D75/10000</f>
        <v>0</v>
      </c>
      <c r="E13" s="31">
        <f>累计利润调整表!E75/10000</f>
        <v>1559.0780980000002</v>
      </c>
      <c r="F13" s="31">
        <f>累计利润调整表!F75/10000</f>
        <v>0</v>
      </c>
      <c r="G13" s="31">
        <f>累计利润调整表!G75/10000</f>
        <v>0</v>
      </c>
      <c r="H13" s="31">
        <f>累计利润调整表!H75/10000</f>
        <v>0</v>
      </c>
      <c r="I13" s="31">
        <f>累计利润调整表!I75/10000</f>
        <v>0</v>
      </c>
      <c r="J13" s="31">
        <f>累计利润调整表!J75/10000</f>
        <v>0</v>
      </c>
      <c r="K13" s="31">
        <f>累计利润调整表!K75/10000</f>
        <v>0</v>
      </c>
      <c r="L13" s="31">
        <f>累计利润调整表!L75/10000</f>
        <v>0</v>
      </c>
      <c r="M13" s="31">
        <f>累计利润调整表!M75/10000</f>
        <v>0</v>
      </c>
      <c r="N13" s="31">
        <f>累计利润调整表!N75/10000</f>
        <v>0</v>
      </c>
      <c r="O13" s="31">
        <f>累计利润调整表!O75/10000</f>
        <v>0</v>
      </c>
      <c r="P13" s="31">
        <f>累计利润调整表!P75/10000</f>
        <v>0</v>
      </c>
      <c r="Q13" s="31">
        <f>累计利润调整表!Q75/10000</f>
        <v>0</v>
      </c>
      <c r="R13" s="31">
        <f>累计利润调整表!R75/10000</f>
        <v>0</v>
      </c>
      <c r="S13" s="31">
        <f>累计利润调整表!S75/10000</f>
        <v>0</v>
      </c>
      <c r="T13" s="31">
        <f>累计利润调整表!T75/10000</f>
        <v>0</v>
      </c>
      <c r="U13" s="31">
        <f>累计利润调整表!U75/10000</f>
        <v>0</v>
      </c>
      <c r="V13" s="31">
        <f>累计利润调整表!V75/10000</f>
        <v>0</v>
      </c>
      <c r="W13" s="31">
        <f>累计利润调整表!W75/10000</f>
        <v>0</v>
      </c>
      <c r="X13" s="31">
        <f>累计利润调整表!X75/10000</f>
        <v>0</v>
      </c>
      <c r="Y13" s="31">
        <f>累计利润调整表!Y75/10000</f>
        <v>0</v>
      </c>
      <c r="Z13" s="31">
        <f>累计利润调整表!Z75/10000</f>
        <v>0</v>
      </c>
      <c r="AA13" s="31">
        <f>累计利润调整表!AA75/10000</f>
        <v>0</v>
      </c>
      <c r="AB13" s="31">
        <f>累计利润调整表!AB75/10000</f>
        <v>0</v>
      </c>
      <c r="AC13" s="31"/>
      <c r="AD13" s="31"/>
      <c r="AE13" s="31"/>
    </row>
    <row r="14" spans="1:31">
      <c r="A14" s="34" t="s">
        <v>45</v>
      </c>
      <c r="B14" s="35">
        <f>累计利润调整表!B76/10000</f>
        <v>65731.590542999998</v>
      </c>
      <c r="C14" s="35">
        <f>累计利润调整表!C76/10000</f>
        <v>-87.886921000000044</v>
      </c>
      <c r="D14" s="35">
        <f>累计利润调整表!D76/10000</f>
        <v>15211.667926000002</v>
      </c>
      <c r="E14" s="35">
        <f>累计利润调整表!E76/10000</f>
        <v>32248.603132</v>
      </c>
      <c r="F14" s="35">
        <f>累计利润调整表!F76/10000</f>
        <v>1800.4930129999998</v>
      </c>
      <c r="G14" s="35">
        <f>累计利润调整表!G76/10000</f>
        <v>433.28841500000004</v>
      </c>
      <c r="H14" s="35">
        <f>累计利润调整表!H76/10000</f>
        <v>336.17179599999997</v>
      </c>
      <c r="I14" s="35">
        <f>累计利润调整表!I76/10000</f>
        <v>424.21929599999999</v>
      </c>
      <c r="J14" s="35">
        <f>累计利润调整表!J76/10000</f>
        <v>606.81350599999996</v>
      </c>
      <c r="K14" s="35">
        <f>累计利润调整表!K76/10000</f>
        <v>3377.3935890000002</v>
      </c>
      <c r="L14" s="35">
        <f>累计利润调整表!L76/10000</f>
        <v>442.48201100000006</v>
      </c>
      <c r="M14" s="35">
        <f>累计利润调整表!M76/10000</f>
        <v>420.89050900000001</v>
      </c>
      <c r="N14" s="35">
        <f>累计利润调整表!N76/10000</f>
        <v>167.48931400000001</v>
      </c>
      <c r="O14" s="35">
        <f>累计利润调整表!O76/10000</f>
        <v>706.68778799999995</v>
      </c>
      <c r="P14" s="35">
        <f>累计利润调整表!P76/10000</f>
        <v>344.20549200000005</v>
      </c>
      <c r="Q14" s="35">
        <f>累计利润调整表!Q76/10000</f>
        <v>375.39747</v>
      </c>
      <c r="R14" s="35">
        <f>累计利润调整表!R76/10000</f>
        <v>920.24100500000009</v>
      </c>
      <c r="S14" s="35">
        <f>累计利润调整表!S76/10000</f>
        <v>11802.315961999997</v>
      </c>
      <c r="T14" s="35">
        <f>累计利润调整表!T76/10000</f>
        <v>971.06806500000005</v>
      </c>
      <c r="U14" s="35">
        <f>累计利润调整表!U76/10000</f>
        <v>8179.6789749999998</v>
      </c>
      <c r="V14" s="35">
        <f>累计利润调整表!V76/10000</f>
        <v>2146.2227520000001</v>
      </c>
      <c r="W14" s="35">
        <f>累计利润调整表!W76/10000</f>
        <v>284.24956099999997</v>
      </c>
      <c r="X14" s="35">
        <f>累计利润调整表!X76/10000</f>
        <v>165.49349099999998</v>
      </c>
      <c r="Y14" s="35">
        <f>累计利润调整表!Y76/10000</f>
        <v>41.079839</v>
      </c>
      <c r="Z14" s="35">
        <f>累计利润调整表!Z76/10000</f>
        <v>14.523279</v>
      </c>
      <c r="AA14" s="35">
        <f>累计利润调整表!AA76/10000</f>
        <v>691.84548399999994</v>
      </c>
      <c r="AB14" s="35">
        <f>累计利润调整表!AB76/10000</f>
        <v>687.15835800000002</v>
      </c>
      <c r="AC14" s="35"/>
      <c r="AD14" s="35"/>
      <c r="AE14" s="35"/>
    </row>
    <row r="15" spans="1:31">
      <c r="A15" s="32" t="s">
        <v>46</v>
      </c>
      <c r="B15" s="32">
        <f>累计利润调整表!B77/10000</f>
        <v>968.07979399999999</v>
      </c>
      <c r="C15" s="32">
        <f>累计利润调整表!C77/10000</f>
        <v>-9.8654829999999993</v>
      </c>
      <c r="D15" s="32">
        <f>累计利润调整表!D77/10000</f>
        <v>-111.58303599999999</v>
      </c>
      <c r="E15" s="32">
        <f>累计利润调整表!E77/10000</f>
        <v>608.15690300000006</v>
      </c>
      <c r="F15" s="32">
        <f>累计利润调整表!F77/10000</f>
        <v>34.381675999999999</v>
      </c>
      <c r="G15" s="32">
        <f>累计利润调整表!G77/10000</f>
        <v>7.0886380000000004</v>
      </c>
      <c r="H15" s="32">
        <f>累计利润调整表!H77/10000</f>
        <v>24.556183999999998</v>
      </c>
      <c r="I15" s="32">
        <f>累计利润调整表!I77/10000</f>
        <v>5.7597039999999993</v>
      </c>
      <c r="J15" s="32">
        <f>累计利润调整表!J77/10000</f>
        <v>-3.02285</v>
      </c>
      <c r="K15" s="32">
        <f>累计利润调整表!K77/10000</f>
        <v>246.06880899999999</v>
      </c>
      <c r="L15" s="32">
        <f>累计利润调整表!L77/10000</f>
        <v>168.73268199999998</v>
      </c>
      <c r="M15" s="32">
        <f>累计利润调整表!M77/10000</f>
        <v>57.529548999999996</v>
      </c>
      <c r="N15" s="32">
        <f>累计利润调整表!N77/10000</f>
        <v>4.0678739999999998</v>
      </c>
      <c r="O15" s="32">
        <f>累计利润调整表!O77/10000</f>
        <v>2.0374369999999997</v>
      </c>
      <c r="P15" s="32">
        <f>累计利润调整表!P77/10000</f>
        <v>6.7892130000000002</v>
      </c>
      <c r="Q15" s="32">
        <f>累计利润调整表!Q77/10000</f>
        <v>6.9120540000000013</v>
      </c>
      <c r="R15" s="32">
        <f>累计利润调整表!R77/10000</f>
        <v>0</v>
      </c>
      <c r="S15" s="32">
        <f>累计利润调整表!S77/10000</f>
        <v>201.74665300000004</v>
      </c>
      <c r="T15" s="32">
        <f>累计利润调整表!T77/10000</f>
        <v>11.882323</v>
      </c>
      <c r="U15" s="32">
        <f>累计利润调整表!U77/10000</f>
        <v>167.84484200000003</v>
      </c>
      <c r="V15" s="32">
        <f>累计利润调整表!V77/10000</f>
        <v>19.572727</v>
      </c>
      <c r="W15" s="32">
        <f>累计利润调整表!W77/10000</f>
        <v>2.476111</v>
      </c>
      <c r="X15" s="32">
        <f>累计利润调整表!X77/10000</f>
        <v>-2.0091999999999999E-2</v>
      </c>
      <c r="Y15" s="32">
        <f>累计利润调整表!Y77/10000</f>
        <v>-9.2580000000000006E-3</v>
      </c>
      <c r="Z15" s="32">
        <f>累计利润调整表!Z77/10000</f>
        <v>0</v>
      </c>
      <c r="AA15" s="32">
        <f>累计利润调整表!AA77/10000</f>
        <v>-0.74472799999999995</v>
      </c>
      <c r="AB15" s="32">
        <f>累计利润调整表!AB77/10000</f>
        <v>-8.1000000000000003E-2</v>
      </c>
      <c r="AC15" s="32"/>
      <c r="AD15" s="32"/>
      <c r="AE15" s="32"/>
    </row>
    <row r="16" spans="1:31">
      <c r="A16" s="32" t="s">
        <v>47</v>
      </c>
      <c r="B16" s="32">
        <f>累计利润调整表!B78/10000</f>
        <v>64376.744380999997</v>
      </c>
      <c r="C16" s="32">
        <f>累计利润调整表!C78/10000</f>
        <v>-78.021438000000046</v>
      </c>
      <c r="D16" s="32">
        <f>累计利润调整表!D78/10000</f>
        <v>15323.250962</v>
      </c>
      <c r="E16" s="32">
        <f>累计利润调整表!E78/10000</f>
        <v>31253.679860999997</v>
      </c>
      <c r="F16" s="32">
        <f>累计利润调整表!F78/10000</f>
        <v>1766.111337</v>
      </c>
      <c r="G16" s="32">
        <f>累计利润调整表!G78/10000</f>
        <v>426.19977699999998</v>
      </c>
      <c r="H16" s="32">
        <f>累计利润调整表!H78/10000</f>
        <v>311.615612</v>
      </c>
      <c r="I16" s="32">
        <f>累计利润调整表!I78/10000</f>
        <v>418.45959199999999</v>
      </c>
      <c r="J16" s="32">
        <f>累计利润调整表!J78/10000</f>
        <v>609.83635600000002</v>
      </c>
      <c r="K16" s="32">
        <f>累计利润调整表!K78/10000</f>
        <v>3131.3247799999999</v>
      </c>
      <c r="L16" s="32">
        <f>累计利润调整表!L78/10000</f>
        <v>273.74932899999999</v>
      </c>
      <c r="M16" s="32">
        <f>累计利润调整表!M78/10000</f>
        <v>363.36095999999998</v>
      </c>
      <c r="N16" s="32">
        <f>累计利润调整表!N78/10000</f>
        <v>163.42143999999999</v>
      </c>
      <c r="O16" s="32">
        <f>累计利润调整表!O78/10000</f>
        <v>704.650351</v>
      </c>
      <c r="P16" s="32">
        <f>累计利润调整表!P78/10000</f>
        <v>337.41627900000003</v>
      </c>
      <c r="Q16" s="32">
        <f>累计利润调整表!Q78/10000</f>
        <v>368.48541599999999</v>
      </c>
      <c r="R16" s="32">
        <f>累计利润调整表!R78/10000</f>
        <v>920.24100500000009</v>
      </c>
      <c r="S16" s="32">
        <f>累计利润调整表!S78/10000</f>
        <v>11600.569309000004</v>
      </c>
      <c r="T16" s="32">
        <f>累计利润调整表!T78/10000</f>
        <v>959.185742</v>
      </c>
      <c r="U16" s="32">
        <f>累计利润调整表!U78/10000</f>
        <v>8011.8341329999994</v>
      </c>
      <c r="V16" s="32">
        <f>累计利润调整表!V78/10000</f>
        <v>2126.6500249999999</v>
      </c>
      <c r="W16" s="32">
        <f>累计利润调整表!W78/10000</f>
        <v>281.77345000000003</v>
      </c>
      <c r="X16" s="32">
        <f>累计利润调整表!X78/10000</f>
        <v>165.51358300000001</v>
      </c>
      <c r="Y16" s="32">
        <f>累计利润调整表!Y78/10000</f>
        <v>41.089096999999995</v>
      </c>
      <c r="Z16" s="32">
        <f>累计利润调整表!Z78/10000</f>
        <v>14.523279</v>
      </c>
      <c r="AA16" s="32">
        <f>累计利润调整表!AA78/10000</f>
        <v>692.59021200000007</v>
      </c>
      <c r="AB16" s="32">
        <f>累计利润调整表!AB78/10000</f>
        <v>687.23935800000004</v>
      </c>
      <c r="AC16" s="32"/>
      <c r="AD16" s="32"/>
      <c r="AE16" s="32"/>
    </row>
    <row r="17" spans="1:31">
      <c r="A17" s="32" t="s">
        <v>48</v>
      </c>
      <c r="B17" s="32">
        <f>累计利润调整表!B79/10000</f>
        <v>0</v>
      </c>
      <c r="C17" s="32">
        <f>累计利润调整表!C79/10000</f>
        <v>0</v>
      </c>
      <c r="D17" s="32">
        <f>累计利润调整表!D79/10000</f>
        <v>0</v>
      </c>
      <c r="E17" s="32">
        <f>累计利润调整表!E79/10000</f>
        <v>0</v>
      </c>
      <c r="F17" s="32">
        <f>累计利润调整表!F79/10000</f>
        <v>0</v>
      </c>
      <c r="G17" s="32">
        <f>累计利润调整表!G79/10000</f>
        <v>0</v>
      </c>
      <c r="H17" s="32">
        <f>累计利润调整表!H79/10000</f>
        <v>0</v>
      </c>
      <c r="I17" s="32">
        <f>累计利润调整表!I79/10000</f>
        <v>0</v>
      </c>
      <c r="J17" s="32">
        <f>累计利润调整表!J79/10000</f>
        <v>0</v>
      </c>
      <c r="K17" s="32">
        <f>累计利润调整表!K79/10000</f>
        <v>0</v>
      </c>
      <c r="L17" s="32">
        <f>累计利润调整表!L79/10000</f>
        <v>0</v>
      </c>
      <c r="M17" s="32">
        <f>累计利润调整表!M79/10000</f>
        <v>0</v>
      </c>
      <c r="N17" s="32">
        <f>累计利润调整表!N79/10000</f>
        <v>0</v>
      </c>
      <c r="O17" s="32">
        <f>累计利润调整表!O79/10000</f>
        <v>0</v>
      </c>
      <c r="P17" s="32">
        <f>累计利润调整表!P79/10000</f>
        <v>0</v>
      </c>
      <c r="Q17" s="32">
        <f>累计利润调整表!Q79/10000</f>
        <v>0</v>
      </c>
      <c r="R17" s="32">
        <f>累计利润调整表!R79/10000</f>
        <v>0</v>
      </c>
      <c r="S17" s="32">
        <f>累计利润调整表!S79/10000</f>
        <v>0</v>
      </c>
      <c r="T17" s="32">
        <f>累计利润调整表!T79/10000</f>
        <v>0</v>
      </c>
      <c r="U17" s="32">
        <f>累计利润调整表!U79/10000</f>
        <v>0</v>
      </c>
      <c r="V17" s="32">
        <f>累计利润调整表!V79/10000</f>
        <v>0</v>
      </c>
      <c r="W17" s="32">
        <f>累计利润调整表!W79/10000</f>
        <v>0</v>
      </c>
      <c r="X17" s="32">
        <f>累计利润调整表!X79/10000</f>
        <v>0</v>
      </c>
      <c r="Y17" s="32">
        <f>累计利润调整表!Y79/10000</f>
        <v>0</v>
      </c>
      <c r="Z17" s="32">
        <f>累计利润调整表!Z79/10000</f>
        <v>0</v>
      </c>
      <c r="AA17" s="32">
        <f>累计利润调整表!AA79/10000</f>
        <v>0</v>
      </c>
      <c r="AB17" s="32">
        <f>累计利润调整表!AB79/10000</f>
        <v>0</v>
      </c>
      <c r="AC17" s="32"/>
      <c r="AD17" s="32"/>
      <c r="AE17" s="32"/>
    </row>
    <row r="18" spans="1:31">
      <c r="A18" s="32" t="s">
        <v>49</v>
      </c>
      <c r="B18" s="32">
        <f>累计利润调整表!B80/10000</f>
        <v>386.766368</v>
      </c>
      <c r="C18" s="32">
        <f>累计利润调整表!C80/10000</f>
        <v>0</v>
      </c>
      <c r="D18" s="32">
        <f>累计利润调整表!D80/10000</f>
        <v>0</v>
      </c>
      <c r="E18" s="32">
        <f>累计利润调整表!E80/10000</f>
        <v>386.766368</v>
      </c>
      <c r="F18" s="32">
        <f>累计利润调整表!F80/10000</f>
        <v>0</v>
      </c>
      <c r="G18" s="32">
        <f>累计利润调整表!G80/10000</f>
        <v>0</v>
      </c>
      <c r="H18" s="32">
        <f>累计利润调整表!H80/10000</f>
        <v>0</v>
      </c>
      <c r="I18" s="32">
        <f>累计利润调整表!I80/10000</f>
        <v>0</v>
      </c>
      <c r="J18" s="32">
        <f>累计利润调整表!J80/10000</f>
        <v>0</v>
      </c>
      <c r="K18" s="32">
        <f>累计利润调整表!K80/10000</f>
        <v>0</v>
      </c>
      <c r="L18" s="32">
        <f>累计利润调整表!L80/10000</f>
        <v>0</v>
      </c>
      <c r="M18" s="32">
        <f>累计利润调整表!M80/10000</f>
        <v>0</v>
      </c>
      <c r="N18" s="32">
        <f>累计利润调整表!N80/10000</f>
        <v>0</v>
      </c>
      <c r="O18" s="32">
        <f>累计利润调整表!O80/10000</f>
        <v>0</v>
      </c>
      <c r="P18" s="32">
        <f>累计利润调整表!P80/10000</f>
        <v>0</v>
      </c>
      <c r="Q18" s="32">
        <f>累计利润调整表!Q80/10000</f>
        <v>0</v>
      </c>
      <c r="R18" s="32">
        <f>累计利润调整表!R80/10000</f>
        <v>0</v>
      </c>
      <c r="S18" s="32">
        <f>累计利润调整表!S80/10000</f>
        <v>0</v>
      </c>
      <c r="T18" s="32">
        <f>累计利润调整表!T80/10000</f>
        <v>0</v>
      </c>
      <c r="U18" s="32">
        <f>累计利润调整表!U80/10000</f>
        <v>0</v>
      </c>
      <c r="V18" s="32">
        <f>累计利润调整表!V80/10000</f>
        <v>0</v>
      </c>
      <c r="W18" s="32">
        <f>累计利润调整表!W80/10000</f>
        <v>0</v>
      </c>
      <c r="X18" s="32">
        <f>累计利润调整表!X80/10000</f>
        <v>0</v>
      </c>
      <c r="Y18" s="32">
        <f>累计利润调整表!Y80/10000</f>
        <v>0</v>
      </c>
      <c r="Z18" s="32">
        <f>累计利润调整表!Z80/10000</f>
        <v>0</v>
      </c>
      <c r="AA18" s="32">
        <f>累计利润调整表!AA80/10000</f>
        <v>0</v>
      </c>
      <c r="AB18" s="32">
        <f>累计利润调整表!AB80/10000</f>
        <v>0</v>
      </c>
      <c r="AC18" s="32"/>
      <c r="AD18" s="32"/>
      <c r="AE18" s="32"/>
    </row>
    <row r="19" spans="1:31">
      <c r="A19" s="34" t="s">
        <v>50</v>
      </c>
      <c r="B19" s="35">
        <f>累计利润调整表!B81/10000</f>
        <v>23496.818639333338</v>
      </c>
      <c r="C19" s="35">
        <f>累计利润调整表!C81/10000</f>
        <v>-1197.219928</v>
      </c>
      <c r="D19" s="35">
        <f>累计利润调整表!D81/10000</f>
        <v>-41822.533144966677</v>
      </c>
      <c r="E19" s="35">
        <f>累计利润调整表!E81/10000</f>
        <v>58205.337542049077</v>
      </c>
      <c r="F19" s="35">
        <f>累计利润调整表!F81/10000</f>
        <v>-24747.053368549055</v>
      </c>
      <c r="G19" s="35">
        <f>累计利润调整表!G81/10000</f>
        <v>428.61584295094337</v>
      </c>
      <c r="H19" s="35">
        <f>累计利润调整表!H81/10000</f>
        <v>-24954.086530999997</v>
      </c>
      <c r="I19" s="35">
        <f>累计利润调整表!I81/10000</f>
        <v>761.05548949999991</v>
      </c>
      <c r="J19" s="35">
        <f>累计利润调整表!J81/10000</f>
        <v>-982.63816999999995</v>
      </c>
      <c r="K19" s="35">
        <f>累计利润调整表!K81/10000</f>
        <v>17734.400450133333</v>
      </c>
      <c r="L19" s="35">
        <f>累计利润调整表!L81/10000</f>
        <v>5041.8490789999996</v>
      </c>
      <c r="M19" s="35">
        <f>累计利润调整表!M81/10000</f>
        <v>2533.8540093000001</v>
      </c>
      <c r="N19" s="35">
        <f>累计利润调整表!N81/10000</f>
        <v>391.40480749999995</v>
      </c>
      <c r="O19" s="35">
        <f>累计利润调整表!O81/10000</f>
        <v>9823.7133673333337</v>
      </c>
      <c r="P19" s="35">
        <f>累计利润调整表!P81/10000</f>
        <v>991.83141799999999</v>
      </c>
      <c r="Q19" s="35">
        <f>累计利润调整表!Q81/10000</f>
        <v>-139.902467</v>
      </c>
      <c r="R19" s="35">
        <f>累计利润调整表!R81/10000</f>
        <v>-919.56067200000007</v>
      </c>
      <c r="S19" s="35">
        <f>累计利润调整表!S81/10000</f>
        <v>16702.890930666668</v>
      </c>
      <c r="T19" s="35">
        <f>累计利润调整表!T81/10000</f>
        <v>691.01514199999997</v>
      </c>
      <c r="U19" s="35">
        <f>累计利润调整表!U81/10000</f>
        <v>15552.821433999999</v>
      </c>
      <c r="V19" s="35">
        <f>累计利润调整表!V81/10000</f>
        <v>618.97599466666668</v>
      </c>
      <c r="W19" s="35">
        <f>累计利润调整表!W81/10000</f>
        <v>61.174968999999997</v>
      </c>
      <c r="X19" s="35">
        <f>累计利润调整表!X81/10000</f>
        <v>-165.49349099999998</v>
      </c>
      <c r="Y19" s="35">
        <f>累计利润调整表!Y81/10000</f>
        <v>-41.079839</v>
      </c>
      <c r="Z19" s="35">
        <f>累计利润调整表!Z81/10000</f>
        <v>-14.523279</v>
      </c>
      <c r="AA19" s="35">
        <f>累计利润调整表!AA81/10000</f>
        <v>-691.84548399999994</v>
      </c>
      <c r="AB19" s="35">
        <f>累计利润调整表!AB81/10000</f>
        <v>-687.15835800000002</v>
      </c>
      <c r="AC19" s="35"/>
      <c r="AD19" s="35"/>
      <c r="AE19" s="35"/>
    </row>
    <row r="20" spans="1:31">
      <c r="A20" s="32" t="s">
        <v>51</v>
      </c>
      <c r="B20" s="32">
        <f>累计利润调整表!B82/10000</f>
        <v>275.78535099999999</v>
      </c>
      <c r="C20" s="32">
        <f>累计利润调整表!C82/10000</f>
        <v>66.642188000000004</v>
      </c>
      <c r="D20" s="32">
        <f>累计利润调整表!D82/10000</f>
        <v>167.57854800000001</v>
      </c>
      <c r="E20" s="32">
        <f>累计利润调整表!E82/10000</f>
        <v>40.535519000000001</v>
      </c>
      <c r="F20" s="32">
        <f>累计利润调整表!F82/10000</f>
        <v>1.029096</v>
      </c>
      <c r="G20" s="32">
        <f>累计利润调整表!G82/10000</f>
        <v>1.029096</v>
      </c>
      <c r="H20" s="32">
        <f>累计利润调整表!H82/10000</f>
        <v>0</v>
      </c>
      <c r="I20" s="32">
        <f>累计利润调整表!I82/10000</f>
        <v>0</v>
      </c>
      <c r="J20" s="32">
        <f>累计利润调整表!J82/10000</f>
        <v>0</v>
      </c>
      <c r="K20" s="32">
        <f>累计利润调整表!K82/10000</f>
        <v>0</v>
      </c>
      <c r="L20" s="32">
        <f>累计利润调整表!L82/10000</f>
        <v>0</v>
      </c>
      <c r="M20" s="32">
        <f>累计利润调整表!M82/10000</f>
        <v>0</v>
      </c>
      <c r="N20" s="32">
        <f>累计利润调整表!N82/10000</f>
        <v>0</v>
      </c>
      <c r="O20" s="32">
        <f>累计利润调整表!O82/10000</f>
        <v>0</v>
      </c>
      <c r="P20" s="32">
        <f>累计利润调整表!P82/10000</f>
        <v>0</v>
      </c>
      <c r="Q20" s="32">
        <f>累计利润调整表!Q82/10000</f>
        <v>0</v>
      </c>
      <c r="R20" s="32">
        <f>累计利润调整表!R82/10000</f>
        <v>0</v>
      </c>
      <c r="S20" s="32">
        <f>累计利润调整表!S82/10000</f>
        <v>0</v>
      </c>
      <c r="T20" s="32">
        <f>累计利润调整表!T82/10000</f>
        <v>0</v>
      </c>
      <c r="U20" s="32">
        <f>累计利润调整表!U82/10000</f>
        <v>0</v>
      </c>
      <c r="V20" s="32">
        <f>累计利润调整表!V82/10000</f>
        <v>0</v>
      </c>
      <c r="W20" s="32">
        <f>累计利润调整表!W82/10000</f>
        <v>0</v>
      </c>
      <c r="X20" s="32">
        <f>累计利润调整表!X82/10000</f>
        <v>0</v>
      </c>
      <c r="Y20" s="32">
        <f>累计利润调整表!Y82/10000</f>
        <v>0</v>
      </c>
      <c r="Z20" s="32">
        <f>累计利润调整表!Z82/10000</f>
        <v>0</v>
      </c>
      <c r="AA20" s="32">
        <f>累计利润调整表!AA82/10000</f>
        <v>0</v>
      </c>
      <c r="AB20" s="32">
        <f>累计利润调整表!AB82/10000</f>
        <v>0</v>
      </c>
      <c r="AC20" s="32"/>
      <c r="AD20" s="32"/>
      <c r="AE20" s="32"/>
    </row>
    <row r="21" spans="1:31">
      <c r="A21" s="32" t="s">
        <v>52</v>
      </c>
      <c r="B21" s="32">
        <f>累计利润调整表!B83/10000</f>
        <v>207.82492500000001</v>
      </c>
      <c r="C21" s="32">
        <f>累计利润调整表!C83/10000</f>
        <v>0</v>
      </c>
      <c r="D21" s="32">
        <f>累计利润调整表!D83/10000</f>
        <v>130.09016699999998</v>
      </c>
      <c r="E21" s="32">
        <f>累计利润调整表!E83/10000</f>
        <v>77.368740999999986</v>
      </c>
      <c r="F21" s="32">
        <f>累计利润调整表!F83/10000</f>
        <v>8.3750000000000005E-2</v>
      </c>
      <c r="G21" s="32">
        <f>累计利润调整表!G83/10000</f>
        <v>0</v>
      </c>
      <c r="H21" s="32">
        <f>累计利润调整表!H83/10000</f>
        <v>0</v>
      </c>
      <c r="I21" s="32">
        <f>累计利润调整表!I83/10000</f>
        <v>0</v>
      </c>
      <c r="J21" s="32">
        <f>累计利润调整表!J83/10000</f>
        <v>8.3750000000000005E-2</v>
      </c>
      <c r="K21" s="32">
        <f>累计利润调整表!K83/10000</f>
        <v>0.28226699999999999</v>
      </c>
      <c r="L21" s="32">
        <f>累计利润调整表!L83/10000</f>
        <v>0</v>
      </c>
      <c r="M21" s="32">
        <f>累计利润调整表!M83/10000</f>
        <v>0</v>
      </c>
      <c r="N21" s="32">
        <f>累计利润调整表!N83/10000</f>
        <v>0</v>
      </c>
      <c r="O21" s="32">
        <f>累计利润调整表!O83/10000</f>
        <v>0</v>
      </c>
      <c r="P21" s="32">
        <f>累计利润调整表!P83/10000</f>
        <v>0</v>
      </c>
      <c r="Q21" s="32">
        <f>累计利润调整表!Q83/10000</f>
        <v>0</v>
      </c>
      <c r="R21" s="32">
        <f>累计利润调整表!R83/10000</f>
        <v>0.28226699999999999</v>
      </c>
      <c r="S21" s="32">
        <f>累计利润调整表!S83/10000</f>
        <v>0</v>
      </c>
      <c r="T21" s="32">
        <f>累计利润调整表!T83/10000</f>
        <v>0</v>
      </c>
      <c r="U21" s="32">
        <f>累计利润调整表!U83/10000</f>
        <v>0</v>
      </c>
      <c r="V21" s="32">
        <f>累计利润调整表!V83/10000</f>
        <v>0</v>
      </c>
      <c r="W21" s="32">
        <f>累计利润调整表!W83/10000</f>
        <v>0</v>
      </c>
      <c r="X21" s="32">
        <f>累计利润调整表!X83/10000</f>
        <v>0</v>
      </c>
      <c r="Y21" s="32">
        <f>累计利润调整表!Y83/10000</f>
        <v>0</v>
      </c>
      <c r="Z21" s="32">
        <f>累计利润调整表!Z83/10000</f>
        <v>0</v>
      </c>
      <c r="AA21" s="32">
        <f>累计利润调整表!AA83/10000</f>
        <v>0</v>
      </c>
      <c r="AB21" s="32">
        <f>累计利润调整表!AB83/10000</f>
        <v>0</v>
      </c>
      <c r="AC21" s="32"/>
      <c r="AD21" s="32"/>
      <c r="AE21" s="32"/>
    </row>
    <row r="22" spans="1:31">
      <c r="A22" s="34" t="s">
        <v>53</v>
      </c>
      <c r="B22" s="35">
        <f>累计利润调整表!B84/10000</f>
        <v>23564.779065333336</v>
      </c>
      <c r="C22" s="35">
        <f>累计利润调整表!C84/10000</f>
        <v>-1130.5777399999999</v>
      </c>
      <c r="D22" s="35">
        <f>累计利润调整表!D84/10000</f>
        <v>-41785.044763966675</v>
      </c>
      <c r="E22" s="35">
        <f>累计利润调整表!E84/10000</f>
        <v>58168.504320049069</v>
      </c>
      <c r="F22" s="35">
        <f>累计利润调整表!F84/10000</f>
        <v>-24746.108022549055</v>
      </c>
      <c r="G22" s="35">
        <f>累计利润调整表!G84/10000</f>
        <v>429.64493895094341</v>
      </c>
      <c r="H22" s="35">
        <f>累计利润调整表!H84/10000</f>
        <v>-24954.086530999997</v>
      </c>
      <c r="I22" s="35">
        <f>累计利润调整表!I84/10000</f>
        <v>761.05548949999991</v>
      </c>
      <c r="J22" s="35">
        <f>累计利润调整表!J84/10000</f>
        <v>-982.72191999999995</v>
      </c>
      <c r="K22" s="35">
        <f>累计利润调整表!K84/10000</f>
        <v>17734.118183133331</v>
      </c>
      <c r="L22" s="35">
        <f>累计利润调整表!L84/10000</f>
        <v>5041.8490789999996</v>
      </c>
      <c r="M22" s="35">
        <f>累计利润调整表!M84/10000</f>
        <v>2533.8540093000001</v>
      </c>
      <c r="N22" s="35">
        <f>累计利润调整表!N84/10000</f>
        <v>391.40480749999995</v>
      </c>
      <c r="O22" s="35">
        <f>累计利润调整表!O84/10000</f>
        <v>9823.7133673333337</v>
      </c>
      <c r="P22" s="35">
        <f>累计利润调整表!P84/10000</f>
        <v>991.83141799999999</v>
      </c>
      <c r="Q22" s="35">
        <f>累计利润调整表!Q84/10000</f>
        <v>-139.902467</v>
      </c>
      <c r="R22" s="35">
        <f>累计利润调整表!R84/10000</f>
        <v>-919.84293900000011</v>
      </c>
      <c r="S22" s="35">
        <f>累计利润调整表!S84/10000</f>
        <v>16702.890930666668</v>
      </c>
      <c r="T22" s="35">
        <f>累计利润调整表!T84/10000</f>
        <v>691.01514199999997</v>
      </c>
      <c r="U22" s="35">
        <f>累计利润调整表!U84/10000</f>
        <v>15552.821433999999</v>
      </c>
      <c r="V22" s="35">
        <f>累计利润调整表!V84/10000</f>
        <v>618.97599466666668</v>
      </c>
      <c r="W22" s="35">
        <f>累计利润调整表!W84/10000</f>
        <v>61.174968999999997</v>
      </c>
      <c r="X22" s="35">
        <f>累计利润调整表!X84/10000</f>
        <v>-165.49349099999998</v>
      </c>
      <c r="Y22" s="35">
        <f>累计利润调整表!Y84/10000</f>
        <v>-41.079839</v>
      </c>
      <c r="Z22" s="35">
        <f>累计利润调整表!Z84/10000</f>
        <v>-14.523279</v>
      </c>
      <c r="AA22" s="35">
        <f>累计利润调整表!AA84/10000</f>
        <v>-691.84548399999994</v>
      </c>
      <c r="AB22" s="35">
        <f>累计利润调整表!AB84/10000</f>
        <v>-687.15835800000002</v>
      </c>
      <c r="AC22" s="35"/>
      <c r="AD22" s="35"/>
      <c r="AE22" s="35"/>
    </row>
    <row r="23" spans="1:31">
      <c r="A23" s="32" t="s">
        <v>54</v>
      </c>
      <c r="B23" s="32">
        <f>累计利润调整表!B85/10000</f>
        <v>10316.865148999999</v>
      </c>
      <c r="C23" s="32">
        <f>累计利润调整表!C85/10000</f>
        <v>0</v>
      </c>
      <c r="D23" s="32">
        <f>累计利润调整表!D85/10000</f>
        <v>10316.785759</v>
      </c>
      <c r="E23" s="32">
        <f>累计利润调整表!E85/10000</f>
        <v>7.9390000000000002E-2</v>
      </c>
      <c r="F23" s="32">
        <f>累计利润调整表!F85/10000</f>
        <v>0</v>
      </c>
      <c r="G23" s="32">
        <f>累计利润调整表!G85/10000</f>
        <v>0</v>
      </c>
      <c r="H23" s="32">
        <f>累计利润调整表!H85/10000</f>
        <v>0</v>
      </c>
      <c r="I23" s="32">
        <f>累计利润调整表!I85/10000</f>
        <v>0</v>
      </c>
      <c r="J23" s="32">
        <f>累计利润调整表!J85/10000</f>
        <v>0</v>
      </c>
      <c r="K23" s="32">
        <f>累计利润调整表!K85/10000</f>
        <v>0</v>
      </c>
      <c r="L23" s="32">
        <f>累计利润调整表!L85/10000</f>
        <v>0</v>
      </c>
      <c r="M23" s="32">
        <f>累计利润调整表!M85/10000</f>
        <v>0</v>
      </c>
      <c r="N23" s="32">
        <f>累计利润调整表!N85/10000</f>
        <v>0</v>
      </c>
      <c r="O23" s="32">
        <f>累计利润调整表!O85/10000</f>
        <v>0</v>
      </c>
      <c r="P23" s="32">
        <f>累计利润调整表!P85/10000</f>
        <v>0</v>
      </c>
      <c r="Q23" s="32">
        <f>累计利润调整表!Q85/10000</f>
        <v>0</v>
      </c>
      <c r="R23" s="32">
        <f>累计利润调整表!R85/10000</f>
        <v>0</v>
      </c>
      <c r="S23" s="32">
        <f>累计利润调整表!S85/10000</f>
        <v>0</v>
      </c>
      <c r="T23" s="32">
        <f>累计利润调整表!T85/10000</f>
        <v>0</v>
      </c>
      <c r="U23" s="32">
        <f>累计利润调整表!U85/10000</f>
        <v>0</v>
      </c>
      <c r="V23" s="32">
        <f>累计利润调整表!V85/10000</f>
        <v>0</v>
      </c>
      <c r="W23" s="32">
        <f>累计利润调整表!W85/10000</f>
        <v>0</v>
      </c>
      <c r="X23" s="32">
        <f>累计利润调整表!X85/10000</f>
        <v>0</v>
      </c>
      <c r="Y23" s="32">
        <f>累计利润调整表!Y85/10000</f>
        <v>0</v>
      </c>
      <c r="Z23" s="32">
        <f>累计利润调整表!Z85/10000</f>
        <v>0</v>
      </c>
      <c r="AA23" s="32">
        <f>累计利润调整表!AA85/10000</f>
        <v>0</v>
      </c>
      <c r="AB23" s="32">
        <f>累计利润调整表!AB85/10000</f>
        <v>0</v>
      </c>
      <c r="AC23" s="32"/>
      <c r="AD23" s="32"/>
      <c r="AE23" s="32"/>
    </row>
    <row r="24" spans="1:31">
      <c r="A24" s="34" t="s">
        <v>55</v>
      </c>
      <c r="B24" s="35">
        <f>累计利润调整表!B86/10000</f>
        <v>13247.913916333342</v>
      </c>
      <c r="C24" s="35">
        <f>累计利润调整表!C86/10000</f>
        <v>-1130.5777399999999</v>
      </c>
      <c r="D24" s="35">
        <f>累计利润调整表!D86/10000</f>
        <v>-52101.830522966673</v>
      </c>
      <c r="E24" s="35">
        <f>累计利润调整表!E86/10000</f>
        <v>58168.424930049063</v>
      </c>
      <c r="F24" s="35">
        <f>累计利润调整表!F86/10000</f>
        <v>-24746.108022549055</v>
      </c>
      <c r="G24" s="35">
        <f>累计利润调整表!G86/10000</f>
        <v>429.64493895094341</v>
      </c>
      <c r="H24" s="35">
        <f>累计利润调整表!H86/10000</f>
        <v>-24954.086530999997</v>
      </c>
      <c r="I24" s="35">
        <f>累计利润调整表!I86/10000</f>
        <v>761.05548949999991</v>
      </c>
      <c r="J24" s="35">
        <f>累计利润调整表!J86/10000</f>
        <v>-982.72191999999995</v>
      </c>
      <c r="K24" s="35">
        <f>累计利润调整表!K86/10000</f>
        <v>17734.118183133331</v>
      </c>
      <c r="L24" s="35">
        <f>累计利润调整表!L86/10000</f>
        <v>5041.8490789999996</v>
      </c>
      <c r="M24" s="35">
        <f>累计利润调整表!M86/10000</f>
        <v>2533.8540093000001</v>
      </c>
      <c r="N24" s="35">
        <f>累计利润调整表!N86/10000</f>
        <v>391.40480749999995</v>
      </c>
      <c r="O24" s="35">
        <f>累计利润调整表!O86/10000</f>
        <v>9823.7133673333337</v>
      </c>
      <c r="P24" s="35">
        <f>累计利润调整表!P86/10000</f>
        <v>991.83141799999999</v>
      </c>
      <c r="Q24" s="35">
        <f>累计利润调整表!Q86/10000</f>
        <v>-139.902467</v>
      </c>
      <c r="R24" s="35">
        <f>累计利润调整表!R86/10000</f>
        <v>-919.84293900000011</v>
      </c>
      <c r="S24" s="35">
        <f>累计利润调整表!S86/10000</f>
        <v>16702.890930666668</v>
      </c>
      <c r="T24" s="35">
        <f>累计利润调整表!T86/10000</f>
        <v>691.01514199999997</v>
      </c>
      <c r="U24" s="35">
        <f>累计利润调整表!U86/10000</f>
        <v>15552.821433999999</v>
      </c>
      <c r="V24" s="35">
        <f>累计利润调整表!V86/10000</f>
        <v>618.97599466666668</v>
      </c>
      <c r="W24" s="35">
        <f>累计利润调整表!W86/10000</f>
        <v>61.174968999999997</v>
      </c>
      <c r="X24" s="35">
        <f>累计利润调整表!X86/10000</f>
        <v>-165.49349099999998</v>
      </c>
      <c r="Y24" s="35">
        <f>累计利润调整表!Y86/10000</f>
        <v>-41.079839</v>
      </c>
      <c r="Z24" s="35">
        <f>累计利润调整表!Z86/10000</f>
        <v>-14.523279</v>
      </c>
      <c r="AA24" s="35">
        <f>累计利润调整表!AA86/10000</f>
        <v>-691.84548399999994</v>
      </c>
      <c r="AB24" s="35">
        <f>累计利润调整表!AB86/10000</f>
        <v>-687.15835800000002</v>
      </c>
      <c r="AC24" s="35"/>
      <c r="AD24" s="35"/>
      <c r="AE24" s="35"/>
    </row>
    <row r="25" spans="1:31">
      <c r="A25" s="36" t="s">
        <v>56</v>
      </c>
      <c r="B25" s="37">
        <f>累计利润调整表!B87/10000</f>
        <v>0</v>
      </c>
      <c r="C25" s="37">
        <f>累计利润调整表!C87/10000</f>
        <v>0</v>
      </c>
      <c r="D25" s="37">
        <f>累计利润调整表!D87/10000</f>
        <v>0</v>
      </c>
      <c r="E25" s="37">
        <f>累计利润调整表!E87/10000</f>
        <v>0</v>
      </c>
      <c r="F25" s="37">
        <f>累计利润调整表!F87/10000</f>
        <v>0</v>
      </c>
      <c r="G25" s="37">
        <f>累计利润调整表!G87/10000</f>
        <v>0</v>
      </c>
      <c r="H25" s="37">
        <f>累计利润调整表!H87/10000</f>
        <v>0</v>
      </c>
      <c r="I25" s="37">
        <f>累计利润调整表!I87/10000</f>
        <v>0</v>
      </c>
      <c r="J25" s="37">
        <f>累计利润调整表!J87/10000</f>
        <v>0</v>
      </c>
      <c r="K25" s="37">
        <f>累计利润调整表!K87/10000</f>
        <v>0</v>
      </c>
      <c r="L25" s="37">
        <f>累计利润调整表!L87/10000</f>
        <v>0</v>
      </c>
      <c r="M25" s="37">
        <f>累计利润调整表!M87/10000</f>
        <v>0</v>
      </c>
      <c r="N25" s="37">
        <f>累计利润调整表!N87/10000</f>
        <v>0</v>
      </c>
      <c r="O25" s="37">
        <f>累计利润调整表!O87/10000</f>
        <v>0</v>
      </c>
      <c r="P25" s="37">
        <f>累计利润调整表!P87/10000</f>
        <v>0</v>
      </c>
      <c r="Q25" s="37">
        <f>累计利润调整表!Q87/10000</f>
        <v>0</v>
      </c>
      <c r="R25" s="37">
        <f>累计利润调整表!R87/10000</f>
        <v>0</v>
      </c>
      <c r="S25" s="37">
        <f>累计利润调整表!S87/10000</f>
        <v>0</v>
      </c>
      <c r="T25" s="37">
        <f>累计利润调整表!T87/10000</f>
        <v>0</v>
      </c>
      <c r="U25" s="37">
        <f>累计利润调整表!U87/10000</f>
        <v>0</v>
      </c>
      <c r="V25" s="37">
        <f>累计利润调整表!V87/10000</f>
        <v>0</v>
      </c>
      <c r="W25" s="37">
        <f>累计利润调整表!W87/10000</f>
        <v>0</v>
      </c>
      <c r="X25" s="37">
        <f>累计利润调整表!X87/10000</f>
        <v>0</v>
      </c>
      <c r="Y25" s="37">
        <f>累计利润调整表!Y87/10000</f>
        <v>0</v>
      </c>
      <c r="Z25" s="37">
        <f>累计利润调整表!Z87/10000</f>
        <v>0</v>
      </c>
      <c r="AA25" s="37">
        <f>累计利润调整表!AA87/10000</f>
        <v>0</v>
      </c>
      <c r="AB25" s="37">
        <f>累计利润调整表!AB87/10000</f>
        <v>0</v>
      </c>
      <c r="AC25" s="37"/>
      <c r="AD25" s="37"/>
      <c r="AE25" s="37"/>
    </row>
    <row r="26" spans="1:31">
      <c r="A26" s="38" t="s">
        <v>57</v>
      </c>
      <c r="B26" s="39">
        <f>累计利润调整表!B88/10000</f>
        <v>13247.913916333338</v>
      </c>
      <c r="C26" s="39">
        <f>累计利润调整表!C88/10000</f>
        <v>-1130.5777399999999</v>
      </c>
      <c r="D26" s="39">
        <f>累计利润调整表!D88/10000</f>
        <v>-52101.830522966673</v>
      </c>
      <c r="E26" s="39">
        <f>累计利润调整表!E88/10000</f>
        <v>58168.424930049048</v>
      </c>
      <c r="F26" s="39">
        <f>累计利润调整表!F88/10000</f>
        <v>-24746.108022549055</v>
      </c>
      <c r="G26" s="39">
        <f>累计利润调整表!G88/10000</f>
        <v>429.64493895094319</v>
      </c>
      <c r="H26" s="39">
        <f>累计利润调整表!H88/10000</f>
        <v>-24954.086530999997</v>
      </c>
      <c r="I26" s="39">
        <f>累计利润调整表!I88/10000</f>
        <v>761.05548949999991</v>
      </c>
      <c r="J26" s="39">
        <f>累计利润调整表!J88/10000</f>
        <v>-982.72191999999995</v>
      </c>
      <c r="K26" s="39">
        <f>累计利润调整表!K88/10000</f>
        <v>17734.118183133327</v>
      </c>
      <c r="L26" s="39">
        <f>累计利润调整表!L88/10000</f>
        <v>5041.8490789999996</v>
      </c>
      <c r="M26" s="39">
        <f>累计利润调整表!M88/10000</f>
        <v>2533.8540093000001</v>
      </c>
      <c r="N26" s="39">
        <f>累计利润调整表!N88/10000</f>
        <v>391.40480749999995</v>
      </c>
      <c r="O26" s="39">
        <f>累计利润调整表!O88/10000</f>
        <v>9823.7133673333337</v>
      </c>
      <c r="P26" s="39">
        <f>累计利润调整表!P88/10000</f>
        <v>991.83141799999999</v>
      </c>
      <c r="Q26" s="39">
        <f>累计利润调整表!Q88/10000</f>
        <v>-139.902467</v>
      </c>
      <c r="R26" s="39">
        <f>累计利润调整表!R88/10000</f>
        <v>-919.84293900000011</v>
      </c>
      <c r="S26" s="39">
        <f>累计利润调整表!S88/10000</f>
        <v>16702.890930666668</v>
      </c>
      <c r="T26" s="39">
        <f>累计利润调整表!T88/10000</f>
        <v>691.01514199999997</v>
      </c>
      <c r="U26" s="39">
        <f>累计利润调整表!U88/10000</f>
        <v>15552.821433999999</v>
      </c>
      <c r="V26" s="39">
        <f>累计利润调整表!V88/10000</f>
        <v>618.97599466666668</v>
      </c>
      <c r="W26" s="39">
        <f>累计利润调整表!W88/10000</f>
        <v>61.174968999999997</v>
      </c>
      <c r="X26" s="39">
        <f>累计利润调整表!X88/10000</f>
        <v>-165.49349099999998</v>
      </c>
      <c r="Y26" s="39">
        <f>累计利润调整表!Y88/10000</f>
        <v>-41.079839</v>
      </c>
      <c r="Z26" s="39">
        <f>累计利润调整表!Z88/10000</f>
        <v>-14.523279</v>
      </c>
      <c r="AA26" s="39">
        <f>累计利润调整表!AA88/10000</f>
        <v>-691.84548399999994</v>
      </c>
      <c r="AB26" s="39">
        <f>累计利润调整表!AB88/10000</f>
        <v>-687.15835800000002</v>
      </c>
      <c r="AC26" s="39"/>
      <c r="AD26" s="39"/>
      <c r="AE26" s="39"/>
    </row>
    <row r="27" spans="1:31">
      <c r="A27" s="40"/>
      <c r="B27" s="41">
        <f>累计利润调整表!B89/10000</f>
        <v>0</v>
      </c>
      <c r="C27" s="41">
        <f>累计利润调整表!C89/10000</f>
        <v>0</v>
      </c>
      <c r="D27" s="41">
        <f>累计利润调整表!D89/10000</f>
        <v>0</v>
      </c>
      <c r="E27" s="41">
        <f>累计利润调整表!E89/10000</f>
        <v>0</v>
      </c>
      <c r="F27" s="41">
        <f>累计利润调整表!F89/10000</f>
        <v>0</v>
      </c>
      <c r="G27" s="41">
        <f>累计利润调整表!G89/10000</f>
        <v>0</v>
      </c>
      <c r="H27" s="41">
        <f>累计利润调整表!H89/10000</f>
        <v>0</v>
      </c>
      <c r="I27" s="41">
        <f>累计利润调整表!I89/10000</f>
        <v>0</v>
      </c>
      <c r="J27" s="41">
        <f>累计利润调整表!J89/10000</f>
        <v>0</v>
      </c>
      <c r="K27" s="41">
        <f>累计利润调整表!K89/10000</f>
        <v>0</v>
      </c>
      <c r="L27" s="41">
        <f>累计利润调整表!L89/10000</f>
        <v>0</v>
      </c>
      <c r="M27" s="41">
        <f>累计利润调整表!M89/10000</f>
        <v>0</v>
      </c>
      <c r="N27" s="41">
        <f>累计利润调整表!N89/10000</f>
        <v>0</v>
      </c>
      <c r="O27" s="41">
        <f>累计利润调整表!O89/10000</f>
        <v>0</v>
      </c>
      <c r="P27" s="41">
        <f>累计利润调整表!P89/10000</f>
        <v>0</v>
      </c>
      <c r="Q27" s="41">
        <f>累计利润调整表!Q89/10000</f>
        <v>0</v>
      </c>
      <c r="R27" s="41">
        <f>累计利润调整表!R89/10000</f>
        <v>0</v>
      </c>
      <c r="S27" s="41">
        <f>累计利润调整表!S89/10000</f>
        <v>0</v>
      </c>
      <c r="T27" s="41">
        <f>累计利润调整表!T89/10000</f>
        <v>0</v>
      </c>
      <c r="U27" s="41">
        <f>累计利润调整表!U89/10000</f>
        <v>0</v>
      </c>
      <c r="V27" s="41">
        <f>累计利润调整表!V89/10000</f>
        <v>0</v>
      </c>
      <c r="W27" s="41">
        <f>累计利润调整表!W89/10000</f>
        <v>0</v>
      </c>
      <c r="X27" s="41">
        <f>累计利润调整表!X89/10000</f>
        <v>0</v>
      </c>
      <c r="Y27" s="41">
        <f>累计利润调整表!Y89/10000</f>
        <v>0</v>
      </c>
      <c r="Z27" s="41">
        <f>累计利润调整表!Z89/10000</f>
        <v>0</v>
      </c>
      <c r="AA27" s="41">
        <f>累计利润调整表!AA89/10000</f>
        <v>0</v>
      </c>
      <c r="AB27" s="41">
        <f>累计利润调整表!AB89/10000</f>
        <v>0</v>
      </c>
      <c r="AC27" s="41"/>
      <c r="AD27" s="41"/>
      <c r="AE27" s="41"/>
    </row>
    <row r="28" spans="1:31">
      <c r="A28" s="42" t="s">
        <v>60</v>
      </c>
      <c r="B28" s="43">
        <f>累计利润调整表!B90/10000</f>
        <v>47966.896933890181</v>
      </c>
      <c r="C28" s="43">
        <f>累计利润调整表!C90/10000</f>
        <v>0</v>
      </c>
      <c r="D28" s="43">
        <f>累计利润调整表!D90/10000</f>
        <v>0</v>
      </c>
      <c r="E28" s="43">
        <f>累计利润调整表!E90/10000</f>
        <v>26160.788203592812</v>
      </c>
      <c r="F28" s="43">
        <f>累计利润调整表!F90/10000</f>
        <v>4823.9513593523161</v>
      </c>
      <c r="G28" s="43">
        <f>累计利润调整表!G90/10000</f>
        <v>21.313226563513993</v>
      </c>
      <c r="H28" s="43">
        <f>累计利润调整表!H90/10000</f>
        <v>3417.80749129795</v>
      </c>
      <c r="I28" s="43">
        <f>累计利润调整表!I90/10000</f>
        <v>397.5010206372794</v>
      </c>
      <c r="J28" s="43">
        <f>累计利润调整表!J90/10000</f>
        <v>987.32962085357269</v>
      </c>
      <c r="K28" s="43">
        <f>累计利润调整表!K90/10000</f>
        <v>16975.552277945051</v>
      </c>
      <c r="L28" s="43">
        <f>累计利润调整表!L90/10000</f>
        <v>3681.4413792823329</v>
      </c>
      <c r="M28" s="43">
        <f>累计利润调整表!M90/10000</f>
        <v>3741.272871002333</v>
      </c>
      <c r="N28" s="43">
        <f>累计利润调整表!N90/10000</f>
        <v>46.781443862275445</v>
      </c>
      <c r="O28" s="43">
        <f>累计利润调整表!O90/10000</f>
        <v>7861.392083271433</v>
      </c>
      <c r="P28" s="43">
        <f>累计利润调整表!P90/10000</f>
        <v>1450.5856327637407</v>
      </c>
      <c r="Q28" s="43">
        <f>累计利润调整表!Q90/10000</f>
        <v>194.07886776293424</v>
      </c>
      <c r="R28" s="43">
        <f>累计利润调整表!R90/10000</f>
        <v>0</v>
      </c>
      <c r="S28" s="43">
        <f>累计利润调整表!S90/10000</f>
        <v>6.6050929999999992</v>
      </c>
      <c r="T28" s="43">
        <f>累计利润调整表!T90/10000</f>
        <v>0</v>
      </c>
      <c r="U28" s="43">
        <f>累计利润调整表!U90/10000</f>
        <v>6.6050929999999992</v>
      </c>
      <c r="V28" s="43">
        <f>累计利润调整表!V90/10000</f>
        <v>0</v>
      </c>
      <c r="W28" s="43">
        <f>累计利润调整表!W90/10000</f>
        <v>0</v>
      </c>
      <c r="X28" s="43">
        <f>累计利润调整表!X90/10000</f>
        <v>0</v>
      </c>
      <c r="Y28" s="43">
        <f>累计利润调整表!Y90/10000</f>
        <v>0</v>
      </c>
      <c r="Z28" s="43">
        <f>累计利润调整表!Z90/10000</f>
        <v>0</v>
      </c>
      <c r="AA28" s="43">
        <f>累计利润调整表!AA90/10000</f>
        <v>0</v>
      </c>
      <c r="AB28" s="43">
        <f>累计利润调整表!AB90/10000</f>
        <v>0</v>
      </c>
      <c r="AC28" s="43"/>
      <c r="AD28" s="43"/>
      <c r="AE28" s="43"/>
    </row>
    <row r="29" spans="1:31">
      <c r="A29" s="44" t="s">
        <v>65</v>
      </c>
      <c r="B29" s="45">
        <f>B26-B28</f>
        <v>-34718.983017556842</v>
      </c>
      <c r="C29" s="45">
        <f t="shared" ref="C29:AB29" si="0">C26-C28</f>
        <v>-1130.5777399999999</v>
      </c>
      <c r="D29" s="45">
        <f t="shared" si="0"/>
        <v>-52101.830522966673</v>
      </c>
      <c r="E29" s="45">
        <f t="shared" si="0"/>
        <v>32007.636726456236</v>
      </c>
      <c r="F29" s="45">
        <f t="shared" si="0"/>
        <v>-29570.05938190137</v>
      </c>
      <c r="G29" s="45">
        <f t="shared" si="0"/>
        <v>408.33171238742921</v>
      </c>
      <c r="H29" s="45">
        <f t="shared" si="0"/>
        <v>-28371.894022297947</v>
      </c>
      <c r="I29" s="45">
        <f t="shared" si="0"/>
        <v>363.55446886272051</v>
      </c>
      <c r="J29" s="45">
        <f t="shared" si="0"/>
        <v>-1970.0515408535725</v>
      </c>
      <c r="K29" s="45">
        <f t="shared" si="0"/>
        <v>758.56590518827579</v>
      </c>
      <c r="L29" s="45">
        <f t="shared" si="0"/>
        <v>1360.4076997176667</v>
      </c>
      <c r="M29" s="45">
        <f t="shared" si="0"/>
        <v>-1207.4188617023328</v>
      </c>
      <c r="N29" s="45">
        <f t="shared" si="0"/>
        <v>344.62336363772448</v>
      </c>
      <c r="O29" s="45">
        <f t="shared" si="0"/>
        <v>1962.3212840619008</v>
      </c>
      <c r="P29" s="45">
        <f t="shared" si="0"/>
        <v>-458.75421476374072</v>
      </c>
      <c r="Q29" s="45">
        <f t="shared" si="0"/>
        <v>-333.98133476293424</v>
      </c>
      <c r="R29" s="45">
        <f t="shared" si="0"/>
        <v>-919.84293900000011</v>
      </c>
      <c r="S29" s="45">
        <f t="shared" si="0"/>
        <v>16696.28583766667</v>
      </c>
      <c r="T29" s="45">
        <f t="shared" si="0"/>
        <v>691.01514199999997</v>
      </c>
      <c r="U29" s="45">
        <f t="shared" si="0"/>
        <v>15546.216340999999</v>
      </c>
      <c r="V29" s="45">
        <f t="shared" si="0"/>
        <v>618.97599466666668</v>
      </c>
      <c r="W29" s="45">
        <f t="shared" si="0"/>
        <v>61.174968999999997</v>
      </c>
      <c r="X29" s="45">
        <f t="shared" si="0"/>
        <v>-165.49349099999998</v>
      </c>
      <c r="Y29" s="45">
        <f t="shared" si="0"/>
        <v>-41.079839</v>
      </c>
      <c r="Z29" s="45">
        <f t="shared" si="0"/>
        <v>-14.523279</v>
      </c>
      <c r="AA29" s="45">
        <f t="shared" si="0"/>
        <v>-691.84548399999994</v>
      </c>
      <c r="AB29" s="45">
        <f t="shared" si="0"/>
        <v>-687.15835800000002</v>
      </c>
      <c r="AC29" s="45"/>
      <c r="AD29" s="45"/>
      <c r="AE29" s="45"/>
    </row>
    <row r="31" spans="1:31">
      <c r="A31" s="2"/>
      <c r="B31" s="46" t="s">
        <v>64</v>
      </c>
    </row>
    <row r="32" spans="1:31" s="2" customFormat="1">
      <c r="A32" s="18" t="s">
        <v>87</v>
      </c>
      <c r="B32" s="19" t="str">
        <f>累计考核费用!C107</f>
        <v>合计</v>
      </c>
      <c r="C32" s="19" t="str">
        <f>累计考核费用!D107</f>
        <v>其他</v>
      </c>
      <c r="D32" s="19" t="str">
        <f>累计考核费用!E107</f>
        <v>总部中后台</v>
      </c>
      <c r="E32" s="19" t="str">
        <f>累计考核费用!F107</f>
        <v>经纪业务部</v>
      </c>
      <c r="F32" s="19" t="str">
        <f>累计考核费用!G107</f>
        <v>资管业务</v>
      </c>
      <c r="G32" s="19" t="str">
        <f>累计考核费用!H107</f>
        <v>资产管理部</v>
      </c>
      <c r="H32" s="19" t="str">
        <f>累计考核费用!I107</f>
        <v>权益产品投资部</v>
      </c>
      <c r="I32" s="19" t="str">
        <f>累计考核费用!J107</f>
        <v>固收产品投资部</v>
      </c>
      <c r="J32" s="19" t="str">
        <f>累计考核费用!K107</f>
        <v>量化产品投资部</v>
      </c>
      <c r="K32" s="19" t="str">
        <f>累计考核费用!L107</f>
        <v>深分公司合计</v>
      </c>
      <c r="L32" s="19" t="str">
        <f>累计考核费用!M107</f>
        <v>固定收益投资部</v>
      </c>
      <c r="M32" s="19" t="str">
        <f>累计考核费用!N107</f>
        <v>固定收益市场部</v>
      </c>
      <c r="N32" s="19" t="str">
        <f>累计考核费用!O107</f>
        <v>投顾业务部</v>
      </c>
      <c r="O32" s="19" t="str">
        <f>累计考核费用!P107</f>
        <v>证券投资部</v>
      </c>
      <c r="P32" s="19" t="str">
        <f>累计考核费用!Q107</f>
        <v>做市业务部</v>
      </c>
      <c r="Q32" s="19" t="str">
        <f>累计考核费用!R107</f>
        <v>金融衍生品部</v>
      </c>
      <c r="R32" s="19" t="str">
        <f>累计考核费用!S107</f>
        <v>深圳管理总部</v>
      </c>
      <c r="S32" s="19" t="str">
        <f>累计考核费用!T107</f>
        <v>投资银行合计</v>
      </c>
      <c r="T32" s="19" t="str">
        <f>累计考核费用!U107</f>
        <v>投资银行三部</v>
      </c>
      <c r="U32" s="19" t="str">
        <f>累计考核费用!V107</f>
        <v>投资银行一部</v>
      </c>
      <c r="V32" s="19" t="str">
        <f>累计考核费用!W107</f>
        <v>投资银行二部</v>
      </c>
      <c r="W32" s="19" t="str">
        <f>累计考核费用!X107</f>
        <v>投资银行四部</v>
      </c>
      <c r="X32" s="19" t="str">
        <f>累计考核费用!Y107</f>
        <v>投资银行北京一部</v>
      </c>
      <c r="Y32" s="19" t="str">
        <f>累计考核费用!Z107</f>
        <v>投资银行北京二部</v>
      </c>
      <c r="Z32" s="19" t="str">
        <f>累计考核费用!AA107</f>
        <v>投资银行深圳一部（筹）</v>
      </c>
      <c r="AA32" s="19" t="str">
        <f>累计考核费用!AB107</f>
        <v>投资银行管理部</v>
      </c>
      <c r="AB32" s="19" t="str">
        <f>累计考核费用!AC107</f>
        <v>运营管理部</v>
      </c>
      <c r="AC32" s="19">
        <f>累计考核费用!AD107</f>
        <v>0</v>
      </c>
      <c r="AD32" s="19">
        <f>累计考核费用!AE107</f>
        <v>0</v>
      </c>
      <c r="AE32" s="19"/>
    </row>
    <row r="33" spans="1:31" s="2" customFormat="1" ht="13.5" customHeight="1">
      <c r="A33" s="47" t="s">
        <v>89</v>
      </c>
      <c r="B33" s="48">
        <f>累计考核费用!C108/10000</f>
        <v>19438.770078000001</v>
      </c>
      <c r="C33" s="48">
        <f>累计考核费用!D108/10000</f>
        <v>0</v>
      </c>
      <c r="D33" s="48">
        <f>累计考核费用!E108/10000</f>
        <v>5058.8497969999989</v>
      </c>
      <c r="E33" s="48">
        <f>累计考核费用!F108/10000</f>
        <v>9254.3813460000001</v>
      </c>
      <c r="F33" s="48">
        <f>累计考核费用!G108/10000</f>
        <v>895.0003479999998</v>
      </c>
      <c r="G33" s="48">
        <f>累计考核费用!H108/10000</f>
        <v>249.63932899999992</v>
      </c>
      <c r="H33" s="48">
        <f>累计考核费用!I108/10000</f>
        <v>212.56695400000001</v>
      </c>
      <c r="I33" s="48">
        <f>累计考核费用!J108/10000</f>
        <v>148.19721999999999</v>
      </c>
      <c r="J33" s="48">
        <f>累计考核费用!K108/10000</f>
        <v>284.59684499999997</v>
      </c>
      <c r="K33" s="48">
        <f>累计考核费用!L108/10000</f>
        <v>1241.6979530000001</v>
      </c>
      <c r="L33" s="48">
        <f>累计考核费用!M108/10000</f>
        <v>89.796227999999999</v>
      </c>
      <c r="M33" s="48">
        <f>累计考核费用!N108/10000</f>
        <v>167.23424000000003</v>
      </c>
      <c r="N33" s="48">
        <f>累计考核费用!O108/10000</f>
        <v>63.259690000000013</v>
      </c>
      <c r="O33" s="48">
        <f>累计考核费用!P108/10000</f>
        <v>364.57592599999998</v>
      </c>
      <c r="P33" s="48">
        <f>累计考核费用!Q108/10000</f>
        <v>188.14826900000003</v>
      </c>
      <c r="Q33" s="48">
        <f>累计考核费用!R108/10000</f>
        <v>209.61885299999997</v>
      </c>
      <c r="R33" s="48">
        <f>累计考核费用!S108/10000</f>
        <v>159.06474700000001</v>
      </c>
      <c r="S33" s="48">
        <f>累计考核费用!T108/10000</f>
        <v>2170.8730249999999</v>
      </c>
      <c r="T33" s="48">
        <f>累计考核费用!U108/10000</f>
        <v>411.88339999999999</v>
      </c>
      <c r="U33" s="48">
        <f>累计考核费用!V108/10000</f>
        <v>740.71876599999996</v>
      </c>
      <c r="V33" s="48">
        <f>累计考核费用!W108/10000</f>
        <v>806.96125999999992</v>
      </c>
      <c r="W33" s="48">
        <f>累计考核费用!X108/10000</f>
        <v>148.43566200000001</v>
      </c>
      <c r="X33" s="48">
        <f>累计考核费用!Y108/10000</f>
        <v>43.552213999999999</v>
      </c>
      <c r="Y33" s="48">
        <f>累计考核费用!Z108/10000</f>
        <v>19.321722999999999</v>
      </c>
      <c r="Z33" s="48">
        <f>累计考核费用!AA108/10000</f>
        <v>0</v>
      </c>
      <c r="AA33" s="48">
        <f>累计考核费用!AB108/10000</f>
        <v>444.54495099999997</v>
      </c>
      <c r="AB33" s="48">
        <f>累计考核费用!AC108/10000</f>
        <v>373.42265799999996</v>
      </c>
      <c r="AC33" s="48">
        <f>累计考核费用!AD108/10000</f>
        <v>0</v>
      </c>
      <c r="AD33" s="48">
        <f>累计考核费用!AE108/10000</f>
        <v>0</v>
      </c>
      <c r="AE33" s="48"/>
    </row>
    <row r="34" spans="1:31" s="2" customFormat="1">
      <c r="A34" s="47" t="s">
        <v>90</v>
      </c>
      <c r="B34" s="48">
        <f>累计考核费用!C109/10000</f>
        <v>314.80683699999997</v>
      </c>
      <c r="C34" s="48">
        <f>累计考核费用!D109/10000</f>
        <v>0</v>
      </c>
      <c r="D34" s="48">
        <f>累计考核费用!E109/10000</f>
        <v>98.569069999999996</v>
      </c>
      <c r="E34" s="48">
        <f>累计考核费用!F109/10000</f>
        <v>125.67849699999999</v>
      </c>
      <c r="F34" s="48">
        <f>累计考核费用!G109/10000</f>
        <v>14.909591999999998</v>
      </c>
      <c r="G34" s="48">
        <f>累计考核费用!H109/10000</f>
        <v>8.6360739999999989</v>
      </c>
      <c r="H34" s="48">
        <f>累计考核费用!I109/10000</f>
        <v>5.3167080000000002</v>
      </c>
      <c r="I34" s="48">
        <f>累计考核费用!J109/10000</f>
        <v>0.43056800000000001</v>
      </c>
      <c r="J34" s="48">
        <f>累计考核费用!K109/10000</f>
        <v>0.52624199999999999</v>
      </c>
      <c r="K34" s="48">
        <f>累计考核费用!L109/10000</f>
        <v>9.8334360000000007</v>
      </c>
      <c r="L34" s="48">
        <f>累计考核费用!M109/10000</f>
        <v>0.65300000000000002</v>
      </c>
      <c r="M34" s="48">
        <f>累计考核费用!N109/10000</f>
        <v>0.33950000000000002</v>
      </c>
      <c r="N34" s="48">
        <f>累计考核费用!O109/10000</f>
        <v>0.16300000000000001</v>
      </c>
      <c r="O34" s="48">
        <f>累计考核费用!P109/10000</f>
        <v>2.1617599999999997</v>
      </c>
      <c r="P34" s="48">
        <f>累计考核费用!Q109/10000</f>
        <v>1.26</v>
      </c>
      <c r="Q34" s="48">
        <f>累计考核费用!R109/10000</f>
        <v>0.31508600000000003</v>
      </c>
      <c r="R34" s="48">
        <f>累计考核费用!S109/10000</f>
        <v>4.94109</v>
      </c>
      <c r="S34" s="48">
        <f>累计考核费用!T109/10000</f>
        <v>40.208962</v>
      </c>
      <c r="T34" s="48">
        <f>累计考核费用!U109/10000</f>
        <v>8.8383869999999991</v>
      </c>
      <c r="U34" s="48">
        <f>累计考核费用!V109/10000</f>
        <v>20.014951</v>
      </c>
      <c r="V34" s="48">
        <f>累计考核费用!W109/10000</f>
        <v>9.4669119999999989</v>
      </c>
      <c r="W34" s="48">
        <f>累计考核费用!X109/10000</f>
        <v>1.8887119999999999</v>
      </c>
      <c r="X34" s="48">
        <f>累计考核费用!Y109/10000</f>
        <v>0</v>
      </c>
      <c r="Y34" s="48">
        <f>累计考核费用!Z109/10000</f>
        <v>0</v>
      </c>
      <c r="Z34" s="48">
        <f>累计考核费用!AA109/10000</f>
        <v>0</v>
      </c>
      <c r="AA34" s="48">
        <f>累计考核费用!AB109/10000</f>
        <v>14.294279999999999</v>
      </c>
      <c r="AB34" s="48">
        <f>累计考核费用!AC109/10000</f>
        <v>11.313000000000001</v>
      </c>
      <c r="AC34" s="48">
        <f>累计考核费用!AD109/10000</f>
        <v>0</v>
      </c>
      <c r="AD34" s="48">
        <f>累计考核费用!AE109/10000</f>
        <v>0</v>
      </c>
      <c r="AE34" s="48"/>
    </row>
    <row r="35" spans="1:31" s="2" customFormat="1">
      <c r="A35" s="47" t="s">
        <v>91</v>
      </c>
      <c r="B35" s="48">
        <f>累计考核费用!C110/10000</f>
        <v>637.97889900000007</v>
      </c>
      <c r="C35" s="48">
        <f>累计考核费用!D110/10000</f>
        <v>0</v>
      </c>
      <c r="D35" s="48">
        <f>累计考核费用!E110/10000</f>
        <v>61.603009</v>
      </c>
      <c r="E35" s="48">
        <f>累计考核费用!F110/10000</f>
        <v>322.44375500000007</v>
      </c>
      <c r="F35" s="48">
        <f>累计考核费用!G110/10000</f>
        <v>20.196644000000003</v>
      </c>
      <c r="G35" s="48">
        <f>累计考核费用!H110/10000</f>
        <v>6.0741229999999993</v>
      </c>
      <c r="H35" s="48">
        <f>累计考核费用!I110/10000</f>
        <v>4.27658</v>
      </c>
      <c r="I35" s="48">
        <f>累计考核费用!J110/10000</f>
        <v>3.018224</v>
      </c>
      <c r="J35" s="48">
        <f>累计考核费用!K110/10000</f>
        <v>6.8277169999999998</v>
      </c>
      <c r="K35" s="48">
        <f>累计考核费用!L110/10000</f>
        <v>25.187880000000003</v>
      </c>
      <c r="L35" s="48">
        <f>累计考核费用!M110/10000</f>
        <v>1.7804819999999999</v>
      </c>
      <c r="M35" s="48">
        <f>累计考核费用!N110/10000</f>
        <v>3.4262860000000002</v>
      </c>
      <c r="N35" s="48">
        <f>累计考核费用!O110/10000</f>
        <v>1.287873</v>
      </c>
      <c r="O35" s="48">
        <f>累计考核费用!P110/10000</f>
        <v>7.3947589999999996</v>
      </c>
      <c r="P35" s="48">
        <f>累计考核费用!Q110/10000</f>
        <v>3.8192440000000003</v>
      </c>
      <c r="Q35" s="48">
        <f>累计考核费用!R110/10000</f>
        <v>4.2584570000000008</v>
      </c>
      <c r="R35" s="48">
        <f>累计考核费用!S110/10000</f>
        <v>3.2207790000000003</v>
      </c>
      <c r="S35" s="48">
        <f>累计考核费用!T110/10000</f>
        <v>194.99283200000002</v>
      </c>
      <c r="T35" s="48">
        <f>累计考核费用!U110/10000</f>
        <v>11.006870000000001</v>
      </c>
      <c r="U35" s="48">
        <f>累计考核费用!V110/10000</f>
        <v>149.55337600000001</v>
      </c>
      <c r="V35" s="48">
        <f>累计考核费用!W110/10000</f>
        <v>30.049429999999997</v>
      </c>
      <c r="W35" s="48">
        <f>累计考核费用!X110/10000</f>
        <v>3.1256779999999997</v>
      </c>
      <c r="X35" s="48">
        <f>累计考核费用!Y110/10000</f>
        <v>0.87104400000000004</v>
      </c>
      <c r="Y35" s="48">
        <f>累计考核费用!Z110/10000</f>
        <v>0.386434</v>
      </c>
      <c r="Z35" s="48">
        <f>累计考核费用!AA110/10000</f>
        <v>0</v>
      </c>
      <c r="AA35" s="48">
        <f>累计考核费用!AB110/10000</f>
        <v>5.9033129999999989</v>
      </c>
      <c r="AB35" s="48">
        <f>累计考核费用!AC110/10000</f>
        <v>7.6514660000000001</v>
      </c>
      <c r="AC35" s="48">
        <f>累计考核费用!AD110/10000</f>
        <v>0</v>
      </c>
      <c r="AD35" s="48">
        <f>累计考核费用!AE110/10000</f>
        <v>0</v>
      </c>
      <c r="AE35" s="48"/>
    </row>
    <row r="36" spans="1:31" s="2" customFormat="1">
      <c r="A36" s="47" t="s">
        <v>92</v>
      </c>
      <c r="B36" s="48">
        <f>累计考核费用!C111/10000</f>
        <v>478.97468999999995</v>
      </c>
      <c r="C36" s="48">
        <f>累计考核费用!D111/10000</f>
        <v>0</v>
      </c>
      <c r="D36" s="48">
        <f>累计考核费用!E111/10000</f>
        <v>191.31174000000001</v>
      </c>
      <c r="E36" s="48">
        <f>累计考核费用!F111/10000</f>
        <v>182.05963400000005</v>
      </c>
      <c r="F36" s="48">
        <f>累计考核费用!G111/10000</f>
        <v>12.534394000000002</v>
      </c>
      <c r="G36" s="48">
        <f>累计考核费用!H111/10000</f>
        <v>4.7330610000000011</v>
      </c>
      <c r="H36" s="48">
        <f>累计考核费用!I111/10000</f>
        <v>1.555599</v>
      </c>
      <c r="I36" s="48">
        <f>累计考核费用!J111/10000</f>
        <v>3.0969229999999999</v>
      </c>
      <c r="J36" s="48">
        <f>累计考核费用!K111/10000</f>
        <v>3.1488110000000002</v>
      </c>
      <c r="K36" s="48">
        <f>累计考核费用!L111/10000</f>
        <v>16.603337999999997</v>
      </c>
      <c r="L36" s="48">
        <f>累计考核费用!M111/10000</f>
        <v>2.2717499999999999</v>
      </c>
      <c r="M36" s="48">
        <f>累计考核费用!N111/10000</f>
        <v>3.828449</v>
      </c>
      <c r="N36" s="48">
        <f>累计考核费用!O111/10000</f>
        <v>1.5033650000000001</v>
      </c>
      <c r="O36" s="48">
        <f>累计考核费用!P111/10000</f>
        <v>2.9990650000000003</v>
      </c>
      <c r="P36" s="48">
        <f>累计考核费用!Q111/10000</f>
        <v>1.8390819999999999</v>
      </c>
      <c r="Q36" s="48">
        <f>累计考核费用!R111/10000</f>
        <v>2.6324419999999997</v>
      </c>
      <c r="R36" s="48">
        <f>累计考核费用!S111/10000</f>
        <v>1.529185</v>
      </c>
      <c r="S36" s="48">
        <f>累计考核费用!T111/10000</f>
        <v>67.084935000000016</v>
      </c>
      <c r="T36" s="48">
        <f>累计考核费用!U111/10000</f>
        <v>6.3104529999999999</v>
      </c>
      <c r="U36" s="48">
        <f>累计考核费用!V111/10000</f>
        <v>40.241785999999998</v>
      </c>
      <c r="V36" s="48">
        <f>累计考核费用!W111/10000</f>
        <v>18.696479</v>
      </c>
      <c r="W36" s="48">
        <f>累计考核费用!X111/10000</f>
        <v>1.477727</v>
      </c>
      <c r="X36" s="48">
        <f>累计考核费用!Y111/10000</f>
        <v>0</v>
      </c>
      <c r="Y36" s="48">
        <f>累计考核费用!Z111/10000</f>
        <v>0</v>
      </c>
      <c r="Z36" s="48">
        <f>累计考核费用!AA111/10000</f>
        <v>0.35849000000000003</v>
      </c>
      <c r="AA36" s="48">
        <f>累计考核费用!AB111/10000</f>
        <v>5.1780810000000015</v>
      </c>
      <c r="AB36" s="48">
        <f>累计考核费用!AC111/10000</f>
        <v>4.2025679999999994</v>
      </c>
      <c r="AC36" s="48">
        <f>累计考核费用!AD111/10000</f>
        <v>0</v>
      </c>
      <c r="AD36" s="48">
        <f>累计考核费用!AE111/10000</f>
        <v>0</v>
      </c>
      <c r="AE36" s="48"/>
    </row>
    <row r="37" spans="1:31" s="2" customFormat="1">
      <c r="A37" s="47" t="s">
        <v>93</v>
      </c>
      <c r="B37" s="48">
        <f>累计考核费用!C112/10000</f>
        <v>5425.0134279999984</v>
      </c>
      <c r="C37" s="48">
        <f>累计考核费用!D112/10000</f>
        <v>0</v>
      </c>
      <c r="D37" s="48">
        <f>累计考核费用!E112/10000</f>
        <v>1278.62895</v>
      </c>
      <c r="E37" s="48">
        <f>累计考核费用!F112/10000</f>
        <v>2777.0541729999991</v>
      </c>
      <c r="F37" s="48">
        <f>累计考核费用!G112/10000</f>
        <v>244.86236400000007</v>
      </c>
      <c r="G37" s="48">
        <f>累计考核费用!H112/10000</f>
        <v>74.879409999999993</v>
      </c>
      <c r="H37" s="48">
        <f>累计考核费用!I112/10000</f>
        <v>72.308028999999991</v>
      </c>
      <c r="I37" s="48">
        <f>累计考核费用!J112/10000</f>
        <v>37.037329999999997</v>
      </c>
      <c r="J37" s="48">
        <f>累计考核费用!K112/10000</f>
        <v>60.637594999999997</v>
      </c>
      <c r="K37" s="48">
        <f>累计考核费用!L112/10000</f>
        <v>269.807548</v>
      </c>
      <c r="L37" s="48">
        <f>累计考核费用!M112/10000</f>
        <v>14.375463999999999</v>
      </c>
      <c r="M37" s="48">
        <f>累计考核费用!N112/10000</f>
        <v>38.989393</v>
      </c>
      <c r="N37" s="48">
        <f>累计考核费用!O112/10000</f>
        <v>11.668949999999999</v>
      </c>
      <c r="O37" s="48">
        <f>累计考核费用!P112/10000</f>
        <v>86.159317999999999</v>
      </c>
      <c r="P37" s="48">
        <f>累计考核费用!Q112/10000</f>
        <v>40.751889999999996</v>
      </c>
      <c r="Q37" s="48">
        <f>累计考核费用!R112/10000</f>
        <v>39.736731000000006</v>
      </c>
      <c r="R37" s="48">
        <f>累计考核费用!S112/10000</f>
        <v>38.125801999999993</v>
      </c>
      <c r="S37" s="48">
        <f>累计考核费用!T112/10000</f>
        <v>632.45873600000004</v>
      </c>
      <c r="T37" s="48">
        <f>累计考核费用!U112/10000</f>
        <v>133.61834000000002</v>
      </c>
      <c r="U37" s="48">
        <f>累计考核费用!V112/10000</f>
        <v>219.38435900000002</v>
      </c>
      <c r="V37" s="48">
        <f>累计考核费用!W112/10000</f>
        <v>210.14027699999997</v>
      </c>
      <c r="W37" s="48">
        <f>累计考核费用!X112/10000</f>
        <v>39.265353000000005</v>
      </c>
      <c r="X37" s="48">
        <f>累计考核费用!Y112/10000</f>
        <v>20.148808999999996</v>
      </c>
      <c r="Y37" s="48">
        <f>累计考核费用!Z112/10000</f>
        <v>9.9015980000000017</v>
      </c>
      <c r="Z37" s="48">
        <f>累计考核费用!AA112/10000</f>
        <v>0</v>
      </c>
      <c r="AA37" s="48">
        <f>累计考核费用!AB112/10000</f>
        <v>89.080923999999982</v>
      </c>
      <c r="AB37" s="48">
        <f>累计考核费用!AC112/10000</f>
        <v>133.12073299999997</v>
      </c>
      <c r="AC37" s="48">
        <f>累计考核费用!AD112/10000</f>
        <v>0</v>
      </c>
      <c r="AD37" s="48">
        <f>累计考核费用!AE112/10000</f>
        <v>0</v>
      </c>
      <c r="AE37" s="48"/>
    </row>
    <row r="38" spans="1:31" s="2" customFormat="1">
      <c r="A38" s="47" t="s">
        <v>94</v>
      </c>
      <c r="B38" s="48">
        <f>累计考核费用!C113/10000</f>
        <v>35.974437000000002</v>
      </c>
      <c r="C38" s="48">
        <f>累计考核费用!D113/10000</f>
        <v>0</v>
      </c>
      <c r="D38" s="48">
        <f>累计考核费用!E113/10000</f>
        <v>20</v>
      </c>
      <c r="E38" s="48">
        <f>累计考核费用!F113/10000</f>
        <v>11.274900000000001</v>
      </c>
      <c r="F38" s="48">
        <f>累计考核费用!G113/10000</f>
        <v>4.6995370000000003</v>
      </c>
      <c r="G38" s="48">
        <f>累计考核费用!H113/10000</f>
        <v>0</v>
      </c>
      <c r="H38" s="48">
        <f>累计考核费用!I113/10000</f>
        <v>0</v>
      </c>
      <c r="I38" s="48">
        <f>累计考核费用!J113/10000</f>
        <v>0</v>
      </c>
      <c r="J38" s="48">
        <f>累计考核费用!K113/10000</f>
        <v>4.6995370000000003</v>
      </c>
      <c r="K38" s="48">
        <f>累计考核费用!L113/10000</f>
        <v>0</v>
      </c>
      <c r="L38" s="48">
        <f>累计考核费用!M113/10000</f>
        <v>0</v>
      </c>
      <c r="M38" s="48">
        <f>累计考核费用!N113/10000</f>
        <v>0</v>
      </c>
      <c r="N38" s="48">
        <f>累计考核费用!O113/10000</f>
        <v>0</v>
      </c>
      <c r="O38" s="48">
        <f>累计考核费用!P113/10000</f>
        <v>0</v>
      </c>
      <c r="P38" s="48">
        <f>累计考核费用!Q113/10000</f>
        <v>0</v>
      </c>
      <c r="Q38" s="48">
        <f>累计考核费用!R113/10000</f>
        <v>0</v>
      </c>
      <c r="R38" s="48">
        <f>累计考核费用!S113/10000</f>
        <v>0</v>
      </c>
      <c r="S38" s="48">
        <f>累计考核费用!T113/10000</f>
        <v>0</v>
      </c>
      <c r="T38" s="48">
        <f>累计考核费用!U113/10000</f>
        <v>0</v>
      </c>
      <c r="U38" s="48">
        <f>累计考核费用!V113/10000</f>
        <v>0</v>
      </c>
      <c r="V38" s="48">
        <f>累计考核费用!W113/10000</f>
        <v>0</v>
      </c>
      <c r="W38" s="48">
        <f>累计考核费用!X113/10000</f>
        <v>0</v>
      </c>
      <c r="X38" s="48">
        <f>累计考核费用!Y113/10000</f>
        <v>0</v>
      </c>
      <c r="Y38" s="48">
        <f>累计考核费用!Z113/10000</f>
        <v>0</v>
      </c>
      <c r="Z38" s="48">
        <f>累计考核费用!AA113/10000</f>
        <v>0</v>
      </c>
      <c r="AA38" s="48">
        <f>累计考核费用!AB113/10000</f>
        <v>0</v>
      </c>
      <c r="AB38" s="48">
        <f>累计考核费用!AC113/10000</f>
        <v>0</v>
      </c>
      <c r="AC38" s="48">
        <f>累计考核费用!AD113/10000</f>
        <v>0</v>
      </c>
      <c r="AD38" s="48">
        <f>累计考核费用!AE113/10000</f>
        <v>0</v>
      </c>
      <c r="AE38" s="48"/>
    </row>
    <row r="39" spans="1:31" s="2" customFormat="1">
      <c r="A39" s="47" t="s">
        <v>95</v>
      </c>
      <c r="B39" s="48">
        <f>累计考核费用!C114/10000</f>
        <v>271.14051700000005</v>
      </c>
      <c r="C39" s="48">
        <f>累计考核费用!D114/10000</f>
        <v>0</v>
      </c>
      <c r="D39" s="48">
        <f>累计考核费用!E114/10000</f>
        <v>257.05168899999995</v>
      </c>
      <c r="E39" s="48">
        <f>累计考核费用!F114/10000</f>
        <v>13.794647999999995</v>
      </c>
      <c r="F39" s="48">
        <f>累计考核费用!G114/10000</f>
        <v>1.1789100000000001</v>
      </c>
      <c r="G39" s="48">
        <f>累计考核费用!H114/10000</f>
        <v>1.4624999999999999</v>
      </c>
      <c r="H39" s="48">
        <f>累计考核费用!I114/10000</f>
        <v>-9.4529999999999989E-2</v>
      </c>
      <c r="I39" s="48">
        <f>累计考核费用!J114/10000</f>
        <v>0</v>
      </c>
      <c r="J39" s="48">
        <f>累计考核费用!K114/10000</f>
        <v>-0.18905999999999998</v>
      </c>
      <c r="K39" s="48">
        <f>累计考核费用!L114/10000</f>
        <v>-9.4529999999999989E-2</v>
      </c>
      <c r="L39" s="48">
        <f>累计考核费用!M114/10000</f>
        <v>0</v>
      </c>
      <c r="M39" s="48">
        <f>累计考核费用!N114/10000</f>
        <v>0</v>
      </c>
      <c r="N39" s="48">
        <f>累计考核费用!O114/10000</f>
        <v>0</v>
      </c>
      <c r="O39" s="48">
        <f>累计考核费用!P114/10000</f>
        <v>0</v>
      </c>
      <c r="P39" s="48">
        <f>累计考核费用!Q114/10000</f>
        <v>0</v>
      </c>
      <c r="Q39" s="48">
        <f>累计考核费用!R114/10000</f>
        <v>0</v>
      </c>
      <c r="R39" s="48">
        <f>累计考核费用!S114/10000</f>
        <v>-9.4529999999999989E-2</v>
      </c>
      <c r="S39" s="48">
        <f>累计考核费用!T114/10000</f>
        <v>-0.48962999999999995</v>
      </c>
      <c r="T39" s="48">
        <f>累计考核费用!U114/10000</f>
        <v>-0.11150999999999998</v>
      </c>
      <c r="U39" s="48">
        <f>累计考核费用!V114/10000</f>
        <v>-9.4529999999999989E-2</v>
      </c>
      <c r="V39" s="48">
        <f>累计考核费用!W114/10000</f>
        <v>-0.28358999999999995</v>
      </c>
      <c r="W39" s="48">
        <f>累计考核费用!X114/10000</f>
        <v>0</v>
      </c>
      <c r="X39" s="48">
        <f>累计考核费用!Y114/10000</f>
        <v>0</v>
      </c>
      <c r="Y39" s="48">
        <f>累计考核费用!Z114/10000</f>
        <v>0</v>
      </c>
      <c r="Z39" s="48">
        <f>累计考核费用!AA114/10000</f>
        <v>0</v>
      </c>
      <c r="AA39" s="48">
        <f>累计考核费用!AB114/10000</f>
        <v>-9.4529999999999989E-2</v>
      </c>
      <c r="AB39" s="48">
        <f>累计考核费用!AC114/10000</f>
        <v>-0.20603999999999997</v>
      </c>
      <c r="AC39" s="48">
        <f>累计考核费用!AD114/10000</f>
        <v>0</v>
      </c>
      <c r="AD39" s="48">
        <f>累计考核费用!AE114/10000</f>
        <v>0</v>
      </c>
      <c r="AE39" s="48"/>
    </row>
    <row r="40" spans="1:31" s="2" customFormat="1">
      <c r="A40" s="47" t="s">
        <v>96</v>
      </c>
      <c r="B40" s="48">
        <f>累计考核费用!C115/10000</f>
        <v>253.66844899999998</v>
      </c>
      <c r="C40" s="48">
        <f>累计考核费用!D115/10000</f>
        <v>0</v>
      </c>
      <c r="D40" s="48">
        <f>累计考核费用!E115/10000</f>
        <v>46.954999999999998</v>
      </c>
      <c r="E40" s="48">
        <f>累计考核费用!F115/10000</f>
        <v>169.09862100000001</v>
      </c>
      <c r="F40" s="48">
        <f>累计考核费用!G115/10000</f>
        <v>11.108000000000001</v>
      </c>
      <c r="G40" s="48">
        <f>累计考核费用!H115/10000</f>
        <v>2.6120000000000001</v>
      </c>
      <c r="H40" s="48">
        <f>累计考核费用!I115/10000</f>
        <v>1.262</v>
      </c>
      <c r="I40" s="48">
        <f>累计考核费用!J115/10000</f>
        <v>2.714</v>
      </c>
      <c r="J40" s="48">
        <f>累计考核费用!K115/10000</f>
        <v>4.5199999999999996</v>
      </c>
      <c r="K40" s="48">
        <f>累计考核费用!L115/10000</f>
        <v>17.356000000000002</v>
      </c>
      <c r="L40" s="48">
        <f>累计考核费用!M115/10000</f>
        <v>-0.77200000000000002</v>
      </c>
      <c r="M40" s="48">
        <f>累计考核费用!N115/10000</f>
        <v>4.08</v>
      </c>
      <c r="N40" s="48">
        <f>累计考核费用!O115/10000</f>
        <v>1.1339999999999999</v>
      </c>
      <c r="O40" s="48">
        <f>累计考核费用!P115/10000</f>
        <v>5.1619999999999999</v>
      </c>
      <c r="P40" s="48">
        <f>累计考核费用!Q115/10000</f>
        <v>2.8140000000000001</v>
      </c>
      <c r="Q40" s="48">
        <f>累计考核费用!R115/10000</f>
        <v>2.964</v>
      </c>
      <c r="R40" s="48">
        <f>累计考核费用!S115/10000</f>
        <v>1.974</v>
      </c>
      <c r="S40" s="48">
        <f>累计考核费用!T115/10000</f>
        <v>0</v>
      </c>
      <c r="T40" s="48">
        <f>累计考核费用!U115/10000</f>
        <v>0</v>
      </c>
      <c r="U40" s="48">
        <f>累计考核费用!V115/10000</f>
        <v>0</v>
      </c>
      <c r="V40" s="48">
        <f>累计考核费用!W115/10000</f>
        <v>0</v>
      </c>
      <c r="W40" s="48">
        <f>累计考核费用!X115/10000</f>
        <v>0</v>
      </c>
      <c r="X40" s="48">
        <f>累计考核费用!Y115/10000</f>
        <v>0</v>
      </c>
      <c r="Y40" s="48">
        <f>累计考核费用!Z115/10000</f>
        <v>0</v>
      </c>
      <c r="Z40" s="48">
        <f>累计考核费用!AA115/10000</f>
        <v>0</v>
      </c>
      <c r="AA40" s="48">
        <f>累计考核费用!AB115/10000</f>
        <v>0</v>
      </c>
      <c r="AB40" s="48">
        <f>累计考核费用!AC115/10000</f>
        <v>9.1508280000000006</v>
      </c>
      <c r="AC40" s="48">
        <f>累计考核费用!AD115/10000</f>
        <v>0</v>
      </c>
      <c r="AD40" s="48">
        <f>累计考核费用!AE115/10000</f>
        <v>0</v>
      </c>
      <c r="AE40" s="48"/>
    </row>
    <row r="41" spans="1:31" s="2" customFormat="1">
      <c r="A41" s="47" t="s">
        <v>97</v>
      </c>
      <c r="B41" s="48">
        <f>累计考核费用!C116/10000</f>
        <v>377.043226</v>
      </c>
      <c r="C41" s="48">
        <f>累计考核费用!D116/10000</f>
        <v>0</v>
      </c>
      <c r="D41" s="48">
        <f>累计考核费用!E116/10000</f>
        <v>141.79656599999998</v>
      </c>
      <c r="E41" s="48">
        <f>累计考核费用!F116/10000</f>
        <v>90.609762000000003</v>
      </c>
      <c r="F41" s="48">
        <f>累计考核费用!G116/10000</f>
        <v>0</v>
      </c>
      <c r="G41" s="48">
        <f>累计考核费用!H116/10000</f>
        <v>0</v>
      </c>
      <c r="H41" s="48">
        <f>累计考核费用!I116/10000</f>
        <v>0</v>
      </c>
      <c r="I41" s="48">
        <f>累计考核费用!J116/10000</f>
        <v>0</v>
      </c>
      <c r="J41" s="48">
        <f>累计考核费用!K116/10000</f>
        <v>0</v>
      </c>
      <c r="K41" s="48">
        <f>累计考核费用!L116/10000</f>
        <v>38.252105999999991</v>
      </c>
      <c r="L41" s="48">
        <f>累计考核费用!M116/10000</f>
        <v>0</v>
      </c>
      <c r="M41" s="48">
        <f>累计考核费用!N116/10000</f>
        <v>0</v>
      </c>
      <c r="N41" s="48">
        <f>累计考核费用!O116/10000</f>
        <v>0</v>
      </c>
      <c r="O41" s="48">
        <f>累计考核费用!P116/10000</f>
        <v>0</v>
      </c>
      <c r="P41" s="48">
        <f>累计考核费用!Q116/10000</f>
        <v>0</v>
      </c>
      <c r="Q41" s="48">
        <f>累计考核费用!R116/10000</f>
        <v>0</v>
      </c>
      <c r="R41" s="48">
        <f>累计考核费用!S116/10000</f>
        <v>38.252105999999991</v>
      </c>
      <c r="S41" s="48">
        <f>累计考核费用!T116/10000</f>
        <v>0</v>
      </c>
      <c r="T41" s="48">
        <f>累计考核费用!U116/10000</f>
        <v>0</v>
      </c>
      <c r="U41" s="48">
        <f>累计考核费用!V116/10000</f>
        <v>0</v>
      </c>
      <c r="V41" s="48">
        <f>累计考核费用!W116/10000</f>
        <v>0</v>
      </c>
      <c r="W41" s="48">
        <f>累计考核费用!X116/10000</f>
        <v>0</v>
      </c>
      <c r="X41" s="48">
        <f>累计考核费用!Y116/10000</f>
        <v>0</v>
      </c>
      <c r="Y41" s="48">
        <f>累计考核费用!Z116/10000</f>
        <v>0</v>
      </c>
      <c r="Z41" s="48">
        <f>累计考核费用!AA116/10000</f>
        <v>0</v>
      </c>
      <c r="AA41" s="48">
        <f>累计考核费用!AB116/10000</f>
        <v>12.024007999999997</v>
      </c>
      <c r="AB41" s="48">
        <f>累计考核费用!AC116/10000</f>
        <v>94.36078400000001</v>
      </c>
      <c r="AC41" s="48">
        <f>累计考核费用!AD116/10000</f>
        <v>0</v>
      </c>
      <c r="AD41" s="48">
        <f>累计考核费用!AE116/10000</f>
        <v>0</v>
      </c>
      <c r="AE41" s="48"/>
    </row>
    <row r="42" spans="1:31" s="2" customFormat="1">
      <c r="A42" s="47" t="s">
        <v>98</v>
      </c>
      <c r="B42" s="48">
        <f>累计考核费用!C117/10000</f>
        <v>1750</v>
      </c>
      <c r="C42" s="48">
        <f>累计考核费用!D117/10000</f>
        <v>0</v>
      </c>
      <c r="D42" s="48">
        <f>累计考核费用!E117/10000</f>
        <v>1750</v>
      </c>
      <c r="E42" s="48">
        <f>累计考核费用!F117/10000</f>
        <v>0</v>
      </c>
      <c r="F42" s="48">
        <f>累计考核费用!G117/10000</f>
        <v>0</v>
      </c>
      <c r="G42" s="48">
        <f>累计考核费用!H117/10000</f>
        <v>0</v>
      </c>
      <c r="H42" s="48">
        <f>累计考核费用!I117/10000</f>
        <v>0</v>
      </c>
      <c r="I42" s="48">
        <f>累计考核费用!J117/10000</f>
        <v>0</v>
      </c>
      <c r="J42" s="48">
        <f>累计考核费用!K117/10000</f>
        <v>0</v>
      </c>
      <c r="K42" s="48">
        <f>累计考核费用!L117/10000</f>
        <v>0</v>
      </c>
      <c r="L42" s="48">
        <f>累计考核费用!M117/10000</f>
        <v>0</v>
      </c>
      <c r="M42" s="48">
        <f>累计考核费用!N117/10000</f>
        <v>0</v>
      </c>
      <c r="N42" s="48">
        <f>累计考核费用!O117/10000</f>
        <v>0</v>
      </c>
      <c r="O42" s="48">
        <f>累计考核费用!P117/10000</f>
        <v>0</v>
      </c>
      <c r="P42" s="48">
        <f>累计考核费用!Q117/10000</f>
        <v>0</v>
      </c>
      <c r="Q42" s="48">
        <f>累计考核费用!R117/10000</f>
        <v>0</v>
      </c>
      <c r="R42" s="48">
        <f>累计考核费用!S117/10000</f>
        <v>0</v>
      </c>
      <c r="S42" s="48">
        <f>累计考核费用!T117/10000</f>
        <v>0</v>
      </c>
      <c r="T42" s="48">
        <f>累计考核费用!U117/10000</f>
        <v>0</v>
      </c>
      <c r="U42" s="48">
        <f>累计考核费用!V117/10000</f>
        <v>0</v>
      </c>
      <c r="V42" s="48">
        <f>累计考核费用!W117/10000</f>
        <v>0</v>
      </c>
      <c r="W42" s="48">
        <f>累计考核费用!X117/10000</f>
        <v>0</v>
      </c>
      <c r="X42" s="48">
        <f>累计考核费用!Y117/10000</f>
        <v>0</v>
      </c>
      <c r="Y42" s="48">
        <f>累计考核费用!Z117/10000</f>
        <v>0</v>
      </c>
      <c r="Z42" s="48">
        <f>累计考核费用!AA117/10000</f>
        <v>0</v>
      </c>
      <c r="AA42" s="48">
        <f>累计考核费用!AB117/10000</f>
        <v>0</v>
      </c>
      <c r="AB42" s="48">
        <f>累计考核费用!AC117/10000</f>
        <v>0</v>
      </c>
      <c r="AC42" s="48">
        <f>累计考核费用!AD117/10000</f>
        <v>0</v>
      </c>
      <c r="AD42" s="48">
        <f>累计考核费用!AE117/10000</f>
        <v>0</v>
      </c>
      <c r="AE42" s="48"/>
    </row>
    <row r="43" spans="1:31" s="2" customFormat="1">
      <c r="A43" s="45" t="s">
        <v>99</v>
      </c>
      <c r="B43" s="48">
        <f>累计考核费用!C118/10000</f>
        <v>28983.370560999996</v>
      </c>
      <c r="C43" s="48">
        <f>累计考核费用!D118/10000</f>
        <v>0</v>
      </c>
      <c r="D43" s="48">
        <f>累计考核费用!E118/10000</f>
        <v>8904.7658209999991</v>
      </c>
      <c r="E43" s="48">
        <f>累计考核费用!F118/10000</f>
        <v>12946.395336</v>
      </c>
      <c r="F43" s="48">
        <f>累计考核费用!G118/10000</f>
        <v>1204.4897889999997</v>
      </c>
      <c r="G43" s="48">
        <f>累计考核费用!H118/10000</f>
        <v>348.03649699999994</v>
      </c>
      <c r="H43" s="48">
        <f>累计考核费用!I118/10000</f>
        <v>297.19134000000003</v>
      </c>
      <c r="I43" s="48">
        <f>累计考核费用!J118/10000</f>
        <v>194.49426499999998</v>
      </c>
      <c r="J43" s="48">
        <f>累计考核费用!K118/10000</f>
        <v>364.76768699999997</v>
      </c>
      <c r="K43" s="48">
        <f>累计考核费用!L118/10000</f>
        <v>1618.6437310000003</v>
      </c>
      <c r="L43" s="48">
        <f>累计考核费用!M118/10000</f>
        <v>108.104924</v>
      </c>
      <c r="M43" s="48">
        <f>累计考核费用!N118/10000</f>
        <v>217.89786800000007</v>
      </c>
      <c r="N43" s="48">
        <f>累计考核费用!O118/10000</f>
        <v>79.01687800000002</v>
      </c>
      <c r="O43" s="48">
        <f>累计考核费用!P118/10000</f>
        <v>468.45282799999995</v>
      </c>
      <c r="P43" s="48">
        <f>累计考核费用!Q118/10000</f>
        <v>238.632485</v>
      </c>
      <c r="Q43" s="48">
        <f>累计考核费用!R118/10000</f>
        <v>259.52556899999996</v>
      </c>
      <c r="R43" s="48">
        <f>累计考核费用!S118/10000</f>
        <v>247.01317900000001</v>
      </c>
      <c r="S43" s="48">
        <f>累计考核费用!T118/10000</f>
        <v>3105.1288600000003</v>
      </c>
      <c r="T43" s="48">
        <f>累计考核费用!U118/10000</f>
        <v>571.54594000000009</v>
      </c>
      <c r="U43" s="48">
        <f>累计考核费用!V118/10000</f>
        <v>1169.8187079999998</v>
      </c>
      <c r="V43" s="48">
        <f>累计考核费用!W118/10000</f>
        <v>1075.0307679999999</v>
      </c>
      <c r="W43" s="48">
        <f>累计考核费用!X118/10000</f>
        <v>194.19313200000002</v>
      </c>
      <c r="X43" s="48">
        <f>累计考核费用!Y118/10000</f>
        <v>64.57206699999999</v>
      </c>
      <c r="Y43" s="48">
        <f>累计考核费用!Z118/10000</f>
        <v>29.609755</v>
      </c>
      <c r="Z43" s="48">
        <f>累计考核费用!AA118/10000</f>
        <v>0.35849000000000003</v>
      </c>
      <c r="AA43" s="48">
        <f>累计考核费用!AB118/10000</f>
        <v>570.93102699999997</v>
      </c>
      <c r="AB43" s="48">
        <f>累计考核费用!AC118/10000</f>
        <v>633.01599699999997</v>
      </c>
      <c r="AC43" s="48">
        <f>累计考核费用!AD118/10000</f>
        <v>0</v>
      </c>
      <c r="AD43" s="48">
        <f>累计考核费用!AE118/10000</f>
        <v>0</v>
      </c>
      <c r="AE43" s="48"/>
    </row>
    <row r="44" spans="1:31" s="2" customFormat="1">
      <c r="A44" s="47" t="s">
        <v>101</v>
      </c>
      <c r="B44" s="48">
        <f>累计考核费用!C119/10000</f>
        <v>10134.664984999999</v>
      </c>
      <c r="C44" s="48">
        <f>累计考核费用!D119/10000</f>
        <v>-192.77221599999999</v>
      </c>
      <c r="D44" s="48">
        <f>累计考核费用!E119/10000</f>
        <v>0</v>
      </c>
      <c r="E44" s="48">
        <f>累计考核费用!F119/10000</f>
        <v>2653.4811129999994</v>
      </c>
      <c r="F44" s="48">
        <f>累计考核费用!G119/10000</f>
        <v>244.22701600000002</v>
      </c>
      <c r="G44" s="48">
        <f>累计考核费用!H119/10000</f>
        <v>-14.228190000000001</v>
      </c>
      <c r="H44" s="48">
        <f>累计考核费用!I119/10000</f>
        <v>0</v>
      </c>
      <c r="I44" s="48">
        <f>累计考核费用!J119/10000</f>
        <v>155.99345600000001</v>
      </c>
      <c r="J44" s="48">
        <f>累计考核费用!K119/10000</f>
        <v>102.46174999999999</v>
      </c>
      <c r="K44" s="48">
        <f>累计考核费用!L119/10000</f>
        <v>0.34</v>
      </c>
      <c r="L44" s="48">
        <f>累计考核费用!M119/10000</f>
        <v>0</v>
      </c>
      <c r="M44" s="48">
        <f>累计考核费用!N119/10000</f>
        <v>0</v>
      </c>
      <c r="N44" s="48">
        <f>累计考核费用!O119/10000</f>
        <v>0</v>
      </c>
      <c r="O44" s="48">
        <f>累计考核费用!P119/10000</f>
        <v>0</v>
      </c>
      <c r="P44" s="48">
        <f>累计考核费用!Q119/10000</f>
        <v>0</v>
      </c>
      <c r="Q44" s="48">
        <f>累计考核费用!R119/10000</f>
        <v>0.34</v>
      </c>
      <c r="R44" s="48">
        <f>累计考核费用!S119/10000</f>
        <v>0</v>
      </c>
      <c r="S44" s="48">
        <f>累计考核费用!T119/10000</f>
        <v>7429.3890719999999</v>
      </c>
      <c r="T44" s="48">
        <f>累计考核费用!U119/10000</f>
        <v>138.46010000000001</v>
      </c>
      <c r="U44" s="48">
        <f>累计考核费用!V119/10000</f>
        <v>6736.95</v>
      </c>
      <c r="V44" s="48">
        <f>累计考核费用!W119/10000</f>
        <v>546.13077199999998</v>
      </c>
      <c r="W44" s="48">
        <f>累计考核费用!X119/10000</f>
        <v>7.8482000000000003</v>
      </c>
      <c r="X44" s="48">
        <f>累计考核费用!Y119/10000</f>
        <v>0</v>
      </c>
      <c r="Y44" s="48">
        <f>累计考核费用!Z119/10000</f>
        <v>0</v>
      </c>
      <c r="Z44" s="48">
        <f>累计考核费用!AA119/10000</f>
        <v>0</v>
      </c>
      <c r="AA44" s="48">
        <f>累计考核费用!AB119/10000</f>
        <v>0</v>
      </c>
      <c r="AB44" s="48">
        <f>累计考核费用!AC119/10000</f>
        <v>0</v>
      </c>
      <c r="AC44" s="48">
        <f>累计考核费用!AD119/10000</f>
        <v>0</v>
      </c>
      <c r="AD44" s="48">
        <f>累计考核费用!AE119/10000</f>
        <v>0</v>
      </c>
      <c r="AE44" s="48"/>
    </row>
    <row r="45" spans="1:31" s="2" customFormat="1">
      <c r="A45" s="47" t="s">
        <v>102</v>
      </c>
      <c r="B45" s="48">
        <f>累计考核费用!C120/10000</f>
        <v>6730.4634699999988</v>
      </c>
      <c r="C45" s="48">
        <f>累计考核费用!D120/10000</f>
        <v>871.86626199999989</v>
      </c>
      <c r="D45" s="48">
        <f>累计考核费用!E120/10000</f>
        <v>1813.5464329999998</v>
      </c>
      <c r="E45" s="48">
        <f>累计考核费用!F120/10000</f>
        <v>5482.5814409999984</v>
      </c>
      <c r="F45" s="48">
        <f>累计考核费用!G120/10000</f>
        <v>-6.0600000000000001E-2</v>
      </c>
      <c r="G45" s="48">
        <f>累计考核费用!H120/10000</f>
        <v>0</v>
      </c>
      <c r="H45" s="48">
        <f>累计考核费用!I120/10000</f>
        <v>0</v>
      </c>
      <c r="I45" s="48">
        <f>累计考核费用!J120/10000</f>
        <v>0</v>
      </c>
      <c r="J45" s="48">
        <f>累计考核费用!K120/10000</f>
        <v>-6.0600000000000001E-2</v>
      </c>
      <c r="K45" s="48">
        <f>累计考核费用!L120/10000</f>
        <v>0</v>
      </c>
      <c r="L45" s="48">
        <f>累计考核费用!M120/10000</f>
        <v>0</v>
      </c>
      <c r="M45" s="48">
        <f>累计考核费用!N120/10000</f>
        <v>0</v>
      </c>
      <c r="N45" s="48">
        <f>累计考核费用!O120/10000</f>
        <v>0</v>
      </c>
      <c r="O45" s="48">
        <f>累计考核费用!P120/10000</f>
        <v>0</v>
      </c>
      <c r="P45" s="48">
        <f>累计考核费用!Q120/10000</f>
        <v>0</v>
      </c>
      <c r="Q45" s="48">
        <f>累计考核费用!R120/10000</f>
        <v>0</v>
      </c>
      <c r="R45" s="48">
        <f>累计考核费用!S120/10000</f>
        <v>0</v>
      </c>
      <c r="S45" s="48">
        <f>累计考核费用!T120/10000</f>
        <v>-1438.7937529999997</v>
      </c>
      <c r="T45" s="48">
        <f>累计考核费用!U120/10000</f>
        <v>15.681900000000001</v>
      </c>
      <c r="U45" s="48">
        <f>累计考核费用!V120/10000</f>
        <v>-1564.3210470000001</v>
      </c>
      <c r="V45" s="48">
        <f>累计考核费用!W120/10000</f>
        <v>97.844052000000005</v>
      </c>
      <c r="W45" s="48">
        <f>累计考核费用!X120/10000</f>
        <v>12.001341999999999</v>
      </c>
      <c r="X45" s="48">
        <f>累计考核费用!Y120/10000</f>
        <v>0</v>
      </c>
      <c r="Y45" s="48">
        <f>累计考核费用!Z120/10000</f>
        <v>0</v>
      </c>
      <c r="Z45" s="48">
        <f>累计考核费用!AA120/10000</f>
        <v>0</v>
      </c>
      <c r="AA45" s="48">
        <f>累计考核费用!AB120/10000</f>
        <v>0</v>
      </c>
      <c r="AB45" s="48">
        <f>累计考核费用!AC120/10000</f>
        <v>1.3236870000000001</v>
      </c>
      <c r="AC45" s="48">
        <f>累计考核费用!AD120/10000</f>
        <v>0</v>
      </c>
      <c r="AD45" s="48">
        <f>累计考核费用!AE120/10000</f>
        <v>0</v>
      </c>
      <c r="AE45" s="48"/>
    </row>
    <row r="46" spans="1:31" s="2" customFormat="1">
      <c r="A46" s="47" t="s">
        <v>103</v>
      </c>
      <c r="B46" s="48">
        <f>累计考核费用!C121/10000</f>
        <v>1747.3454489999999</v>
      </c>
      <c r="C46" s="48">
        <f>累计考核费用!D121/10000</f>
        <v>-16.510922999999998</v>
      </c>
      <c r="D46" s="48">
        <f>累计考核费用!E121/10000</f>
        <v>-440.48580900000007</v>
      </c>
      <c r="E46" s="48">
        <f>累计考核费用!F121/10000</f>
        <v>1488.5098439999999</v>
      </c>
      <c r="F46" s="48">
        <f>累计考核费用!G121/10000</f>
        <v>-61.340773999999975</v>
      </c>
      <c r="G46" s="48">
        <f>累计考核费用!H121/10000</f>
        <v>14.296933000000001</v>
      </c>
      <c r="H46" s="48">
        <f>累计考核费用!I121/10000</f>
        <v>-83.142282000000009</v>
      </c>
      <c r="I46" s="48">
        <f>累计考核费用!J121/10000</f>
        <v>12.972107999999999</v>
      </c>
      <c r="J46" s="48">
        <f>累计考核费用!K121/10000</f>
        <v>-5.4675329999999986</v>
      </c>
      <c r="K46" s="48">
        <f>累计考核费用!L121/10000</f>
        <v>306.659381</v>
      </c>
      <c r="L46" s="48">
        <f>累计考核费用!M121/10000</f>
        <v>79.376558000000003</v>
      </c>
      <c r="M46" s="48">
        <f>累计考核费用!N121/10000</f>
        <v>48.575671000000007</v>
      </c>
      <c r="N46" s="48">
        <f>累计考核费用!O121/10000</f>
        <v>7.9843209999999996</v>
      </c>
      <c r="O46" s="48">
        <f>累计考核费用!P121/10000</f>
        <v>143.73535799999999</v>
      </c>
      <c r="P46" s="48">
        <f>累计考核费用!Q121/10000</f>
        <v>22.062362</v>
      </c>
      <c r="Q46" s="48">
        <f>累计考核费用!R121/10000</f>
        <v>4.913809999999998</v>
      </c>
      <c r="R46" s="48">
        <f>累计考核费用!S121/10000</f>
        <v>1.1301000000000002E-2</v>
      </c>
      <c r="S46" s="48">
        <f>累计考核费用!T121/10000</f>
        <v>470.56979999999993</v>
      </c>
      <c r="T46" s="48">
        <f>累计考核费用!U121/10000</f>
        <v>27.171314999999996</v>
      </c>
      <c r="U46" s="48">
        <f>累计考核费用!V121/10000</f>
        <v>392.20317799999992</v>
      </c>
      <c r="V46" s="48">
        <f>累计考核费用!W121/10000</f>
        <v>45.492542999999998</v>
      </c>
      <c r="W46" s="48">
        <f>累计考核费用!X121/10000</f>
        <v>5.7027640000000002</v>
      </c>
      <c r="X46" s="48">
        <f>累计考核费用!Y121/10000</f>
        <v>0</v>
      </c>
      <c r="Y46" s="48">
        <f>累计考核费用!Z121/10000</f>
        <v>0</v>
      </c>
      <c r="Z46" s="48">
        <f>累计考核费用!AA121/10000</f>
        <v>0</v>
      </c>
      <c r="AA46" s="48">
        <f>累计考核费用!AB121/10000</f>
        <v>-5.6070000000000071E-2</v>
      </c>
      <c r="AB46" s="48">
        <f>累计考核费用!AC121/10000</f>
        <v>0</v>
      </c>
      <c r="AC46" s="48">
        <f>累计考核费用!AD121/10000</f>
        <v>0</v>
      </c>
      <c r="AD46" s="48">
        <f>累计考核费用!AE121/10000</f>
        <v>0</v>
      </c>
      <c r="AE46" s="48"/>
    </row>
    <row r="47" spans="1:31" s="2" customFormat="1">
      <c r="A47" s="47" t="s">
        <v>104</v>
      </c>
      <c r="B47" s="48">
        <f>累计考核费用!C122/10000</f>
        <v>68.972363999999985</v>
      </c>
      <c r="C47" s="48">
        <f>累计考核费用!D122/10000</f>
        <v>0</v>
      </c>
      <c r="D47" s="48">
        <f>累计考核费用!E122/10000</f>
        <v>32.67</v>
      </c>
      <c r="E47" s="48">
        <f>累计考核费用!F122/10000</f>
        <v>34.933646999999986</v>
      </c>
      <c r="F47" s="48">
        <f>累计考核费用!G122/10000</f>
        <v>0</v>
      </c>
      <c r="G47" s="48">
        <f>累计考核费用!H122/10000</f>
        <v>0</v>
      </c>
      <c r="H47" s="48">
        <f>累计考核费用!I122/10000</f>
        <v>0</v>
      </c>
      <c r="I47" s="48">
        <f>累计考核费用!J122/10000</f>
        <v>0</v>
      </c>
      <c r="J47" s="48">
        <f>累计考核费用!K122/10000</f>
        <v>0</v>
      </c>
      <c r="K47" s="48">
        <f>累计考核费用!L122/10000</f>
        <v>1.368717</v>
      </c>
      <c r="L47" s="48">
        <f>累计考核费用!M122/10000</f>
        <v>0</v>
      </c>
      <c r="M47" s="48">
        <f>累计考核费用!N122/10000</f>
        <v>0</v>
      </c>
      <c r="N47" s="48">
        <f>累计考核费用!O122/10000</f>
        <v>0</v>
      </c>
      <c r="O47" s="48">
        <f>累计考核费用!P122/10000</f>
        <v>0</v>
      </c>
      <c r="P47" s="48">
        <f>累计考核费用!Q122/10000</f>
        <v>0</v>
      </c>
      <c r="Q47" s="48">
        <f>累计考核费用!R122/10000</f>
        <v>0</v>
      </c>
      <c r="R47" s="48">
        <f>累计考核费用!S122/10000</f>
        <v>1.368717</v>
      </c>
      <c r="S47" s="48">
        <f>累计考核费用!T122/10000</f>
        <v>0</v>
      </c>
      <c r="T47" s="48">
        <f>累计考核费用!U122/10000</f>
        <v>0</v>
      </c>
      <c r="U47" s="48">
        <f>累计考核费用!V122/10000</f>
        <v>0</v>
      </c>
      <c r="V47" s="48">
        <f>累计考核费用!W122/10000</f>
        <v>0</v>
      </c>
      <c r="W47" s="48">
        <f>累计考核费用!X122/10000</f>
        <v>0</v>
      </c>
      <c r="X47" s="48">
        <f>累计考核费用!Y122/10000</f>
        <v>0</v>
      </c>
      <c r="Y47" s="48">
        <f>累计考核费用!Z122/10000</f>
        <v>0</v>
      </c>
      <c r="Z47" s="48">
        <f>累计考核费用!AA122/10000</f>
        <v>0</v>
      </c>
      <c r="AA47" s="48">
        <f>累计考核费用!AB122/10000</f>
        <v>0</v>
      </c>
      <c r="AB47" s="48">
        <f>累计考核费用!AC122/10000</f>
        <v>0</v>
      </c>
      <c r="AC47" s="48">
        <f>累计考核费用!AD122/10000</f>
        <v>0</v>
      </c>
      <c r="AD47" s="48">
        <f>累计考核费用!AE122/10000</f>
        <v>0</v>
      </c>
      <c r="AE47" s="48"/>
    </row>
    <row r="48" spans="1:31" s="2" customFormat="1">
      <c r="A48" s="47" t="s">
        <v>105</v>
      </c>
      <c r="B48" s="48">
        <f>累计考核费用!C123/10000</f>
        <v>11.160377</v>
      </c>
      <c r="C48" s="48">
        <f>累计考核费用!D123/10000</f>
        <v>0</v>
      </c>
      <c r="D48" s="48">
        <f>累计考核费用!E123/10000</f>
        <v>0</v>
      </c>
      <c r="E48" s="48">
        <f>累计考核费用!F123/10000</f>
        <v>0</v>
      </c>
      <c r="F48" s="48">
        <f>累计考核费用!G123/10000</f>
        <v>0</v>
      </c>
      <c r="G48" s="48">
        <f>累计考核费用!H123/10000</f>
        <v>0</v>
      </c>
      <c r="H48" s="48">
        <f>累计考核费用!I123/10000</f>
        <v>0</v>
      </c>
      <c r="I48" s="48">
        <f>累计考核费用!J123/10000</f>
        <v>0</v>
      </c>
      <c r="J48" s="48">
        <f>累计考核费用!K123/10000</f>
        <v>0</v>
      </c>
      <c r="K48" s="48">
        <f>累计考核费用!L123/10000</f>
        <v>11.160377</v>
      </c>
      <c r="L48" s="48">
        <f>累计考核费用!M123/10000</f>
        <v>4.8333339999999998</v>
      </c>
      <c r="M48" s="48">
        <f>累计考核费用!N123/10000</f>
        <v>4.4937100000000001</v>
      </c>
      <c r="N48" s="48">
        <f>累计考核费用!O123/10000</f>
        <v>1.8333330000000001</v>
      </c>
      <c r="O48" s="48">
        <f>累计考核费用!P123/10000</f>
        <v>0</v>
      </c>
      <c r="P48" s="48">
        <f>累计考核费用!Q123/10000</f>
        <v>0</v>
      </c>
      <c r="Q48" s="48">
        <f>累计考核费用!R123/10000</f>
        <v>0</v>
      </c>
      <c r="R48" s="48">
        <f>累计考核费用!S123/10000</f>
        <v>0</v>
      </c>
      <c r="S48" s="48">
        <f>累计考核费用!T123/10000</f>
        <v>0</v>
      </c>
      <c r="T48" s="48">
        <f>累计考核费用!U123/10000</f>
        <v>0</v>
      </c>
      <c r="U48" s="48">
        <f>累计考核费用!V123/10000</f>
        <v>0</v>
      </c>
      <c r="V48" s="48">
        <f>累计考核费用!W123/10000</f>
        <v>0</v>
      </c>
      <c r="W48" s="48">
        <f>累计考核费用!X123/10000</f>
        <v>0</v>
      </c>
      <c r="X48" s="48">
        <f>累计考核费用!Y123/10000</f>
        <v>0</v>
      </c>
      <c r="Y48" s="48">
        <f>累计考核费用!Z123/10000</f>
        <v>0</v>
      </c>
      <c r="Z48" s="48">
        <f>累计考核费用!AA123/10000</f>
        <v>0</v>
      </c>
      <c r="AA48" s="48">
        <f>累计考核费用!AB123/10000</f>
        <v>0</v>
      </c>
      <c r="AB48" s="48">
        <f>累计考核费用!AC123/10000</f>
        <v>0</v>
      </c>
      <c r="AC48" s="48">
        <f>累计考核费用!AD123/10000</f>
        <v>0</v>
      </c>
      <c r="AD48" s="48">
        <f>累计考核费用!AE123/10000</f>
        <v>0</v>
      </c>
      <c r="AE48" s="48"/>
    </row>
    <row r="49" spans="1:31" s="2" customFormat="1">
      <c r="A49" s="45" t="s">
        <v>99</v>
      </c>
      <c r="B49" s="48">
        <f>累计考核费用!C124/10000</f>
        <v>18692.606645</v>
      </c>
      <c r="C49" s="48">
        <f>累计考核费用!D124/10000</f>
        <v>662.58312299999989</v>
      </c>
      <c r="D49" s="48">
        <f>累计考核费用!E124/10000</f>
        <v>1405.7306239999998</v>
      </c>
      <c r="E49" s="48">
        <f>累计考核费用!F124/10000</f>
        <v>9659.5060449999964</v>
      </c>
      <c r="F49" s="48">
        <f>累计考核费用!G124/10000</f>
        <v>182.82564200000004</v>
      </c>
      <c r="G49" s="48">
        <f>累计考核费用!H124/10000</f>
        <v>6.8742999999999305E-2</v>
      </c>
      <c r="H49" s="48">
        <f>累计考核费用!I124/10000</f>
        <v>-83.142282000000009</v>
      </c>
      <c r="I49" s="48">
        <f>累计考核费用!J124/10000</f>
        <v>168.965564</v>
      </c>
      <c r="J49" s="48">
        <f>累计考核费用!K124/10000</f>
        <v>96.933616999999998</v>
      </c>
      <c r="K49" s="48">
        <f>累计考核费用!L124/10000</f>
        <v>319.52847500000001</v>
      </c>
      <c r="L49" s="48">
        <f>累计考核费用!M124/10000</f>
        <v>84.209892000000011</v>
      </c>
      <c r="M49" s="48">
        <f>累计考核费用!N124/10000</f>
        <v>53.069381000000007</v>
      </c>
      <c r="N49" s="48">
        <f>累计考核费用!O124/10000</f>
        <v>9.8176539999999992</v>
      </c>
      <c r="O49" s="48">
        <f>累计考核费用!P124/10000</f>
        <v>143.73535799999999</v>
      </c>
      <c r="P49" s="48">
        <f>累计考核费用!Q124/10000</f>
        <v>22.062362</v>
      </c>
      <c r="Q49" s="48">
        <f>累计考核费用!R124/10000</f>
        <v>5.2538099999999979</v>
      </c>
      <c r="R49" s="48">
        <f>累计考核费用!S124/10000</f>
        <v>1.380018</v>
      </c>
      <c r="S49" s="48">
        <f>累计考核费用!T124/10000</f>
        <v>6461.1651189999993</v>
      </c>
      <c r="T49" s="48">
        <f>累计考核费用!U124/10000</f>
        <v>181.31331499999999</v>
      </c>
      <c r="U49" s="48">
        <f>累计考核费用!V124/10000</f>
        <v>5564.8321310000001</v>
      </c>
      <c r="V49" s="48">
        <f>累计考核费用!W124/10000</f>
        <v>689.46736699999997</v>
      </c>
      <c r="W49" s="48">
        <f>累计考核费用!X124/10000</f>
        <v>25.552306000000002</v>
      </c>
      <c r="X49" s="48">
        <f>累计考核费用!Y124/10000</f>
        <v>0</v>
      </c>
      <c r="Y49" s="48">
        <f>累计考核费用!Z124/10000</f>
        <v>0</v>
      </c>
      <c r="Z49" s="48">
        <f>累计考核费用!AA124/10000</f>
        <v>0</v>
      </c>
      <c r="AA49" s="48">
        <f>累计考核费用!AB124/10000</f>
        <v>-5.6070000000000071E-2</v>
      </c>
      <c r="AB49" s="48">
        <f>累计考核费用!AC124/10000</f>
        <v>1.3236870000000001</v>
      </c>
      <c r="AC49" s="48">
        <f>累计考核费用!AD124/10000</f>
        <v>0</v>
      </c>
      <c r="AD49" s="48">
        <f>累计考核费用!AE124/10000</f>
        <v>0</v>
      </c>
      <c r="AE49" s="48"/>
    </row>
    <row r="50" spans="1:31" s="2" customFormat="1">
      <c r="A50" s="47" t="s">
        <v>107</v>
      </c>
      <c r="B50" s="48">
        <f>累计考核费用!C125/10000</f>
        <v>2502.1584520000001</v>
      </c>
      <c r="C50" s="48">
        <f>累计考核费用!D125/10000</f>
        <v>0.51819999999999999</v>
      </c>
      <c r="D50" s="48">
        <f>累计考核费用!E125/10000</f>
        <v>213.96238300000005</v>
      </c>
      <c r="E50" s="48">
        <f>累计考核费用!F125/10000</f>
        <v>1171.529511</v>
      </c>
      <c r="F50" s="48">
        <f>累计考核费用!G125/10000</f>
        <v>110.68441100000001</v>
      </c>
      <c r="G50" s="48">
        <f>累计考核费用!H125/10000</f>
        <v>33.553065999999994</v>
      </c>
      <c r="H50" s="48">
        <f>累计考核费用!I125/10000</f>
        <v>39.104327999999995</v>
      </c>
      <c r="I50" s="48">
        <f>累计考核费用!J125/10000</f>
        <v>9.3798159999999999</v>
      </c>
      <c r="J50" s="48">
        <f>累计考核费用!K125/10000</f>
        <v>28.647201000000003</v>
      </c>
      <c r="K50" s="48">
        <f>累计考核费用!L125/10000</f>
        <v>126.93081400000001</v>
      </c>
      <c r="L50" s="48">
        <f>累计考核费用!M125/10000</f>
        <v>13.26849</v>
      </c>
      <c r="M50" s="48">
        <f>累计考核费用!N125/10000</f>
        <v>16.568839999999998</v>
      </c>
      <c r="N50" s="48">
        <f>累计考核费用!O125/10000</f>
        <v>15.201739999999999</v>
      </c>
      <c r="O50" s="48">
        <f>累计考核费用!P125/10000</f>
        <v>22.968384</v>
      </c>
      <c r="P50" s="48">
        <f>累计考核费用!Q125/10000</f>
        <v>18.329165</v>
      </c>
      <c r="Q50" s="48">
        <f>累计考核费用!R125/10000</f>
        <v>20.018484000000001</v>
      </c>
      <c r="R50" s="48">
        <f>累计考核费用!S125/10000</f>
        <v>20.575710999999998</v>
      </c>
      <c r="S50" s="48">
        <f>累计考核费用!T125/10000</f>
        <v>826.18659999999988</v>
      </c>
      <c r="T50" s="48">
        <f>累计考核费用!U125/10000</f>
        <v>72.545742999999987</v>
      </c>
      <c r="U50" s="48">
        <f>累计考核费用!V125/10000</f>
        <v>546.13146699999993</v>
      </c>
      <c r="V50" s="48">
        <f>累计考核费用!W125/10000</f>
        <v>143.88114400000001</v>
      </c>
      <c r="W50" s="48">
        <f>累计考核费用!X125/10000</f>
        <v>25.216338</v>
      </c>
      <c r="X50" s="48">
        <f>累计考核费用!Y125/10000</f>
        <v>31.015301000000001</v>
      </c>
      <c r="Y50" s="48">
        <f>累计考核费用!Z125/10000</f>
        <v>2.7707000000000002</v>
      </c>
      <c r="Z50" s="48">
        <f>累计考核费用!AA125/10000</f>
        <v>4.6259069999999998</v>
      </c>
      <c r="AA50" s="48">
        <f>累计考核费用!AB125/10000</f>
        <v>34.306052999999999</v>
      </c>
      <c r="AB50" s="48">
        <f>累计考核费用!AC125/10000</f>
        <v>18.040480000000002</v>
      </c>
      <c r="AC50" s="48">
        <f>累计考核费用!AD125/10000</f>
        <v>0</v>
      </c>
      <c r="AD50" s="48">
        <f>累计考核费用!AE125/10000</f>
        <v>0</v>
      </c>
      <c r="AE50" s="48"/>
    </row>
    <row r="51" spans="1:31" s="2" customFormat="1">
      <c r="A51" s="47" t="s">
        <v>108</v>
      </c>
      <c r="B51" s="48">
        <f>累计考核费用!C126/10000</f>
        <v>1535.7755929999998</v>
      </c>
      <c r="C51" s="48">
        <f>累计考核费用!D126/10000</f>
        <v>4.2673500000000004</v>
      </c>
      <c r="D51" s="48">
        <f>累计考核费用!E126/10000</f>
        <v>199.44786800000003</v>
      </c>
      <c r="E51" s="48">
        <f>累计考核费用!F126/10000</f>
        <v>288.60351700000001</v>
      </c>
      <c r="F51" s="48">
        <f>累计考核费用!G126/10000</f>
        <v>63.877212000000014</v>
      </c>
      <c r="G51" s="48">
        <f>累计考核费用!H126/10000</f>
        <v>15.083753999999997</v>
      </c>
      <c r="H51" s="48">
        <f>累计考核费用!I126/10000</f>
        <v>21.149998</v>
      </c>
      <c r="I51" s="48">
        <f>累计考核费用!J126/10000</f>
        <v>6.7627369999999996</v>
      </c>
      <c r="J51" s="48">
        <f>累计考核费用!K126/10000</f>
        <v>20.880723</v>
      </c>
      <c r="K51" s="48">
        <f>累计考核费用!L126/10000</f>
        <v>106.17373399999998</v>
      </c>
      <c r="L51" s="48">
        <f>累计考核费用!M126/10000</f>
        <v>10.369998999999998</v>
      </c>
      <c r="M51" s="48">
        <f>累计考核费用!N126/10000</f>
        <v>11.063252</v>
      </c>
      <c r="N51" s="48">
        <f>累计考核费用!O126/10000</f>
        <v>12.734161000000002</v>
      </c>
      <c r="O51" s="48">
        <f>累计考核费用!P126/10000</f>
        <v>13.843663999999999</v>
      </c>
      <c r="P51" s="48">
        <f>累计考核费用!Q126/10000</f>
        <v>22.148081000000001</v>
      </c>
      <c r="Q51" s="48">
        <f>累计考核费用!R126/10000</f>
        <v>17.309583</v>
      </c>
      <c r="R51" s="48">
        <f>累计考核费用!S126/10000</f>
        <v>18.704994000000003</v>
      </c>
      <c r="S51" s="48">
        <f>累计考核费用!T126/10000</f>
        <v>820.67676299999994</v>
      </c>
      <c r="T51" s="48">
        <f>累计考核费用!U126/10000</f>
        <v>81.32525600000001</v>
      </c>
      <c r="U51" s="48">
        <f>累计考核费用!V126/10000</f>
        <v>495.04656899999992</v>
      </c>
      <c r="V51" s="48">
        <f>累计考核费用!W126/10000</f>
        <v>131.78680299999999</v>
      </c>
      <c r="W51" s="48">
        <f>累计考核费用!X126/10000</f>
        <v>28.249637</v>
      </c>
      <c r="X51" s="48">
        <f>累计考核费用!Y126/10000</f>
        <v>66.879539000000008</v>
      </c>
      <c r="Y51" s="48">
        <f>累计考核费用!Z126/10000</f>
        <v>7.8500770000000006</v>
      </c>
      <c r="Z51" s="48">
        <f>累计考核费用!AA126/10000</f>
        <v>9.538882000000001</v>
      </c>
      <c r="AA51" s="48">
        <f>累计考核费用!AB126/10000</f>
        <v>47.267173</v>
      </c>
      <c r="AB51" s="48">
        <f>累计考核费用!AC126/10000</f>
        <v>5.4619759999999991</v>
      </c>
      <c r="AC51" s="48">
        <f>累计考核费用!AD126/10000</f>
        <v>0</v>
      </c>
      <c r="AD51" s="48">
        <f>累计考核费用!AE126/10000</f>
        <v>0</v>
      </c>
      <c r="AE51" s="48"/>
    </row>
    <row r="52" spans="1:31" s="2" customFormat="1">
      <c r="A52" s="47" t="s">
        <v>109</v>
      </c>
      <c r="B52" s="48">
        <f>累计考核费用!C127/10000</f>
        <v>505.12210999999996</v>
      </c>
      <c r="C52" s="48">
        <f>累计考核费用!D127/10000</f>
        <v>0</v>
      </c>
      <c r="D52" s="48">
        <f>累计考核费用!E127/10000</f>
        <v>147.217466</v>
      </c>
      <c r="E52" s="48">
        <f>累计考核费用!F127/10000</f>
        <v>204.43430299999997</v>
      </c>
      <c r="F52" s="48">
        <f>累计考核费用!G127/10000</f>
        <v>21.326921000000002</v>
      </c>
      <c r="G52" s="48">
        <f>累计考核费用!H127/10000</f>
        <v>10.321998000000001</v>
      </c>
      <c r="H52" s="48">
        <f>累计考核费用!I127/10000</f>
        <v>9.3726610000000008</v>
      </c>
      <c r="I52" s="48">
        <f>累计考核费用!J127/10000</f>
        <v>0.67794200000000004</v>
      </c>
      <c r="J52" s="48">
        <f>累计考核费用!K127/10000</f>
        <v>0.95432000000000006</v>
      </c>
      <c r="K52" s="48">
        <f>累计考核费用!L127/10000</f>
        <v>8.1254609999999996</v>
      </c>
      <c r="L52" s="48">
        <f>累计考核费用!M127/10000</f>
        <v>0.73799800000000004</v>
      </c>
      <c r="M52" s="48">
        <f>累计考核费用!N127/10000</f>
        <v>1.328657</v>
      </c>
      <c r="N52" s="48">
        <f>累计考核费用!O127/10000</f>
        <v>0.72329699999999997</v>
      </c>
      <c r="O52" s="48">
        <f>累计考核费用!P127/10000</f>
        <v>1.5755250000000003</v>
      </c>
      <c r="P52" s="48">
        <f>累计考核费用!Q127/10000</f>
        <v>0.93656499999999998</v>
      </c>
      <c r="Q52" s="48">
        <f>累计考核费用!R127/10000</f>
        <v>2.5523659999999997</v>
      </c>
      <c r="R52" s="48">
        <f>累计考核费用!S127/10000</f>
        <v>0.27105299999999993</v>
      </c>
      <c r="S52" s="48">
        <f>累计考核费用!T127/10000</f>
        <v>111.97450500000001</v>
      </c>
      <c r="T52" s="48">
        <f>累计考核费用!U127/10000</f>
        <v>13.317583000000001</v>
      </c>
      <c r="U52" s="48">
        <f>累计考核费用!V127/10000</f>
        <v>69.821601000000001</v>
      </c>
      <c r="V52" s="48">
        <f>累计考核费用!W127/10000</f>
        <v>23.970369000000002</v>
      </c>
      <c r="W52" s="48">
        <f>累计考核费用!X127/10000</f>
        <v>3.2940849999999999</v>
      </c>
      <c r="X52" s="48">
        <f>累计考核费用!Y127/10000</f>
        <v>1.509827</v>
      </c>
      <c r="Y52" s="48">
        <f>累计考核费用!Z127/10000</f>
        <v>6.1039999999999997E-2</v>
      </c>
      <c r="Z52" s="48">
        <f>累计考核费用!AA127/10000</f>
        <v>0</v>
      </c>
      <c r="AA52" s="48">
        <f>累计考核费用!AB127/10000</f>
        <v>9.450272</v>
      </c>
      <c r="AB52" s="48">
        <f>累计考核费用!AC127/10000</f>
        <v>2.5931820000000001</v>
      </c>
      <c r="AC52" s="48">
        <f>累计考核费用!AD127/10000</f>
        <v>0</v>
      </c>
      <c r="AD52" s="48">
        <f>累计考核费用!AE127/10000</f>
        <v>0</v>
      </c>
      <c r="AE52" s="48"/>
    </row>
    <row r="53" spans="1:31" s="2" customFormat="1">
      <c r="A53" s="47" t="s">
        <v>110</v>
      </c>
      <c r="B53" s="48">
        <f>累计考核费用!C128/10000</f>
        <v>225.81393099999997</v>
      </c>
      <c r="C53" s="48">
        <f>累计考核费用!D128/10000</f>
        <v>0</v>
      </c>
      <c r="D53" s="48">
        <f>累计考核费用!E128/10000</f>
        <v>43.036669000000003</v>
      </c>
      <c r="E53" s="48">
        <f>累计考核费用!F128/10000</f>
        <v>115.48624099999996</v>
      </c>
      <c r="F53" s="48">
        <f>累计考核费用!G128/10000</f>
        <v>8.3282749999999979</v>
      </c>
      <c r="G53" s="48">
        <f>累计考核费用!H128/10000</f>
        <v>5.932157000000001</v>
      </c>
      <c r="H53" s="48">
        <f>累计考核费用!I128/10000</f>
        <v>1.3033370000000002</v>
      </c>
      <c r="I53" s="48">
        <f>累计考核费用!J128/10000</f>
        <v>0.61270100000000005</v>
      </c>
      <c r="J53" s="48">
        <f>累计考核费用!K128/10000</f>
        <v>0.48007999999999995</v>
      </c>
      <c r="K53" s="48">
        <f>累计考核费用!L128/10000</f>
        <v>2.4332170000000004</v>
      </c>
      <c r="L53" s="48">
        <f>累计考核费用!M128/10000</f>
        <v>0.24663100000000004</v>
      </c>
      <c r="M53" s="48">
        <f>累计考核费用!N128/10000</f>
        <v>0.42653199999999997</v>
      </c>
      <c r="N53" s="48">
        <f>累计考核费用!O128/10000</f>
        <v>0.24663199999999996</v>
      </c>
      <c r="O53" s="48">
        <f>累计考核费用!P128/10000</f>
        <v>7.1745000000000003E-2</v>
      </c>
      <c r="P53" s="48">
        <f>累计考核费用!Q128/10000</f>
        <v>7.1975999999999998E-2</v>
      </c>
      <c r="Q53" s="48">
        <f>累计考核费用!R128/10000</f>
        <v>0.60196500000000008</v>
      </c>
      <c r="R53" s="48">
        <f>累计考核费用!S128/10000</f>
        <v>0.76773599999999997</v>
      </c>
      <c r="S53" s="48">
        <f>累计考核费用!T128/10000</f>
        <v>51.108325000000008</v>
      </c>
      <c r="T53" s="48">
        <f>累计考核费用!U128/10000</f>
        <v>4.4787119999999998</v>
      </c>
      <c r="U53" s="48">
        <f>累计考核费用!V128/10000</f>
        <v>31.455201000000006</v>
      </c>
      <c r="V53" s="48">
        <f>累计考核费用!W128/10000</f>
        <v>13.996817000000002</v>
      </c>
      <c r="W53" s="48">
        <f>累计考核费用!X128/10000</f>
        <v>1.0407950000000001</v>
      </c>
      <c r="X53" s="48">
        <f>累计考核费用!Y128/10000</f>
        <v>0.1368</v>
      </c>
      <c r="Y53" s="48">
        <f>累计考核费用!Z128/10000</f>
        <v>0</v>
      </c>
      <c r="Z53" s="48">
        <f>累计考核费用!AA128/10000</f>
        <v>0</v>
      </c>
      <c r="AA53" s="48">
        <f>累计考核费用!AB128/10000</f>
        <v>3.9456479999999994</v>
      </c>
      <c r="AB53" s="48">
        <f>累计考核费用!AC128/10000</f>
        <v>1.4755559999999999</v>
      </c>
      <c r="AC53" s="48">
        <f>累计考核费用!AD128/10000</f>
        <v>0</v>
      </c>
      <c r="AD53" s="48">
        <f>累计考核费用!AE128/10000</f>
        <v>0</v>
      </c>
      <c r="AE53" s="48"/>
    </row>
    <row r="54" spans="1:31" s="2" customFormat="1">
      <c r="A54" s="47" t="s">
        <v>111</v>
      </c>
      <c r="B54" s="48">
        <f>累计考核费用!C129/10000</f>
        <v>441.29876300000006</v>
      </c>
      <c r="C54" s="48">
        <f>累计考核费用!D129/10000</f>
        <v>0</v>
      </c>
      <c r="D54" s="48">
        <f>累计考核费用!E129/10000</f>
        <v>217.58154000000005</v>
      </c>
      <c r="E54" s="48">
        <f>累计考核费用!F129/10000</f>
        <v>223.441146</v>
      </c>
      <c r="F54" s="48">
        <f>累计考核费用!G129/10000</f>
        <v>1.1320999999999999E-2</v>
      </c>
      <c r="G54" s="48">
        <f>累计考核费用!H129/10000</f>
        <v>1.1320999999999999E-2</v>
      </c>
      <c r="H54" s="48">
        <f>累计考核费用!I129/10000</f>
        <v>0</v>
      </c>
      <c r="I54" s="48">
        <f>累计考核费用!J129/10000</f>
        <v>0</v>
      </c>
      <c r="J54" s="48">
        <f>累计考核费用!K129/10000</f>
        <v>0</v>
      </c>
      <c r="K54" s="48">
        <f>累计考核费用!L129/10000</f>
        <v>0.11396300000000001</v>
      </c>
      <c r="L54" s="48">
        <f>累计考核费用!M129/10000</f>
        <v>0</v>
      </c>
      <c r="M54" s="48">
        <f>累计考核费用!N129/10000</f>
        <v>0</v>
      </c>
      <c r="N54" s="48">
        <f>累计考核费用!O129/10000</f>
        <v>0</v>
      </c>
      <c r="O54" s="48">
        <f>累计考核费用!P129/10000</f>
        <v>7.5500000000000003E-4</v>
      </c>
      <c r="P54" s="48">
        <f>累计考核费用!Q129/10000</f>
        <v>0</v>
      </c>
      <c r="Q54" s="48">
        <f>累计考核费用!R129/10000</f>
        <v>0</v>
      </c>
      <c r="R54" s="48">
        <f>累计考核费用!S129/10000</f>
        <v>0.11320799999999999</v>
      </c>
      <c r="S54" s="48">
        <f>累计考核费用!T129/10000</f>
        <v>0.101132</v>
      </c>
      <c r="T54" s="48">
        <f>累计考核费用!U129/10000</f>
        <v>2.717E-2</v>
      </c>
      <c r="U54" s="48">
        <f>累计考核费用!V129/10000</f>
        <v>3.8491000000000004E-2</v>
      </c>
      <c r="V54" s="48">
        <f>累计考核费用!W129/10000</f>
        <v>2.8679000000000003E-2</v>
      </c>
      <c r="W54" s="48">
        <f>累计考核费用!X129/10000</f>
        <v>6.7920000000000003E-3</v>
      </c>
      <c r="X54" s="48">
        <f>累计考核费用!Y129/10000</f>
        <v>0</v>
      </c>
      <c r="Y54" s="48">
        <f>累计考核费用!Z129/10000</f>
        <v>0</v>
      </c>
      <c r="Z54" s="48">
        <f>累计考核费用!AA129/10000</f>
        <v>0</v>
      </c>
      <c r="AA54" s="48">
        <f>累计考核费用!AB129/10000</f>
        <v>1.1320999999999999E-2</v>
      </c>
      <c r="AB54" s="48">
        <f>累计考核费用!AC129/10000</f>
        <v>3.8339999999999999E-2</v>
      </c>
      <c r="AC54" s="48">
        <f>累计考核费用!AD129/10000</f>
        <v>0</v>
      </c>
      <c r="AD54" s="48">
        <f>累计考核费用!AE129/10000</f>
        <v>0</v>
      </c>
      <c r="AE54" s="48"/>
    </row>
    <row r="55" spans="1:31" s="2" customFormat="1">
      <c r="A55" s="47" t="s">
        <v>112</v>
      </c>
      <c r="B55" s="48">
        <f>累计考核费用!C130/10000</f>
        <v>370.04235900000009</v>
      </c>
      <c r="C55" s="48">
        <f>累计考核费用!D130/10000</f>
        <v>81.553398000000001</v>
      </c>
      <c r="D55" s="48">
        <f>累计考核费用!E130/10000</f>
        <v>100.55505599999999</v>
      </c>
      <c r="E55" s="48">
        <f>累计考核费用!F130/10000</f>
        <v>116.86015400000001</v>
      </c>
      <c r="F55" s="48">
        <f>累计考核费用!G130/10000</f>
        <v>35.355307000000003</v>
      </c>
      <c r="G55" s="48">
        <f>累计考核费用!H130/10000</f>
        <v>0.72960000000000003</v>
      </c>
      <c r="H55" s="48">
        <f>累计考核费用!I130/10000</f>
        <v>17.408846</v>
      </c>
      <c r="I55" s="48">
        <f>累计考核费用!J130/10000</f>
        <v>0</v>
      </c>
      <c r="J55" s="48">
        <f>累计考核费用!K130/10000</f>
        <v>17.216861000000009</v>
      </c>
      <c r="K55" s="48">
        <f>累计考核费用!L130/10000</f>
        <v>13.857123999999999</v>
      </c>
      <c r="L55" s="48">
        <f>累计考核费用!M130/10000</f>
        <v>2.917573</v>
      </c>
      <c r="M55" s="48">
        <f>累计考核费用!N130/10000</f>
        <v>2.9175739999999997</v>
      </c>
      <c r="N55" s="48">
        <f>累计考核费用!O130/10000</f>
        <v>1.4583740000000001</v>
      </c>
      <c r="O55" s="48">
        <f>累计考核费用!P130/10000</f>
        <v>4.62392</v>
      </c>
      <c r="P55" s="48">
        <f>累计考核费用!Q130/10000</f>
        <v>1.1044229999999999</v>
      </c>
      <c r="Q55" s="48">
        <f>累计考核费用!R130/10000</f>
        <v>0.47046000000000004</v>
      </c>
      <c r="R55" s="48">
        <f>累计考核费用!S130/10000</f>
        <v>0.36480000000000001</v>
      </c>
      <c r="S55" s="48">
        <f>累计考核费用!T130/10000</f>
        <v>21.131720000000001</v>
      </c>
      <c r="T55" s="48">
        <f>累计考核费用!U130/10000</f>
        <v>19.672520000000002</v>
      </c>
      <c r="U55" s="48">
        <f>累计考核费用!V130/10000</f>
        <v>0.72960000000000003</v>
      </c>
      <c r="V55" s="48">
        <f>累计考核费用!W130/10000</f>
        <v>0.72960000000000003</v>
      </c>
      <c r="W55" s="48">
        <f>累计考核费用!X130/10000</f>
        <v>0</v>
      </c>
      <c r="X55" s="48">
        <f>累计考核费用!Y130/10000</f>
        <v>0</v>
      </c>
      <c r="Y55" s="48">
        <f>累计考核费用!Z130/10000</f>
        <v>0</v>
      </c>
      <c r="Z55" s="48">
        <f>累计考核费用!AA130/10000</f>
        <v>0</v>
      </c>
      <c r="AA55" s="48">
        <f>累计考核费用!AB130/10000</f>
        <v>0.72960000000000003</v>
      </c>
      <c r="AB55" s="48">
        <f>累计考核费用!AC130/10000</f>
        <v>0</v>
      </c>
      <c r="AC55" s="48">
        <f>累计考核费用!AD130/10000</f>
        <v>0</v>
      </c>
      <c r="AD55" s="48">
        <f>累计考核费用!AE130/10000</f>
        <v>0</v>
      </c>
      <c r="AE55" s="48"/>
    </row>
    <row r="56" spans="1:31" s="2" customFormat="1">
      <c r="A56" s="47" t="s">
        <v>113</v>
      </c>
      <c r="B56" s="48">
        <f>累计考核费用!C131/10000</f>
        <v>279.151544</v>
      </c>
      <c r="C56" s="48">
        <f>累计考核费用!D131/10000</f>
        <v>0</v>
      </c>
      <c r="D56" s="48">
        <f>累计考核费用!E131/10000</f>
        <v>132.54120699999999</v>
      </c>
      <c r="E56" s="48">
        <f>累计考核费用!F131/10000</f>
        <v>81.809421000000015</v>
      </c>
      <c r="F56" s="48">
        <f>累计考核费用!G131/10000</f>
        <v>6.6574179999999989</v>
      </c>
      <c r="G56" s="48">
        <f>累计考核费用!H131/10000</f>
        <v>0</v>
      </c>
      <c r="H56" s="48">
        <f>累计考核费用!I131/10000</f>
        <v>0</v>
      </c>
      <c r="I56" s="48">
        <f>累计考核费用!J131/10000</f>
        <v>6.6574179999999989</v>
      </c>
      <c r="J56" s="48">
        <f>累计考核费用!K131/10000</f>
        <v>0</v>
      </c>
      <c r="K56" s="48">
        <f>累计考核费用!L131/10000</f>
        <v>22.547393</v>
      </c>
      <c r="L56" s="48">
        <f>累计考核费用!M131/10000</f>
        <v>6.9995469999999997</v>
      </c>
      <c r="M56" s="48">
        <f>累计考核费用!N131/10000</f>
        <v>8.6304280000000002</v>
      </c>
      <c r="N56" s="48">
        <f>累计考核费用!O131/10000</f>
        <v>6.9174179999999996</v>
      </c>
      <c r="O56" s="48">
        <f>累计考核费用!P131/10000</f>
        <v>0</v>
      </c>
      <c r="P56" s="48">
        <f>累计考核费用!Q131/10000</f>
        <v>0</v>
      </c>
      <c r="Q56" s="48">
        <f>累计考核费用!R131/10000</f>
        <v>0</v>
      </c>
      <c r="R56" s="48">
        <f>累计考核费用!S131/10000</f>
        <v>0</v>
      </c>
      <c r="S56" s="48">
        <f>累计考核费用!T131/10000</f>
        <v>31.457414</v>
      </c>
      <c r="T56" s="48">
        <f>累计考核费用!U131/10000</f>
        <v>5.6942350000000008</v>
      </c>
      <c r="U56" s="48">
        <f>累计考核费用!V131/10000</f>
        <v>17.807935999999998</v>
      </c>
      <c r="V56" s="48">
        <f>累计考核费用!W131/10000</f>
        <v>6.5316840000000003</v>
      </c>
      <c r="W56" s="48">
        <f>累计考核费用!X131/10000</f>
        <v>1.423559</v>
      </c>
      <c r="X56" s="48">
        <f>累计考核费用!Y131/10000</f>
        <v>0</v>
      </c>
      <c r="Y56" s="48">
        <f>累计考核费用!Z131/10000</f>
        <v>0</v>
      </c>
      <c r="Z56" s="48">
        <f>累计考核费用!AA131/10000</f>
        <v>0</v>
      </c>
      <c r="AA56" s="48">
        <f>累计考核费用!AB131/10000</f>
        <v>3.4773510000000001</v>
      </c>
      <c r="AB56" s="48">
        <f>累计考核费用!AC131/10000</f>
        <v>0.66133999999999993</v>
      </c>
      <c r="AC56" s="48">
        <f>累计考核费用!AD131/10000</f>
        <v>0</v>
      </c>
      <c r="AD56" s="48">
        <f>累计考核费用!AE131/10000</f>
        <v>0</v>
      </c>
      <c r="AE56" s="48"/>
    </row>
    <row r="57" spans="1:31" s="2" customFormat="1">
      <c r="A57" s="47" t="s">
        <v>114</v>
      </c>
      <c r="B57" s="48">
        <f>累计考核费用!C132/10000</f>
        <v>94.602693000000002</v>
      </c>
      <c r="C57" s="48">
        <f>累计考核费用!D132/10000</f>
        <v>0</v>
      </c>
      <c r="D57" s="48">
        <f>累计考核费用!E132/10000</f>
        <v>12.943175</v>
      </c>
      <c r="E57" s="48">
        <f>累计考核费用!F132/10000</f>
        <v>43.430593999999992</v>
      </c>
      <c r="F57" s="48">
        <f>累计考核费用!G132/10000</f>
        <v>2.857443</v>
      </c>
      <c r="G57" s="48">
        <f>累计考核费用!H132/10000</f>
        <v>2.4108350000000001</v>
      </c>
      <c r="H57" s="48">
        <f>累计考核费用!I132/10000</f>
        <v>0.12640799999999999</v>
      </c>
      <c r="I57" s="48">
        <f>累计考核费用!J132/10000</f>
        <v>4.53E-2</v>
      </c>
      <c r="J57" s="48">
        <f>累计考核费用!K132/10000</f>
        <v>0.27489999999999998</v>
      </c>
      <c r="K57" s="48">
        <f>累计考核费用!L132/10000</f>
        <v>1.8614489999999997</v>
      </c>
      <c r="L57" s="48">
        <f>累计考核费用!M132/10000</f>
        <v>0.169434</v>
      </c>
      <c r="M57" s="48">
        <f>累计考核费用!N132/10000</f>
        <v>0.246033</v>
      </c>
      <c r="N57" s="48">
        <f>累计考核费用!O132/10000</f>
        <v>0.156333</v>
      </c>
      <c r="O57" s="48">
        <f>累计考核费用!P132/10000</f>
        <v>0.23050799999999999</v>
      </c>
      <c r="P57" s="48">
        <f>累计考核费用!Q132/10000</f>
        <v>0.1643</v>
      </c>
      <c r="Q57" s="48">
        <f>累计考核费用!R132/10000</f>
        <v>0.1386</v>
      </c>
      <c r="R57" s="48">
        <f>累计考核费用!S132/10000</f>
        <v>0.75624099999999994</v>
      </c>
      <c r="S57" s="48">
        <f>累计考核费用!T132/10000</f>
        <v>29.860711999999999</v>
      </c>
      <c r="T57" s="48">
        <f>累计考核费用!U132/10000</f>
        <v>1.4321660000000003</v>
      </c>
      <c r="U57" s="48">
        <f>累计考核费用!V132/10000</f>
        <v>21.265353000000001</v>
      </c>
      <c r="V57" s="48">
        <f>累计考核费用!W132/10000</f>
        <v>5.8894320000000002</v>
      </c>
      <c r="W57" s="48">
        <f>累计考核费用!X132/10000</f>
        <v>0.35391999999999996</v>
      </c>
      <c r="X57" s="48">
        <f>累计考核费用!Y132/10000</f>
        <v>0.68611599999999995</v>
      </c>
      <c r="Y57" s="48">
        <f>累计考核费用!Z132/10000</f>
        <v>0.23372499999999999</v>
      </c>
      <c r="Z57" s="48">
        <f>累计考核费用!AA132/10000</f>
        <v>0</v>
      </c>
      <c r="AA57" s="48">
        <f>累计考核费用!AB132/10000</f>
        <v>3.4757279999999997</v>
      </c>
      <c r="AB57" s="48">
        <f>累计考核费用!AC132/10000</f>
        <v>0.173592</v>
      </c>
      <c r="AC57" s="48">
        <f>累计考核费用!AD132/10000</f>
        <v>0</v>
      </c>
      <c r="AD57" s="48">
        <f>累计考核费用!AE132/10000</f>
        <v>0</v>
      </c>
      <c r="AE57" s="48"/>
    </row>
    <row r="58" spans="1:31" s="2" customFormat="1">
      <c r="A58" s="47" t="s">
        <v>115</v>
      </c>
      <c r="B58" s="48">
        <f>累计考核费用!C133/10000</f>
        <v>23.812927999999999</v>
      </c>
      <c r="C58" s="48">
        <f>累计考核费用!D133/10000</f>
        <v>0</v>
      </c>
      <c r="D58" s="48">
        <f>累计考核费用!E133/10000</f>
        <v>3.3214199999999998</v>
      </c>
      <c r="E58" s="48">
        <f>累计考核费用!F133/10000</f>
        <v>17.975229000000002</v>
      </c>
      <c r="F58" s="48">
        <f>累计考核费用!G133/10000</f>
        <v>0.47370400000000001</v>
      </c>
      <c r="G58" s="48">
        <f>累计考核费用!H133/10000</f>
        <v>0.17052500000000001</v>
      </c>
      <c r="H58" s="48">
        <f>累计考核费用!I133/10000</f>
        <v>0.116675</v>
      </c>
      <c r="I58" s="48">
        <f>累计考核费用!J133/10000</f>
        <v>7.9799999999999996E-2</v>
      </c>
      <c r="J58" s="48">
        <f>累计考核费用!K133/10000</f>
        <v>0.10670399999999999</v>
      </c>
      <c r="K58" s="48">
        <f>累计考核费用!L133/10000</f>
        <v>0.82215799999999994</v>
      </c>
      <c r="L58" s="48">
        <f>累计考核费用!M133/10000</f>
        <v>2.9065999999999998E-2</v>
      </c>
      <c r="M58" s="48">
        <f>累计考核费用!N133/10000</f>
        <v>2.9067000000000003E-2</v>
      </c>
      <c r="N58" s="48">
        <f>累计考核费用!O133/10000</f>
        <v>2.9067000000000003E-2</v>
      </c>
      <c r="O58" s="48">
        <f>累计考核费用!P133/10000</f>
        <v>0.19308</v>
      </c>
      <c r="P58" s="48">
        <f>累计考核费用!Q133/10000</f>
        <v>0.14057</v>
      </c>
      <c r="Q58" s="48">
        <f>累计考核费用!R133/10000</f>
        <v>1.324E-2</v>
      </c>
      <c r="R58" s="48">
        <f>累计考核费用!S133/10000</f>
        <v>0.38806799999999997</v>
      </c>
      <c r="S58" s="48">
        <f>累计考核费用!T133/10000</f>
        <v>0.73606700000000003</v>
      </c>
      <c r="T58" s="48">
        <f>累计考核费用!U133/10000</f>
        <v>8.6251999999999995E-2</v>
      </c>
      <c r="U58" s="48">
        <f>累计考核费用!V133/10000</f>
        <v>0.374</v>
      </c>
      <c r="V58" s="48">
        <f>累计考核费用!W133/10000</f>
        <v>0.169682</v>
      </c>
      <c r="W58" s="48">
        <f>累计考核费用!X133/10000</f>
        <v>5.3062999999999999E-2</v>
      </c>
      <c r="X58" s="48">
        <f>累计考核费用!Y133/10000</f>
        <v>5.3070000000000006E-2</v>
      </c>
      <c r="Y58" s="48">
        <f>累计考核费用!Z133/10000</f>
        <v>0</v>
      </c>
      <c r="Z58" s="48">
        <f>累计考核费用!AA133/10000</f>
        <v>0</v>
      </c>
      <c r="AA58" s="48">
        <f>累计考核费用!AB133/10000</f>
        <v>8.4000000000000005E-2</v>
      </c>
      <c r="AB58" s="48">
        <f>累计考核费用!AC133/10000</f>
        <v>0.40034999999999998</v>
      </c>
      <c r="AC58" s="48">
        <f>累计考核费用!AD133/10000</f>
        <v>0</v>
      </c>
      <c r="AD58" s="48">
        <f>累计考核费用!AE133/10000</f>
        <v>0</v>
      </c>
      <c r="AE58" s="48"/>
    </row>
    <row r="59" spans="1:31" s="2" customFormat="1">
      <c r="A59" s="47" t="s">
        <v>116</v>
      </c>
      <c r="B59" s="48">
        <f>累计考核费用!C134/10000</f>
        <v>84.040719999999979</v>
      </c>
      <c r="C59" s="48">
        <f>累计考核费用!D134/10000</f>
        <v>0</v>
      </c>
      <c r="D59" s="48">
        <f>累计考核费用!E134/10000</f>
        <v>19.301845</v>
      </c>
      <c r="E59" s="48">
        <f>累计考核费用!F134/10000</f>
        <v>33.957124999999998</v>
      </c>
      <c r="F59" s="48">
        <f>累计考核费用!G134/10000</f>
        <v>5.6156329999999999</v>
      </c>
      <c r="G59" s="48">
        <f>累计考核费用!H134/10000</f>
        <v>1.9779279999999999</v>
      </c>
      <c r="H59" s="48">
        <f>累计考核费用!I134/10000</f>
        <v>0.41861000000000004</v>
      </c>
      <c r="I59" s="48">
        <f>累计考核费用!J134/10000</f>
        <v>0.27669699999999997</v>
      </c>
      <c r="J59" s="48">
        <f>累计考核费用!K134/10000</f>
        <v>2.9423979999999998</v>
      </c>
      <c r="K59" s="48">
        <f>累计考核费用!L134/10000</f>
        <v>6.3662349999999988</v>
      </c>
      <c r="L59" s="48">
        <f>累计考核费用!M134/10000</f>
        <v>0.281943</v>
      </c>
      <c r="M59" s="48">
        <f>累计考核费用!N134/10000</f>
        <v>0.39739200000000002</v>
      </c>
      <c r="N59" s="48">
        <f>累计考核费用!O134/10000</f>
        <v>0.39475299999999997</v>
      </c>
      <c r="O59" s="48">
        <f>累计考核费用!P134/10000</f>
        <v>0.40126099999999998</v>
      </c>
      <c r="P59" s="48">
        <f>累计考核费用!Q134/10000</f>
        <v>0.720024</v>
      </c>
      <c r="Q59" s="48">
        <f>累计考核费用!R134/10000</f>
        <v>3.1714939999999996</v>
      </c>
      <c r="R59" s="48">
        <f>累计考核费用!S134/10000</f>
        <v>0.99936799999999981</v>
      </c>
      <c r="S59" s="48">
        <f>累计考核费用!T134/10000</f>
        <v>17.33052</v>
      </c>
      <c r="T59" s="48">
        <f>累计考核费用!U134/10000</f>
        <v>6.0055780000000007</v>
      </c>
      <c r="U59" s="48">
        <f>累计考核费用!V134/10000</f>
        <v>4.2864870000000002</v>
      </c>
      <c r="V59" s="48">
        <f>累计考核费用!W134/10000</f>
        <v>4.1633799999999992</v>
      </c>
      <c r="W59" s="48">
        <f>累计考核费用!X134/10000</f>
        <v>1.9548430000000001</v>
      </c>
      <c r="X59" s="48">
        <f>累计考核费用!Y134/10000</f>
        <v>0.39843200000000001</v>
      </c>
      <c r="Y59" s="48">
        <f>累计考核费用!Z134/10000</f>
        <v>0.52180000000000004</v>
      </c>
      <c r="Z59" s="48">
        <f>累计考核费用!AA134/10000</f>
        <v>0</v>
      </c>
      <c r="AA59" s="48">
        <f>累计考核费用!AB134/10000</f>
        <v>1.168064</v>
      </c>
      <c r="AB59" s="48">
        <f>累计考核费用!AC134/10000</f>
        <v>0.30129800000000001</v>
      </c>
      <c r="AC59" s="48">
        <f>累计考核费用!AD134/10000</f>
        <v>0</v>
      </c>
      <c r="AD59" s="48">
        <f>累计考核费用!AE134/10000</f>
        <v>0</v>
      </c>
      <c r="AE59" s="48"/>
    </row>
    <row r="60" spans="1:31" s="2" customFormat="1">
      <c r="A60" s="47" t="s">
        <v>117</v>
      </c>
      <c r="B60" s="48">
        <f>累计考核费用!C135/10000</f>
        <v>254.899112</v>
      </c>
      <c r="C60" s="48">
        <f>累计考核费用!D135/10000</f>
        <v>0</v>
      </c>
      <c r="D60" s="48">
        <f>累计考核费用!E135/10000</f>
        <v>86.690683000000007</v>
      </c>
      <c r="E60" s="48">
        <f>累计考核费用!F135/10000</f>
        <v>143.57542999999998</v>
      </c>
      <c r="F60" s="48">
        <f>累计考核费用!G135/10000</f>
        <v>6.1001629999999993</v>
      </c>
      <c r="G60" s="48">
        <f>累计考核费用!H135/10000</f>
        <v>2.2294</v>
      </c>
      <c r="H60" s="48">
        <f>累计考核费用!I135/10000</f>
        <v>3.3593000000000002</v>
      </c>
      <c r="I60" s="48">
        <f>累计考核费用!J135/10000</f>
        <v>0.511463</v>
      </c>
      <c r="J60" s="48">
        <f>累计考核费用!K135/10000</f>
        <v>0</v>
      </c>
      <c r="K60" s="48">
        <f>累计考核费用!L135/10000</f>
        <v>15.645168</v>
      </c>
      <c r="L60" s="48">
        <f>累计考核费用!M135/10000</f>
        <v>0.511463</v>
      </c>
      <c r="M60" s="48">
        <f>累计考核费用!N135/10000</f>
        <v>1.5703630000000002</v>
      </c>
      <c r="N60" s="48">
        <f>累计考核费用!O135/10000</f>
        <v>0.511463</v>
      </c>
      <c r="O60" s="48">
        <f>累计考核费用!P135/10000</f>
        <v>0</v>
      </c>
      <c r="P60" s="48">
        <f>累计考核费用!Q135/10000</f>
        <v>0</v>
      </c>
      <c r="Q60" s="48">
        <f>累计考核费用!R135/10000</f>
        <v>0</v>
      </c>
      <c r="R60" s="48">
        <f>累计考核费用!S135/10000</f>
        <v>13.051879000000001</v>
      </c>
      <c r="S60" s="48">
        <f>累计考核费用!T135/10000</f>
        <v>0.57110000000000005</v>
      </c>
      <c r="T60" s="48">
        <f>累计考核费用!U135/10000</f>
        <v>0</v>
      </c>
      <c r="U60" s="48">
        <f>累计考核费用!V135/10000</f>
        <v>0.1857</v>
      </c>
      <c r="V60" s="48">
        <f>累计考核费用!W135/10000</f>
        <v>0.38540000000000002</v>
      </c>
      <c r="W60" s="48">
        <f>累计考核费用!X135/10000</f>
        <v>0</v>
      </c>
      <c r="X60" s="48">
        <f>累计考核费用!Y135/10000</f>
        <v>0</v>
      </c>
      <c r="Y60" s="48">
        <f>累计考核费用!Z135/10000</f>
        <v>0</v>
      </c>
      <c r="Z60" s="48">
        <f>累计考核费用!AA135/10000</f>
        <v>0</v>
      </c>
      <c r="AA60" s="48">
        <f>累计考核费用!AB135/10000</f>
        <v>2.3165680000000002</v>
      </c>
      <c r="AB60" s="48">
        <f>累计考核费用!AC135/10000</f>
        <v>0</v>
      </c>
      <c r="AC60" s="48">
        <f>累计考核费用!AD135/10000</f>
        <v>0</v>
      </c>
      <c r="AD60" s="48">
        <f>累计考核费用!AE135/10000</f>
        <v>0</v>
      </c>
      <c r="AE60" s="48"/>
    </row>
    <row r="61" spans="1:31" s="2" customFormat="1">
      <c r="A61" s="47" t="s">
        <v>118</v>
      </c>
      <c r="B61" s="48">
        <f>累计考核费用!C136/10000</f>
        <v>513.39688599999999</v>
      </c>
      <c r="C61" s="48">
        <f>累计考核费用!D136/10000</f>
        <v>0</v>
      </c>
      <c r="D61" s="48">
        <f>累计考核费用!E136/10000</f>
        <v>0</v>
      </c>
      <c r="E61" s="48">
        <f>累计考核费用!F136/10000</f>
        <v>513.39688599999999</v>
      </c>
      <c r="F61" s="48">
        <f>累计考核费用!G136/10000</f>
        <v>0</v>
      </c>
      <c r="G61" s="48">
        <f>累计考核费用!H136/10000</f>
        <v>0</v>
      </c>
      <c r="H61" s="48">
        <f>累计考核费用!I136/10000</f>
        <v>0</v>
      </c>
      <c r="I61" s="48">
        <f>累计考核费用!J136/10000</f>
        <v>0</v>
      </c>
      <c r="J61" s="48">
        <f>累计考核费用!K136/10000</f>
        <v>0</v>
      </c>
      <c r="K61" s="48">
        <f>累计考核费用!L136/10000</f>
        <v>0</v>
      </c>
      <c r="L61" s="48">
        <f>累计考核费用!M136/10000</f>
        <v>0</v>
      </c>
      <c r="M61" s="48">
        <f>累计考核费用!N136/10000</f>
        <v>0</v>
      </c>
      <c r="N61" s="48">
        <f>累计考核费用!O136/10000</f>
        <v>0</v>
      </c>
      <c r="O61" s="48">
        <f>累计考核费用!P136/10000</f>
        <v>0</v>
      </c>
      <c r="P61" s="48">
        <f>累计考核费用!Q136/10000</f>
        <v>0</v>
      </c>
      <c r="Q61" s="48">
        <f>累计考核费用!R136/10000</f>
        <v>0</v>
      </c>
      <c r="R61" s="48">
        <f>累计考核费用!S136/10000</f>
        <v>0</v>
      </c>
      <c r="S61" s="48">
        <f>累计考核费用!T136/10000</f>
        <v>0</v>
      </c>
      <c r="T61" s="48">
        <f>累计考核费用!U136/10000</f>
        <v>0</v>
      </c>
      <c r="U61" s="48">
        <f>累计考核费用!V136/10000</f>
        <v>0</v>
      </c>
      <c r="V61" s="48">
        <f>累计考核费用!W136/10000</f>
        <v>0</v>
      </c>
      <c r="W61" s="48">
        <f>累计考核费用!X136/10000</f>
        <v>0</v>
      </c>
      <c r="X61" s="48">
        <f>累计考核费用!Y136/10000</f>
        <v>0</v>
      </c>
      <c r="Y61" s="48">
        <f>累计考核费用!Z136/10000</f>
        <v>0</v>
      </c>
      <c r="Z61" s="48">
        <f>累计考核费用!AA136/10000</f>
        <v>0</v>
      </c>
      <c r="AA61" s="48">
        <f>累计考核费用!AB136/10000</f>
        <v>0</v>
      </c>
      <c r="AB61" s="48">
        <f>累计考核费用!AC136/10000</f>
        <v>0</v>
      </c>
      <c r="AC61" s="48">
        <f>累计考核费用!AD136/10000</f>
        <v>0</v>
      </c>
      <c r="AD61" s="48">
        <f>累计考核费用!AE136/10000</f>
        <v>0</v>
      </c>
      <c r="AE61" s="48"/>
    </row>
    <row r="62" spans="1:31" s="2" customFormat="1">
      <c r="A62" s="47" t="s">
        <v>119</v>
      </c>
      <c r="B62" s="48">
        <f>累计考核费用!C137/10000</f>
        <v>8.2275720000000003</v>
      </c>
      <c r="C62" s="48">
        <f>累计考核费用!D137/10000</f>
        <v>0</v>
      </c>
      <c r="D62" s="48">
        <f>累计考核费用!E137/10000</f>
        <v>0</v>
      </c>
      <c r="E62" s="48">
        <f>累计考核费用!F137/10000</f>
        <v>5.0419999999999998</v>
      </c>
      <c r="F62" s="48">
        <f>累计考核费用!G137/10000</f>
        <v>0</v>
      </c>
      <c r="G62" s="48">
        <f>累计考核费用!H137/10000</f>
        <v>0</v>
      </c>
      <c r="H62" s="48">
        <f>累计考核费用!I137/10000</f>
        <v>0</v>
      </c>
      <c r="I62" s="48">
        <f>累计考核费用!J137/10000</f>
        <v>0</v>
      </c>
      <c r="J62" s="48">
        <f>累计考核费用!K137/10000</f>
        <v>0</v>
      </c>
      <c r="K62" s="48">
        <f>累计考核费用!L137/10000</f>
        <v>0.04</v>
      </c>
      <c r="L62" s="48">
        <f>累计考核费用!M137/10000</f>
        <v>0</v>
      </c>
      <c r="M62" s="48">
        <f>累计考核费用!N137/10000</f>
        <v>0</v>
      </c>
      <c r="N62" s="48">
        <f>累计考核费用!O137/10000</f>
        <v>0</v>
      </c>
      <c r="O62" s="48">
        <f>累计考核费用!P137/10000</f>
        <v>0</v>
      </c>
      <c r="P62" s="48">
        <f>累计考核费用!Q137/10000</f>
        <v>0</v>
      </c>
      <c r="Q62" s="48">
        <f>累计考核费用!R137/10000</f>
        <v>0</v>
      </c>
      <c r="R62" s="48">
        <f>累计考核费用!S137/10000</f>
        <v>0.04</v>
      </c>
      <c r="S62" s="48">
        <f>累计考核费用!T137/10000</f>
        <v>0</v>
      </c>
      <c r="T62" s="48">
        <f>累计考核费用!U137/10000</f>
        <v>0</v>
      </c>
      <c r="U62" s="48">
        <f>累计考核费用!V137/10000</f>
        <v>0</v>
      </c>
      <c r="V62" s="48">
        <f>累计考核费用!W137/10000</f>
        <v>0</v>
      </c>
      <c r="W62" s="48">
        <f>累计考核费用!X137/10000</f>
        <v>0</v>
      </c>
      <c r="X62" s="48">
        <f>累计考核费用!Y137/10000</f>
        <v>0</v>
      </c>
      <c r="Y62" s="48">
        <f>累计考核费用!Z137/10000</f>
        <v>0</v>
      </c>
      <c r="Z62" s="48">
        <f>累计考核费用!AA137/10000</f>
        <v>0</v>
      </c>
      <c r="AA62" s="48">
        <f>累计考核费用!AB137/10000</f>
        <v>0</v>
      </c>
      <c r="AB62" s="48">
        <f>累计考核费用!AC137/10000</f>
        <v>3.145572</v>
      </c>
      <c r="AC62" s="48">
        <f>累计考核费用!AD137/10000</f>
        <v>0</v>
      </c>
      <c r="AD62" s="48">
        <f>累计考核费用!AE137/10000</f>
        <v>0</v>
      </c>
      <c r="AE62" s="48"/>
    </row>
    <row r="63" spans="1:31" s="2" customFormat="1">
      <c r="A63" s="45" t="s">
        <v>99</v>
      </c>
      <c r="B63" s="48">
        <f>累计考核费用!C138/10000</f>
        <v>6838.3426629999994</v>
      </c>
      <c r="C63" s="48">
        <f>累计考核费用!D138/10000</f>
        <v>86.338948000000002</v>
      </c>
      <c r="D63" s="48">
        <f>累计考核费用!E138/10000</f>
        <v>1176.5993120000001</v>
      </c>
      <c r="E63" s="48">
        <f>累计考核费用!F138/10000</f>
        <v>2959.541557</v>
      </c>
      <c r="F63" s="48">
        <f>累计考核费用!G138/10000</f>
        <v>261.28780800000004</v>
      </c>
      <c r="G63" s="48">
        <f>累计考核费用!H138/10000</f>
        <v>72.420583999999991</v>
      </c>
      <c r="H63" s="48">
        <f>累计考核费用!I138/10000</f>
        <v>92.360162999999986</v>
      </c>
      <c r="I63" s="48">
        <f>累计考核费用!J138/10000</f>
        <v>25.003874000000003</v>
      </c>
      <c r="J63" s="48">
        <f>累计考核费用!K138/10000</f>
        <v>71.503187000000011</v>
      </c>
      <c r="K63" s="48">
        <f>累计考核费用!L138/10000</f>
        <v>304.91671600000006</v>
      </c>
      <c r="L63" s="48">
        <f>累计考核费用!M138/10000</f>
        <v>35.532144000000002</v>
      </c>
      <c r="M63" s="48">
        <f>累计考核费用!N138/10000</f>
        <v>43.178137999999997</v>
      </c>
      <c r="N63" s="48">
        <f>累计考核费用!O138/10000</f>
        <v>38.373238000000001</v>
      </c>
      <c r="O63" s="48">
        <f>累计考核费用!P138/10000</f>
        <v>43.908842</v>
      </c>
      <c r="P63" s="48">
        <f>累计考核费用!Q138/10000</f>
        <v>43.615104000000002</v>
      </c>
      <c r="Q63" s="48">
        <f>累计考核费用!R138/10000</f>
        <v>44.276192000000002</v>
      </c>
      <c r="R63" s="48">
        <f>累计考核费用!S138/10000</f>
        <v>56.033058000000004</v>
      </c>
      <c r="S63" s="48">
        <f>累计考核费用!T138/10000</f>
        <v>1911.1348580000001</v>
      </c>
      <c r="T63" s="48">
        <f>累计考核费用!U138/10000</f>
        <v>204.58521499999998</v>
      </c>
      <c r="U63" s="48">
        <f>累计考核费用!V138/10000</f>
        <v>1187.1424049999996</v>
      </c>
      <c r="V63" s="48">
        <f>累计考核费用!W138/10000</f>
        <v>331.53298999999987</v>
      </c>
      <c r="W63" s="48">
        <f>累计考核费用!X138/10000</f>
        <v>61.593031999999994</v>
      </c>
      <c r="X63" s="48">
        <f>累计考核费用!Y138/10000</f>
        <v>100.679085</v>
      </c>
      <c r="Y63" s="48">
        <f>累计考核费用!Z138/10000</f>
        <v>11.437341999999999</v>
      </c>
      <c r="Z63" s="48">
        <f>累计考核费用!AA138/10000</f>
        <v>14.164789000000001</v>
      </c>
      <c r="AA63" s="48">
        <f>累计考核费用!AB138/10000</f>
        <v>106.23177800000001</v>
      </c>
      <c r="AB63" s="48">
        <f>累计考核费用!AC138/10000</f>
        <v>32.291685999999999</v>
      </c>
      <c r="AC63" s="48">
        <f>累计考核费用!AD138/10000</f>
        <v>0</v>
      </c>
      <c r="AD63" s="48">
        <f>累计考核费用!AE138/10000</f>
        <v>0</v>
      </c>
      <c r="AE63" s="48"/>
    </row>
    <row r="64" spans="1:31" s="2" customFormat="1">
      <c r="A64" s="47" t="s">
        <v>121</v>
      </c>
      <c r="B64" s="48">
        <f>累计考核费用!C139/10000</f>
        <v>382.98314800000009</v>
      </c>
      <c r="C64" s="48">
        <f>累计考核费用!D139/10000</f>
        <v>0</v>
      </c>
      <c r="D64" s="48">
        <f>累计考核费用!E139/10000</f>
        <v>100.298937</v>
      </c>
      <c r="E64" s="48">
        <f>累计考核费用!F139/10000</f>
        <v>254.31505600000006</v>
      </c>
      <c r="F64" s="48">
        <f>累计考核费用!G139/10000</f>
        <v>4.2927989999999987</v>
      </c>
      <c r="G64" s="48">
        <f>累计考核费用!H139/10000</f>
        <v>0</v>
      </c>
      <c r="H64" s="48">
        <f>累计考核费用!I139/10000</f>
        <v>0</v>
      </c>
      <c r="I64" s="48">
        <f>累计考核费用!J139/10000</f>
        <v>1.8317110000000001</v>
      </c>
      <c r="J64" s="48">
        <f>累计考核费用!K139/10000</f>
        <v>2.4610880000000002</v>
      </c>
      <c r="K64" s="48">
        <f>累计考核费用!L139/10000</f>
        <v>15.50239</v>
      </c>
      <c r="L64" s="48">
        <f>累计考核费用!M139/10000</f>
        <v>2.0207120000000001</v>
      </c>
      <c r="M64" s="48">
        <f>累计考核费用!N139/10000</f>
        <v>2.0207120000000001</v>
      </c>
      <c r="N64" s="48">
        <f>累计考核费用!O139/10000</f>
        <v>2.0207120000000001</v>
      </c>
      <c r="O64" s="48">
        <f>累计考核费用!P139/10000</f>
        <v>2.369488</v>
      </c>
      <c r="P64" s="48">
        <f>累计考核费用!Q139/10000</f>
        <v>2.0353129999999999</v>
      </c>
      <c r="Q64" s="48">
        <f>累计考核费用!R139/10000</f>
        <v>2.365888</v>
      </c>
      <c r="R64" s="48">
        <f>累计考核费用!S139/10000</f>
        <v>2.669565</v>
      </c>
      <c r="S64" s="48">
        <f>累计考核费用!T139/10000</f>
        <v>7.2988470000000003</v>
      </c>
      <c r="T64" s="48">
        <f>累计考核费用!U139/10000</f>
        <v>0</v>
      </c>
      <c r="U64" s="48">
        <f>累计考核费用!V139/10000</f>
        <v>4.5068209999999995</v>
      </c>
      <c r="V64" s="48">
        <f>累计考核费用!W139/10000</f>
        <v>2.7920259999999999</v>
      </c>
      <c r="W64" s="48">
        <f>累计考核费用!X139/10000</f>
        <v>0</v>
      </c>
      <c r="X64" s="48">
        <f>累计考核费用!Y139/10000</f>
        <v>0</v>
      </c>
      <c r="Y64" s="48">
        <f>累计考核费用!Z139/10000</f>
        <v>0</v>
      </c>
      <c r="Z64" s="48">
        <f>累计考核费用!AA139/10000</f>
        <v>0</v>
      </c>
      <c r="AA64" s="48">
        <f>累计考核费用!AB139/10000</f>
        <v>1.2751190000000001</v>
      </c>
      <c r="AB64" s="48">
        <f>累计考核费用!AC139/10000</f>
        <v>0</v>
      </c>
      <c r="AC64" s="48">
        <f>累计考核费用!AD139/10000</f>
        <v>0</v>
      </c>
      <c r="AD64" s="48">
        <f>累计考核费用!AE139/10000</f>
        <v>0</v>
      </c>
      <c r="AE64" s="48"/>
    </row>
    <row r="65" spans="1:31" s="2" customFormat="1">
      <c r="A65" s="47" t="s">
        <v>122</v>
      </c>
      <c r="B65" s="48">
        <f>累计考核费用!C140/10000</f>
        <v>270.338235</v>
      </c>
      <c r="C65" s="48">
        <f>累计考核费用!D140/10000</f>
        <v>0</v>
      </c>
      <c r="D65" s="48">
        <f>累计考核费用!E140/10000</f>
        <v>51.931198000000009</v>
      </c>
      <c r="E65" s="48">
        <f>累计考核费用!F140/10000</f>
        <v>169.08488200000002</v>
      </c>
      <c r="F65" s="48">
        <f>累计考核费用!G140/10000</f>
        <v>8.9921129999999998</v>
      </c>
      <c r="G65" s="48">
        <f>累计考核费用!H140/10000</f>
        <v>3.2095879999999997</v>
      </c>
      <c r="H65" s="48">
        <f>累计考核费用!I140/10000</f>
        <v>0.63612299999999999</v>
      </c>
      <c r="I65" s="48">
        <f>累计考核费用!J140/10000</f>
        <v>0.81438700000000008</v>
      </c>
      <c r="J65" s="48">
        <f>累计考核费用!K140/10000</f>
        <v>4.3320150000000002</v>
      </c>
      <c r="K65" s="48">
        <f>累计考核费用!L140/10000</f>
        <v>29.121317999999999</v>
      </c>
      <c r="L65" s="48">
        <f>累计考核费用!M140/10000</f>
        <v>1.9364370000000002</v>
      </c>
      <c r="M65" s="48">
        <f>累计考核费用!N140/10000</f>
        <v>2.9242739999999996</v>
      </c>
      <c r="N65" s="48">
        <f>累计考核费用!O140/10000</f>
        <v>2.0295749999999999</v>
      </c>
      <c r="O65" s="48">
        <f>累计考核费用!P140/10000</f>
        <v>1.737225</v>
      </c>
      <c r="P65" s="48">
        <f>累计考核费用!Q140/10000</f>
        <v>1.931373</v>
      </c>
      <c r="Q65" s="48">
        <f>累计考核费用!R140/10000</f>
        <v>1.9628950000000001</v>
      </c>
      <c r="R65" s="48">
        <f>累计考核费用!S140/10000</f>
        <v>16.599539</v>
      </c>
      <c r="S65" s="48">
        <f>累计考核费用!T140/10000</f>
        <v>5.5787900000000006</v>
      </c>
      <c r="T65" s="48">
        <f>累计考核费用!U140/10000</f>
        <v>1.490329</v>
      </c>
      <c r="U65" s="48">
        <f>累计考核费用!V140/10000</f>
        <v>2.1324750000000003</v>
      </c>
      <c r="V65" s="48">
        <f>累计考核费用!W140/10000</f>
        <v>1.2627110000000001</v>
      </c>
      <c r="W65" s="48">
        <f>累计考核费用!X140/10000</f>
        <v>0.39724399999999999</v>
      </c>
      <c r="X65" s="48">
        <f>累计考核费用!Y140/10000</f>
        <v>0.25403100000000001</v>
      </c>
      <c r="Y65" s="48">
        <f>累计考核费用!Z140/10000</f>
        <v>4.2000000000000003E-2</v>
      </c>
      <c r="Z65" s="48">
        <f>累计考核费用!AA140/10000</f>
        <v>0</v>
      </c>
      <c r="AA65" s="48">
        <f>累计考核费用!AB140/10000</f>
        <v>1.748475</v>
      </c>
      <c r="AB65" s="48">
        <f>累计考核费用!AC140/10000</f>
        <v>3.8814589999999995</v>
      </c>
      <c r="AC65" s="48">
        <f>累计考核费用!AD140/10000</f>
        <v>0</v>
      </c>
      <c r="AD65" s="48">
        <f>累计考核费用!AE140/10000</f>
        <v>0</v>
      </c>
      <c r="AE65" s="48"/>
    </row>
    <row r="66" spans="1:31" s="2" customFormat="1">
      <c r="A66" s="47" t="s">
        <v>123</v>
      </c>
      <c r="B66" s="48">
        <f>累计考核费用!C141/10000</f>
        <v>242.34229699999997</v>
      </c>
      <c r="C66" s="48">
        <f>累计考核费用!D141/10000</f>
        <v>0</v>
      </c>
      <c r="D66" s="48">
        <f>累计考核费用!E141/10000</f>
        <v>217.786517</v>
      </c>
      <c r="E66" s="48">
        <f>累计考核费用!F141/10000</f>
        <v>0</v>
      </c>
      <c r="F66" s="48">
        <f>累计考核费用!G141/10000</f>
        <v>0</v>
      </c>
      <c r="G66" s="48">
        <f>累计考核费用!H141/10000</f>
        <v>0</v>
      </c>
      <c r="H66" s="48">
        <f>累计考核费用!I141/10000</f>
        <v>0</v>
      </c>
      <c r="I66" s="48">
        <f>累计考核费用!J141/10000</f>
        <v>0</v>
      </c>
      <c r="J66" s="48">
        <f>累计考核费用!K141/10000</f>
        <v>0</v>
      </c>
      <c r="K66" s="48">
        <f>累计考核费用!L141/10000</f>
        <v>0</v>
      </c>
      <c r="L66" s="48">
        <f>累计考核费用!M141/10000</f>
        <v>0</v>
      </c>
      <c r="M66" s="48">
        <f>累计考核费用!N141/10000</f>
        <v>0</v>
      </c>
      <c r="N66" s="48">
        <f>累计考核费用!O141/10000</f>
        <v>0</v>
      </c>
      <c r="O66" s="48">
        <f>累计考核费用!P141/10000</f>
        <v>0</v>
      </c>
      <c r="P66" s="48">
        <f>累计考核费用!Q141/10000</f>
        <v>0</v>
      </c>
      <c r="Q66" s="48">
        <f>累计考核费用!R141/10000</f>
        <v>0</v>
      </c>
      <c r="R66" s="48">
        <f>累计考核费用!S141/10000</f>
        <v>0</v>
      </c>
      <c r="S66" s="48">
        <f>累计考核费用!T141/10000</f>
        <v>24.555779999999999</v>
      </c>
      <c r="T66" s="48">
        <f>累计考核费用!U141/10000</f>
        <v>0</v>
      </c>
      <c r="U66" s="48">
        <f>累计考核费用!V141/10000</f>
        <v>24.555779999999999</v>
      </c>
      <c r="V66" s="48">
        <f>累计考核费用!W141/10000</f>
        <v>0</v>
      </c>
      <c r="W66" s="48">
        <f>累计考核费用!X141/10000</f>
        <v>0</v>
      </c>
      <c r="X66" s="48">
        <f>累计考核费用!Y141/10000</f>
        <v>0</v>
      </c>
      <c r="Y66" s="48">
        <f>累计考核费用!Z141/10000</f>
        <v>0</v>
      </c>
      <c r="Z66" s="48">
        <f>累计考核费用!AA141/10000</f>
        <v>0</v>
      </c>
      <c r="AA66" s="48">
        <f>累计考核费用!AB141/10000</f>
        <v>0</v>
      </c>
      <c r="AB66" s="48">
        <f>累计考核费用!AC141/10000</f>
        <v>0</v>
      </c>
      <c r="AC66" s="48">
        <f>累计考核费用!AD141/10000</f>
        <v>0</v>
      </c>
      <c r="AD66" s="48">
        <f>累计考核费用!AE141/10000</f>
        <v>0</v>
      </c>
      <c r="AE66" s="48"/>
    </row>
    <row r="67" spans="1:31" s="2" customFormat="1">
      <c r="A67" s="47" t="s">
        <v>124</v>
      </c>
      <c r="B67" s="48">
        <f>累计考核费用!C142/10000</f>
        <v>227.22078899999991</v>
      </c>
      <c r="C67" s="48">
        <f>累计考核费用!D142/10000</f>
        <v>0</v>
      </c>
      <c r="D67" s="48">
        <f>累计考核费用!E142/10000</f>
        <v>29.085394999999991</v>
      </c>
      <c r="E67" s="48">
        <f>累计考核费用!F142/10000</f>
        <v>185.43993399999991</v>
      </c>
      <c r="F67" s="48">
        <f>累计考核费用!G142/10000</f>
        <v>2.3301209999999997</v>
      </c>
      <c r="G67" s="48">
        <f>累计考核费用!H142/10000</f>
        <v>0</v>
      </c>
      <c r="H67" s="48">
        <f>累计考核费用!I142/10000</f>
        <v>0</v>
      </c>
      <c r="I67" s="48">
        <f>累计考核费用!J142/10000</f>
        <v>0.91625099999999982</v>
      </c>
      <c r="J67" s="48">
        <f>累计考核费用!K142/10000</f>
        <v>1.41387</v>
      </c>
      <c r="K67" s="48">
        <f>累计考核费用!L142/10000</f>
        <v>8.6174960000000009</v>
      </c>
      <c r="L67" s="48">
        <f>累计考核费用!M142/10000</f>
        <v>1.0939729999999999</v>
      </c>
      <c r="M67" s="48">
        <f>累计考核费用!N142/10000</f>
        <v>1.0939719999999999</v>
      </c>
      <c r="N67" s="48">
        <f>累计考核费用!O142/10000</f>
        <v>1.0939719999999999</v>
      </c>
      <c r="O67" s="48">
        <f>累计考核费用!P142/10000</f>
        <v>1.41387</v>
      </c>
      <c r="P67" s="48">
        <f>累计考核费用!Q142/10000</f>
        <v>1.0939729999999999</v>
      </c>
      <c r="Q67" s="48">
        <f>累计考核费用!R142/10000</f>
        <v>1.41387</v>
      </c>
      <c r="R67" s="48">
        <f>累计考核费用!S142/10000</f>
        <v>1.4138659999999998</v>
      </c>
      <c r="S67" s="48">
        <f>累计考核费用!T142/10000</f>
        <v>0</v>
      </c>
      <c r="T67" s="48">
        <f>累计考核费用!U142/10000</f>
        <v>0</v>
      </c>
      <c r="U67" s="48">
        <f>累计考核费用!V142/10000</f>
        <v>0</v>
      </c>
      <c r="V67" s="48">
        <f>累计考核费用!W142/10000</f>
        <v>0</v>
      </c>
      <c r="W67" s="48">
        <f>累计考核费用!X142/10000</f>
        <v>0</v>
      </c>
      <c r="X67" s="48">
        <f>累计考核费用!Y142/10000</f>
        <v>0</v>
      </c>
      <c r="Y67" s="48">
        <f>累计考核费用!Z142/10000</f>
        <v>0</v>
      </c>
      <c r="Z67" s="48">
        <f>累计考核费用!AA142/10000</f>
        <v>0</v>
      </c>
      <c r="AA67" s="48">
        <f>累计考核费用!AB142/10000</f>
        <v>0</v>
      </c>
      <c r="AB67" s="48">
        <f>累计考核费用!AC142/10000</f>
        <v>1.747843</v>
      </c>
      <c r="AC67" s="48">
        <f>累计考核费用!AD142/10000</f>
        <v>0</v>
      </c>
      <c r="AD67" s="48">
        <f>累计考核费用!AE142/10000</f>
        <v>0</v>
      </c>
      <c r="AE67" s="48"/>
    </row>
    <row r="68" spans="1:31" s="2" customFormat="1">
      <c r="A68" s="47" t="s">
        <v>125</v>
      </c>
      <c r="B68" s="48">
        <f>累计考核费用!C143/10000</f>
        <v>24.524056999999999</v>
      </c>
      <c r="C68" s="48">
        <f>累计考核费用!D143/10000</f>
        <v>0</v>
      </c>
      <c r="D68" s="48">
        <f>累计考核费用!E143/10000</f>
        <v>24.524056999999999</v>
      </c>
      <c r="E68" s="48">
        <f>累计考核费用!F143/10000</f>
        <v>0</v>
      </c>
      <c r="F68" s="48">
        <f>累计考核费用!G143/10000</f>
        <v>0</v>
      </c>
      <c r="G68" s="48">
        <f>累计考核费用!H143/10000</f>
        <v>0</v>
      </c>
      <c r="H68" s="48">
        <f>累计考核费用!I143/10000</f>
        <v>0</v>
      </c>
      <c r="I68" s="48">
        <f>累计考核费用!J143/10000</f>
        <v>0</v>
      </c>
      <c r="J68" s="48">
        <f>累计考核费用!K143/10000</f>
        <v>0</v>
      </c>
      <c r="K68" s="48">
        <f>累计考核费用!L143/10000</f>
        <v>0</v>
      </c>
      <c r="L68" s="48">
        <f>累计考核费用!M143/10000</f>
        <v>0</v>
      </c>
      <c r="M68" s="48">
        <f>累计考核费用!N143/10000</f>
        <v>0</v>
      </c>
      <c r="N68" s="48">
        <f>累计考核费用!O143/10000</f>
        <v>0</v>
      </c>
      <c r="O68" s="48">
        <f>累计考核费用!P143/10000</f>
        <v>0</v>
      </c>
      <c r="P68" s="48">
        <f>累计考核费用!Q143/10000</f>
        <v>0</v>
      </c>
      <c r="Q68" s="48">
        <f>累计考核费用!R143/10000</f>
        <v>0</v>
      </c>
      <c r="R68" s="48">
        <f>累计考核费用!S143/10000</f>
        <v>0</v>
      </c>
      <c r="S68" s="48">
        <f>累计考核费用!T143/10000</f>
        <v>0</v>
      </c>
      <c r="T68" s="48">
        <f>累计考核费用!U143/10000</f>
        <v>0</v>
      </c>
      <c r="U68" s="48">
        <f>累计考核费用!V143/10000</f>
        <v>0</v>
      </c>
      <c r="V68" s="48">
        <f>累计考核费用!W143/10000</f>
        <v>0</v>
      </c>
      <c r="W68" s="48">
        <f>累计考核费用!X143/10000</f>
        <v>0</v>
      </c>
      <c r="X68" s="48">
        <f>累计考核费用!Y143/10000</f>
        <v>0</v>
      </c>
      <c r="Y68" s="48">
        <f>累计考核费用!Z143/10000</f>
        <v>0</v>
      </c>
      <c r="Z68" s="48">
        <f>累计考核费用!AA143/10000</f>
        <v>0</v>
      </c>
      <c r="AA68" s="48">
        <f>累计考核费用!AB143/10000</f>
        <v>0</v>
      </c>
      <c r="AB68" s="48">
        <f>累计考核费用!AC143/10000</f>
        <v>0</v>
      </c>
      <c r="AC68" s="48">
        <f>累计考核费用!AD143/10000</f>
        <v>0</v>
      </c>
      <c r="AD68" s="48">
        <f>累计考核费用!AE143/10000</f>
        <v>0</v>
      </c>
      <c r="AE68" s="48"/>
    </row>
    <row r="69" spans="1:31" s="2" customFormat="1">
      <c r="A69" s="47" t="s">
        <v>126</v>
      </c>
      <c r="B69" s="48">
        <f>累计考核费用!C144/10000</f>
        <v>66.128084999999999</v>
      </c>
      <c r="C69" s="48">
        <f>累计考核费用!D144/10000</f>
        <v>0</v>
      </c>
      <c r="D69" s="48">
        <f>累计考核费用!E144/10000</f>
        <v>35.641224999999999</v>
      </c>
      <c r="E69" s="48">
        <f>累计考核费用!F144/10000</f>
        <v>28.397940000000002</v>
      </c>
      <c r="F69" s="48">
        <f>累计考核费用!G144/10000</f>
        <v>0.04</v>
      </c>
      <c r="G69" s="48">
        <f>累计考核费用!H144/10000</f>
        <v>0</v>
      </c>
      <c r="H69" s="48">
        <f>累计考核费用!I144/10000</f>
        <v>0</v>
      </c>
      <c r="I69" s="48">
        <f>累计考核费用!J144/10000</f>
        <v>0</v>
      </c>
      <c r="J69" s="48">
        <f>累计考核费用!K144/10000</f>
        <v>0.04</v>
      </c>
      <c r="K69" s="48">
        <f>累计考核费用!L144/10000</f>
        <v>1.2412939999999999</v>
      </c>
      <c r="L69" s="48">
        <f>累计考核费用!M144/10000</f>
        <v>0</v>
      </c>
      <c r="M69" s="48">
        <f>累计考核费用!N144/10000</f>
        <v>0</v>
      </c>
      <c r="N69" s="48">
        <f>累计考核费用!O144/10000</f>
        <v>0</v>
      </c>
      <c r="O69" s="48">
        <f>累计考核费用!P144/10000</f>
        <v>0.60204899999999995</v>
      </c>
      <c r="P69" s="48">
        <f>累计考核费用!Q144/10000</f>
        <v>0</v>
      </c>
      <c r="Q69" s="48">
        <f>累计考核费用!R144/10000</f>
        <v>0</v>
      </c>
      <c r="R69" s="48">
        <f>累计考核费用!S144/10000</f>
        <v>0.63924499999999995</v>
      </c>
      <c r="S69" s="48">
        <f>累计考核费用!T144/10000</f>
        <v>0.16462599999999999</v>
      </c>
      <c r="T69" s="48">
        <f>累计考核费用!U144/10000</f>
        <v>0</v>
      </c>
      <c r="U69" s="48">
        <f>累计考核费用!V144/10000</f>
        <v>7.4160000000000004E-2</v>
      </c>
      <c r="V69" s="48">
        <f>累计考核费用!W144/10000</f>
        <v>9.0465999999999991E-2</v>
      </c>
      <c r="W69" s="48">
        <f>累计考核费用!X144/10000</f>
        <v>0</v>
      </c>
      <c r="X69" s="48">
        <f>累计考核费用!Y144/10000</f>
        <v>0</v>
      </c>
      <c r="Y69" s="48">
        <f>累计考核费用!Z144/10000</f>
        <v>0</v>
      </c>
      <c r="Z69" s="48">
        <f>累计考核费用!AA144/10000</f>
        <v>0</v>
      </c>
      <c r="AA69" s="48">
        <f>累计考核费用!AB144/10000</f>
        <v>0.61</v>
      </c>
      <c r="AB69" s="48">
        <f>累计考核费用!AC144/10000</f>
        <v>3.3000000000000002E-2</v>
      </c>
      <c r="AC69" s="48">
        <f>累计考核费用!AD144/10000</f>
        <v>0</v>
      </c>
      <c r="AD69" s="48">
        <f>累计考核费用!AE144/10000</f>
        <v>0</v>
      </c>
      <c r="AE69" s="48"/>
    </row>
    <row r="70" spans="1:31" s="2" customFormat="1">
      <c r="A70" s="47" t="s">
        <v>127</v>
      </c>
      <c r="B70" s="48">
        <f>累计考核费用!C145/10000</f>
        <v>116.372677</v>
      </c>
      <c r="C70" s="48">
        <f>累计考核费用!D145/10000</f>
        <v>0</v>
      </c>
      <c r="D70" s="48">
        <f>累计考核费用!E145/10000</f>
        <v>60.809677000000001</v>
      </c>
      <c r="E70" s="48">
        <f>累计考核费用!F145/10000</f>
        <v>54.762999999999998</v>
      </c>
      <c r="F70" s="48">
        <f>累计考核费用!G145/10000</f>
        <v>0</v>
      </c>
      <c r="G70" s="48">
        <f>累计考核费用!H145/10000</f>
        <v>0</v>
      </c>
      <c r="H70" s="48">
        <f>累计考核费用!I145/10000</f>
        <v>0</v>
      </c>
      <c r="I70" s="48">
        <f>累计考核费用!J145/10000</f>
        <v>0</v>
      </c>
      <c r="J70" s="48">
        <f>累计考核费用!K145/10000</f>
        <v>0</v>
      </c>
      <c r="K70" s="48">
        <f>累计考核费用!L145/10000</f>
        <v>0.8</v>
      </c>
      <c r="L70" s="48">
        <f>累计考核费用!M145/10000</f>
        <v>0</v>
      </c>
      <c r="M70" s="48">
        <f>累计考核费用!N145/10000</f>
        <v>0</v>
      </c>
      <c r="N70" s="48">
        <f>累计考核费用!O145/10000</f>
        <v>0</v>
      </c>
      <c r="O70" s="48">
        <f>累计考核费用!P145/10000</f>
        <v>0</v>
      </c>
      <c r="P70" s="48">
        <f>累计考核费用!Q145/10000</f>
        <v>0</v>
      </c>
      <c r="Q70" s="48">
        <f>累计考核费用!R145/10000</f>
        <v>0</v>
      </c>
      <c r="R70" s="48">
        <f>累计考核费用!S145/10000</f>
        <v>0.8</v>
      </c>
      <c r="S70" s="48">
        <f>累计考核费用!T145/10000</f>
        <v>0</v>
      </c>
      <c r="T70" s="48">
        <f>累计考核费用!U145/10000</f>
        <v>0</v>
      </c>
      <c r="U70" s="48">
        <f>累计考核费用!V145/10000</f>
        <v>0</v>
      </c>
      <c r="V70" s="48">
        <f>累计考核费用!W145/10000</f>
        <v>0</v>
      </c>
      <c r="W70" s="48">
        <f>累计考核费用!X145/10000</f>
        <v>0</v>
      </c>
      <c r="X70" s="48">
        <f>累计考核费用!Y145/10000</f>
        <v>0</v>
      </c>
      <c r="Y70" s="48">
        <f>累计考核费用!Z145/10000</f>
        <v>0</v>
      </c>
      <c r="Z70" s="48">
        <f>累计考核费用!AA145/10000</f>
        <v>0</v>
      </c>
      <c r="AA70" s="48">
        <f>累计考核费用!AB145/10000</f>
        <v>0</v>
      </c>
      <c r="AB70" s="48">
        <f>累计考核费用!AC145/10000</f>
        <v>0</v>
      </c>
      <c r="AC70" s="48">
        <f>累计考核费用!AD145/10000</f>
        <v>0</v>
      </c>
      <c r="AD70" s="48">
        <f>累计考核费用!AE145/10000</f>
        <v>0</v>
      </c>
      <c r="AE70" s="48"/>
    </row>
    <row r="71" spans="1:31" s="2" customFormat="1">
      <c r="A71" s="47" t="s">
        <v>128</v>
      </c>
      <c r="B71" s="48">
        <f>累计考核费用!C146/10000</f>
        <v>89.602724000000009</v>
      </c>
      <c r="C71" s="48">
        <f>累计考核费用!D146/10000</f>
        <v>0</v>
      </c>
      <c r="D71" s="48">
        <f>累计考核费用!E146/10000</f>
        <v>43.199905000000001</v>
      </c>
      <c r="E71" s="48">
        <f>累计考核费用!F146/10000</f>
        <v>9.5004570000000008</v>
      </c>
      <c r="F71" s="48">
        <f>累计考核费用!G146/10000</f>
        <v>0</v>
      </c>
      <c r="G71" s="48">
        <f>累计考核费用!H146/10000</f>
        <v>0</v>
      </c>
      <c r="H71" s="48">
        <f>累计考核费用!I146/10000</f>
        <v>0</v>
      </c>
      <c r="I71" s="48">
        <f>累计考核费用!J146/10000</f>
        <v>0</v>
      </c>
      <c r="J71" s="48">
        <f>累计考核费用!K146/10000</f>
        <v>0</v>
      </c>
      <c r="K71" s="48">
        <f>累计考核费用!L146/10000</f>
        <v>11.320753999999999</v>
      </c>
      <c r="L71" s="48">
        <f>累计考核费用!M146/10000</f>
        <v>0</v>
      </c>
      <c r="M71" s="48">
        <f>累计考核费用!N146/10000</f>
        <v>11.320753999999999</v>
      </c>
      <c r="N71" s="48">
        <f>累计考核费用!O146/10000</f>
        <v>0</v>
      </c>
      <c r="O71" s="48">
        <f>累计考核费用!P146/10000</f>
        <v>0</v>
      </c>
      <c r="P71" s="48">
        <f>累计考核费用!Q146/10000</f>
        <v>0</v>
      </c>
      <c r="Q71" s="48">
        <f>累计考核费用!R146/10000</f>
        <v>0</v>
      </c>
      <c r="R71" s="48">
        <f>累计考核费用!S146/10000</f>
        <v>0</v>
      </c>
      <c r="S71" s="48">
        <f>累计考核费用!T146/10000</f>
        <v>25.581607999999999</v>
      </c>
      <c r="T71" s="48">
        <f>累计考核费用!U146/10000</f>
        <v>0</v>
      </c>
      <c r="U71" s="48">
        <f>累计考核费用!V146/10000</f>
        <v>22.696463999999999</v>
      </c>
      <c r="V71" s="48">
        <f>累计考核费用!W146/10000</f>
        <v>2.8851440000000004</v>
      </c>
      <c r="W71" s="48">
        <f>累计考核费用!X146/10000</f>
        <v>0</v>
      </c>
      <c r="X71" s="48">
        <f>累计考核费用!Y146/10000</f>
        <v>0</v>
      </c>
      <c r="Y71" s="48">
        <f>累计考核费用!Z146/10000</f>
        <v>0</v>
      </c>
      <c r="Z71" s="48">
        <f>累计考核费用!AA146/10000</f>
        <v>0</v>
      </c>
      <c r="AA71" s="48">
        <f>累计考核费用!AB146/10000</f>
        <v>0</v>
      </c>
      <c r="AB71" s="48">
        <f>累计考核费用!AC146/10000</f>
        <v>0</v>
      </c>
      <c r="AC71" s="48">
        <f>累计考核费用!AD146/10000</f>
        <v>0</v>
      </c>
      <c r="AD71" s="48">
        <f>累计考核费用!AE146/10000</f>
        <v>0</v>
      </c>
      <c r="AE71" s="48"/>
    </row>
    <row r="72" spans="1:31" s="2" customFormat="1">
      <c r="A72" s="47" t="s">
        <v>129</v>
      </c>
      <c r="B72" s="48">
        <f>累计考核费用!C147/10000</f>
        <v>0</v>
      </c>
      <c r="C72" s="48">
        <f>累计考核费用!D147/10000</f>
        <v>0</v>
      </c>
      <c r="D72" s="48">
        <f>累计考核费用!E147/10000</f>
        <v>0</v>
      </c>
      <c r="E72" s="48">
        <f>累计考核费用!F147/10000</f>
        <v>0</v>
      </c>
      <c r="F72" s="48">
        <f>累计考核费用!G147/10000</f>
        <v>0</v>
      </c>
      <c r="G72" s="48">
        <f>累计考核费用!H147/10000</f>
        <v>0</v>
      </c>
      <c r="H72" s="48">
        <f>累计考核费用!I147/10000</f>
        <v>0</v>
      </c>
      <c r="I72" s="48">
        <f>累计考核费用!J147/10000</f>
        <v>0</v>
      </c>
      <c r="J72" s="48">
        <f>累计考核费用!K147/10000</f>
        <v>0</v>
      </c>
      <c r="K72" s="48">
        <f>累计考核费用!L147/10000</f>
        <v>0</v>
      </c>
      <c r="L72" s="48">
        <f>累计考核费用!M147/10000</f>
        <v>0</v>
      </c>
      <c r="M72" s="48">
        <f>累计考核费用!N147/10000</f>
        <v>0</v>
      </c>
      <c r="N72" s="48">
        <f>累计考核费用!O147/10000</f>
        <v>0</v>
      </c>
      <c r="O72" s="48">
        <f>累计考核费用!P147/10000</f>
        <v>0</v>
      </c>
      <c r="P72" s="48">
        <f>累计考核费用!Q147/10000</f>
        <v>0</v>
      </c>
      <c r="Q72" s="48">
        <f>累计考核费用!R147/10000</f>
        <v>0</v>
      </c>
      <c r="R72" s="48">
        <f>累计考核费用!S147/10000</f>
        <v>0</v>
      </c>
      <c r="S72" s="48">
        <f>累计考核费用!T147/10000</f>
        <v>0</v>
      </c>
      <c r="T72" s="48">
        <f>累计考核费用!U147/10000</f>
        <v>0</v>
      </c>
      <c r="U72" s="48">
        <f>累计考核费用!V147/10000</f>
        <v>0</v>
      </c>
      <c r="V72" s="48">
        <f>累计考核费用!W147/10000</f>
        <v>0</v>
      </c>
      <c r="W72" s="48">
        <f>累计考核费用!X147/10000</f>
        <v>0</v>
      </c>
      <c r="X72" s="48">
        <f>累计考核费用!Y147/10000</f>
        <v>0</v>
      </c>
      <c r="Y72" s="48">
        <f>累计考核费用!Z147/10000</f>
        <v>0</v>
      </c>
      <c r="Z72" s="48">
        <f>累计考核费用!AA147/10000</f>
        <v>0</v>
      </c>
      <c r="AA72" s="48">
        <f>累计考核费用!AB147/10000</f>
        <v>0</v>
      </c>
      <c r="AB72" s="48">
        <f>累计考核费用!AC147/10000</f>
        <v>0</v>
      </c>
      <c r="AC72" s="48">
        <f>累计考核费用!AD147/10000</f>
        <v>0</v>
      </c>
      <c r="AD72" s="48">
        <f>累计考核费用!AE147/10000</f>
        <v>0</v>
      </c>
      <c r="AE72" s="48"/>
    </row>
    <row r="73" spans="1:31" s="2" customFormat="1">
      <c r="A73" s="47" t="s">
        <v>130</v>
      </c>
      <c r="B73" s="48">
        <f>累计考核费用!C148/10000</f>
        <v>1327.0935839999997</v>
      </c>
      <c r="C73" s="48">
        <f>累计考核费用!D148/10000</f>
        <v>0</v>
      </c>
      <c r="D73" s="48">
        <f>累计考核费用!E148/10000</f>
        <v>816.61796399999992</v>
      </c>
      <c r="E73" s="48">
        <f>累计考核费用!F148/10000</f>
        <v>482.1748119999998</v>
      </c>
      <c r="F73" s="48">
        <f>累计考核费用!G148/10000</f>
        <v>15.482777999999996</v>
      </c>
      <c r="G73" s="48">
        <f>累计考核费用!H148/10000</f>
        <v>0</v>
      </c>
      <c r="H73" s="48">
        <f>累计考核费用!I148/10000</f>
        <v>1.3181719999999999</v>
      </c>
      <c r="I73" s="48">
        <f>累计考核费用!J148/10000</f>
        <v>1.3181719999999999</v>
      </c>
      <c r="J73" s="48">
        <f>累计考核费用!K148/10000</f>
        <v>12.846434</v>
      </c>
      <c r="K73" s="48">
        <f>累计考核费用!L148/10000</f>
        <v>12.818030000000002</v>
      </c>
      <c r="L73" s="48">
        <f>累计考核费用!M148/10000</f>
        <v>3.3959019999999995</v>
      </c>
      <c r="M73" s="48">
        <f>累计考核费用!N148/10000</f>
        <v>1.59459</v>
      </c>
      <c r="N73" s="48">
        <f>累计考核费用!O148/10000</f>
        <v>0.61469099999999999</v>
      </c>
      <c r="O73" s="48">
        <f>累计考核费用!P148/10000</f>
        <v>2.6363439999999998</v>
      </c>
      <c r="P73" s="48">
        <f>累计考核费用!Q148/10000</f>
        <v>0</v>
      </c>
      <c r="Q73" s="48">
        <f>累计考核费用!R148/10000</f>
        <v>3.5512769999999998</v>
      </c>
      <c r="R73" s="48">
        <f>累计考核费用!S148/10000</f>
        <v>1.025226</v>
      </c>
      <c r="S73" s="48">
        <f>累计考核费用!T148/10000</f>
        <v>0</v>
      </c>
      <c r="T73" s="48">
        <f>累计考核费用!U148/10000</f>
        <v>0</v>
      </c>
      <c r="U73" s="48">
        <f>累计考核费用!V148/10000</f>
        <v>0</v>
      </c>
      <c r="V73" s="48">
        <f>累计考核费用!W148/10000</f>
        <v>0</v>
      </c>
      <c r="W73" s="48">
        <f>累计考核费用!X148/10000</f>
        <v>0</v>
      </c>
      <c r="X73" s="48">
        <f>累计考核费用!Y148/10000</f>
        <v>0</v>
      </c>
      <c r="Y73" s="48">
        <f>累计考核费用!Z148/10000</f>
        <v>0</v>
      </c>
      <c r="Z73" s="48">
        <f>累计考核费用!AA148/10000</f>
        <v>0</v>
      </c>
      <c r="AA73" s="48">
        <f>累计考核费用!AB148/10000</f>
        <v>0</v>
      </c>
      <c r="AB73" s="48">
        <f>累计考核费用!AC148/10000</f>
        <v>0</v>
      </c>
      <c r="AC73" s="48">
        <f>累计考核费用!AD148/10000</f>
        <v>0</v>
      </c>
      <c r="AD73" s="48">
        <f>累计考核费用!AE148/10000</f>
        <v>0</v>
      </c>
      <c r="AE73" s="48"/>
    </row>
    <row r="74" spans="1:31" s="2" customFormat="1">
      <c r="A74" s="47" t="s">
        <v>131</v>
      </c>
      <c r="B74" s="48">
        <f>累计考核费用!C149/10000</f>
        <v>346.10853900000001</v>
      </c>
      <c r="C74" s="48">
        <f>累计考核费用!D149/10000</f>
        <v>0</v>
      </c>
      <c r="D74" s="48">
        <f>累计考核费用!E149/10000</f>
        <v>106.47149100000001</v>
      </c>
      <c r="E74" s="48">
        <f>累计考核费用!F149/10000</f>
        <v>207.19738799999999</v>
      </c>
      <c r="F74" s="48">
        <f>累计考核费用!G149/10000</f>
        <v>25.177462999999996</v>
      </c>
      <c r="G74" s="48">
        <f>累计考核费用!H149/10000</f>
        <v>0</v>
      </c>
      <c r="H74" s="48">
        <f>累计考核费用!I149/10000</f>
        <v>2.9750700000000001</v>
      </c>
      <c r="I74" s="48">
        <f>累计考核费用!J149/10000</f>
        <v>3.0882770000000002</v>
      </c>
      <c r="J74" s="48">
        <f>累计考核费用!K149/10000</f>
        <v>19.114115999999999</v>
      </c>
      <c r="K74" s="48">
        <f>累计考核费用!L149/10000</f>
        <v>6.0779320000000014</v>
      </c>
      <c r="L74" s="48">
        <f>累计考核费用!M149/10000</f>
        <v>0.53976400000000002</v>
      </c>
      <c r="M74" s="48">
        <f>累计考核费用!N149/10000</f>
        <v>0.53976400000000002</v>
      </c>
      <c r="N74" s="48">
        <f>累计考核费用!O149/10000</f>
        <v>0.75339599999999995</v>
      </c>
      <c r="O74" s="48">
        <f>累计考核费用!P149/10000</f>
        <v>1.3315560000000002</v>
      </c>
      <c r="P74" s="48">
        <f>累计考核费用!Q149/10000</f>
        <v>1.4258960000000001</v>
      </c>
      <c r="Q74" s="48">
        <f>累计考核费用!R149/10000</f>
        <v>1.3315560000000002</v>
      </c>
      <c r="R74" s="48">
        <f>累计考核费用!S149/10000</f>
        <v>0.156</v>
      </c>
      <c r="S74" s="48">
        <f>累计考核费用!T149/10000</f>
        <v>0.41067900000000002</v>
      </c>
      <c r="T74" s="48">
        <f>累计考核费用!U149/10000</f>
        <v>0.25094299999999997</v>
      </c>
      <c r="U74" s="48">
        <f>累计考核费用!V149/10000</f>
        <v>0.122</v>
      </c>
      <c r="V74" s="48">
        <f>累计考核费用!W149/10000</f>
        <v>0</v>
      </c>
      <c r="W74" s="48">
        <f>累计考核费用!X149/10000</f>
        <v>3.7735999999999999E-2</v>
      </c>
      <c r="X74" s="48">
        <f>累计考核费用!Y149/10000</f>
        <v>0</v>
      </c>
      <c r="Y74" s="48">
        <f>累计考核费用!Z149/10000</f>
        <v>0</v>
      </c>
      <c r="Z74" s="48">
        <f>累计考核费用!AA149/10000</f>
        <v>0</v>
      </c>
      <c r="AA74" s="48">
        <f>累计考核费用!AB149/10000</f>
        <v>0.54716999999999993</v>
      </c>
      <c r="AB74" s="48">
        <f>累计考核费用!AC149/10000</f>
        <v>0.22641599999999998</v>
      </c>
      <c r="AC74" s="48">
        <f>累计考核费用!AD149/10000</f>
        <v>0</v>
      </c>
      <c r="AD74" s="48">
        <f>累计考核费用!AE149/10000</f>
        <v>0</v>
      </c>
      <c r="AE74" s="48"/>
    </row>
    <row r="75" spans="1:31" s="2" customFormat="1">
      <c r="A75" s="47" t="s">
        <v>132</v>
      </c>
      <c r="B75" s="48">
        <f>累计考核费用!C150/10000</f>
        <v>3563.4203830000015</v>
      </c>
      <c r="C75" s="48">
        <f>累计考核费用!D150/10000</f>
        <v>27.450320000000001</v>
      </c>
      <c r="D75" s="48">
        <f>累计考核费用!E150/10000</f>
        <v>226.71309100000005</v>
      </c>
      <c r="E75" s="48">
        <f>累计考核费用!F150/10000</f>
        <v>2484.095686000001</v>
      </c>
      <c r="F75" s="48">
        <f>累计考核费用!G150/10000</f>
        <v>46.88447399999999</v>
      </c>
      <c r="G75" s="48">
        <f>累计考核费用!H150/10000</f>
        <v>0.1895</v>
      </c>
      <c r="H75" s="48">
        <f>累计考核费用!I150/10000</f>
        <v>0</v>
      </c>
      <c r="I75" s="48">
        <f>累计考核费用!J150/10000</f>
        <v>18.325185000000001</v>
      </c>
      <c r="J75" s="48">
        <f>累计考核费用!K150/10000</f>
        <v>28.369789000000001</v>
      </c>
      <c r="K75" s="48">
        <f>累计考核费用!L150/10000</f>
        <v>694.74417700000015</v>
      </c>
      <c r="L75" s="48">
        <f>累计考核费用!M150/10000</f>
        <v>23.434158</v>
      </c>
      <c r="M75" s="48">
        <f>累计考核费用!N150/10000</f>
        <v>23.505945000000001</v>
      </c>
      <c r="N75" s="48">
        <f>累计考核费用!O150/10000</f>
        <v>23.408858000000002</v>
      </c>
      <c r="O75" s="48">
        <f>累计考核费用!P150/10000</f>
        <v>29.534837</v>
      </c>
      <c r="P75" s="48">
        <f>累计考核费用!Q150/10000</f>
        <v>24.056103999999998</v>
      </c>
      <c r="Q75" s="48">
        <f>累计考核费用!R150/10000</f>
        <v>28.369789000000001</v>
      </c>
      <c r="R75" s="48">
        <f>累计考核费用!S150/10000</f>
        <v>542.43448599999999</v>
      </c>
      <c r="S75" s="48">
        <f>累计考核费用!T150/10000</f>
        <v>57.825122</v>
      </c>
      <c r="T75" s="48">
        <f>累计考核费用!U150/10000</f>
        <v>0</v>
      </c>
      <c r="U75" s="48">
        <f>累计考核费用!V150/10000</f>
        <v>35.780851999999996</v>
      </c>
      <c r="V75" s="48">
        <f>累计考核费用!W150/10000</f>
        <v>22.035869999999999</v>
      </c>
      <c r="W75" s="48">
        <f>累计考核费用!X150/10000</f>
        <v>0</v>
      </c>
      <c r="X75" s="48">
        <f>累计考核费用!Y150/10000</f>
        <v>8.3999999999999995E-3</v>
      </c>
      <c r="Y75" s="48">
        <f>累计考核费用!Z150/10000</f>
        <v>0</v>
      </c>
      <c r="Z75" s="48">
        <f>累计考核费用!AA150/10000</f>
        <v>0</v>
      </c>
      <c r="AA75" s="48">
        <f>累计考核费用!AB150/10000</f>
        <v>11.302713000000001</v>
      </c>
      <c r="AB75" s="48">
        <f>累计考核费用!AC150/10000</f>
        <v>14.4048</v>
      </c>
      <c r="AC75" s="48">
        <f>累计考核费用!AD150/10000</f>
        <v>0</v>
      </c>
      <c r="AD75" s="48">
        <f>累计考核费用!AE150/10000</f>
        <v>0</v>
      </c>
      <c r="AE75" s="48"/>
    </row>
    <row r="76" spans="1:31" s="2" customFormat="1">
      <c r="A76" s="47" t="s">
        <v>133</v>
      </c>
      <c r="B76" s="48">
        <f>累计考核费用!C151/10000</f>
        <v>1621.7506449999998</v>
      </c>
      <c r="C76" s="48">
        <f>累计考核费用!D151/10000</f>
        <v>-854.39382899999987</v>
      </c>
      <c r="D76" s="48">
        <f>累计考核费用!E151/10000</f>
        <v>1223.1729810000002</v>
      </c>
      <c r="E76" s="48">
        <f>累计考核费用!F151/10000</f>
        <v>1193.7875019999999</v>
      </c>
      <c r="F76" s="48">
        <f>累计考核费用!G151/10000</f>
        <v>0.67112899999999998</v>
      </c>
      <c r="G76" s="48">
        <f>累计考核费用!H151/10000</f>
        <v>0</v>
      </c>
      <c r="H76" s="48">
        <f>累计考核费用!I151/10000</f>
        <v>0</v>
      </c>
      <c r="I76" s="48">
        <f>累计考核费用!J151/10000</f>
        <v>0.18529300000000001</v>
      </c>
      <c r="J76" s="48">
        <f>累计考核费用!K151/10000</f>
        <v>0.48583599999999999</v>
      </c>
      <c r="K76" s="48">
        <f>累计考核费用!L151/10000</f>
        <v>58.512861999999998</v>
      </c>
      <c r="L76" s="48">
        <f>累计考核费用!M151/10000</f>
        <v>2.4212229999999999</v>
      </c>
      <c r="M76" s="48">
        <f>累计考核费用!N151/10000</f>
        <v>2.421224</v>
      </c>
      <c r="N76" s="48">
        <f>累计考核费用!O151/10000</f>
        <v>2.4176960000000003</v>
      </c>
      <c r="O76" s="48">
        <f>累计考核费用!P151/10000</f>
        <v>2.7339549999999995</v>
      </c>
      <c r="P76" s="48">
        <f>累计考核费用!Q151/10000</f>
        <v>0.37697700000000001</v>
      </c>
      <c r="Q76" s="48">
        <f>累计考核费用!R151/10000</f>
        <v>1.2174339999999999</v>
      </c>
      <c r="R76" s="48">
        <f>累计考核费用!S151/10000</f>
        <v>46.924353000000004</v>
      </c>
      <c r="S76" s="48">
        <f>累计考核费用!T151/10000</f>
        <v>0</v>
      </c>
      <c r="T76" s="48">
        <f>累计考核费用!U151/10000</f>
        <v>0</v>
      </c>
      <c r="U76" s="48">
        <f>累计考核费用!V151/10000</f>
        <v>0</v>
      </c>
      <c r="V76" s="48">
        <f>累计考核费用!W151/10000</f>
        <v>0</v>
      </c>
      <c r="W76" s="48">
        <f>累计考核费用!X151/10000</f>
        <v>0</v>
      </c>
      <c r="X76" s="48">
        <f>累计考核费用!Y151/10000</f>
        <v>0</v>
      </c>
      <c r="Y76" s="48">
        <f>累计考核费用!Z151/10000</f>
        <v>0</v>
      </c>
      <c r="Z76" s="48">
        <f>累计考核费用!AA151/10000</f>
        <v>0</v>
      </c>
      <c r="AA76" s="48">
        <f>累计考核费用!AB151/10000</f>
        <v>0</v>
      </c>
      <c r="AB76" s="48">
        <f>累计考核费用!AC151/10000</f>
        <v>0</v>
      </c>
      <c r="AC76" s="48">
        <f>累计考核费用!AD151/10000</f>
        <v>0</v>
      </c>
      <c r="AD76" s="48">
        <f>累计考核费用!AE151/10000</f>
        <v>0</v>
      </c>
      <c r="AE76" s="48"/>
    </row>
    <row r="77" spans="1:31" s="2" customFormat="1">
      <c r="A77" s="47" t="s">
        <v>134</v>
      </c>
      <c r="B77" s="48">
        <f>累计考核费用!C152/10000</f>
        <v>771.49991300000011</v>
      </c>
      <c r="C77" s="48">
        <f>累计考核费用!D152/10000</f>
        <v>0</v>
      </c>
      <c r="D77" s="48">
        <f>累计考核费用!E152/10000</f>
        <v>702.667506</v>
      </c>
      <c r="E77" s="48">
        <f>累计考核费用!F152/10000</f>
        <v>58.11466200000001</v>
      </c>
      <c r="F77" s="48">
        <f>累计考核费用!G152/10000</f>
        <v>0</v>
      </c>
      <c r="G77" s="48">
        <f>累计考核费用!H152/10000</f>
        <v>0</v>
      </c>
      <c r="H77" s="48">
        <f>累计考核费用!I152/10000</f>
        <v>0</v>
      </c>
      <c r="I77" s="48">
        <f>累计考核费用!J152/10000</f>
        <v>0</v>
      </c>
      <c r="J77" s="48">
        <f>累计考核费用!K152/10000</f>
        <v>0</v>
      </c>
      <c r="K77" s="48">
        <f>累计考核费用!L152/10000</f>
        <v>10.403275000000001</v>
      </c>
      <c r="L77" s="48">
        <f>累计考核费用!M152/10000</f>
        <v>8.2600210000000001</v>
      </c>
      <c r="M77" s="48">
        <f>累计考核费用!N152/10000</f>
        <v>1.0716270000000001</v>
      </c>
      <c r="N77" s="48">
        <f>累计考核费用!O152/10000</f>
        <v>1.0716270000000001</v>
      </c>
      <c r="O77" s="48">
        <f>累计考核费用!P152/10000</f>
        <v>0</v>
      </c>
      <c r="P77" s="48">
        <f>累计考核费用!Q152/10000</f>
        <v>0</v>
      </c>
      <c r="Q77" s="48">
        <f>累计考核费用!R152/10000</f>
        <v>0</v>
      </c>
      <c r="R77" s="48">
        <f>累计考核费用!S152/10000</f>
        <v>0</v>
      </c>
      <c r="S77" s="48">
        <f>累计考核费用!T152/10000</f>
        <v>0</v>
      </c>
      <c r="T77" s="48">
        <f>累计考核费用!U152/10000</f>
        <v>0</v>
      </c>
      <c r="U77" s="48">
        <f>累计考核费用!V152/10000</f>
        <v>0</v>
      </c>
      <c r="V77" s="48">
        <f>累计考核费用!W152/10000</f>
        <v>0</v>
      </c>
      <c r="W77" s="48">
        <f>累计考核费用!X152/10000</f>
        <v>0</v>
      </c>
      <c r="X77" s="48">
        <f>累计考核费用!Y152/10000</f>
        <v>0</v>
      </c>
      <c r="Y77" s="48">
        <f>累计考核费用!Z152/10000</f>
        <v>0</v>
      </c>
      <c r="Z77" s="48">
        <f>累计考核费用!AA152/10000</f>
        <v>0</v>
      </c>
      <c r="AA77" s="48">
        <f>累计考核费用!AB152/10000</f>
        <v>0</v>
      </c>
      <c r="AB77" s="48">
        <f>累计考核费用!AC152/10000</f>
        <v>0.31447000000000003</v>
      </c>
      <c r="AC77" s="48">
        <f>累计考核费用!AD152/10000</f>
        <v>0</v>
      </c>
      <c r="AD77" s="48">
        <f>累计考核费用!AE152/10000</f>
        <v>0</v>
      </c>
      <c r="AE77" s="48"/>
    </row>
    <row r="78" spans="1:31" s="2" customFormat="1">
      <c r="A78" s="47" t="s">
        <v>135</v>
      </c>
      <c r="B78" s="48">
        <f>累计考核费用!C153/10000</f>
        <v>729.01268500000003</v>
      </c>
      <c r="C78" s="48">
        <f>累计考核费用!D153/10000</f>
        <v>0</v>
      </c>
      <c r="D78" s="48">
        <f>累计考核费用!E153/10000</f>
        <v>183.97110899999996</v>
      </c>
      <c r="E78" s="48">
        <f>累计考核费用!F153/10000</f>
        <v>507.85824100000002</v>
      </c>
      <c r="F78" s="48">
        <f>累计考核费用!G153/10000</f>
        <v>11.915964999999998</v>
      </c>
      <c r="G78" s="48">
        <f>累计考核费用!H153/10000</f>
        <v>0.96360900000000016</v>
      </c>
      <c r="H78" s="48">
        <f>累计考核费用!I153/10000</f>
        <v>0.16702600000000001</v>
      </c>
      <c r="I78" s="48">
        <f>累计考核费用!J153/10000</f>
        <v>3.2166130000000002</v>
      </c>
      <c r="J78" s="48">
        <f>累计考核费用!K153/10000</f>
        <v>7.5687169999999995</v>
      </c>
      <c r="K78" s="48">
        <f>累计考核费用!L153/10000</f>
        <v>23.542349999999999</v>
      </c>
      <c r="L78" s="48">
        <f>累计考核费用!M153/10000</f>
        <v>2.8001789999999995</v>
      </c>
      <c r="M78" s="48">
        <f>累计考核费用!N153/10000</f>
        <v>2.7227110000000003</v>
      </c>
      <c r="N78" s="48">
        <f>累计考核费用!O153/10000</f>
        <v>2.8031429999999999</v>
      </c>
      <c r="O78" s="48">
        <f>累计考核费用!P153/10000</f>
        <v>6.1939990000000016</v>
      </c>
      <c r="P78" s="48">
        <f>累计考核费用!Q153/10000</f>
        <v>2.1866920000000003</v>
      </c>
      <c r="Q78" s="48">
        <f>累计考核费用!R153/10000</f>
        <v>3.6831560000000003</v>
      </c>
      <c r="R78" s="48">
        <f>累计考核费用!S153/10000</f>
        <v>3.1524700000000005</v>
      </c>
      <c r="S78" s="48">
        <f>累计考核费用!T153/10000</f>
        <v>1.7250200000000004</v>
      </c>
      <c r="T78" s="48">
        <f>累计考核费用!U153/10000</f>
        <v>0</v>
      </c>
      <c r="U78" s="48">
        <f>累计考核费用!V153/10000</f>
        <v>0.17233700000000002</v>
      </c>
      <c r="V78" s="48">
        <f>累计考核费用!W153/10000</f>
        <v>1.5526830000000003</v>
      </c>
      <c r="W78" s="48">
        <f>累计考核费用!X153/10000</f>
        <v>0</v>
      </c>
      <c r="X78" s="48">
        <f>累计考核费用!Y153/10000</f>
        <v>0</v>
      </c>
      <c r="Y78" s="48">
        <f>累计考核费用!Z153/10000</f>
        <v>0</v>
      </c>
      <c r="Z78" s="48">
        <f>累计考核费用!AA153/10000</f>
        <v>0</v>
      </c>
      <c r="AA78" s="48">
        <f>累计考核费用!AB153/10000</f>
        <v>0</v>
      </c>
      <c r="AB78" s="48">
        <f>累计考核费用!AC153/10000</f>
        <v>0</v>
      </c>
      <c r="AC78" s="48">
        <f>累计考核费用!AD153/10000</f>
        <v>0</v>
      </c>
      <c r="AD78" s="48">
        <f>累计考核费用!AE153/10000</f>
        <v>0</v>
      </c>
      <c r="AE78" s="48"/>
    </row>
    <row r="79" spans="1:31" s="2" customFormat="1">
      <c r="A79" s="47" t="s">
        <v>136</v>
      </c>
      <c r="B79" s="48">
        <f>累计考核费用!C154/10000</f>
        <v>84.026751000000004</v>
      </c>
      <c r="C79" s="48">
        <f>累计考核费用!D154/10000</f>
        <v>0</v>
      </c>
      <c r="D79" s="48">
        <f>累计考核费用!E154/10000</f>
        <v>13.264152000000001</v>
      </c>
      <c r="E79" s="48">
        <f>累计考核费用!F154/10000</f>
        <v>53.507362999999998</v>
      </c>
      <c r="F79" s="48">
        <f>累计考核费用!G154/10000</f>
        <v>1.7212559999999997</v>
      </c>
      <c r="G79" s="48">
        <f>累计考核费用!H154/10000</f>
        <v>1.311256</v>
      </c>
      <c r="H79" s="48">
        <f>累计考核费用!I154/10000</f>
        <v>0.11</v>
      </c>
      <c r="I79" s="48">
        <f>累计考核费用!J154/10000</f>
        <v>0.3</v>
      </c>
      <c r="J79" s="48">
        <f>累计考核费用!K154/10000</f>
        <v>0</v>
      </c>
      <c r="K79" s="48">
        <f>累计考核费用!L154/10000</f>
        <v>15.53398</v>
      </c>
      <c r="L79" s="48">
        <f>累计考核费用!M154/10000</f>
        <v>0</v>
      </c>
      <c r="M79" s="48">
        <f>累计考核费用!N154/10000</f>
        <v>0</v>
      </c>
      <c r="N79" s="48">
        <f>累计考核费用!O154/10000</f>
        <v>0</v>
      </c>
      <c r="O79" s="48">
        <f>累计考核费用!P154/10000</f>
        <v>0</v>
      </c>
      <c r="P79" s="48">
        <f>累计考核费用!Q154/10000</f>
        <v>0</v>
      </c>
      <c r="Q79" s="48">
        <f>累计考核费用!R154/10000</f>
        <v>15.53398</v>
      </c>
      <c r="R79" s="48">
        <f>累计考核费用!S154/10000</f>
        <v>0</v>
      </c>
      <c r="S79" s="48">
        <f>累计考核费用!T154/10000</f>
        <v>0</v>
      </c>
      <c r="T79" s="48">
        <f>累计考核费用!U154/10000</f>
        <v>0</v>
      </c>
      <c r="U79" s="48">
        <f>累计考核费用!V154/10000</f>
        <v>0</v>
      </c>
      <c r="V79" s="48">
        <f>累计考核费用!W154/10000</f>
        <v>0</v>
      </c>
      <c r="W79" s="48">
        <f>累计考核费用!X154/10000</f>
        <v>0</v>
      </c>
      <c r="X79" s="48">
        <f>累计考核费用!Y154/10000</f>
        <v>0</v>
      </c>
      <c r="Y79" s="48">
        <f>累计考核费用!Z154/10000</f>
        <v>0</v>
      </c>
      <c r="Z79" s="48">
        <f>累计考核费用!AA154/10000</f>
        <v>0</v>
      </c>
      <c r="AA79" s="48">
        <f>累计考核费用!AB154/10000</f>
        <v>0</v>
      </c>
      <c r="AB79" s="48">
        <f>累计考核费用!AC154/10000</f>
        <v>0</v>
      </c>
      <c r="AC79" s="48">
        <f>累计考核费用!AD154/10000</f>
        <v>0</v>
      </c>
      <c r="AD79" s="48">
        <f>累计考核费用!AE154/10000</f>
        <v>0</v>
      </c>
      <c r="AE79" s="48"/>
    </row>
    <row r="80" spans="1:31" s="2" customFormat="1">
      <c r="A80" s="45" t="s">
        <v>99</v>
      </c>
      <c r="B80" s="48">
        <f>累计考核费用!C155/10000</f>
        <v>9862.4245119999996</v>
      </c>
      <c r="C80" s="48">
        <f>累计考核费用!D155/10000</f>
        <v>-826.94350899999984</v>
      </c>
      <c r="D80" s="48">
        <f>累计考核费用!E155/10000</f>
        <v>3836.1552050000005</v>
      </c>
      <c r="E80" s="48">
        <f>累计考核费用!F155/10000</f>
        <v>5688.2369230000013</v>
      </c>
      <c r="F80" s="48">
        <f>累计考核费用!G155/10000</f>
        <v>117.508098</v>
      </c>
      <c r="G80" s="48">
        <f>累计考核费用!H155/10000</f>
        <v>5.673953</v>
      </c>
      <c r="H80" s="48">
        <f>累计考核费用!I155/10000</f>
        <v>5.206391</v>
      </c>
      <c r="I80" s="48">
        <f>累计考核费用!J155/10000</f>
        <v>29.995889000000002</v>
      </c>
      <c r="J80" s="48">
        <f>累计考核费用!K155/10000</f>
        <v>76.631865000000005</v>
      </c>
      <c r="K80" s="48">
        <f>累计考核费用!L155/10000</f>
        <v>888.23585800000023</v>
      </c>
      <c r="L80" s="48">
        <f>累计考核费用!M155/10000</f>
        <v>45.902368999999993</v>
      </c>
      <c r="M80" s="48">
        <f>累计考核费用!N155/10000</f>
        <v>49.215572999999999</v>
      </c>
      <c r="N80" s="48">
        <f>累计考核费用!O155/10000</f>
        <v>36.213670000000008</v>
      </c>
      <c r="O80" s="48">
        <f>累计考核费用!P155/10000</f>
        <v>48.553322999999999</v>
      </c>
      <c r="P80" s="48">
        <f>累计考核费用!Q155/10000</f>
        <v>33.106327999999998</v>
      </c>
      <c r="Q80" s="48">
        <f>累计考核费用!R155/10000</f>
        <v>59.429844999999993</v>
      </c>
      <c r="R80" s="48">
        <f>累计考核费用!S155/10000</f>
        <v>615.81475000000012</v>
      </c>
      <c r="S80" s="48">
        <f>累计考核费用!T155/10000</f>
        <v>123.140472</v>
      </c>
      <c r="T80" s="48">
        <f>累计考核费用!U155/10000</f>
        <v>1.7412720000000002</v>
      </c>
      <c r="U80" s="48">
        <f>累计考核费用!V155/10000</f>
        <v>90.040889000000007</v>
      </c>
      <c r="V80" s="48">
        <f>累计考核费用!W155/10000</f>
        <v>30.6189</v>
      </c>
      <c r="W80" s="48">
        <f>累计考核费用!X155/10000</f>
        <v>0.43498000000000003</v>
      </c>
      <c r="X80" s="48">
        <f>累计考核费用!Y155/10000</f>
        <v>0.26243099999999997</v>
      </c>
      <c r="Y80" s="48">
        <f>累计考核费用!Z155/10000</f>
        <v>4.2000000000000003E-2</v>
      </c>
      <c r="Z80" s="48">
        <f>累计考核费用!AA155/10000</f>
        <v>0</v>
      </c>
      <c r="AA80" s="48">
        <f>累计考核费用!AB155/10000</f>
        <v>15.483477000000002</v>
      </c>
      <c r="AB80" s="48">
        <f>累计考核费用!AC155/10000</f>
        <v>20.607987999999999</v>
      </c>
      <c r="AC80" s="48">
        <f>累计考核费用!AD155/10000</f>
        <v>0</v>
      </c>
      <c r="AD80" s="48">
        <f>累计考核费用!AE155/10000</f>
        <v>0</v>
      </c>
      <c r="AE80" s="48"/>
    </row>
    <row r="81" spans="1:31" s="2" customFormat="1">
      <c r="A81" s="45" t="s">
        <v>3</v>
      </c>
      <c r="B81" s="48">
        <f>累计考核费用!C156/10000</f>
        <v>64376.744380999997</v>
      </c>
      <c r="C81" s="48">
        <f>累计考核费用!D156/10000</f>
        <v>-78.021438000000089</v>
      </c>
      <c r="D81" s="48">
        <f>累计考核费用!E156/10000</f>
        <v>15323.250962</v>
      </c>
      <c r="E81" s="48">
        <f>累计考核费用!F156/10000</f>
        <v>31253.679861000001</v>
      </c>
      <c r="F81" s="48">
        <f>累计考核费用!G156/10000</f>
        <v>1766.1113369999998</v>
      </c>
      <c r="G81" s="48">
        <f>累计考核费用!H156/10000</f>
        <v>426.19977699999987</v>
      </c>
      <c r="H81" s="48">
        <f>累计考核费用!I156/10000</f>
        <v>311.615612</v>
      </c>
      <c r="I81" s="48">
        <f>累计考核费用!J156/10000</f>
        <v>418.45959199999999</v>
      </c>
      <c r="J81" s="48">
        <f>累计考核费用!K156/10000</f>
        <v>609.83635599999991</v>
      </c>
      <c r="K81" s="48">
        <f>累计考核费用!L156/10000</f>
        <v>3131.3247800000004</v>
      </c>
      <c r="L81" s="48">
        <f>累计考核费用!M156/10000</f>
        <v>273.74932899999999</v>
      </c>
      <c r="M81" s="48">
        <f>累计考核费用!N156/10000</f>
        <v>363.36096000000003</v>
      </c>
      <c r="N81" s="48">
        <f>累计考核费用!O156/10000</f>
        <v>163.42144000000005</v>
      </c>
      <c r="O81" s="48">
        <f>累计考核费用!P156/10000</f>
        <v>704.650351</v>
      </c>
      <c r="P81" s="48">
        <f>累计考核费用!Q156/10000</f>
        <v>337.41627900000003</v>
      </c>
      <c r="Q81" s="48">
        <f>累计考核费用!R156/10000</f>
        <v>368.48541599999999</v>
      </c>
      <c r="R81" s="48">
        <f>累计考核费用!S156/10000</f>
        <v>920.24100500000009</v>
      </c>
      <c r="S81" s="48">
        <f>累计考核费用!T156/10000</f>
        <v>11600.569309</v>
      </c>
      <c r="T81" s="48">
        <f>累计考核费用!U156/10000</f>
        <v>959.18574200000023</v>
      </c>
      <c r="U81" s="48">
        <f>累计考核费用!V156/10000</f>
        <v>8011.8341329999994</v>
      </c>
      <c r="V81" s="48">
        <f>累计考核费用!W156/10000</f>
        <v>2126.6500249999995</v>
      </c>
      <c r="W81" s="48">
        <f>累计考核费用!X156/10000</f>
        <v>281.77345000000003</v>
      </c>
      <c r="X81" s="48">
        <f>累计考核费用!Y156/10000</f>
        <v>165.51358300000001</v>
      </c>
      <c r="Y81" s="48">
        <f>累计考核费用!Z156/10000</f>
        <v>41.089096999999995</v>
      </c>
      <c r="Z81" s="48">
        <f>累计考核费用!AA156/10000</f>
        <v>14.523279</v>
      </c>
      <c r="AA81" s="48">
        <f>累计考核费用!AB156/10000</f>
        <v>692.59021199999995</v>
      </c>
      <c r="AB81" s="48">
        <f>累计考核费用!AC156/10000</f>
        <v>687.23935800000004</v>
      </c>
      <c r="AC81" s="48">
        <f>累计考核费用!AD156/10000</f>
        <v>0</v>
      </c>
      <c r="AD81" s="48">
        <f>累计考核费用!AE156/10000</f>
        <v>0</v>
      </c>
      <c r="AE81" s="48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86</v>
      </c>
      <c r="B1" s="5" t="s">
        <v>87</v>
      </c>
      <c r="C1" s="4" t="s">
        <v>87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12</v>
      </c>
      <c r="J1" s="23" t="s">
        <v>67</v>
      </c>
      <c r="K1" s="23" t="s">
        <v>17</v>
      </c>
      <c r="L1" s="23" t="s">
        <v>16</v>
      </c>
      <c r="M1" s="23" t="s">
        <v>15</v>
      </c>
      <c r="N1" s="23" t="s">
        <v>18</v>
      </c>
      <c r="O1" s="23" t="s">
        <v>68</v>
      </c>
      <c r="P1" s="23" t="s">
        <v>19</v>
      </c>
      <c r="Q1" s="23" t="s">
        <v>412</v>
      </c>
      <c r="R1" s="6" t="s">
        <v>69</v>
      </c>
      <c r="S1" s="6" t="s">
        <v>20</v>
      </c>
      <c r="T1" s="23" t="s">
        <v>71</v>
      </c>
      <c r="U1" s="23" t="s">
        <v>70</v>
      </c>
      <c r="V1" s="23" t="s">
        <v>415</v>
      </c>
      <c r="W1" s="23" t="s">
        <v>484</v>
      </c>
      <c r="X1" s="6" t="s">
        <v>28</v>
      </c>
      <c r="Y1" s="23" t="s">
        <v>29</v>
      </c>
      <c r="Z1" s="23" t="s">
        <v>30</v>
      </c>
      <c r="AA1" s="6" t="s">
        <v>31</v>
      </c>
      <c r="AB1" s="6" t="s">
        <v>32</v>
      </c>
    </row>
    <row r="2" spans="1:28" s="2" customFormat="1" ht="12" customHeight="1">
      <c r="A2" s="279" t="s">
        <v>88</v>
      </c>
      <c r="B2" s="7" t="s">
        <v>89</v>
      </c>
      <c r="C2" s="7" t="s">
        <v>89</v>
      </c>
      <c r="D2" s="8">
        <f>SUMIF(累计考核费用!$B$107:$B$156,原格式费用考核表!$B2,累计考核费用!C$107:C$156)/10000+累计考核费用!C116/10000</f>
        <v>19815.813304000003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5200.6463629999989</v>
      </c>
      <c r="G2" s="8">
        <f>SUMIF(累计考核费用!$B$107:$B$156,原格式费用考核表!$B2,累计考核费用!F$107:F$156)/10000+累计考核费用!F116/10000</f>
        <v>9344.9911080000002</v>
      </c>
      <c r="H2" s="8">
        <f>SUMIF(累计考核费用!$B$107:$B$156,原格式费用考核表!$B2,累计考核费用!G$107:G$156)/10000+累计考核费用!G116/10000</f>
        <v>895.0003479999998</v>
      </c>
      <c r="I2" s="8">
        <f>SUMIF(累计考核费用!$B$107:$B$156,原格式费用考核表!$B2,累计考核费用!L$107:L$156)/10000+累计考核费用!L116/10000</f>
        <v>1279.950059</v>
      </c>
      <c r="J2" s="8">
        <f>SUMIF(累计考核费用!$B$107:$B$156,原格式费用考核表!$B2,累计考核费用!M$107:M$156)/10000+累计考核费用!M116/10000</f>
        <v>89.796227999999999</v>
      </c>
      <c r="K2" s="8">
        <f>SUMIF(累计考核费用!$B$107:$B$156,原格式费用考核表!$B2,累计考核费用!Q$107:Q$156)/10000+累计考核费用!Q116/10000</f>
        <v>188.14826900000003</v>
      </c>
      <c r="L2" s="8">
        <f>SUMIF(累计考核费用!$B$107:$B$156,原格式费用考核表!$B2,累计考核费用!P$107:P$156)/10000+累计考核费用!P116/10000</f>
        <v>364.57592599999998</v>
      </c>
      <c r="M2" s="8">
        <f>SUMIF(累计考核费用!$B$107:$B$156,原格式费用考核表!$B2,累计考核费用!O$107:O$156)/10000+累计考核费用!O116/10000</f>
        <v>63.259690000000013</v>
      </c>
      <c r="N2" s="8">
        <f>SUMIF(累计考核费用!$B$107:$B$156,原格式费用考核表!$B2,累计考核费用!R$107:R$156)/10000+累计考核费用!R116/10000</f>
        <v>209.61885299999997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197.31685300000001</v>
      </c>
      <c r="Q2" s="8" t="e">
        <f>SUMIF(累计考核费用!$B$107:$B$156,原格式费用考核表!$B2,累计考核费用!#REF!)/10000+累计考核费用!#REF!/10000</f>
        <v>#REF!</v>
      </c>
      <c r="R2" s="8">
        <f>SUMIF(累计考核费用!$B$107:$B$156,原格式费用考核表!$B2,累计考核费用!T$107:T$156)/10000+累计考核费用!T116/10000</f>
        <v>2170.8730249999999</v>
      </c>
      <c r="S2" s="8">
        <f>SUMIF(累计考核费用!$B$107:$B$156,原格式费用考核表!$B2,累计考核费用!U$107:U$156)/10000+累计考核费用!U116/10000</f>
        <v>411.88339999999999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SUMIF(累计考核费用!$B$107:$B$156,原格式费用考核表!$B2,累计考核费用!V$107:V$156)/10000+累计考核费用!V116/10000</f>
        <v>740.71876599999996</v>
      </c>
      <c r="V2" s="8">
        <f>SUMIF(累计考核费用!$B$107:$B$156,原格式费用考核表!$B2,累计考核费用!W$107:W$156)/10000+累计考核费用!W116/10000</f>
        <v>806.96125999999992</v>
      </c>
      <c r="W2" s="8">
        <f>SUMIF(累计考核费用!$B$107:$B$156,原格式费用考核表!$B2,累计考核费用!AB$107:AB$156)/10000+累计考核费用!AB116/10000</f>
        <v>456.56895899999995</v>
      </c>
      <c r="X2" s="8" t="e">
        <f>SUMIF(累计考核费用!$B$107:$B$156,原格式费用考核表!$B2,累计考核费用!#REF!)/10000+累计考核费用!#REF!/10000</f>
        <v>#REF!</v>
      </c>
      <c r="Y2" s="8" t="e">
        <f>SUMIF(累计考核费用!$B$107:$B$156,原格式费用考核表!$B2,累计考核费用!#REF!)/10000+累计考核费用!#REF!/10000</f>
        <v>#REF!</v>
      </c>
      <c r="Z2" s="8" t="e">
        <f>SUMIF(累计考核费用!$B$107:$B$156,原格式费用考核表!$B2,累计考核费用!#REF!)/10000+累计考核费用!#REF!/10000</f>
        <v>#REF!</v>
      </c>
      <c r="AA2" s="8">
        <f>SUMIF(累计考核费用!$B$107:$B$156,原格式费用考核表!$B2,累计考核费用!AC$107:AC$156)/10000+累计考核费用!AC116/10000</f>
        <v>467.78344199999998</v>
      </c>
      <c r="AB2" s="8" t="e">
        <f>SUMIF(累计考核费用!$B$107:$B$156,原格式费用考核表!$B2,累计考核费用!#REF!)/10000+累计考核费用!#REF!/10000</f>
        <v>#REF!</v>
      </c>
    </row>
    <row r="3" spans="1:28" s="2" customFormat="1" ht="12" customHeight="1">
      <c r="A3" s="280"/>
      <c r="B3" s="7" t="s">
        <v>90</v>
      </c>
      <c r="C3" s="7" t="s">
        <v>90</v>
      </c>
      <c r="D3" s="8">
        <f>SUMIF(累计考核费用!$B$107:$B$156,原格式费用考核表!$B3,累计考核费用!C$107:C$156)/10000</f>
        <v>314.80683699999997</v>
      </c>
      <c r="E3" s="8">
        <f>SUMIF(累计考核费用!$B$107:$B$156,原格式费用考核表!$B3,累计考核费用!D$107:D$156)/10000</f>
        <v>0</v>
      </c>
      <c r="F3" s="8">
        <f>SUMIF(累计考核费用!$B$107:$B$156,原格式费用考核表!$B3,累计考核费用!E$107:E$156)/10000</f>
        <v>98.569069999999996</v>
      </c>
      <c r="G3" s="8">
        <f>SUMIF(累计考核费用!$B$107:$B$156,原格式费用考核表!$B3,累计考核费用!F$107:F$156)/10000</f>
        <v>125.67849699999999</v>
      </c>
      <c r="H3" s="8">
        <f>SUMIF(累计考核费用!$B$107:$B$156,原格式费用考核表!$B3,累计考核费用!G$107:G$156)/10000</f>
        <v>14.909591999999998</v>
      </c>
      <c r="I3" s="8">
        <f>SUMIF(累计考核费用!$B$107:$B$156,原格式费用考核表!$B3,累计考核费用!L$107:L$156)/10000</f>
        <v>9.8334360000000007</v>
      </c>
      <c r="J3" s="8">
        <f>SUMIF(累计考核费用!$B$107:$B$156,原格式费用考核表!$B3,累计考核费用!M$107:M$156)/10000</f>
        <v>0.65300000000000002</v>
      </c>
      <c r="K3" s="8">
        <f>SUMIF(累计考核费用!$B$107:$B$156,原格式费用考核表!$B3,累计考核费用!Q$107:Q$156)/10000</f>
        <v>1.26</v>
      </c>
      <c r="L3" s="8">
        <f>SUMIF(累计考核费用!$B$107:$B$156,原格式费用考核表!$B3,累计考核费用!P$107:P$156)/10000</f>
        <v>2.1617599999999997</v>
      </c>
      <c r="M3" s="8">
        <f>SUMIF(累计考核费用!$B$107:$B$156,原格式费用考核表!$B3,累计考核费用!O$107:O$156)/10000</f>
        <v>0.16300000000000001</v>
      </c>
      <c r="N3" s="8">
        <f>SUMIF(累计考核费用!$B$107:$B$156,原格式费用考核表!$B3,累计考核费用!R$107:R$156)/10000</f>
        <v>0.31508600000000003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4.94109</v>
      </c>
      <c r="Q3" s="8" t="e">
        <f>SUMIF(累计考核费用!$B$107:$B$156,原格式费用考核表!$B3,累计考核费用!#REF!)/10000</f>
        <v>#REF!</v>
      </c>
      <c r="R3" s="8">
        <f>SUMIF(累计考核费用!$B$107:$B$156,原格式费用考核表!$B3,累计考核费用!T$107:T$156)/10000</f>
        <v>40.208962</v>
      </c>
      <c r="S3" s="8">
        <f>SUMIF(累计考核费用!$B$107:$B$156,原格式费用考核表!$B3,累计考核费用!U$107:U$156)/10000</f>
        <v>8.8383869999999991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SUMIF(累计考核费用!$B$107:$B$156,原格式费用考核表!$B3,累计考核费用!V$107:V$156)/10000</f>
        <v>20.014951</v>
      </c>
      <c r="V3" s="8">
        <f>SUMIF(累计考核费用!$B$107:$B$156,原格式费用考核表!$B3,累计考核费用!W$107:W$156)/10000</f>
        <v>9.4669119999999989</v>
      </c>
      <c r="W3" s="8">
        <f>SUMIF(累计考核费用!$B$107:$B$156,原格式费用考核表!$B3,累计考核费用!AB$107:AB$156)/10000</f>
        <v>14.294279999999999</v>
      </c>
      <c r="X3" s="8" t="e">
        <f>SUMIF(累计考核费用!$B$107:$B$156,原格式费用考核表!$B3,累计考核费用!#REF!)/10000</f>
        <v>#REF!</v>
      </c>
      <c r="Y3" s="8" t="e">
        <f>SUMIF(累计考核费用!$B$107:$B$156,原格式费用考核表!$B3,累计考核费用!#REF!)/10000</f>
        <v>#REF!</v>
      </c>
      <c r="Z3" s="8" t="e">
        <f>SUMIF(累计考核费用!$B$107:$B$156,原格式费用考核表!$B3,累计考核费用!#REF!)/10000</f>
        <v>#REF!</v>
      </c>
      <c r="AA3" s="8">
        <f>SUMIF(累计考核费用!$B$107:$B$156,原格式费用考核表!$B3,累计考核费用!AC$107:AC$156)/10000</f>
        <v>11.313000000000001</v>
      </c>
      <c r="AB3" s="8" t="e">
        <f>SUMIF(累计考核费用!$B$107:$B$156,原格式费用考核表!$B3,累计考核费用!#REF!)/10000</f>
        <v>#REF!</v>
      </c>
    </row>
    <row r="4" spans="1:28" s="2" customFormat="1" ht="12" customHeight="1">
      <c r="A4" s="280"/>
      <c r="B4" s="7" t="s">
        <v>91</v>
      </c>
      <c r="C4" s="7" t="s">
        <v>91</v>
      </c>
      <c r="D4" s="8">
        <f>SUMIF(累计考核费用!$B$107:$B$156,原格式费用考核表!$B4,累计考核费用!C$107:C$156)/10000</f>
        <v>637.97889900000007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61.603009</v>
      </c>
      <c r="G4" s="8">
        <f>SUMIF(累计考核费用!$B$107:$B$156,原格式费用考核表!$B4,累计考核费用!F$107:F$156)/10000</f>
        <v>322.44375500000007</v>
      </c>
      <c r="H4" s="8">
        <f>SUMIF(累计考核费用!$B$107:$B$156,原格式费用考核表!$B4,累计考核费用!G$107:G$156)/10000</f>
        <v>20.196644000000003</v>
      </c>
      <c r="I4" s="8">
        <f>SUMIF(累计考核费用!$B$107:$B$156,原格式费用考核表!$B4,累计考核费用!L$107:L$156)/10000</f>
        <v>25.187880000000003</v>
      </c>
      <c r="J4" s="8">
        <f>SUMIF(累计考核费用!$B$107:$B$156,原格式费用考核表!$B4,累计考核费用!M$107:M$156)/10000</f>
        <v>1.7804819999999999</v>
      </c>
      <c r="K4" s="8">
        <f>SUMIF(累计考核费用!$B$107:$B$156,原格式费用考核表!$B4,累计考核费用!Q$107:Q$156)/10000</f>
        <v>3.8192440000000003</v>
      </c>
      <c r="L4" s="8">
        <f>SUMIF(累计考核费用!$B$107:$B$156,原格式费用考核表!$B4,累计考核费用!P$107:P$156)/10000</f>
        <v>7.3947589999999996</v>
      </c>
      <c r="M4" s="8">
        <f>SUMIF(累计考核费用!$B$107:$B$156,原格式费用考核表!$B4,累计考核费用!O$107:O$156)/10000</f>
        <v>1.287873</v>
      </c>
      <c r="N4" s="8">
        <f>SUMIF(累计考核费用!$B$107:$B$156,原格式费用考核表!$B4,累计考核费用!R$107:R$156)/10000</f>
        <v>4.2584570000000008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3.2207790000000003</v>
      </c>
      <c r="Q4" s="8" t="e">
        <f>SUMIF(累计考核费用!$B$107:$B$156,原格式费用考核表!$B4,累计考核费用!#REF!)/10000</f>
        <v>#REF!</v>
      </c>
      <c r="R4" s="8">
        <f>SUMIF(累计考核费用!$B$107:$B$156,原格式费用考核表!$B4,累计考核费用!T$107:T$156)/10000</f>
        <v>194.99283200000002</v>
      </c>
      <c r="S4" s="8">
        <f>SUMIF(累计考核费用!$B$107:$B$156,原格式费用考核表!$B4,累计考核费用!U$107:U$156)/10000</f>
        <v>11.006870000000001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SUMIF(累计考核费用!$B$107:$B$156,原格式费用考核表!$B4,累计考核费用!V$107:V$156)/10000</f>
        <v>149.55337600000001</v>
      </c>
      <c r="V4" s="8">
        <f>SUMIF(累计考核费用!$B$107:$B$156,原格式费用考核表!$B4,累计考核费用!W$107:W$156)/10000</f>
        <v>30.049429999999997</v>
      </c>
      <c r="W4" s="8">
        <f>SUMIF(累计考核费用!$B$107:$B$156,原格式费用考核表!$B4,累计考核费用!AB$107:AB$156)/10000</f>
        <v>5.9033129999999989</v>
      </c>
      <c r="X4" s="8" t="e">
        <f>SUMIF(累计考核费用!$B$107:$B$156,原格式费用考核表!$B4,累计考核费用!#REF!)/10000</f>
        <v>#REF!</v>
      </c>
      <c r="Y4" s="8" t="e">
        <f>SUMIF(累计考核费用!$B$107:$B$156,原格式费用考核表!$B4,累计考核费用!#REF!)/10000</f>
        <v>#REF!</v>
      </c>
      <c r="Z4" s="8" t="e">
        <f>SUMIF(累计考核费用!$B$107:$B$156,原格式费用考核表!$B4,累计考核费用!#REF!)/10000</f>
        <v>#REF!</v>
      </c>
      <c r="AA4" s="8">
        <f>SUMIF(累计考核费用!$B$107:$B$156,原格式费用考核表!$B4,累计考核费用!AC$107:AC$156)/10000</f>
        <v>7.6514660000000001</v>
      </c>
      <c r="AB4" s="8" t="e">
        <f>SUMIF(累计考核费用!$B$107:$B$156,原格式费用考核表!$B4,累计考核费用!#REF!)/10000</f>
        <v>#REF!</v>
      </c>
    </row>
    <row r="5" spans="1:28" s="2" customFormat="1" ht="12" customHeight="1">
      <c r="A5" s="280"/>
      <c r="B5" s="7" t="s">
        <v>93</v>
      </c>
      <c r="C5" s="7" t="s">
        <v>92</v>
      </c>
      <c r="D5" s="8">
        <f>SUMIF(累计考核费用!$B$107:$B$156,原格式费用考核表!$B5,累计考核费用!C$107:C$156)/10000</f>
        <v>5425.0134279999984</v>
      </c>
      <c r="E5" s="8">
        <f>SUMIF(累计考核费用!$B$107:$B$156,原格式费用考核表!$B5,累计考核费用!D$107:D$156)/10000</f>
        <v>0</v>
      </c>
      <c r="F5" s="8">
        <f>SUMIF(累计考核费用!$B$107:$B$156,原格式费用考核表!$B5,累计考核费用!E$107:E$156)/10000</f>
        <v>1278.62895</v>
      </c>
      <c r="G5" s="8">
        <f>SUMIF(累计考核费用!$B$107:$B$156,原格式费用考核表!$B5,累计考核费用!F$107:F$156)/10000</f>
        <v>2777.0541729999991</v>
      </c>
      <c r="H5" s="8">
        <f>SUMIF(累计考核费用!$B$107:$B$156,原格式费用考核表!$B5,累计考核费用!G$107:G$156)/10000</f>
        <v>244.86236400000007</v>
      </c>
      <c r="I5" s="8">
        <f>SUMIF(累计考核费用!$B$107:$B$156,原格式费用考核表!$B5,累计考核费用!L$107:L$156)/10000</f>
        <v>269.807548</v>
      </c>
      <c r="J5" s="8">
        <f>SUMIF(累计考核费用!$B$107:$B$156,原格式费用考核表!$B5,累计考核费用!M$107:M$156)/10000</f>
        <v>14.375463999999999</v>
      </c>
      <c r="K5" s="8">
        <f>SUMIF(累计考核费用!$B$107:$B$156,原格式费用考核表!$B5,累计考核费用!Q$107:Q$156)/10000</f>
        <v>40.751889999999996</v>
      </c>
      <c r="L5" s="8">
        <f>SUMIF(累计考核费用!$B$107:$B$156,原格式费用考核表!$B5,累计考核费用!P$107:P$156)/10000</f>
        <v>86.159317999999999</v>
      </c>
      <c r="M5" s="8">
        <f>SUMIF(累计考核费用!$B$107:$B$156,原格式费用考核表!$B5,累计考核费用!O$107:O$156)/10000</f>
        <v>11.668949999999999</v>
      </c>
      <c r="N5" s="8">
        <f>SUMIF(累计考核费用!$B$107:$B$156,原格式费用考核表!$B5,累计考核费用!R$107:R$156)/10000</f>
        <v>39.736731000000006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38.125801999999993</v>
      </c>
      <c r="Q5" s="8" t="e">
        <f>SUMIF(累计考核费用!$B$107:$B$156,原格式费用考核表!$B5,累计考核费用!#REF!)/10000</f>
        <v>#REF!</v>
      </c>
      <c r="R5" s="8">
        <f>SUMIF(累计考核费用!$B$107:$B$156,原格式费用考核表!$B5,累计考核费用!T$107:T$156)/10000</f>
        <v>632.45873600000004</v>
      </c>
      <c r="S5" s="8">
        <f>SUMIF(累计考核费用!$B$107:$B$156,原格式费用考核表!$B5,累计考核费用!U$107:U$156)/10000</f>
        <v>133.61834000000002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SUMIF(累计考核费用!$B$107:$B$156,原格式费用考核表!$B5,累计考核费用!V$107:V$156)/10000</f>
        <v>219.38435900000002</v>
      </c>
      <c r="V5" s="8">
        <f>SUMIF(累计考核费用!$B$107:$B$156,原格式费用考核表!$B5,累计考核费用!W$107:W$156)/10000</f>
        <v>210.14027699999997</v>
      </c>
      <c r="W5" s="8">
        <f>SUMIF(累计考核费用!$B$107:$B$156,原格式费用考核表!$B5,累计考核费用!AB$107:AB$156)/10000</f>
        <v>89.080923999999982</v>
      </c>
      <c r="X5" s="8" t="e">
        <f>SUMIF(累计考核费用!$B$107:$B$156,原格式费用考核表!$B5,累计考核费用!#REF!)/10000</f>
        <v>#REF!</v>
      </c>
      <c r="Y5" s="8" t="e">
        <f>SUMIF(累计考核费用!$B$107:$B$156,原格式费用考核表!$B5,累计考核费用!#REF!)/10000</f>
        <v>#REF!</v>
      </c>
      <c r="Z5" s="8" t="e">
        <f>SUMIF(累计考核费用!$B$107:$B$156,原格式费用考核表!$B5,累计考核费用!#REF!)/10000</f>
        <v>#REF!</v>
      </c>
      <c r="AA5" s="8">
        <f>SUMIF(累计考核费用!$B$107:$B$156,原格式费用考核表!$B5,累计考核费用!AC$107:AC$156)/10000</f>
        <v>133.12073299999997</v>
      </c>
      <c r="AB5" s="8" t="e">
        <f>SUMIF(累计考核费用!$B$107:$B$156,原格式费用考核表!$B5,累计考核费用!#REF!)/10000</f>
        <v>#REF!</v>
      </c>
    </row>
    <row r="6" spans="1:28" s="2" customFormat="1" ht="12" customHeight="1">
      <c r="A6" s="280"/>
      <c r="B6" s="7" t="s">
        <v>94</v>
      </c>
      <c r="C6" s="7" t="s">
        <v>93</v>
      </c>
      <c r="D6" s="8">
        <f>SUMIF(累计考核费用!$B$107:$B$156,原格式费用考核表!$B6,累计考核费用!C$107:C$156)/10000</f>
        <v>35.974437000000002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20</v>
      </c>
      <c r="G6" s="8">
        <f>SUMIF(累计考核费用!$B$107:$B$156,原格式费用考核表!$B6,累计考核费用!F$107:F$156)/10000</f>
        <v>11.274900000000001</v>
      </c>
      <c r="H6" s="8">
        <f>SUMIF(累计考核费用!$B$107:$B$156,原格式费用考核表!$B6,累计考核费用!G$107:G$156)/10000</f>
        <v>4.6995370000000003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SUMIF(累计考核费用!$B$107:$B$156,原格式费用考核表!$B6,累计考核费用!Q$107:Q$156)/10000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SUMIF(累计考核费用!$B$107:$B$156,原格式费用考核表!$B6,累计考核费用!O$107:O$156)/10000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 t="e">
        <f>SUMIF(累计考核费用!$B$107:$B$156,原格式费用考核表!$B6,累计考核费用!#REF!)/10000</f>
        <v>#REF!</v>
      </c>
      <c r="R6" s="8">
        <f>SUMIF(累计考核费用!$B$107:$B$156,原格式费用考核表!$B6,累计考核费用!T$107:T$156)/10000</f>
        <v>0</v>
      </c>
      <c r="S6" s="8">
        <f>SUMIF(累计考核费用!$B$107:$B$156,原格式费用考核表!$B6,累计考核费用!U$107:U$156)/10000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SUMIF(累计考核费用!$B$107:$B$156,原格式费用考核表!$B6,累计考核费用!V$107:V$156)/10000</f>
        <v>0</v>
      </c>
      <c r="V6" s="8">
        <f>SUMIF(累计考核费用!$B$107:$B$156,原格式费用考核表!$B6,累计考核费用!W$107:W$156)/10000</f>
        <v>0</v>
      </c>
      <c r="W6" s="8">
        <f>SUMIF(累计考核费用!$B$107:$B$156,原格式费用考核表!$B6,累计考核费用!AB$107:AB$156)/10000</f>
        <v>0</v>
      </c>
      <c r="X6" s="8" t="e">
        <f>SUMIF(累计考核费用!$B$107:$B$156,原格式费用考核表!$B6,累计考核费用!#REF!)/10000</f>
        <v>#REF!</v>
      </c>
      <c r="Y6" s="8" t="e">
        <f>SUMIF(累计考核费用!$B$107:$B$156,原格式费用考核表!$B6,累计考核费用!#REF!)/10000</f>
        <v>#REF!</v>
      </c>
      <c r="Z6" s="8" t="e">
        <f>SUMIF(累计考核费用!$B$107:$B$156,原格式费用考核表!$B6,累计考核费用!#REF!)/10000</f>
        <v>#REF!</v>
      </c>
      <c r="AA6" s="8">
        <f>SUMIF(累计考核费用!$B$107:$B$156,原格式费用考核表!$B6,累计考核费用!AC$107:AC$156)/10000</f>
        <v>0</v>
      </c>
      <c r="AB6" s="8" t="e">
        <f>SUMIF(累计考核费用!$B$107:$B$156,原格式费用考核表!$B6,累计考核费用!#REF!)/10000</f>
        <v>#REF!</v>
      </c>
    </row>
    <row r="7" spans="1:28" s="2" customFormat="1" ht="12" customHeight="1">
      <c r="A7" s="280"/>
      <c r="B7" s="7" t="s">
        <v>95</v>
      </c>
      <c r="C7" s="7" t="s">
        <v>94</v>
      </c>
      <c r="D7" s="8">
        <f>SUMIF(累计考核费用!$B$107:$B$156,原格式费用考核表!$B7,累计考核费用!C$107:C$156)/10000</f>
        <v>271.14051700000005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257.05168899999995</v>
      </c>
      <c r="G7" s="8">
        <f>SUMIF(累计考核费用!$B$107:$B$156,原格式费用考核表!$B7,累计考核费用!F$107:F$156)/10000</f>
        <v>13.794647999999995</v>
      </c>
      <c r="H7" s="8">
        <f>SUMIF(累计考核费用!$B$107:$B$156,原格式费用考核表!$B7,累计考核费用!G$107:G$156)/10000</f>
        <v>1.1789100000000001</v>
      </c>
      <c r="I7" s="8">
        <f>SUMIF(累计考核费用!$B$107:$B$156,原格式费用考核表!$B7,累计考核费用!L$107:L$156)/10000</f>
        <v>-9.4529999999999989E-2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SUMIF(累计考核费用!$B$107:$B$156,原格式费用考核表!$B7,累计考核费用!Q$107:Q$156)/10000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SUMIF(累计考核费用!$B$107:$B$156,原格式费用考核表!$B7,累计考核费用!O$107:O$156)/10000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-9.4529999999999989E-2</v>
      </c>
      <c r="Q7" s="8" t="e">
        <f>SUMIF(累计考核费用!$B$107:$B$156,原格式费用考核表!$B7,累计考核费用!#REF!)/10000</f>
        <v>#REF!</v>
      </c>
      <c r="R7" s="8">
        <f>SUMIF(累计考核费用!$B$107:$B$156,原格式费用考核表!$B7,累计考核费用!T$107:T$156)/10000</f>
        <v>-0.48962999999999995</v>
      </c>
      <c r="S7" s="8">
        <f>SUMIF(累计考核费用!$B$107:$B$156,原格式费用考核表!$B7,累计考核费用!U$107:U$156)/10000</f>
        <v>-0.11150999999999998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SUMIF(累计考核费用!$B$107:$B$156,原格式费用考核表!$B7,累计考核费用!V$107:V$156)/10000</f>
        <v>-9.4529999999999989E-2</v>
      </c>
      <c r="V7" s="8">
        <f>SUMIF(累计考核费用!$B$107:$B$156,原格式费用考核表!$B7,累计考核费用!W$107:W$156)/10000</f>
        <v>-0.28358999999999995</v>
      </c>
      <c r="W7" s="8">
        <f>SUMIF(累计考核费用!$B$107:$B$156,原格式费用考核表!$B7,累计考核费用!AB$107:AB$156)/10000</f>
        <v>-9.4529999999999989E-2</v>
      </c>
      <c r="X7" s="8" t="e">
        <f>SUMIF(累计考核费用!$B$107:$B$156,原格式费用考核表!$B7,累计考核费用!#REF!)/10000</f>
        <v>#REF!</v>
      </c>
      <c r="Y7" s="8" t="e">
        <f>SUMIF(累计考核费用!$B$107:$B$156,原格式费用考核表!$B7,累计考核费用!#REF!)/10000</f>
        <v>#REF!</v>
      </c>
      <c r="Z7" s="8" t="e">
        <f>SUMIF(累计考核费用!$B$107:$B$156,原格式费用考核表!$B7,累计考核费用!#REF!)/10000</f>
        <v>#REF!</v>
      </c>
      <c r="AA7" s="8">
        <f>SUMIF(累计考核费用!$B$107:$B$156,原格式费用考核表!$B7,累计考核费用!AC$107:AC$156)/10000</f>
        <v>-0.20603999999999997</v>
      </c>
      <c r="AB7" s="8" t="e">
        <f>SUMIF(累计考核费用!$B$107:$B$156,原格式费用考核表!$B7,累计考核费用!#REF!)/10000</f>
        <v>#REF!</v>
      </c>
    </row>
    <row r="8" spans="1:28" s="2" customFormat="1" ht="12" customHeight="1">
      <c r="A8" s="280"/>
      <c r="B8" s="7" t="s">
        <v>96</v>
      </c>
      <c r="C8" s="7" t="s">
        <v>95</v>
      </c>
      <c r="D8" s="8">
        <f>SUMIF(累计考核费用!$B$107:$B$156,原格式费用考核表!$B8,累计考核费用!C$107:C$156)/10000</f>
        <v>253.66844899999998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46.954999999999998</v>
      </c>
      <c r="G8" s="8">
        <f>SUMIF(累计考核费用!$B$107:$B$156,原格式费用考核表!$B8,累计考核费用!F$107:F$156)/10000</f>
        <v>169.09862100000001</v>
      </c>
      <c r="H8" s="8">
        <f>SUMIF(累计考核费用!$B$107:$B$156,原格式费用考核表!$B8,累计考核费用!G$107:G$156)/10000</f>
        <v>11.108000000000001</v>
      </c>
      <c r="I8" s="8">
        <f>SUMIF(累计考核费用!$B$107:$B$156,原格式费用考核表!$B8,累计考核费用!L$107:L$156)/10000</f>
        <v>17.356000000000002</v>
      </c>
      <c r="J8" s="8">
        <f>SUMIF(累计考核费用!$B$107:$B$156,原格式费用考核表!$B8,累计考核费用!M$107:M$156)/10000</f>
        <v>-0.77200000000000002</v>
      </c>
      <c r="K8" s="8">
        <f>SUMIF(累计考核费用!$B$107:$B$156,原格式费用考核表!$B8,累计考核费用!Q$107:Q$156)/10000</f>
        <v>2.8140000000000001</v>
      </c>
      <c r="L8" s="8">
        <f>SUMIF(累计考核费用!$B$107:$B$156,原格式费用考核表!$B8,累计考核费用!P$107:P$156)/10000</f>
        <v>5.1619999999999999</v>
      </c>
      <c r="M8" s="8">
        <f>SUMIF(累计考核费用!$B$107:$B$156,原格式费用考核表!$B8,累计考核费用!O$107:O$156)/10000</f>
        <v>1.1339999999999999</v>
      </c>
      <c r="N8" s="8">
        <f>SUMIF(累计考核费用!$B$107:$B$156,原格式费用考核表!$B8,累计考核费用!R$107:R$156)/10000</f>
        <v>2.964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1.974</v>
      </c>
      <c r="Q8" s="8" t="e">
        <f>SUMIF(累计考核费用!$B$107:$B$156,原格式费用考核表!$B8,累计考核费用!#REF!)/10000</f>
        <v>#REF!</v>
      </c>
      <c r="R8" s="8">
        <f>SUMIF(累计考核费用!$B$107:$B$156,原格式费用考核表!$B8,累计考核费用!T$107:T$156)/10000</f>
        <v>0</v>
      </c>
      <c r="S8" s="8">
        <f>SUMIF(累计考核费用!$B$107:$B$156,原格式费用考核表!$B8,累计考核费用!U$107:U$156)/10000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SUMIF(累计考核费用!$B$107:$B$156,原格式费用考核表!$B8,累计考核费用!V$107:V$156)/10000</f>
        <v>0</v>
      </c>
      <c r="V8" s="8">
        <f>SUMIF(累计考核费用!$B$107:$B$156,原格式费用考核表!$B8,累计考核费用!W$107:W$156)/10000</f>
        <v>0</v>
      </c>
      <c r="W8" s="8">
        <f>SUMIF(累计考核费用!$B$107:$B$156,原格式费用考核表!$B8,累计考核费用!AB$107:AB$156)/10000</f>
        <v>0</v>
      </c>
      <c r="X8" s="8" t="e">
        <f>SUMIF(累计考核费用!$B$107:$B$156,原格式费用考核表!$B8,累计考核费用!#REF!)/10000</f>
        <v>#REF!</v>
      </c>
      <c r="Y8" s="8" t="e">
        <f>SUMIF(累计考核费用!$B$107:$B$156,原格式费用考核表!$B8,累计考核费用!#REF!)/10000</f>
        <v>#REF!</v>
      </c>
      <c r="Z8" s="8" t="e">
        <f>SUMIF(累计考核费用!$B$107:$B$156,原格式费用考核表!$B8,累计考核费用!#REF!)/10000</f>
        <v>#REF!</v>
      </c>
      <c r="AA8" s="8">
        <f>SUMIF(累计考核费用!$B$107:$B$156,原格式费用考核表!$B8,累计考核费用!AC$107:AC$156)/10000</f>
        <v>9.1508280000000006</v>
      </c>
      <c r="AB8" s="8" t="e">
        <f>SUMIF(累计考核费用!$B$107:$B$156,原格式费用考核表!$B8,累计考核费用!#REF!)/10000</f>
        <v>#REF!</v>
      </c>
    </row>
    <row r="9" spans="1:28" s="2" customFormat="1" ht="12" customHeight="1">
      <c r="A9" s="280"/>
      <c r="B9" s="7" t="s">
        <v>139</v>
      </c>
      <c r="C9" s="7" t="s">
        <v>96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80"/>
      <c r="B10" s="7" t="s">
        <v>98</v>
      </c>
      <c r="C10" s="7" t="s">
        <v>97</v>
      </c>
      <c r="D10" s="8">
        <f>SUMIF(累计考核费用!$B$107:$B$156,原格式费用考核表!$B10,累计考核费用!C$107:C$156)/10000</f>
        <v>1750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1750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SUMIF(累计考核费用!$B$107:$B$156,原格式费用考核表!$B10,累计考核费用!Q$107:Q$156)/10000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SUMIF(累计考核费用!$B$107:$B$156,原格式费用考核表!$B10,累计考核费用!O$107:O$156)/10000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 t="e">
        <f>SUMIF(累计考核费用!$B$107:$B$156,原格式费用考核表!$B10,累计考核费用!#REF!)/10000</f>
        <v>#REF!</v>
      </c>
      <c r="R10" s="8">
        <f>SUMIF(累计考核费用!$B$107:$B$156,原格式费用考核表!$B10,累计考核费用!T$107:T$156)/10000</f>
        <v>0</v>
      </c>
      <c r="S10" s="8">
        <f>SUMIF(累计考核费用!$B$107:$B$156,原格式费用考核表!$B10,累计考核费用!U$107:U$156)/10000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SUMIF(累计考核费用!$B$107:$B$156,原格式费用考核表!$B10,累计考核费用!V$107:V$156)/10000</f>
        <v>0</v>
      </c>
      <c r="V10" s="8">
        <f>SUMIF(累计考核费用!$B$107:$B$156,原格式费用考核表!$B10,累计考核费用!W$107:W$156)/10000</f>
        <v>0</v>
      </c>
      <c r="W10" s="8">
        <f>SUMIF(累计考核费用!$B$107:$B$156,原格式费用考核表!$B10,累计考核费用!AB$107:AB$156)/10000</f>
        <v>0</v>
      </c>
      <c r="X10" s="8" t="e">
        <f>SUMIF(累计考核费用!$B$107:$B$156,原格式费用考核表!$B10,累计考核费用!#REF!)/10000</f>
        <v>#REF!</v>
      </c>
      <c r="Y10" s="8" t="e">
        <f>SUMIF(累计考核费用!$B$107:$B$156,原格式费用考核表!$B10,累计考核费用!#REF!)/10000</f>
        <v>#REF!</v>
      </c>
      <c r="Z10" s="8" t="e">
        <f>SUMIF(累计考核费用!$B$107:$B$156,原格式费用考核表!$B10,累计考核费用!#REF!)/10000</f>
        <v>#REF!</v>
      </c>
      <c r="AA10" s="8">
        <f>SUMIF(累计考核费用!$B$107:$B$156,原格式费用考核表!$B10,累计考核费用!AC$107:AC$156)/10000</f>
        <v>0</v>
      </c>
      <c r="AB10" s="8" t="e">
        <f>SUMIF(累计考核费用!$B$107:$B$156,原格式费用考核表!$B10,累计考核费用!#REF!)/10000</f>
        <v>#REF!</v>
      </c>
    </row>
    <row r="11" spans="1:28" s="2" customFormat="1" ht="12" customHeight="1">
      <c r="A11" s="281"/>
      <c r="B11" s="7" t="s">
        <v>99</v>
      </c>
      <c r="C11" s="7" t="s">
        <v>98</v>
      </c>
      <c r="D11" s="10">
        <f t="shared" ref="D11:AB11" si="2">SUM(D2:D10)</f>
        <v>28554.562668000006</v>
      </c>
      <c r="E11" s="10">
        <f t="shared" si="2"/>
        <v>0</v>
      </c>
      <c r="F11" s="10">
        <f t="shared" si="2"/>
        <v>8733.1974849999988</v>
      </c>
      <c r="G11" s="10">
        <f t="shared" si="2"/>
        <v>12785.718084999999</v>
      </c>
      <c r="H11" s="10">
        <f t="shared" si="2"/>
        <v>1193.1553949999998</v>
      </c>
      <c r="I11" s="10">
        <f t="shared" si="2"/>
        <v>1606.3728029999997</v>
      </c>
      <c r="J11" s="10">
        <f t="shared" si="2"/>
        <v>105.96017399999999</v>
      </c>
      <c r="K11" s="10">
        <f t="shared" si="2"/>
        <v>236.79340300000001</v>
      </c>
      <c r="L11" s="10">
        <f t="shared" si="2"/>
        <v>466.82766699999996</v>
      </c>
      <c r="M11" s="10">
        <f t="shared" si="2"/>
        <v>77.513513000000003</v>
      </c>
      <c r="N11" s="10">
        <f t="shared" si="2"/>
        <v>257.80972700000001</v>
      </c>
      <c r="O11" s="10" t="e">
        <f t="shared" si="2"/>
        <v>#REF!</v>
      </c>
      <c r="P11" s="10">
        <f t="shared" si="2"/>
        <v>246.83789999999999</v>
      </c>
      <c r="Q11" s="10" t="e">
        <f t="shared" si="2"/>
        <v>#REF!</v>
      </c>
      <c r="R11" s="10">
        <f t="shared" si="2"/>
        <v>3038.8439250000001</v>
      </c>
      <c r="S11" s="10">
        <f t="shared" si="2"/>
        <v>566.23448700000006</v>
      </c>
      <c r="T11" s="10" t="e">
        <f t="shared" si="2"/>
        <v>#REF!</v>
      </c>
      <c r="U11" s="10">
        <f t="shared" si="2"/>
        <v>1129.736922</v>
      </c>
      <c r="V11" s="10">
        <f t="shared" si="2"/>
        <v>1056.3342889999999</v>
      </c>
      <c r="W11" s="10">
        <f t="shared" si="2"/>
        <v>566.59194600000001</v>
      </c>
      <c r="X11" s="10" t="e">
        <f t="shared" si="2"/>
        <v>#REF!</v>
      </c>
      <c r="Y11" s="10" t="e">
        <f t="shared" si="2"/>
        <v>#REF!</v>
      </c>
      <c r="Z11" s="10" t="e">
        <f t="shared" si="2"/>
        <v>#REF!</v>
      </c>
      <c r="AA11" s="10">
        <f t="shared" si="2"/>
        <v>628.81342900000004</v>
      </c>
      <c r="AB11" s="10" t="e">
        <f t="shared" si="2"/>
        <v>#REF!</v>
      </c>
    </row>
    <row r="12" spans="1:28" s="2" customFormat="1" ht="12" customHeight="1">
      <c r="A12" s="276" t="s">
        <v>100</v>
      </c>
      <c r="B12" s="11" t="s">
        <v>101</v>
      </c>
      <c r="C12" s="11" t="s">
        <v>99</v>
      </c>
      <c r="D12" s="8">
        <f>SUMIF(累计考核费用!$B$107:$B$156,原格式费用考核表!$B12,累计考核费用!C$107:C$156)/10000</f>
        <v>10134.664984999999</v>
      </c>
      <c r="E12" s="8">
        <f>SUMIF(累计考核费用!$B$107:$B$156,原格式费用考核表!$B12,累计考核费用!D$107:D$156)/10000</f>
        <v>-192.77221599999999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2653.4811129999994</v>
      </c>
      <c r="H12" s="8">
        <f>SUMIF(累计考核费用!$B$107:$B$156,原格式费用考核表!$B12,累计考核费用!G$107:G$156)/10000</f>
        <v>244.22701600000002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SUMIF(累计考核费用!$B$107:$B$156,原格式费用考核表!$B12,累计考核费用!Q$107:Q$156)/10000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SUMIF(累计考核费用!$B$107:$B$156,原格式费用考核表!$B12,累计考核费用!O$107:O$156)/10000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 t="e">
        <f>SUMIF(累计考核费用!$B$107:$B$156,原格式费用考核表!$B12,累计考核费用!#REF!)/10000</f>
        <v>#REF!</v>
      </c>
      <c r="R12" s="8">
        <f>SUMIF(累计考核费用!$B$107:$B$156,原格式费用考核表!$B12,累计考核费用!T$107:T$156)/10000</f>
        <v>7429.3890719999999</v>
      </c>
      <c r="S12" s="8">
        <f>SUMIF(累计考核费用!$B$107:$B$156,原格式费用考核表!$B12,累计考核费用!U$107:U$156)/10000</f>
        <v>138.46010000000001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SUMIF(累计考核费用!$B$107:$B$156,原格式费用考核表!$B12,累计考核费用!V$107:V$156)/10000</f>
        <v>6736.95</v>
      </c>
      <c r="V12" s="8">
        <f>SUMIF(累计考核费用!$B$107:$B$156,原格式费用考核表!$B12,累计考核费用!W$107:W$156)/10000</f>
        <v>546.13077199999998</v>
      </c>
      <c r="W12" s="8">
        <f>SUMIF(累计考核费用!$B$107:$B$156,原格式费用考核表!$B12,累计考核费用!AB$107:AB$156)/10000</f>
        <v>0</v>
      </c>
      <c r="X12" s="8" t="e">
        <f>SUMIF(累计考核费用!$B$107:$B$156,原格式费用考核表!$B12,累计考核费用!#REF!)/10000</f>
        <v>#REF!</v>
      </c>
      <c r="Y12" s="8" t="e">
        <f>SUMIF(累计考核费用!$B$107:$B$156,原格式费用考核表!$B12,累计考核费用!#REF!)/10000</f>
        <v>#REF!</v>
      </c>
      <c r="Z12" s="8" t="e">
        <f>SUMIF(累计考核费用!$B$107:$B$156,原格式费用考核表!$B12,累计考核费用!#REF!)/10000</f>
        <v>#REF!</v>
      </c>
      <c r="AA12" s="8">
        <f>SUMIF(累计考核费用!$B$107:$B$156,原格式费用考核表!$B12,累计考核费用!AC$107:AC$156)/10000</f>
        <v>0</v>
      </c>
      <c r="AB12" s="8" t="e">
        <f>SUMIF(累计考核费用!$B$107:$B$156,原格式费用考核表!$B12,累计考核费用!#REF!)/10000</f>
        <v>#REF!</v>
      </c>
    </row>
    <row r="13" spans="1:28" s="2" customFormat="1" ht="12" customHeight="1">
      <c r="A13" s="277"/>
      <c r="B13" s="11" t="s">
        <v>140</v>
      </c>
      <c r="C13" s="11" t="s">
        <v>101</v>
      </c>
      <c r="D13" s="8">
        <f>累计考核费用!C120/10000</f>
        <v>6730.4634699999988</v>
      </c>
      <c r="E13" s="8">
        <v>1242</v>
      </c>
      <c r="F13" s="8">
        <f>累计考核费用!E120/10000</f>
        <v>1813.5464329999998</v>
      </c>
      <c r="G13" s="8">
        <f>累计考核费用!F120/10000</f>
        <v>5482.5814409999984</v>
      </c>
      <c r="H13" s="8">
        <f>累计考核费用!G120/10000</f>
        <v>-6.0600000000000001E-2</v>
      </c>
      <c r="I13" s="8">
        <f>累计考核费用!L120/10000</f>
        <v>0</v>
      </c>
      <c r="J13" s="8">
        <f>累计考核费用!M120/10000</f>
        <v>0</v>
      </c>
      <c r="K13" s="8">
        <f>累计考核费用!Q120/10000</f>
        <v>0</v>
      </c>
      <c r="L13" s="8">
        <f>累计考核费用!P120/10000</f>
        <v>0</v>
      </c>
      <c r="M13" s="8">
        <f>累计考核费用!O120/10000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 t="e">
        <f>累计考核费用!#REF!/10000</f>
        <v>#REF!</v>
      </c>
      <c r="R13" s="8">
        <f>累计考核费用!T120/10000</f>
        <v>-1438.7937529999997</v>
      </c>
      <c r="S13" s="8">
        <f>累计考核费用!U120/10000</f>
        <v>15.681900000000001</v>
      </c>
      <c r="T13" s="8" t="e">
        <f>累计考核费用!#REF!/10000</f>
        <v>#REF!</v>
      </c>
      <c r="U13" s="8">
        <f>累计考核费用!V120/10000</f>
        <v>-1564.3210470000001</v>
      </c>
      <c r="V13" s="8">
        <f>累计考核费用!W120/10000</f>
        <v>97.844052000000005</v>
      </c>
      <c r="W13" s="8">
        <f>累计考核费用!AB120/10000</f>
        <v>0</v>
      </c>
      <c r="X13" s="8" t="e">
        <f>累计考核费用!#REF!/10000</f>
        <v>#REF!</v>
      </c>
      <c r="Y13" s="8" t="e">
        <f>累计考核费用!#REF!/10000</f>
        <v>#REF!</v>
      </c>
      <c r="Z13" s="8" t="e">
        <f>累计考核费用!#REF!/10000</f>
        <v>#REF!</v>
      </c>
      <c r="AA13" s="8">
        <f>累计考核费用!AC120/10000</f>
        <v>1.3236870000000001</v>
      </c>
      <c r="AB13" s="8" t="e">
        <f>累计考核费用!#REF!/10000</f>
        <v>#REF!</v>
      </c>
    </row>
    <row r="14" spans="1:28" s="2" customFormat="1" ht="12" customHeight="1">
      <c r="A14" s="277"/>
      <c r="B14" s="11" t="s">
        <v>103</v>
      </c>
      <c r="C14" s="11" t="s">
        <v>102</v>
      </c>
      <c r="D14" s="8">
        <f>SUMIF(累计考核费用!$B$107:$B$156,原格式费用考核表!$B14,累计考核费用!C$107:C$156)/10000</f>
        <v>1747.3454489999999</v>
      </c>
      <c r="E14" s="8">
        <f>SUMIF(累计考核费用!$B$107:$B$156,原格式费用考核表!$B14,累计考核费用!D$107:D$156)/10000</f>
        <v>-16.510922999999998</v>
      </c>
      <c r="F14" s="8">
        <f>SUMIF(累计考核费用!$B$107:$B$156,原格式费用考核表!$B14,累计考核费用!E$107:E$156)/10000</f>
        <v>-440.48580900000007</v>
      </c>
      <c r="G14" s="8">
        <f>SUMIF(累计考核费用!$B$107:$B$156,原格式费用考核表!$B14,累计考核费用!F$107:F$156)/10000</f>
        <v>1488.5098439999999</v>
      </c>
      <c r="H14" s="8">
        <f>SUMIF(累计考核费用!$B$107:$B$156,原格式费用考核表!$B14,累计考核费用!G$107:G$156)/10000</f>
        <v>-61.340773999999975</v>
      </c>
      <c r="I14" s="8">
        <f>SUMIF(累计考核费用!$B$107:$B$156,原格式费用考核表!$B14,累计考核费用!L$107:L$156)/10000</f>
        <v>306.659381</v>
      </c>
      <c r="J14" s="8">
        <f>SUMIF(累计考核费用!$B$107:$B$156,原格式费用考核表!$B14,累计考核费用!M$107:M$156)/10000</f>
        <v>79.376558000000003</v>
      </c>
      <c r="K14" s="8">
        <f>SUMIF(累计考核费用!$B$107:$B$156,原格式费用考核表!$B14,累计考核费用!Q$107:Q$156)/10000</f>
        <v>22.062362</v>
      </c>
      <c r="L14" s="8">
        <f>SUMIF(累计考核费用!$B$107:$B$156,原格式费用考核表!$B14,累计考核费用!P$107:P$156)/10000</f>
        <v>143.73535799999999</v>
      </c>
      <c r="M14" s="8">
        <f>SUMIF(累计考核费用!$B$107:$B$156,原格式费用考核表!$B14,累计考核费用!O$107:O$156)/10000</f>
        <v>7.9843209999999996</v>
      </c>
      <c r="N14" s="8">
        <f>SUMIF(累计考核费用!$B$107:$B$156,原格式费用考核表!$B14,累计考核费用!R$107:R$156)/10000</f>
        <v>4.913809999999998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1.1301000000000002E-2</v>
      </c>
      <c r="Q14" s="8" t="e">
        <f>SUMIF(累计考核费用!$B$107:$B$156,原格式费用考核表!$B14,累计考核费用!#REF!)/10000</f>
        <v>#REF!</v>
      </c>
      <c r="R14" s="8">
        <f>SUMIF(累计考核费用!$B$107:$B$156,原格式费用考核表!$B14,累计考核费用!T$107:T$156)/10000</f>
        <v>470.56979999999993</v>
      </c>
      <c r="S14" s="8">
        <f>SUMIF(累计考核费用!$B$107:$B$156,原格式费用考核表!$B14,累计考核费用!U$107:U$156)/10000</f>
        <v>27.171314999999996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SUMIF(累计考核费用!$B$107:$B$156,原格式费用考核表!$B14,累计考核费用!V$107:V$156)/10000</f>
        <v>392.20317799999992</v>
      </c>
      <c r="V14" s="8">
        <f>SUMIF(累计考核费用!$B$107:$B$156,原格式费用考核表!$B14,累计考核费用!W$107:W$156)/10000</f>
        <v>45.492542999999998</v>
      </c>
      <c r="W14" s="8">
        <f>SUMIF(累计考核费用!$B$107:$B$156,原格式费用考核表!$B14,累计考核费用!AB$107:AB$156)/10000</f>
        <v>-5.6070000000000071E-2</v>
      </c>
      <c r="X14" s="8" t="e">
        <f>SUMIF(累计考核费用!$B$107:$B$156,原格式费用考核表!$B14,累计考核费用!#REF!)/10000</f>
        <v>#REF!</v>
      </c>
      <c r="Y14" s="8" t="e">
        <f>SUMIF(累计考核费用!$B$107:$B$156,原格式费用考核表!$B14,累计考核费用!#REF!)/10000</f>
        <v>#REF!</v>
      </c>
      <c r="Z14" s="8" t="e">
        <f>SUMIF(累计考核费用!$B$107:$B$156,原格式费用考核表!$B14,累计考核费用!#REF!)/10000</f>
        <v>#REF!</v>
      </c>
      <c r="AA14" s="8">
        <f>SUMIF(累计考核费用!$B$107:$B$156,原格式费用考核表!$B14,累计考核费用!AC$107:AC$156)/10000</f>
        <v>0</v>
      </c>
      <c r="AB14" s="8" t="e">
        <f>SUMIF(累计考核费用!$B$107:$B$156,原格式费用考核表!$B14,累计考核费用!#REF!)/10000</f>
        <v>#REF!</v>
      </c>
    </row>
    <row r="15" spans="1:28" s="2" customFormat="1" ht="12" customHeight="1">
      <c r="A15" s="277"/>
      <c r="B15" s="11" t="s">
        <v>105</v>
      </c>
      <c r="C15" s="11" t="s">
        <v>103</v>
      </c>
      <c r="D15" s="8">
        <f>SUMIF(累计考核费用!$B$107:$B$156,原格式费用考核表!$B15,累计考核费用!C$107:C$156)/10000</f>
        <v>11.160377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11.160377</v>
      </c>
      <c r="J15" s="8">
        <f>SUMIF(累计考核费用!$B$107:$B$156,原格式费用考核表!$B15,累计考核费用!M$107:M$156)/10000</f>
        <v>4.8333339999999998</v>
      </c>
      <c r="K15" s="8">
        <f>SUMIF(累计考核费用!$B$107:$B$156,原格式费用考核表!$B15,累计考核费用!Q$107:Q$156)/10000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SUMIF(累计考核费用!$B$107:$B$156,原格式费用考核表!$B15,累计考核费用!O$107:O$156)/10000</f>
        <v>1.8333330000000001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 t="e">
        <f>SUMIF(累计考核费用!$B$107:$B$156,原格式费用考核表!$B15,累计考核费用!#REF!)/10000</f>
        <v>#REF!</v>
      </c>
      <c r="R15" s="8">
        <f>SUMIF(累计考核费用!$B$107:$B$156,原格式费用考核表!$B15,累计考核费用!T$107:T$156)/10000</f>
        <v>0</v>
      </c>
      <c r="S15" s="8">
        <f>SUMIF(累计考核费用!$B$107:$B$156,原格式费用考核表!$B15,累计考核费用!U$107:U$156)/10000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SUMIF(累计考核费用!$B$107:$B$156,原格式费用考核表!$B15,累计考核费用!V$107:V$156)/10000</f>
        <v>0</v>
      </c>
      <c r="V15" s="8">
        <f>SUMIF(累计考核费用!$B$107:$B$156,原格式费用考核表!$B15,累计考核费用!W$107:W$156)/10000</f>
        <v>0</v>
      </c>
      <c r="W15" s="8">
        <f>SUMIF(累计考核费用!$B$107:$B$156,原格式费用考核表!$B15,累计考核费用!AB$107:AB$156)/10000</f>
        <v>0</v>
      </c>
      <c r="X15" s="8" t="e">
        <f>SUMIF(累计考核费用!$B$107:$B$156,原格式费用考核表!$B15,累计考核费用!#REF!)/10000</f>
        <v>#REF!</v>
      </c>
      <c r="Y15" s="8" t="e">
        <f>SUMIF(累计考核费用!$B$107:$B$156,原格式费用考核表!$B15,累计考核费用!#REF!)/10000</f>
        <v>#REF!</v>
      </c>
      <c r="Z15" s="8" t="e">
        <f>SUMIF(累计考核费用!$B$107:$B$156,原格式费用考核表!$B15,累计考核费用!#REF!)/10000</f>
        <v>#REF!</v>
      </c>
      <c r="AA15" s="8">
        <f>SUMIF(累计考核费用!$B$107:$B$156,原格式费用考核表!$B15,累计考核费用!AC$107:AC$156)/10000</f>
        <v>0</v>
      </c>
      <c r="AB15" s="8" t="e">
        <f>SUMIF(累计考核费用!$B$107:$B$156,原格式费用考核表!$B15,累计考核费用!#REF!)/10000</f>
        <v>#REF!</v>
      </c>
    </row>
    <row r="16" spans="1:28" s="2" customFormat="1" ht="12" customHeight="1">
      <c r="A16" s="278"/>
      <c r="B16" s="11" t="s">
        <v>99</v>
      </c>
      <c r="C16" s="11" t="s">
        <v>104</v>
      </c>
      <c r="D16" s="10">
        <f t="shared" ref="D16:AB16" si="3">SUM(D12:D15)</f>
        <v>18623.634280999999</v>
      </c>
      <c r="E16" s="10">
        <f t="shared" si="3"/>
        <v>1032.7168609999999</v>
      </c>
      <c r="F16" s="10">
        <f t="shared" si="3"/>
        <v>1373.0606239999997</v>
      </c>
      <c r="G16" s="10">
        <f t="shared" si="3"/>
        <v>9624.5723979999984</v>
      </c>
      <c r="H16" s="10">
        <f t="shared" si="3"/>
        <v>182.82564200000004</v>
      </c>
      <c r="I16" s="10">
        <f t="shared" si="3"/>
        <v>318.15975799999995</v>
      </c>
      <c r="J16" s="10">
        <f t="shared" si="3"/>
        <v>84.209891999999996</v>
      </c>
      <c r="K16" s="10">
        <f t="shared" si="3"/>
        <v>22.062362</v>
      </c>
      <c r="L16" s="10">
        <f t="shared" si="3"/>
        <v>143.73535799999999</v>
      </c>
      <c r="M16" s="10">
        <f t="shared" si="3"/>
        <v>9.8176539999999992</v>
      </c>
      <c r="N16" s="10">
        <f t="shared" si="3"/>
        <v>5.2538099999999979</v>
      </c>
      <c r="O16" s="10" t="e">
        <f t="shared" si="3"/>
        <v>#REF!</v>
      </c>
      <c r="P16" s="10">
        <f t="shared" si="3"/>
        <v>1.1301000000000002E-2</v>
      </c>
      <c r="Q16" s="10" t="e">
        <f t="shared" si="3"/>
        <v>#REF!</v>
      </c>
      <c r="R16" s="10">
        <f t="shared" si="3"/>
        <v>6461.1651190000002</v>
      </c>
      <c r="S16" s="10">
        <f t="shared" si="3"/>
        <v>181.31331500000002</v>
      </c>
      <c r="T16" s="10" t="e">
        <f t="shared" si="3"/>
        <v>#REF!</v>
      </c>
      <c r="U16" s="10">
        <f t="shared" si="3"/>
        <v>5564.8321309999992</v>
      </c>
      <c r="V16" s="10">
        <f t="shared" si="3"/>
        <v>689.46736699999997</v>
      </c>
      <c r="W16" s="10">
        <f t="shared" si="3"/>
        <v>-5.6070000000000071E-2</v>
      </c>
      <c r="X16" s="10" t="e">
        <f t="shared" si="3"/>
        <v>#REF!</v>
      </c>
      <c r="Y16" s="10" t="e">
        <f t="shared" si="3"/>
        <v>#REF!</v>
      </c>
      <c r="Z16" s="10" t="e">
        <f t="shared" si="3"/>
        <v>#REF!</v>
      </c>
      <c r="AA16" s="10">
        <f t="shared" si="3"/>
        <v>1.3236870000000001</v>
      </c>
      <c r="AB16" s="10" t="e">
        <f t="shared" si="3"/>
        <v>#REF!</v>
      </c>
    </row>
    <row r="17" spans="1:28" s="2" customFormat="1" ht="12" customHeight="1">
      <c r="A17" s="273" t="s">
        <v>106</v>
      </c>
      <c r="B17" s="11" t="s">
        <v>107</v>
      </c>
      <c r="C17" s="11" t="s">
        <v>105</v>
      </c>
      <c r="D17" s="8">
        <f>SUMIF(累计考核费用!$B$107:$B$156,原格式费用考核表!$B17,累计考核费用!C$107:C$156)/10000</f>
        <v>2502.1584520000001</v>
      </c>
      <c r="E17" s="8">
        <f>SUMIF(累计考核费用!$B$107:$B$156,原格式费用考核表!$B17,累计考核费用!D$107:D$156)/10000</f>
        <v>0.51819999999999999</v>
      </c>
      <c r="F17" s="8">
        <f>SUMIF(累计考核费用!$B$107:$B$156,原格式费用考核表!$B17,累计考核费用!E$107:E$156)/10000</f>
        <v>213.96238300000005</v>
      </c>
      <c r="G17" s="8">
        <f>SUMIF(累计考核费用!$B$107:$B$156,原格式费用考核表!$B17,累计考核费用!F$107:F$156)/10000</f>
        <v>1171.529511</v>
      </c>
      <c r="H17" s="8">
        <f>SUMIF(累计考核费用!$B$107:$B$156,原格式费用考核表!$B17,累计考核费用!G$107:G$156)/10000</f>
        <v>110.68441100000001</v>
      </c>
      <c r="I17" s="8">
        <f>SUMIF(累计考核费用!$B$107:$B$156,原格式费用考核表!$B17,累计考核费用!L$107:L$156)/10000</f>
        <v>126.93081400000001</v>
      </c>
      <c r="J17" s="8">
        <f>SUMIF(累计考核费用!$B$107:$B$156,原格式费用考核表!$B17,累计考核费用!M$107:M$156)/10000</f>
        <v>13.26849</v>
      </c>
      <c r="K17" s="8">
        <f>SUMIF(累计考核费用!$B$107:$B$156,原格式费用考核表!$B17,累计考核费用!Q$107:Q$156)/10000</f>
        <v>18.329165</v>
      </c>
      <c r="L17" s="8">
        <f>SUMIF(累计考核费用!$B$107:$B$156,原格式费用考核表!$B17,累计考核费用!P$107:P$156)/10000</f>
        <v>22.968384</v>
      </c>
      <c r="M17" s="8">
        <f>SUMIF(累计考核费用!$B$107:$B$156,原格式费用考核表!$B17,累计考核费用!O$107:O$156)/10000</f>
        <v>15.201739999999999</v>
      </c>
      <c r="N17" s="8">
        <f>SUMIF(累计考核费用!$B$107:$B$156,原格式费用考核表!$B17,累计考核费用!R$107:R$156)/10000</f>
        <v>20.018484000000001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20.575710999999998</v>
      </c>
      <c r="Q17" s="8" t="e">
        <f>SUMIF(累计考核费用!$B$107:$B$156,原格式费用考核表!$B17,累计考核费用!#REF!)/10000</f>
        <v>#REF!</v>
      </c>
      <c r="R17" s="8">
        <f>SUMIF(累计考核费用!$B$107:$B$156,原格式费用考核表!$B17,累计考核费用!T$107:T$156)/10000</f>
        <v>826.18659999999988</v>
      </c>
      <c r="S17" s="8">
        <f>SUMIF(累计考核费用!$B$107:$B$156,原格式费用考核表!$B17,累计考核费用!U$107:U$156)/10000</f>
        <v>72.545742999999987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SUMIF(累计考核费用!$B$107:$B$156,原格式费用考核表!$B17,累计考核费用!V$107:V$156)/10000</f>
        <v>546.13146699999993</v>
      </c>
      <c r="V17" s="8">
        <f>SUMIF(累计考核费用!$B$107:$B$156,原格式费用考核表!$B17,累计考核费用!W$107:W$156)/10000</f>
        <v>143.88114400000001</v>
      </c>
      <c r="W17" s="8">
        <f>SUMIF(累计考核费用!$B$107:$B$156,原格式费用考核表!$B17,累计考核费用!AB$107:AB$156)/10000</f>
        <v>34.306052999999999</v>
      </c>
      <c r="X17" s="8" t="e">
        <f>SUMIF(累计考核费用!$B$107:$B$156,原格式费用考核表!$B17,累计考核费用!#REF!)/10000</f>
        <v>#REF!</v>
      </c>
      <c r="Y17" s="8" t="e">
        <f>SUMIF(累计考核费用!$B$107:$B$156,原格式费用考核表!$B17,累计考核费用!#REF!)/10000</f>
        <v>#REF!</v>
      </c>
      <c r="Z17" s="8" t="e">
        <f>SUMIF(累计考核费用!$B$107:$B$156,原格式费用考核表!$B17,累计考核费用!#REF!)/10000</f>
        <v>#REF!</v>
      </c>
      <c r="AA17" s="8">
        <f>SUMIF(累计考核费用!$B$107:$B$156,原格式费用考核表!$B17,累计考核费用!AC$107:AC$156)/10000</f>
        <v>18.040480000000002</v>
      </c>
      <c r="AB17" s="8" t="e">
        <f>SUMIF(累计考核费用!$B$107:$B$156,原格式费用考核表!$B17,累计考核费用!#REF!)/10000</f>
        <v>#REF!</v>
      </c>
    </row>
    <row r="18" spans="1:28" s="2" customFormat="1" ht="12" customHeight="1">
      <c r="A18" s="274"/>
      <c r="B18" s="11" t="s">
        <v>108</v>
      </c>
      <c r="C18" s="11" t="s">
        <v>99</v>
      </c>
      <c r="D18" s="8">
        <f>SUMIF(累计考核费用!$B$107:$B$156,原格式费用考核表!$B18,累计考核费用!C$107:C$156)/10000</f>
        <v>1535.7755929999998</v>
      </c>
      <c r="E18" s="8">
        <f>SUMIF(累计考核费用!$B$107:$B$156,原格式费用考核表!$B18,累计考核费用!D$107:D$156)/10000</f>
        <v>4.2673500000000004</v>
      </c>
      <c r="F18" s="8">
        <f>SUMIF(累计考核费用!$B$107:$B$156,原格式费用考核表!$B18,累计考核费用!E$107:E$156)/10000</f>
        <v>199.44786800000003</v>
      </c>
      <c r="G18" s="8">
        <f>SUMIF(累计考核费用!$B$107:$B$156,原格式费用考核表!$B18,累计考核费用!F$107:F$156)/10000</f>
        <v>288.60351700000001</v>
      </c>
      <c r="H18" s="8">
        <f>SUMIF(累计考核费用!$B$107:$B$156,原格式费用考核表!$B18,累计考核费用!G$107:G$156)/10000</f>
        <v>63.877212000000014</v>
      </c>
      <c r="I18" s="8">
        <f>SUMIF(累计考核费用!$B$107:$B$156,原格式费用考核表!$B18,累计考核费用!L$107:L$156)/10000</f>
        <v>106.17373399999998</v>
      </c>
      <c r="J18" s="8">
        <f>SUMIF(累计考核费用!$B$107:$B$156,原格式费用考核表!$B18,累计考核费用!M$107:M$156)/10000</f>
        <v>10.369998999999998</v>
      </c>
      <c r="K18" s="8">
        <f>SUMIF(累计考核费用!$B$107:$B$156,原格式费用考核表!$B18,累计考核费用!Q$107:Q$156)/10000</f>
        <v>22.148081000000001</v>
      </c>
      <c r="L18" s="8">
        <f>SUMIF(累计考核费用!$B$107:$B$156,原格式费用考核表!$B18,累计考核费用!P$107:P$156)/10000</f>
        <v>13.843663999999999</v>
      </c>
      <c r="M18" s="8">
        <f>SUMIF(累计考核费用!$B$107:$B$156,原格式费用考核表!$B18,累计考核费用!O$107:O$156)/10000</f>
        <v>12.734161000000002</v>
      </c>
      <c r="N18" s="8">
        <f>SUMIF(累计考核费用!$B$107:$B$156,原格式费用考核表!$B18,累计考核费用!R$107:R$156)/10000</f>
        <v>17.309583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18.704994000000003</v>
      </c>
      <c r="Q18" s="8" t="e">
        <f>SUMIF(累计考核费用!$B$107:$B$156,原格式费用考核表!$B18,累计考核费用!#REF!)/10000</f>
        <v>#REF!</v>
      </c>
      <c r="R18" s="8">
        <f>SUMIF(累计考核费用!$B$107:$B$156,原格式费用考核表!$B18,累计考核费用!T$107:T$156)/10000</f>
        <v>820.67676299999994</v>
      </c>
      <c r="S18" s="8">
        <f>SUMIF(累计考核费用!$B$107:$B$156,原格式费用考核表!$B18,累计考核费用!U$107:U$156)/10000</f>
        <v>81.32525600000001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SUMIF(累计考核费用!$B$107:$B$156,原格式费用考核表!$B18,累计考核费用!V$107:V$156)/10000</f>
        <v>495.04656899999992</v>
      </c>
      <c r="V18" s="8">
        <f>SUMIF(累计考核费用!$B$107:$B$156,原格式费用考核表!$B18,累计考核费用!W$107:W$156)/10000</f>
        <v>131.78680299999999</v>
      </c>
      <c r="W18" s="8">
        <f>SUMIF(累计考核费用!$B$107:$B$156,原格式费用考核表!$B18,累计考核费用!AB$107:AB$156)/10000</f>
        <v>47.267173</v>
      </c>
      <c r="X18" s="8" t="e">
        <f>SUMIF(累计考核费用!$B$107:$B$156,原格式费用考核表!$B18,累计考核费用!#REF!)/10000</f>
        <v>#REF!</v>
      </c>
      <c r="Y18" s="8" t="e">
        <f>SUMIF(累计考核费用!$B$107:$B$156,原格式费用考核表!$B18,累计考核费用!#REF!)/10000</f>
        <v>#REF!</v>
      </c>
      <c r="Z18" s="8" t="e">
        <f>SUMIF(累计考核费用!$B$107:$B$156,原格式费用考核表!$B18,累计考核费用!#REF!)/10000</f>
        <v>#REF!</v>
      </c>
      <c r="AA18" s="8">
        <f>SUMIF(累计考核费用!$B$107:$B$156,原格式费用考核表!$B18,累计考核费用!AC$107:AC$156)/10000</f>
        <v>5.4619759999999991</v>
      </c>
      <c r="AB18" s="8" t="e">
        <f>SUMIF(累计考核费用!$B$107:$B$156,原格式费用考核表!$B18,累计考核费用!#REF!)/10000</f>
        <v>#REF!</v>
      </c>
    </row>
    <row r="19" spans="1:28" s="2" customFormat="1" ht="12" customHeight="1">
      <c r="A19" s="274"/>
      <c r="B19" s="11" t="s">
        <v>121</v>
      </c>
      <c r="C19" s="11" t="s">
        <v>107</v>
      </c>
      <c r="D19" s="8">
        <f>SUMIF(累计考核费用!$B$107:$B$156,原格式费用考核表!$B19,累计考核费用!C$107:C$156)/10000</f>
        <v>382.98314800000009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100.298937</v>
      </c>
      <c r="G19" s="8">
        <f>SUMIF(累计考核费用!$B$107:$B$156,原格式费用考核表!$B19,累计考核费用!F$107:F$156)/10000</f>
        <v>254.31505600000006</v>
      </c>
      <c r="H19" s="8">
        <f>SUMIF(累计考核费用!$B$107:$B$156,原格式费用考核表!$B19,累计考核费用!G$107:G$156)/10000</f>
        <v>4.2927989999999987</v>
      </c>
      <c r="I19" s="8">
        <f>SUMIF(累计考核费用!$B$107:$B$156,原格式费用考核表!$B19,累计考核费用!L$107:L$156)/10000</f>
        <v>15.50239</v>
      </c>
      <c r="J19" s="8">
        <f>SUMIF(累计考核费用!$B$107:$B$156,原格式费用考核表!$B19,累计考核费用!M$107:M$156)/10000</f>
        <v>2.0207120000000001</v>
      </c>
      <c r="K19" s="8">
        <f>SUMIF(累计考核费用!$B$107:$B$156,原格式费用考核表!$B19,累计考核费用!Q$107:Q$156)/10000</f>
        <v>2.0353129999999999</v>
      </c>
      <c r="L19" s="8">
        <f>SUMIF(累计考核费用!$B$107:$B$156,原格式费用考核表!$B19,累计考核费用!P$107:P$156)/10000</f>
        <v>2.369488</v>
      </c>
      <c r="M19" s="8">
        <f>SUMIF(累计考核费用!$B$107:$B$156,原格式费用考核表!$B19,累计考核费用!O$107:O$156)/10000</f>
        <v>2.0207120000000001</v>
      </c>
      <c r="N19" s="8">
        <f>SUMIF(累计考核费用!$B$107:$B$156,原格式费用考核表!$B19,累计考核费用!R$107:R$156)/10000</f>
        <v>2.365888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2.669565</v>
      </c>
      <c r="Q19" s="8" t="e">
        <f>SUMIF(累计考核费用!$B$107:$B$156,原格式费用考核表!$B19,累计考核费用!#REF!)/10000</f>
        <v>#REF!</v>
      </c>
      <c r="R19" s="8">
        <f>SUMIF(累计考核费用!$B$107:$B$156,原格式费用考核表!$B19,累计考核费用!T$107:T$156)/10000</f>
        <v>7.2988470000000003</v>
      </c>
      <c r="S19" s="8">
        <f>SUMIF(累计考核费用!$B$107:$B$156,原格式费用考核表!$B19,累计考核费用!U$107:U$156)/10000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SUMIF(累计考核费用!$B$107:$B$156,原格式费用考核表!$B19,累计考核费用!V$107:V$156)/10000</f>
        <v>4.5068209999999995</v>
      </c>
      <c r="V19" s="8">
        <f>SUMIF(累计考核费用!$B$107:$B$156,原格式费用考核表!$B19,累计考核费用!W$107:W$156)/10000</f>
        <v>2.7920259999999999</v>
      </c>
      <c r="W19" s="8">
        <f>SUMIF(累计考核费用!$B$107:$B$156,原格式费用考核表!$B19,累计考核费用!AB$107:AB$156)/10000</f>
        <v>1.2751190000000001</v>
      </c>
      <c r="X19" s="8" t="e">
        <f>SUMIF(累计考核费用!$B$107:$B$156,原格式费用考核表!$B19,累计考核费用!#REF!)/10000</f>
        <v>#REF!</v>
      </c>
      <c r="Y19" s="8" t="e">
        <f>SUMIF(累计考核费用!$B$107:$B$156,原格式费用考核表!$B19,累计考核费用!#REF!)/10000</f>
        <v>#REF!</v>
      </c>
      <c r="Z19" s="8" t="e">
        <f>SUMIF(累计考核费用!$B$107:$B$156,原格式费用考核表!$B19,累计考核费用!#REF!)/10000</f>
        <v>#REF!</v>
      </c>
      <c r="AA19" s="8">
        <f>SUMIF(累计考核费用!$B$107:$B$156,原格式费用考核表!$B19,累计考核费用!AC$107:AC$156)/10000</f>
        <v>0</v>
      </c>
      <c r="AB19" s="8" t="e">
        <f>SUMIF(累计考核费用!$B$107:$B$156,原格式费用考核表!$B19,累计考核费用!#REF!)/10000</f>
        <v>#REF!</v>
      </c>
    </row>
    <row r="20" spans="1:28" s="2" customFormat="1" ht="12" customHeight="1">
      <c r="A20" s="274"/>
      <c r="B20" s="11" t="s">
        <v>122</v>
      </c>
      <c r="C20" s="11" t="s">
        <v>108</v>
      </c>
      <c r="D20" s="8">
        <f>SUMIF(累计考核费用!$B$107:$B$156,原格式费用考核表!$B20,累计考核费用!C$107:C$156)/10000</f>
        <v>270.338235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51.931198000000009</v>
      </c>
      <c r="G20" s="8">
        <f>SUMIF(累计考核费用!$B$107:$B$156,原格式费用考核表!$B20,累计考核费用!F$107:F$156)/10000</f>
        <v>169.08488200000002</v>
      </c>
      <c r="H20" s="8">
        <f>SUMIF(累计考核费用!$B$107:$B$156,原格式费用考核表!$B20,累计考核费用!G$107:G$156)/10000</f>
        <v>8.9921129999999998</v>
      </c>
      <c r="I20" s="8">
        <f>SUMIF(累计考核费用!$B$107:$B$156,原格式费用考核表!$B20,累计考核费用!L$107:L$156)/10000</f>
        <v>29.121317999999999</v>
      </c>
      <c r="J20" s="8">
        <f>SUMIF(累计考核费用!$B$107:$B$156,原格式费用考核表!$B20,累计考核费用!M$107:M$156)/10000</f>
        <v>1.9364370000000002</v>
      </c>
      <c r="K20" s="8">
        <f>SUMIF(累计考核费用!$B$107:$B$156,原格式费用考核表!$B20,累计考核费用!Q$107:Q$156)/10000</f>
        <v>1.931373</v>
      </c>
      <c r="L20" s="8">
        <f>SUMIF(累计考核费用!$B$107:$B$156,原格式费用考核表!$B20,累计考核费用!P$107:P$156)/10000</f>
        <v>1.737225</v>
      </c>
      <c r="M20" s="8">
        <f>SUMIF(累计考核费用!$B$107:$B$156,原格式费用考核表!$B20,累计考核费用!O$107:O$156)/10000</f>
        <v>2.0295749999999999</v>
      </c>
      <c r="N20" s="8">
        <f>SUMIF(累计考核费用!$B$107:$B$156,原格式费用考核表!$B20,累计考核费用!R$107:R$156)/10000</f>
        <v>1.9628950000000001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16.599539</v>
      </c>
      <c r="Q20" s="8" t="e">
        <f>SUMIF(累计考核费用!$B$107:$B$156,原格式费用考核表!$B20,累计考核费用!#REF!)/10000</f>
        <v>#REF!</v>
      </c>
      <c r="R20" s="8">
        <f>SUMIF(累计考核费用!$B$107:$B$156,原格式费用考核表!$B20,累计考核费用!T$107:T$156)/10000</f>
        <v>5.5787900000000006</v>
      </c>
      <c r="S20" s="8">
        <f>SUMIF(累计考核费用!$B$107:$B$156,原格式费用考核表!$B20,累计考核费用!U$107:U$156)/10000</f>
        <v>1.490329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SUMIF(累计考核费用!$B$107:$B$156,原格式费用考核表!$B20,累计考核费用!V$107:V$156)/10000</f>
        <v>2.1324750000000003</v>
      </c>
      <c r="V20" s="8">
        <f>SUMIF(累计考核费用!$B$107:$B$156,原格式费用考核表!$B20,累计考核费用!W$107:W$156)/10000</f>
        <v>1.2627110000000001</v>
      </c>
      <c r="W20" s="8">
        <f>SUMIF(累计考核费用!$B$107:$B$156,原格式费用考核表!$B20,累计考核费用!AB$107:AB$156)/10000</f>
        <v>1.748475</v>
      </c>
      <c r="X20" s="8" t="e">
        <f>SUMIF(累计考核费用!$B$107:$B$156,原格式费用考核表!$B20,累计考核费用!#REF!)/10000</f>
        <v>#REF!</v>
      </c>
      <c r="Y20" s="8" t="e">
        <f>SUMIF(累计考核费用!$B$107:$B$156,原格式费用考核表!$B20,累计考核费用!#REF!)/10000</f>
        <v>#REF!</v>
      </c>
      <c r="Z20" s="8" t="e">
        <f>SUMIF(累计考核费用!$B$107:$B$156,原格式费用考核表!$B20,累计考核费用!#REF!)/10000</f>
        <v>#REF!</v>
      </c>
      <c r="AA20" s="8">
        <f>SUMIF(累计考核费用!$B$107:$B$156,原格式费用考核表!$B20,累计考核费用!AC$107:AC$156)/10000</f>
        <v>3.8814589999999995</v>
      </c>
      <c r="AB20" s="8" t="e">
        <f>SUMIF(累计考核费用!$B$107:$B$156,原格式费用考核表!$B20,累计考核费用!#REF!)/10000</f>
        <v>#REF!</v>
      </c>
    </row>
    <row r="21" spans="1:28" s="2" customFormat="1" ht="12" customHeight="1">
      <c r="A21" s="274"/>
      <c r="B21" s="11" t="s">
        <v>109</v>
      </c>
      <c r="C21" s="11" t="s">
        <v>109</v>
      </c>
      <c r="D21" s="8">
        <f>SUMIF(累计考核费用!$B$107:$B$156,原格式费用考核表!$B21,累计考核费用!C$107:C$156)/10000</f>
        <v>505.12210999999996</v>
      </c>
      <c r="E21" s="8">
        <f>SUMIF(累计考核费用!$B$107:$B$156,原格式费用考核表!$B21,累计考核费用!D$107:D$156)/10000</f>
        <v>0</v>
      </c>
      <c r="F21" s="8">
        <f>SUMIF(累计考核费用!$B$107:$B$156,原格式费用考核表!$B21,累计考核费用!E$107:E$156)/10000</f>
        <v>147.217466</v>
      </c>
      <c r="G21" s="8">
        <f>SUMIF(累计考核费用!$B$107:$B$156,原格式费用考核表!$B21,累计考核费用!F$107:F$156)/10000</f>
        <v>204.43430299999997</v>
      </c>
      <c r="H21" s="8">
        <f>SUMIF(累计考核费用!$B$107:$B$156,原格式费用考核表!$B21,累计考核费用!G$107:G$156)/10000</f>
        <v>21.326921000000002</v>
      </c>
      <c r="I21" s="8">
        <f>SUMIF(累计考核费用!$B$107:$B$156,原格式费用考核表!$B21,累计考核费用!L$107:L$156)/10000</f>
        <v>8.1254609999999996</v>
      </c>
      <c r="J21" s="8">
        <f>SUMIF(累计考核费用!$B$107:$B$156,原格式费用考核表!$B21,累计考核费用!M$107:M$156)/10000</f>
        <v>0.73799800000000004</v>
      </c>
      <c r="K21" s="8">
        <f>SUMIF(累计考核费用!$B$107:$B$156,原格式费用考核表!$B21,累计考核费用!Q$107:Q$156)/10000</f>
        <v>0.93656499999999998</v>
      </c>
      <c r="L21" s="8">
        <f>SUMIF(累计考核费用!$B$107:$B$156,原格式费用考核表!$B21,累计考核费用!P$107:P$156)/10000</f>
        <v>1.5755250000000003</v>
      </c>
      <c r="M21" s="8">
        <f>SUMIF(累计考核费用!$B$107:$B$156,原格式费用考核表!$B21,累计考核费用!O$107:O$156)/10000</f>
        <v>0.72329699999999997</v>
      </c>
      <c r="N21" s="8">
        <f>SUMIF(累计考核费用!$B$107:$B$156,原格式费用考核表!$B21,累计考核费用!R$107:R$156)/10000</f>
        <v>2.5523659999999997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0.27105299999999993</v>
      </c>
      <c r="Q21" s="8" t="e">
        <f>SUMIF(累计考核费用!$B$107:$B$156,原格式费用考核表!$B21,累计考核费用!#REF!)/10000</f>
        <v>#REF!</v>
      </c>
      <c r="R21" s="8">
        <f>SUMIF(累计考核费用!$B$107:$B$156,原格式费用考核表!$B21,累计考核费用!T$107:T$156)/10000</f>
        <v>111.97450500000001</v>
      </c>
      <c r="S21" s="8">
        <f>SUMIF(累计考核费用!$B$107:$B$156,原格式费用考核表!$B21,累计考核费用!U$107:U$156)/10000</f>
        <v>13.317583000000001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SUMIF(累计考核费用!$B$107:$B$156,原格式费用考核表!$B21,累计考核费用!V$107:V$156)/10000</f>
        <v>69.821601000000001</v>
      </c>
      <c r="V21" s="8">
        <f>SUMIF(累计考核费用!$B$107:$B$156,原格式费用考核表!$B21,累计考核费用!W$107:W$156)/10000</f>
        <v>23.970369000000002</v>
      </c>
      <c r="W21" s="8">
        <f>SUMIF(累计考核费用!$B$107:$B$156,原格式费用考核表!$B21,累计考核费用!AB$107:AB$156)/10000</f>
        <v>9.450272</v>
      </c>
      <c r="X21" s="8" t="e">
        <f>SUMIF(累计考核费用!$B$107:$B$156,原格式费用考核表!$B21,累计考核费用!#REF!)/10000</f>
        <v>#REF!</v>
      </c>
      <c r="Y21" s="8" t="e">
        <f>SUMIF(累计考核费用!$B$107:$B$156,原格式费用考核表!$B21,累计考核费用!#REF!)/10000</f>
        <v>#REF!</v>
      </c>
      <c r="Z21" s="8" t="e">
        <f>SUMIF(累计考核费用!$B$107:$B$156,原格式费用考核表!$B21,累计考核费用!#REF!)/10000</f>
        <v>#REF!</v>
      </c>
      <c r="AA21" s="8">
        <f>SUMIF(累计考核费用!$B$107:$B$156,原格式费用考核表!$B21,累计考核费用!AC$107:AC$156)/10000</f>
        <v>2.5931820000000001</v>
      </c>
      <c r="AB21" s="8" t="e">
        <f>SUMIF(累计考核费用!$B$107:$B$156,原格式费用考核表!$B21,累计考核费用!#REF!)/10000</f>
        <v>#REF!</v>
      </c>
    </row>
    <row r="22" spans="1:28" s="2" customFormat="1" ht="12" customHeight="1">
      <c r="A22" s="274"/>
      <c r="B22" s="11" t="s">
        <v>110</v>
      </c>
      <c r="C22" s="11" t="s">
        <v>110</v>
      </c>
      <c r="D22" s="8">
        <f>SUMIF(累计考核费用!$B$107:$B$156,原格式费用考核表!$B22,累计考核费用!C$107:C$156)/10000</f>
        <v>225.81393099999997</v>
      </c>
      <c r="E22" s="8">
        <f>SUMIF(累计考核费用!$B$107:$B$156,原格式费用考核表!$B22,累计考核费用!D$107:D$156)/10000</f>
        <v>0</v>
      </c>
      <c r="F22" s="8">
        <f>SUMIF(累计考核费用!$B$107:$B$156,原格式费用考核表!$B22,累计考核费用!E$107:E$156)/10000</f>
        <v>43.036669000000003</v>
      </c>
      <c r="G22" s="8">
        <f>SUMIF(累计考核费用!$B$107:$B$156,原格式费用考核表!$B22,累计考核费用!F$107:F$156)/10000</f>
        <v>115.48624099999996</v>
      </c>
      <c r="H22" s="8">
        <f>SUMIF(累计考核费用!$B$107:$B$156,原格式费用考核表!$B22,累计考核费用!G$107:G$156)/10000</f>
        <v>8.3282749999999979</v>
      </c>
      <c r="I22" s="8">
        <f>SUMIF(累计考核费用!$B$107:$B$156,原格式费用考核表!$B22,累计考核费用!L$107:L$156)/10000</f>
        <v>2.4332170000000004</v>
      </c>
      <c r="J22" s="8">
        <f>SUMIF(累计考核费用!$B$107:$B$156,原格式费用考核表!$B22,累计考核费用!M$107:M$156)/10000</f>
        <v>0.24663100000000004</v>
      </c>
      <c r="K22" s="8">
        <f>SUMIF(累计考核费用!$B$107:$B$156,原格式费用考核表!$B22,累计考核费用!Q$107:Q$156)/10000</f>
        <v>7.1975999999999998E-2</v>
      </c>
      <c r="L22" s="8">
        <f>SUMIF(累计考核费用!$B$107:$B$156,原格式费用考核表!$B22,累计考核费用!P$107:P$156)/10000</f>
        <v>7.1745000000000003E-2</v>
      </c>
      <c r="M22" s="8">
        <f>SUMIF(累计考核费用!$B$107:$B$156,原格式费用考核表!$B22,累计考核费用!O$107:O$156)/10000</f>
        <v>0.24663199999999996</v>
      </c>
      <c r="N22" s="8">
        <f>SUMIF(累计考核费用!$B$107:$B$156,原格式费用考核表!$B22,累计考核费用!R$107:R$156)/10000</f>
        <v>0.60196500000000008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0.76773599999999997</v>
      </c>
      <c r="Q22" s="8" t="e">
        <f>SUMIF(累计考核费用!$B$107:$B$156,原格式费用考核表!$B22,累计考核费用!#REF!)/10000</f>
        <v>#REF!</v>
      </c>
      <c r="R22" s="8">
        <f>SUMIF(累计考核费用!$B$107:$B$156,原格式费用考核表!$B22,累计考核费用!T$107:T$156)/10000</f>
        <v>51.108325000000008</v>
      </c>
      <c r="S22" s="8">
        <f>SUMIF(累计考核费用!$B$107:$B$156,原格式费用考核表!$B22,累计考核费用!U$107:U$156)/10000</f>
        <v>4.4787119999999998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SUMIF(累计考核费用!$B$107:$B$156,原格式费用考核表!$B22,累计考核费用!V$107:V$156)/10000</f>
        <v>31.455201000000006</v>
      </c>
      <c r="V22" s="8">
        <f>SUMIF(累计考核费用!$B$107:$B$156,原格式费用考核表!$B22,累计考核费用!W$107:W$156)/10000</f>
        <v>13.996817000000002</v>
      </c>
      <c r="W22" s="8">
        <f>SUMIF(累计考核费用!$B$107:$B$156,原格式费用考核表!$B22,累计考核费用!AB$107:AB$156)/10000</f>
        <v>3.9456479999999994</v>
      </c>
      <c r="X22" s="8" t="e">
        <f>SUMIF(累计考核费用!$B$107:$B$156,原格式费用考核表!$B22,累计考核费用!#REF!)/10000</f>
        <v>#REF!</v>
      </c>
      <c r="Y22" s="8" t="e">
        <f>SUMIF(累计考核费用!$B$107:$B$156,原格式费用考核表!$B22,累计考核费用!#REF!)/10000</f>
        <v>#REF!</v>
      </c>
      <c r="Z22" s="8" t="e">
        <f>SUMIF(累计考核费用!$B$107:$B$156,原格式费用考核表!$B22,累计考核费用!#REF!)/10000</f>
        <v>#REF!</v>
      </c>
      <c r="AA22" s="8">
        <f>SUMIF(累计考核费用!$B$107:$B$156,原格式费用考核表!$B22,累计考核费用!AC$107:AC$156)/10000</f>
        <v>1.4755559999999999</v>
      </c>
      <c r="AB22" s="8" t="e">
        <f>SUMIF(累计考核费用!$B$107:$B$156,原格式费用考核表!$B22,累计考核费用!#REF!)/10000</f>
        <v>#REF!</v>
      </c>
    </row>
    <row r="23" spans="1:28" s="2" customFormat="1" ht="12" customHeight="1">
      <c r="A23" s="274"/>
      <c r="B23" s="7" t="s">
        <v>92</v>
      </c>
      <c r="C23" s="7" t="s">
        <v>111</v>
      </c>
      <c r="D23" s="8">
        <f>SUMIF(累计考核费用!$B$107:$B$156,原格式费用考核表!$B23,累计考核费用!C$107:C$156)/10000</f>
        <v>478.97468999999995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191.31174000000001</v>
      </c>
      <c r="G23" s="8">
        <f>SUMIF(累计考核费用!$B$107:$B$156,原格式费用考核表!$B23,累计考核费用!F$107:F$156)/10000</f>
        <v>182.05963400000005</v>
      </c>
      <c r="H23" s="8">
        <f>SUMIF(累计考核费用!$B$107:$B$156,原格式费用考核表!$B23,累计考核费用!G$107:G$156)/10000</f>
        <v>12.534394000000002</v>
      </c>
      <c r="I23" s="8">
        <f>SUMIF(累计考核费用!$B$107:$B$156,原格式费用考核表!$B23,累计考核费用!L$107:L$156)/10000</f>
        <v>16.603337999999997</v>
      </c>
      <c r="J23" s="8">
        <f>SUMIF(累计考核费用!$B$107:$B$156,原格式费用考核表!$B23,累计考核费用!M$107:M$156)/10000</f>
        <v>2.2717499999999999</v>
      </c>
      <c r="K23" s="8">
        <f>SUMIF(累计考核费用!$B$107:$B$156,原格式费用考核表!$B23,累计考核费用!Q$107:Q$156)/10000</f>
        <v>1.8390819999999999</v>
      </c>
      <c r="L23" s="8">
        <f>SUMIF(累计考核费用!$B$107:$B$156,原格式费用考核表!$B23,累计考核费用!P$107:P$156)/10000</f>
        <v>2.9990650000000003</v>
      </c>
      <c r="M23" s="8">
        <f>SUMIF(累计考核费用!$B$107:$B$156,原格式费用考核表!$B23,累计考核费用!O$107:O$156)/10000</f>
        <v>1.5033650000000001</v>
      </c>
      <c r="N23" s="8">
        <f>SUMIF(累计考核费用!$B$107:$B$156,原格式费用考核表!$B23,累计考核费用!R$107:R$156)/10000</f>
        <v>2.6324419999999997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1.529185</v>
      </c>
      <c r="Q23" s="8" t="e">
        <f>SUMIF(累计考核费用!$B$107:$B$156,原格式费用考核表!$B23,累计考核费用!#REF!)/10000</f>
        <v>#REF!</v>
      </c>
      <c r="R23" s="8">
        <f>SUMIF(累计考核费用!$B$107:$B$156,原格式费用考核表!$B23,累计考核费用!T$107:T$156)/10000</f>
        <v>67.084935000000016</v>
      </c>
      <c r="S23" s="8">
        <f>SUMIF(累计考核费用!$B$107:$B$156,原格式费用考核表!$B23,累计考核费用!U$107:U$156)/10000</f>
        <v>6.3104529999999999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SUMIF(累计考核费用!$B$107:$B$156,原格式费用考核表!$B23,累计考核费用!V$107:V$156)/10000</f>
        <v>40.241785999999998</v>
      </c>
      <c r="V23" s="8">
        <f>SUMIF(累计考核费用!$B$107:$B$156,原格式费用考核表!$B23,累计考核费用!W$107:W$156)/10000</f>
        <v>18.696479</v>
      </c>
      <c r="W23" s="8">
        <f>SUMIF(累计考核费用!$B$107:$B$156,原格式费用考核表!$B23,累计考核费用!AB$107:AB$156)/10000</f>
        <v>5.1780810000000015</v>
      </c>
      <c r="X23" s="8" t="e">
        <f>SUMIF(累计考核费用!$B$107:$B$156,原格式费用考核表!$B23,累计考核费用!#REF!)/10000</f>
        <v>#REF!</v>
      </c>
      <c r="Y23" s="8" t="e">
        <f>SUMIF(累计考核费用!$B$107:$B$156,原格式费用考核表!$B23,累计考核费用!#REF!)/10000</f>
        <v>#REF!</v>
      </c>
      <c r="Z23" s="8" t="e">
        <f>SUMIF(累计考核费用!$B$107:$B$156,原格式费用考核表!$B23,累计考核费用!#REF!)/10000</f>
        <v>#REF!</v>
      </c>
      <c r="AA23" s="8">
        <f>SUMIF(累计考核费用!$B$107:$B$156,原格式费用考核表!$B23,累计考核费用!AC$107:AC$156)/10000</f>
        <v>4.2025679999999994</v>
      </c>
      <c r="AB23" s="8" t="e">
        <f>SUMIF(累计考核费用!$B$107:$B$156,原格式费用考核表!$B23,累计考核费用!#REF!)/10000</f>
        <v>#REF!</v>
      </c>
    </row>
    <row r="24" spans="1:28" s="2" customFormat="1" ht="12" customHeight="1">
      <c r="A24" s="274"/>
      <c r="B24" s="11" t="s">
        <v>123</v>
      </c>
      <c r="C24" s="11" t="s">
        <v>112</v>
      </c>
      <c r="D24" s="8">
        <f>SUMIF(累计考核费用!$B$107:$B$156,原格式费用考核表!$B24,累计考核费用!C$107:C$156)/10000</f>
        <v>242.34229699999997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217.786517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SUMIF(累计考核费用!$B$107:$B$156,原格式费用考核表!$B24,累计考核费用!Q$107:Q$156)/10000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SUMIF(累计考核费用!$B$107:$B$156,原格式费用考核表!$B24,累计考核费用!O$107:O$156)/10000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 t="e">
        <f>SUMIF(累计考核费用!$B$107:$B$156,原格式费用考核表!$B24,累计考核费用!#REF!)/10000</f>
        <v>#REF!</v>
      </c>
      <c r="R24" s="8">
        <f>SUMIF(累计考核费用!$B$107:$B$156,原格式费用考核表!$B24,累计考核费用!T$107:T$156)/10000</f>
        <v>24.555779999999999</v>
      </c>
      <c r="S24" s="8">
        <f>SUMIF(累计考核费用!$B$107:$B$156,原格式费用考核表!$B24,累计考核费用!U$107:U$156)/10000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SUMIF(累计考核费用!$B$107:$B$156,原格式费用考核表!$B24,累计考核费用!V$107:V$156)/10000</f>
        <v>24.555779999999999</v>
      </c>
      <c r="V24" s="8">
        <f>SUMIF(累计考核费用!$B$107:$B$156,原格式费用考核表!$B24,累计考核费用!W$107:W$156)/10000</f>
        <v>0</v>
      </c>
      <c r="W24" s="8">
        <f>SUMIF(累计考核费用!$B$107:$B$156,原格式费用考核表!$B24,累计考核费用!AB$107:AB$156)/10000</f>
        <v>0</v>
      </c>
      <c r="X24" s="8" t="e">
        <f>SUMIF(累计考核费用!$B$107:$B$156,原格式费用考核表!$B24,累计考核费用!#REF!)/10000</f>
        <v>#REF!</v>
      </c>
      <c r="Y24" s="8" t="e">
        <f>SUMIF(累计考核费用!$B$107:$B$156,原格式费用考核表!$B24,累计考核费用!#REF!)/10000</f>
        <v>#REF!</v>
      </c>
      <c r="Z24" s="8" t="e">
        <f>SUMIF(累计考核费用!$B$107:$B$156,原格式费用考核表!$B24,累计考核费用!#REF!)/10000</f>
        <v>#REF!</v>
      </c>
      <c r="AA24" s="8">
        <f>SUMIF(累计考核费用!$B$107:$B$156,原格式费用考核表!$B24,累计考核费用!AC$107:AC$156)/10000</f>
        <v>0</v>
      </c>
      <c r="AB24" s="8" t="e">
        <f>SUMIF(累计考核费用!$B$107:$B$156,原格式费用考核表!$B24,累计考核费用!#REF!)/10000</f>
        <v>#REF!</v>
      </c>
    </row>
    <row r="25" spans="1:28" s="2" customFormat="1" ht="12" customHeight="1">
      <c r="A25" s="274"/>
      <c r="B25" s="11" t="s">
        <v>111</v>
      </c>
      <c r="C25" s="11" t="s">
        <v>113</v>
      </c>
      <c r="D25" s="8">
        <f>SUMIF(累计考核费用!$B$107:$B$156,原格式费用考核表!$B25,累计考核费用!C$107:C$156)/10000</f>
        <v>441.29876300000006</v>
      </c>
      <c r="E25" s="8">
        <f>SUMIF(累计考核费用!$B$107:$B$156,原格式费用考核表!$B25,累计考核费用!D$107:D$156)/10000</f>
        <v>0</v>
      </c>
      <c r="F25" s="8">
        <f>SUMIF(累计考核费用!$B$107:$B$156,原格式费用考核表!$B25,累计考核费用!E$107:E$156)/10000</f>
        <v>217.58154000000005</v>
      </c>
      <c r="G25" s="8">
        <f>SUMIF(累计考核费用!$B$107:$B$156,原格式费用考核表!$B25,累计考核费用!F$107:F$156)/10000</f>
        <v>223.441146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0.11396300000000001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SUMIF(累计考核费用!$B$107:$B$156,原格式费用考核表!$B25,累计考核费用!Q$107:Q$156)/10000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SUMIF(累计考核费用!$B$107:$B$156,原格式费用考核表!$B25,累计考核费用!O$107:O$156)/10000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 t="e">
        <f>SUMIF(累计考核费用!$B$107:$B$156,原格式费用考核表!$B25,累计考核费用!#REF!)/10000</f>
        <v>#REF!</v>
      </c>
      <c r="R25" s="8">
        <f>SUMIF(累计考核费用!$B$107:$B$156,原格式费用考核表!$B25,累计考核费用!T$107:T$156)/10000</f>
        <v>0.101132</v>
      </c>
      <c r="S25" s="8">
        <f>SUMIF(累计考核费用!$B$107:$B$156,原格式费用考核表!$B25,累计考核费用!U$107:U$156)/10000</f>
        <v>2.717E-2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SUMIF(累计考核费用!$B$107:$B$156,原格式费用考核表!$B25,累计考核费用!V$107:V$156)/10000</f>
        <v>3.8491000000000004E-2</v>
      </c>
      <c r="V25" s="8">
        <f>SUMIF(累计考核费用!$B$107:$B$156,原格式费用考核表!$B25,累计考核费用!W$107:W$156)/10000</f>
        <v>2.8679000000000003E-2</v>
      </c>
      <c r="W25" s="8">
        <f>SUMIF(累计考核费用!$B$107:$B$156,原格式费用考核表!$B25,累计考核费用!AB$107:AB$156)/10000</f>
        <v>1.1320999999999999E-2</v>
      </c>
      <c r="X25" s="8" t="e">
        <f>SUMIF(累计考核费用!$B$107:$B$156,原格式费用考核表!$B25,累计考核费用!#REF!)/10000</f>
        <v>#REF!</v>
      </c>
      <c r="Y25" s="8" t="e">
        <f>SUMIF(累计考核费用!$B$107:$B$156,原格式费用考核表!$B25,累计考核费用!#REF!)/10000</f>
        <v>#REF!</v>
      </c>
      <c r="Z25" s="8" t="e">
        <f>SUMIF(累计考核费用!$B$107:$B$156,原格式费用考核表!$B25,累计考核费用!#REF!)/10000</f>
        <v>#REF!</v>
      </c>
      <c r="AA25" s="8">
        <f>SUMIF(累计考核费用!$B$107:$B$156,原格式费用考核表!$B25,累计考核费用!AC$107:AC$156)/10000</f>
        <v>3.8339999999999999E-2</v>
      </c>
      <c r="AB25" s="8" t="e">
        <f>SUMIF(累计考核费用!$B$107:$B$156,原格式费用考核表!$B25,累计考核费用!#REF!)/10000</f>
        <v>#REF!</v>
      </c>
    </row>
    <row r="26" spans="1:28" s="2" customFormat="1" ht="12" customHeight="1">
      <c r="A26" s="274"/>
      <c r="B26" s="11" t="s">
        <v>118</v>
      </c>
      <c r="C26" s="11" t="s">
        <v>114</v>
      </c>
      <c r="D26" s="8">
        <f>SUMIF(累计考核费用!$B$107:$B$156,原格式费用考核表!$B26,累计考核费用!C$107:C$156)/10000</f>
        <v>513.39688599999999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513.39688599999999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SUMIF(累计考核费用!$B$107:$B$156,原格式费用考核表!$B26,累计考核费用!Q$107:Q$156)/10000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SUMIF(累计考核费用!$B$107:$B$156,原格式费用考核表!$B26,累计考核费用!O$107:O$156)/10000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 t="e">
        <f>SUMIF(累计考核费用!$B$107:$B$156,原格式费用考核表!$B26,累计考核费用!#REF!)/10000</f>
        <v>#REF!</v>
      </c>
      <c r="R26" s="8">
        <f>SUMIF(累计考核费用!$B$107:$B$156,原格式费用考核表!$B26,累计考核费用!T$107:T$156)/10000</f>
        <v>0</v>
      </c>
      <c r="S26" s="8">
        <f>SUMIF(累计考核费用!$B$107:$B$156,原格式费用考核表!$B26,累计考核费用!U$107:U$156)/10000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SUMIF(累计考核费用!$B$107:$B$156,原格式费用考核表!$B26,累计考核费用!V$107:V$156)/10000</f>
        <v>0</v>
      </c>
      <c r="V26" s="8">
        <f>SUMIF(累计考核费用!$B$107:$B$156,原格式费用考核表!$B26,累计考核费用!W$107:W$156)/10000</f>
        <v>0</v>
      </c>
      <c r="W26" s="8">
        <f>SUMIF(累计考核费用!$B$107:$B$156,原格式费用考核表!$B26,累计考核费用!AB$107:AB$156)/10000</f>
        <v>0</v>
      </c>
      <c r="X26" s="8" t="e">
        <f>SUMIF(累计考核费用!$B$107:$B$156,原格式费用考核表!$B26,累计考核费用!#REF!)/10000</f>
        <v>#REF!</v>
      </c>
      <c r="Y26" s="8" t="e">
        <f>SUMIF(累计考核费用!$B$107:$B$156,原格式费用考核表!$B26,累计考核费用!#REF!)/10000</f>
        <v>#REF!</v>
      </c>
      <c r="Z26" s="8" t="e">
        <f>SUMIF(累计考核费用!$B$107:$B$156,原格式费用考核表!$B26,累计考核费用!#REF!)/10000</f>
        <v>#REF!</v>
      </c>
      <c r="AA26" s="8">
        <f>SUMIF(累计考核费用!$B$107:$B$156,原格式费用考核表!$B26,累计考核费用!AC$107:AC$156)/10000</f>
        <v>0</v>
      </c>
      <c r="AB26" s="8" t="e">
        <f>SUMIF(累计考核费用!$B$107:$B$156,原格式费用考核表!$B26,累计考核费用!#REF!)/10000</f>
        <v>#REF!</v>
      </c>
    </row>
    <row r="27" spans="1:28" s="2" customFormat="1" ht="12" customHeight="1">
      <c r="A27" s="274"/>
      <c r="B27" s="11" t="s">
        <v>112</v>
      </c>
      <c r="C27" s="11" t="s">
        <v>115</v>
      </c>
      <c r="D27" s="8">
        <f>SUMIF(累计考核费用!$B$107:$B$156,原格式费用考核表!$B27,累计考核费用!C$107:C$156)/10000</f>
        <v>370.04235900000009</v>
      </c>
      <c r="E27" s="8">
        <f>SUMIF(累计考核费用!$B$107:$B$156,原格式费用考核表!$B27,累计考核费用!D$107:D$156)/10000</f>
        <v>81.553398000000001</v>
      </c>
      <c r="F27" s="8">
        <f>SUMIF(累计考核费用!$B$107:$B$156,原格式费用考核表!$B27,累计考核费用!E$107:E$156)/10000</f>
        <v>100.55505599999999</v>
      </c>
      <c r="G27" s="8">
        <f>SUMIF(累计考核费用!$B$107:$B$156,原格式费用考核表!$B27,累计考核费用!F$107:F$156)/10000</f>
        <v>116.86015400000001</v>
      </c>
      <c r="H27" s="8">
        <f>SUMIF(累计考核费用!$B$107:$B$156,原格式费用考核表!$B27,累计考核费用!G$107:G$156)/10000</f>
        <v>35.355307000000003</v>
      </c>
      <c r="I27" s="8">
        <f>SUMIF(累计考核费用!$B$107:$B$156,原格式费用考核表!$B27,累计考核费用!L$107:L$156)/10000</f>
        <v>13.857123999999999</v>
      </c>
      <c r="J27" s="8">
        <f>SUMIF(累计考核费用!$B$107:$B$156,原格式费用考核表!$B27,累计考核费用!M$107:M$156)/10000</f>
        <v>2.917573</v>
      </c>
      <c r="K27" s="8">
        <f>SUMIF(累计考核费用!$B$107:$B$156,原格式费用考核表!$B27,累计考核费用!Q$107:Q$156)/10000</f>
        <v>1.1044229999999999</v>
      </c>
      <c r="L27" s="8">
        <f>SUMIF(累计考核费用!$B$107:$B$156,原格式费用考核表!$B27,累计考核费用!P$107:P$156)/10000</f>
        <v>4.62392</v>
      </c>
      <c r="M27" s="8">
        <f>SUMIF(累计考核费用!$B$107:$B$156,原格式费用考核表!$B27,累计考核费用!O$107:O$156)/10000</f>
        <v>1.4583740000000001</v>
      </c>
      <c r="N27" s="8">
        <f>SUMIF(累计考核费用!$B$107:$B$156,原格式费用考核表!$B27,累计考核费用!R$107:R$156)/10000</f>
        <v>0.47046000000000004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0.36480000000000001</v>
      </c>
      <c r="Q27" s="8" t="e">
        <f>SUMIF(累计考核费用!$B$107:$B$156,原格式费用考核表!$B27,累计考核费用!#REF!)/10000</f>
        <v>#REF!</v>
      </c>
      <c r="R27" s="8">
        <f>SUMIF(累计考核费用!$B$107:$B$156,原格式费用考核表!$B27,累计考核费用!T$107:T$156)/10000</f>
        <v>21.131720000000001</v>
      </c>
      <c r="S27" s="8">
        <f>SUMIF(累计考核费用!$B$107:$B$156,原格式费用考核表!$B27,累计考核费用!U$107:U$156)/10000</f>
        <v>19.672520000000002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SUMIF(累计考核费用!$B$107:$B$156,原格式费用考核表!$B27,累计考核费用!V$107:V$156)/10000</f>
        <v>0.72960000000000003</v>
      </c>
      <c r="V27" s="8">
        <f>SUMIF(累计考核费用!$B$107:$B$156,原格式费用考核表!$B27,累计考核费用!W$107:W$156)/10000</f>
        <v>0.72960000000000003</v>
      </c>
      <c r="W27" s="8">
        <f>SUMIF(累计考核费用!$B$107:$B$156,原格式费用考核表!$B27,累计考核费用!AB$107:AB$156)/10000</f>
        <v>0.72960000000000003</v>
      </c>
      <c r="X27" s="8" t="e">
        <f>SUMIF(累计考核费用!$B$107:$B$156,原格式费用考核表!$B27,累计考核费用!#REF!)/10000</f>
        <v>#REF!</v>
      </c>
      <c r="Y27" s="8" t="e">
        <f>SUMIF(累计考核费用!$B$107:$B$156,原格式费用考核表!$B27,累计考核费用!#REF!)/10000</f>
        <v>#REF!</v>
      </c>
      <c r="Z27" s="8" t="e">
        <f>SUMIF(累计考核费用!$B$107:$B$156,原格式费用考核表!$B27,累计考核费用!#REF!)/10000</f>
        <v>#REF!</v>
      </c>
      <c r="AA27" s="8">
        <f>SUMIF(累计考核费用!$B$107:$B$156,原格式费用考核表!$B27,累计考核费用!AC$107:AC$156)/10000</f>
        <v>0</v>
      </c>
      <c r="AB27" s="8" t="e">
        <f>SUMIF(累计考核费用!$B$107:$B$156,原格式费用考核表!$B27,累计考核费用!#REF!)/10000</f>
        <v>#REF!</v>
      </c>
    </row>
    <row r="28" spans="1:28" s="2" customFormat="1" ht="12" customHeight="1">
      <c r="A28" s="274"/>
      <c r="B28" s="11" t="s">
        <v>124</v>
      </c>
      <c r="C28" s="11" t="s">
        <v>116</v>
      </c>
      <c r="D28" s="8">
        <f>SUMIF(累计考核费用!$B$107:$B$156,原格式费用考核表!$B28,累计考核费用!C$107:C$156)/10000</f>
        <v>227.22078899999991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29.085394999999991</v>
      </c>
      <c r="G28" s="8">
        <f>SUMIF(累计考核费用!$B$107:$B$156,原格式费用考核表!$B28,累计考核费用!F$107:F$156)/10000</f>
        <v>185.43993399999991</v>
      </c>
      <c r="H28" s="8">
        <f>SUMIF(累计考核费用!$B$107:$B$156,原格式费用考核表!$B28,累计考核费用!G$107:G$156)/10000</f>
        <v>2.3301209999999997</v>
      </c>
      <c r="I28" s="8">
        <f>SUMIF(累计考核费用!$B$107:$B$156,原格式费用考核表!$B28,累计考核费用!L$107:L$156)/10000</f>
        <v>8.6174960000000009</v>
      </c>
      <c r="J28" s="8">
        <f>SUMIF(累计考核费用!$B$107:$B$156,原格式费用考核表!$B28,累计考核费用!M$107:M$156)/10000</f>
        <v>1.0939729999999999</v>
      </c>
      <c r="K28" s="8">
        <f>SUMIF(累计考核费用!$B$107:$B$156,原格式费用考核表!$B28,累计考核费用!Q$107:Q$156)/10000</f>
        <v>1.0939729999999999</v>
      </c>
      <c r="L28" s="8">
        <f>SUMIF(累计考核费用!$B$107:$B$156,原格式费用考核表!$B28,累计考核费用!P$107:P$156)/10000</f>
        <v>1.41387</v>
      </c>
      <c r="M28" s="8">
        <f>SUMIF(累计考核费用!$B$107:$B$156,原格式费用考核表!$B28,累计考核费用!O$107:O$156)/10000</f>
        <v>1.0939719999999999</v>
      </c>
      <c r="N28" s="8">
        <f>SUMIF(累计考核费用!$B$107:$B$156,原格式费用考核表!$B28,累计考核费用!R$107:R$156)/10000</f>
        <v>1.41387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1.4138659999999998</v>
      </c>
      <c r="Q28" s="8" t="e">
        <f>SUMIF(累计考核费用!$B$107:$B$156,原格式费用考核表!$B28,累计考核费用!#REF!)/10000</f>
        <v>#REF!</v>
      </c>
      <c r="R28" s="8">
        <f>SUMIF(累计考核费用!$B$107:$B$156,原格式费用考核表!$B28,累计考核费用!T$107:T$156)/10000</f>
        <v>0</v>
      </c>
      <c r="S28" s="8">
        <f>SUMIF(累计考核费用!$B$107:$B$156,原格式费用考核表!$B28,累计考核费用!U$107:U$156)/10000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SUMIF(累计考核费用!$B$107:$B$156,原格式费用考核表!$B28,累计考核费用!V$107:V$156)/10000</f>
        <v>0</v>
      </c>
      <c r="V28" s="8">
        <f>SUMIF(累计考核费用!$B$107:$B$156,原格式费用考核表!$B28,累计考核费用!W$107:W$156)/10000</f>
        <v>0</v>
      </c>
      <c r="W28" s="8">
        <f>SUMIF(累计考核费用!$B$107:$B$156,原格式费用考核表!$B28,累计考核费用!AB$107:AB$156)/10000</f>
        <v>0</v>
      </c>
      <c r="X28" s="8" t="e">
        <f>SUMIF(累计考核费用!$B$107:$B$156,原格式费用考核表!$B28,累计考核费用!#REF!)/10000</f>
        <v>#REF!</v>
      </c>
      <c r="Y28" s="8" t="e">
        <f>SUMIF(累计考核费用!$B$107:$B$156,原格式费用考核表!$B28,累计考核费用!#REF!)/10000</f>
        <v>#REF!</v>
      </c>
      <c r="Z28" s="8" t="e">
        <f>SUMIF(累计考核费用!$B$107:$B$156,原格式费用考核表!$B28,累计考核费用!#REF!)/10000</f>
        <v>#REF!</v>
      </c>
      <c r="AA28" s="8">
        <f>SUMIF(累计考核费用!$B$107:$B$156,原格式费用考核表!$B28,累计考核费用!AC$107:AC$156)/10000</f>
        <v>1.747843</v>
      </c>
      <c r="AB28" s="8" t="e">
        <f>SUMIF(累计考核费用!$B$107:$B$156,原格式费用考核表!$B28,累计考核费用!#REF!)/10000</f>
        <v>#REF!</v>
      </c>
    </row>
    <row r="29" spans="1:28" s="2" customFormat="1" ht="12" customHeight="1">
      <c r="A29" s="274"/>
      <c r="B29" s="11" t="s">
        <v>113</v>
      </c>
      <c r="C29" s="11" t="s">
        <v>117</v>
      </c>
      <c r="D29" s="8">
        <f>SUMIF(累计考核费用!$B$107:$B$156,原格式费用考核表!$B29,累计考核费用!C$107:C$156)/10000</f>
        <v>279.151544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132.54120699999999</v>
      </c>
      <c r="G29" s="8">
        <f>SUMIF(累计考核费用!$B$107:$B$156,原格式费用考核表!$B29,累计考核费用!F$107:F$156)/10000</f>
        <v>81.809421000000015</v>
      </c>
      <c r="H29" s="8">
        <f>SUMIF(累计考核费用!$B$107:$B$156,原格式费用考核表!$B29,累计考核费用!G$107:G$156)/10000</f>
        <v>6.6574179999999989</v>
      </c>
      <c r="I29" s="8">
        <f>SUMIF(累计考核费用!$B$107:$B$156,原格式费用考核表!$B29,累计考核费用!L$107:L$156)/10000</f>
        <v>22.547393</v>
      </c>
      <c r="J29" s="8">
        <f>SUMIF(累计考核费用!$B$107:$B$156,原格式费用考核表!$B29,累计考核费用!M$107:M$156)/10000</f>
        <v>6.9995469999999997</v>
      </c>
      <c r="K29" s="8">
        <f>SUMIF(累计考核费用!$B$107:$B$156,原格式费用考核表!$B29,累计考核费用!Q$107:Q$156)/10000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SUMIF(累计考核费用!$B$107:$B$156,原格式费用考核表!$B29,累计考核费用!O$107:O$156)/10000</f>
        <v>6.9174179999999996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 t="e">
        <f>SUMIF(累计考核费用!$B$107:$B$156,原格式费用考核表!$B29,累计考核费用!#REF!)/10000</f>
        <v>#REF!</v>
      </c>
      <c r="R29" s="8">
        <f>SUMIF(累计考核费用!$B$107:$B$156,原格式费用考核表!$B29,累计考核费用!T$107:T$156)/10000</f>
        <v>31.457414</v>
      </c>
      <c r="S29" s="8">
        <f>SUMIF(累计考核费用!$B$107:$B$156,原格式费用考核表!$B29,累计考核费用!U$107:U$156)/10000</f>
        <v>5.6942350000000008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SUMIF(累计考核费用!$B$107:$B$156,原格式费用考核表!$B29,累计考核费用!V$107:V$156)/10000</f>
        <v>17.807935999999998</v>
      </c>
      <c r="V29" s="8">
        <f>SUMIF(累计考核费用!$B$107:$B$156,原格式费用考核表!$B29,累计考核费用!W$107:W$156)/10000</f>
        <v>6.5316840000000003</v>
      </c>
      <c r="W29" s="8">
        <f>SUMIF(累计考核费用!$B$107:$B$156,原格式费用考核表!$B29,累计考核费用!AB$107:AB$156)/10000</f>
        <v>3.4773510000000001</v>
      </c>
      <c r="X29" s="8" t="e">
        <f>SUMIF(累计考核费用!$B$107:$B$156,原格式费用考核表!$B29,累计考核费用!#REF!)/10000</f>
        <v>#REF!</v>
      </c>
      <c r="Y29" s="8" t="e">
        <f>SUMIF(累计考核费用!$B$107:$B$156,原格式费用考核表!$B29,累计考核费用!#REF!)/10000</f>
        <v>#REF!</v>
      </c>
      <c r="Z29" s="8" t="e">
        <f>SUMIF(累计考核费用!$B$107:$B$156,原格式费用考核表!$B29,累计考核费用!#REF!)/10000</f>
        <v>#REF!</v>
      </c>
      <c r="AA29" s="8">
        <f>SUMIF(累计考核费用!$B$107:$B$156,原格式费用考核表!$B29,累计考核费用!AC$107:AC$156)/10000</f>
        <v>0.66133999999999993</v>
      </c>
      <c r="AB29" s="8" t="e">
        <f>SUMIF(累计考核费用!$B$107:$B$156,原格式费用考核表!$B29,累计考核费用!#REF!)/10000</f>
        <v>#REF!</v>
      </c>
    </row>
    <row r="30" spans="1:28" s="2" customFormat="1" ht="12" customHeight="1">
      <c r="A30" s="274"/>
      <c r="B30" s="11" t="s">
        <v>114</v>
      </c>
      <c r="C30" s="11" t="s">
        <v>118</v>
      </c>
      <c r="D30" s="8">
        <f>SUMIF(累计考核费用!$B$107:$B$156,原格式费用考核表!$B30,累计考核费用!C$107:C$156)/10000</f>
        <v>94.602693000000002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12.943175</v>
      </c>
      <c r="G30" s="8">
        <f>SUMIF(累计考核费用!$B$107:$B$156,原格式费用考核表!$B30,累计考核费用!F$107:F$156)/10000</f>
        <v>43.430593999999992</v>
      </c>
      <c r="H30" s="8">
        <f>SUMIF(累计考核费用!$B$107:$B$156,原格式费用考核表!$B30,累计考核费用!G$107:G$156)/10000</f>
        <v>2.857443</v>
      </c>
      <c r="I30" s="8">
        <f>SUMIF(累计考核费用!$B$107:$B$156,原格式费用考核表!$B30,累计考核费用!L$107:L$156)/10000</f>
        <v>1.8614489999999997</v>
      </c>
      <c r="J30" s="8">
        <f>SUMIF(累计考核费用!$B$107:$B$156,原格式费用考核表!$B30,累计考核费用!M$107:M$156)/10000</f>
        <v>0.169434</v>
      </c>
      <c r="K30" s="8">
        <f>SUMIF(累计考核费用!$B$107:$B$156,原格式费用考核表!$B30,累计考核费用!Q$107:Q$156)/10000</f>
        <v>0.1643</v>
      </c>
      <c r="L30" s="8">
        <f>SUMIF(累计考核费用!$B$107:$B$156,原格式费用考核表!$B30,累计考核费用!P$107:P$156)/10000</f>
        <v>0.23050799999999999</v>
      </c>
      <c r="M30" s="8">
        <f>SUMIF(累计考核费用!$B$107:$B$156,原格式费用考核表!$B30,累计考核费用!O$107:O$156)/10000</f>
        <v>0.156333</v>
      </c>
      <c r="N30" s="8">
        <f>SUMIF(累计考核费用!$B$107:$B$156,原格式费用考核表!$B30,累计考核费用!R$107:R$156)/10000</f>
        <v>0.1386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0.75624099999999994</v>
      </c>
      <c r="Q30" s="8" t="e">
        <f>SUMIF(累计考核费用!$B$107:$B$156,原格式费用考核表!$B30,累计考核费用!#REF!)/10000</f>
        <v>#REF!</v>
      </c>
      <c r="R30" s="8">
        <f>SUMIF(累计考核费用!$B$107:$B$156,原格式费用考核表!$B30,累计考核费用!T$107:T$156)/10000</f>
        <v>29.860711999999999</v>
      </c>
      <c r="S30" s="8">
        <f>SUMIF(累计考核费用!$B$107:$B$156,原格式费用考核表!$B30,累计考核费用!U$107:U$156)/10000</f>
        <v>1.4321660000000003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SUMIF(累计考核费用!$B$107:$B$156,原格式费用考核表!$B30,累计考核费用!V$107:V$156)/10000</f>
        <v>21.265353000000001</v>
      </c>
      <c r="V30" s="8">
        <f>SUMIF(累计考核费用!$B$107:$B$156,原格式费用考核表!$B30,累计考核费用!W$107:W$156)/10000</f>
        <v>5.8894320000000002</v>
      </c>
      <c r="W30" s="8">
        <f>SUMIF(累计考核费用!$B$107:$B$156,原格式费用考核表!$B30,累计考核费用!AB$107:AB$156)/10000</f>
        <v>3.4757279999999997</v>
      </c>
      <c r="X30" s="8" t="e">
        <f>SUMIF(累计考核费用!$B$107:$B$156,原格式费用考核表!$B30,累计考核费用!#REF!)/10000</f>
        <v>#REF!</v>
      </c>
      <c r="Y30" s="8" t="e">
        <f>SUMIF(累计考核费用!$B$107:$B$156,原格式费用考核表!$B30,累计考核费用!#REF!)/10000</f>
        <v>#REF!</v>
      </c>
      <c r="Z30" s="8" t="e">
        <f>SUMIF(累计考核费用!$B$107:$B$156,原格式费用考核表!$B30,累计考核费用!#REF!)/10000</f>
        <v>#REF!</v>
      </c>
      <c r="AA30" s="8">
        <f>SUMIF(累计考核费用!$B$107:$B$156,原格式费用考核表!$B30,累计考核费用!AC$107:AC$156)/10000</f>
        <v>0.173592</v>
      </c>
      <c r="AB30" s="8" t="e">
        <f>SUMIF(累计考核费用!$B$107:$B$156,原格式费用考核表!$B30,累计考核费用!#REF!)/10000</f>
        <v>#REF!</v>
      </c>
    </row>
    <row r="31" spans="1:28" s="2" customFormat="1" ht="12" customHeight="1">
      <c r="A31" s="274"/>
      <c r="B31" s="11" t="s">
        <v>117</v>
      </c>
      <c r="C31" s="11" t="s">
        <v>119</v>
      </c>
      <c r="D31" s="8">
        <f>SUMIF(累计考核费用!$B$107:$B$156,原格式费用考核表!$B31,累计考核费用!C$107:C$156)/10000-D9</f>
        <v>204.732315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66.947279000000009</v>
      </c>
      <c r="G31" s="8">
        <f>SUMIF(累计考核费用!$B$107:$B$156,原格式费用考核表!$B31,累计考核费用!F$107:F$156)/10000-G9</f>
        <v>122.19304699999998</v>
      </c>
      <c r="H31" s="8">
        <f>SUMIF(累计考核费用!$B$107:$B$156,原格式费用考核表!$B31,累计考核费用!G$107:G$156)/10000-H9</f>
        <v>4.9001629999999992</v>
      </c>
      <c r="I31" s="8">
        <f>SUMIF(累计考核费用!$B$107:$B$156,原格式费用考核表!$B31,累计考核费用!L$107:L$156)/10000-I9</f>
        <v>11.312757999999999</v>
      </c>
      <c r="J31" s="8">
        <f>SUMIF(累计考核费用!$B$107:$B$156,原格式费用考核表!$B31,累计考核费用!M$107:M$156)/10000-J9</f>
        <v>0.384463</v>
      </c>
      <c r="K31" s="8">
        <f>SUMIF(累计考核费用!$B$107:$B$156,原格式费用考核表!$B31,累计考核费用!Q$107:Q$156)/10000-K9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SUMIF(累计考核费用!$B$107:$B$156,原格式费用考核表!$B31,累计考核费用!O$107:O$156)/10000-M9</f>
        <v>0.511463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11.697973000000001</v>
      </c>
      <c r="Q31" s="8" t="e">
        <f>SUMIF(累计考核费用!$B$107:$B$156,原格式费用考核表!$B31,累计考核费用!#REF!)/10000-Q9</f>
        <v>#REF!</v>
      </c>
      <c r="R31" s="8">
        <f>SUMIF(累计考核费用!$B$107:$B$156,原格式费用考核表!$B31,累计考核费用!T$107:T$156)/10000-R9</f>
        <v>-0.22889999999999999</v>
      </c>
      <c r="S31" s="8">
        <f>SUMIF(累计考核费用!$B$107:$B$156,原格式费用考核表!$B31,累计考核费用!U$107:U$156)/10000-S9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SUMIF(累计考核费用!$B$107:$B$156,原格式费用考核表!$B31,累计考核费用!V$107:V$156)/10000-U9</f>
        <v>2.5700000000000001E-2</v>
      </c>
      <c r="V31" s="8">
        <f>SUMIF(累计考核费用!$B$107:$B$156,原格式费用考核表!$B31,累计考核费用!W$107:W$156)/10000-V9</f>
        <v>0.38540000000000002</v>
      </c>
      <c r="W31" s="8">
        <f>SUMIF(累计考核费用!$B$107:$B$156,原格式费用考核表!$B31,累计考核费用!AB$107:AB$156)/10000-W9</f>
        <v>1.4775680000000002</v>
      </c>
      <c r="X31" s="8" t="e">
        <f>SUMIF(累计考核费用!$B$107:$B$156,原格式费用考核表!$B31,累计考核费用!#REF!)/10000-X9</f>
        <v>#REF!</v>
      </c>
      <c r="Y31" s="8" t="e">
        <f>SUMIF(累计考核费用!$B$107:$B$156,原格式费用考核表!$B31,累计考核费用!#REF!)/10000-Y9</f>
        <v>#REF!</v>
      </c>
      <c r="Z31" s="8" t="e">
        <f>SUMIF(累计考核费用!$B$107:$B$156,原格式费用考核表!$B31,累计考核费用!#REF!)/10000-Z9</f>
        <v>#REF!</v>
      </c>
      <c r="AA31" s="8">
        <f>SUMIF(累计考核费用!$B$107:$B$156,原格式费用考核表!$B31,累计考核费用!AC$107:AC$156)/10000-AA9</f>
        <v>0</v>
      </c>
      <c r="AB31" s="8" t="e">
        <f>SUMIF(累计考核费用!$B$107:$B$156,原格式费用考核表!$B31,累计考核费用!#REF!)/10000-AB9</f>
        <v>#REF!</v>
      </c>
    </row>
    <row r="32" spans="1:28" s="2" customFormat="1" ht="12" customHeight="1">
      <c r="A32" s="274"/>
      <c r="B32" s="11" t="s">
        <v>125</v>
      </c>
      <c r="C32" s="11" t="s">
        <v>99</v>
      </c>
      <c r="D32" s="8">
        <f>SUMIF(累计考核费用!$B$107:$B$156,原格式费用考核表!$B32,累计考核费用!C$107:C$156)/10000</f>
        <v>24.524056999999999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24.524056999999999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SUMIF(累计考核费用!$B$107:$B$156,原格式费用考核表!$B32,累计考核费用!Q$107:Q$156)/10000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SUMIF(累计考核费用!$B$107:$B$156,原格式费用考核表!$B32,累计考核费用!O$107:O$156)/10000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 t="e">
        <f>SUMIF(累计考核费用!$B$107:$B$156,原格式费用考核表!$B32,累计考核费用!#REF!)/10000</f>
        <v>#REF!</v>
      </c>
      <c r="R32" s="8">
        <f>SUMIF(累计考核费用!$B$107:$B$156,原格式费用考核表!$B32,累计考核费用!T$107:T$156)/10000</f>
        <v>0</v>
      </c>
      <c r="S32" s="8">
        <f>SUMIF(累计考核费用!$B$107:$B$156,原格式费用考核表!$B32,累计考核费用!U$107:U$156)/10000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SUMIF(累计考核费用!$B$107:$B$156,原格式费用考核表!$B32,累计考核费用!V$107:V$156)/10000</f>
        <v>0</v>
      </c>
      <c r="V32" s="8">
        <f>SUMIF(累计考核费用!$B$107:$B$156,原格式费用考核表!$B32,累计考核费用!W$107:W$156)/10000</f>
        <v>0</v>
      </c>
      <c r="W32" s="8">
        <f>SUMIF(累计考核费用!$B$107:$B$156,原格式费用考核表!$B32,累计考核费用!AB$107:AB$156)/10000</f>
        <v>0</v>
      </c>
      <c r="X32" s="8" t="e">
        <f>SUMIF(累计考核费用!$B$107:$B$156,原格式费用考核表!$B32,累计考核费用!#REF!)/10000</f>
        <v>#REF!</v>
      </c>
      <c r="Y32" s="8" t="e">
        <f>SUMIF(累计考核费用!$B$107:$B$156,原格式费用考核表!$B32,累计考核费用!#REF!)/10000</f>
        <v>#REF!</v>
      </c>
      <c r="Z32" s="8" t="e">
        <f>SUMIF(累计考核费用!$B$107:$B$156,原格式费用考核表!$B32,累计考核费用!#REF!)/10000</f>
        <v>#REF!</v>
      </c>
      <c r="AA32" s="8">
        <f>SUMIF(累计考核费用!$B$107:$B$156,原格式费用考核表!$B32,累计考核费用!AC$107:AC$156)/10000</f>
        <v>0</v>
      </c>
      <c r="AB32" s="8" t="e">
        <f>SUMIF(累计考核费用!$B$107:$B$156,原格式费用考核表!$B32,累计考核费用!#REF!)/10000</f>
        <v>#REF!</v>
      </c>
    </row>
    <row r="33" spans="1:28" s="2" customFormat="1" ht="12" customHeight="1">
      <c r="A33" s="274"/>
      <c r="B33" s="11" t="s">
        <v>126</v>
      </c>
      <c r="C33" s="11" t="s">
        <v>121</v>
      </c>
      <c r="D33" s="8">
        <f>SUMIF(累计考核费用!$B$107:$B$156,原格式费用考核表!$B33,累计考核费用!C$107:C$156)/10000</f>
        <v>66.128084999999999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35.641224999999999</v>
      </c>
      <c r="G33" s="8">
        <f>SUMIF(累计考核费用!$B$107:$B$156,原格式费用考核表!$B33,累计考核费用!F$107:F$156)/10000</f>
        <v>28.397940000000002</v>
      </c>
      <c r="H33" s="8">
        <f>SUMIF(累计考核费用!$B$107:$B$156,原格式费用考核表!$B33,累计考核费用!G$107:G$156)/10000</f>
        <v>0.04</v>
      </c>
      <c r="I33" s="8">
        <f>SUMIF(累计考核费用!$B$107:$B$156,原格式费用考核表!$B33,累计考核费用!L$107:L$156)/10000</f>
        <v>1.2412939999999999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SUMIF(累计考核费用!$B$107:$B$156,原格式费用考核表!$B33,累计考核费用!Q$107:Q$156)/10000</f>
        <v>0</v>
      </c>
      <c r="L33" s="8">
        <f>SUMIF(累计考核费用!$B$107:$B$156,原格式费用考核表!$B33,累计考核费用!P$107:P$156)/10000</f>
        <v>0.60204899999999995</v>
      </c>
      <c r="M33" s="8">
        <f>SUMIF(累计考核费用!$B$107:$B$156,原格式费用考核表!$B33,累计考核费用!O$107:O$156)/10000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0.63924499999999995</v>
      </c>
      <c r="Q33" s="8" t="e">
        <f>SUMIF(累计考核费用!$B$107:$B$156,原格式费用考核表!$B33,累计考核费用!#REF!)/10000</f>
        <v>#REF!</v>
      </c>
      <c r="R33" s="8">
        <f>SUMIF(累计考核费用!$B$107:$B$156,原格式费用考核表!$B33,累计考核费用!T$107:T$156)/10000</f>
        <v>0.16462599999999999</v>
      </c>
      <c r="S33" s="8">
        <f>SUMIF(累计考核费用!$B$107:$B$156,原格式费用考核表!$B33,累计考核费用!U$107:U$156)/10000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SUMIF(累计考核费用!$B$107:$B$156,原格式费用考核表!$B33,累计考核费用!V$107:V$156)/10000</f>
        <v>7.4160000000000004E-2</v>
      </c>
      <c r="V33" s="8">
        <f>SUMIF(累计考核费用!$B$107:$B$156,原格式费用考核表!$B33,累计考核费用!W$107:W$156)/10000</f>
        <v>9.0465999999999991E-2</v>
      </c>
      <c r="W33" s="8">
        <f>SUMIF(累计考核费用!$B$107:$B$156,原格式费用考核表!$B33,累计考核费用!AB$107:AB$156)/10000</f>
        <v>0.61</v>
      </c>
      <c r="X33" s="8" t="e">
        <f>SUMIF(累计考核费用!$B$107:$B$156,原格式费用考核表!$B33,累计考核费用!#REF!)/10000</f>
        <v>#REF!</v>
      </c>
      <c r="Y33" s="8" t="e">
        <f>SUMIF(累计考核费用!$B$107:$B$156,原格式费用考核表!$B33,累计考核费用!#REF!)/10000</f>
        <v>#REF!</v>
      </c>
      <c r="Z33" s="8" t="e">
        <f>SUMIF(累计考核费用!$B$107:$B$156,原格式费用考核表!$B33,累计考核费用!#REF!)/10000</f>
        <v>#REF!</v>
      </c>
      <c r="AA33" s="8">
        <f>SUMIF(累计考核费用!$B$107:$B$156,原格式费用考核表!$B33,累计考核费用!AC$107:AC$156)/10000</f>
        <v>3.3000000000000002E-2</v>
      </c>
      <c r="AB33" s="8" t="e">
        <f>SUMIF(累计考核费用!$B$107:$B$156,原格式费用考核表!$B33,累计考核费用!#REF!)/10000</f>
        <v>#REF!</v>
      </c>
    </row>
    <row r="34" spans="1:28" s="2" customFormat="1" ht="12" customHeight="1">
      <c r="A34" s="274"/>
      <c r="B34" s="11" t="s">
        <v>115</v>
      </c>
      <c r="C34" s="11" t="s">
        <v>122</v>
      </c>
      <c r="D34" s="8">
        <f>SUMIF(累计考核费用!$B$107:$B$156,原格式费用考核表!$B34,累计考核费用!C$107:C$156)/10000</f>
        <v>23.812927999999999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3.3214199999999998</v>
      </c>
      <c r="G34" s="8">
        <f>SUMIF(累计考核费用!$B$107:$B$156,原格式费用考核表!$B34,累计考核费用!F$107:F$156)/10000</f>
        <v>17.975229000000002</v>
      </c>
      <c r="H34" s="8">
        <f>SUMIF(累计考核费用!$B$107:$B$156,原格式费用考核表!$B34,累计考核费用!G$107:G$156)/10000</f>
        <v>0.47370400000000001</v>
      </c>
      <c r="I34" s="8">
        <f>SUMIF(累计考核费用!$B$107:$B$156,原格式费用考核表!$B34,累计考核费用!L$107:L$156)/10000</f>
        <v>0.82215799999999994</v>
      </c>
      <c r="J34" s="8">
        <f>SUMIF(累计考核费用!$B$107:$B$156,原格式费用考核表!$B34,累计考核费用!M$107:M$156)/10000</f>
        <v>2.9065999999999998E-2</v>
      </c>
      <c r="K34" s="8">
        <f>SUMIF(累计考核费用!$B$107:$B$156,原格式费用考核表!$B34,累计考核费用!Q$107:Q$156)/10000</f>
        <v>0.14057</v>
      </c>
      <c r="L34" s="8">
        <f>SUMIF(累计考核费用!$B$107:$B$156,原格式费用考核表!$B34,累计考核费用!P$107:P$156)/10000</f>
        <v>0.19308</v>
      </c>
      <c r="M34" s="8">
        <f>SUMIF(累计考核费用!$B$107:$B$156,原格式费用考核表!$B34,累计考核费用!O$107:O$156)/10000</f>
        <v>2.9067000000000003E-2</v>
      </c>
      <c r="N34" s="8">
        <f>SUMIF(累计考核费用!$B$107:$B$156,原格式费用考核表!$B34,累计考核费用!R$107:R$156)/10000</f>
        <v>1.324E-2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 t="e">
        <f>SUMIF(累计考核费用!$B$107:$B$156,原格式费用考核表!$B34,累计考核费用!#REF!)/10000</f>
        <v>#REF!</v>
      </c>
      <c r="R34" s="8">
        <f>SUMIF(累计考核费用!$B$107:$B$156,原格式费用考核表!$B34,累计考核费用!T$107:T$156)/10000</f>
        <v>0.73606700000000003</v>
      </c>
      <c r="S34" s="8">
        <f>SUMIF(累计考核费用!$B$107:$B$156,原格式费用考核表!$B34,累计考核费用!U$107:U$156)/10000</f>
        <v>8.6251999999999995E-2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SUMIF(累计考核费用!$B$107:$B$156,原格式费用考核表!$B34,累计考核费用!V$107:V$156)/10000</f>
        <v>0.374</v>
      </c>
      <c r="V34" s="8">
        <f>SUMIF(累计考核费用!$B$107:$B$156,原格式费用考核表!$B34,累计考核费用!W$107:W$156)/10000</f>
        <v>0.169682</v>
      </c>
      <c r="W34" s="8">
        <f>SUMIF(累计考核费用!$B$107:$B$156,原格式费用考核表!$B34,累计考核费用!AB$107:AB$156)/10000</f>
        <v>8.4000000000000005E-2</v>
      </c>
      <c r="X34" s="8" t="e">
        <f>SUMIF(累计考核费用!$B$107:$B$156,原格式费用考核表!$B34,累计考核费用!#REF!)/10000</f>
        <v>#REF!</v>
      </c>
      <c r="Y34" s="8" t="e">
        <f>SUMIF(累计考核费用!$B$107:$B$156,原格式费用考核表!$B34,累计考核费用!#REF!)/10000</f>
        <v>#REF!</v>
      </c>
      <c r="Z34" s="8" t="e">
        <f>SUMIF(累计考核费用!$B$107:$B$156,原格式费用考核表!$B34,累计考核费用!#REF!)/10000</f>
        <v>#REF!</v>
      </c>
      <c r="AA34" s="8">
        <f>SUMIF(累计考核费用!$B$107:$B$156,原格式费用考核表!$B34,累计考核费用!AC$107:AC$156)/10000</f>
        <v>0.40034999999999998</v>
      </c>
      <c r="AB34" s="8" t="e">
        <f>SUMIF(累计考核费用!$B$107:$B$156,原格式费用考核表!$B34,累计考核费用!#REF!)/10000</f>
        <v>#REF!</v>
      </c>
    </row>
    <row r="35" spans="1:28" s="2" customFormat="1" ht="12" customHeight="1">
      <c r="A35" s="274"/>
      <c r="B35" s="11" t="s">
        <v>116</v>
      </c>
      <c r="C35" s="11" t="s">
        <v>123</v>
      </c>
      <c r="D35" s="8">
        <f>SUMIF(累计考核费用!$B$107:$B$156,原格式费用考核表!$B35,累计考核费用!C$107:C$156)/10000</f>
        <v>84.040719999999979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19.301845</v>
      </c>
      <c r="G35" s="8">
        <f>SUMIF(累计考核费用!$B$107:$B$156,原格式费用考核表!$B35,累计考核费用!F$107:F$156)/10000</f>
        <v>33.957124999999998</v>
      </c>
      <c r="H35" s="8">
        <f>SUMIF(累计考核费用!$B$107:$B$156,原格式费用考核表!$B35,累计考核费用!G$107:G$156)/10000</f>
        <v>5.6156329999999999</v>
      </c>
      <c r="I35" s="8">
        <f>SUMIF(累计考核费用!$B$107:$B$156,原格式费用考核表!$B35,累计考核费用!L$107:L$156)/10000</f>
        <v>6.3662349999999988</v>
      </c>
      <c r="J35" s="8">
        <f>SUMIF(累计考核费用!$B$107:$B$156,原格式费用考核表!$B35,累计考核费用!M$107:M$156)/10000</f>
        <v>0.281943</v>
      </c>
      <c r="K35" s="8">
        <f>SUMIF(累计考核费用!$B$107:$B$156,原格式费用考核表!$B35,累计考核费用!Q$107:Q$156)/10000</f>
        <v>0.720024</v>
      </c>
      <c r="L35" s="8">
        <f>SUMIF(累计考核费用!$B$107:$B$156,原格式费用考核表!$B35,累计考核费用!P$107:P$156)/10000</f>
        <v>0.40126099999999998</v>
      </c>
      <c r="M35" s="8">
        <f>SUMIF(累计考核费用!$B$107:$B$156,原格式费用考核表!$B35,累计考核费用!O$107:O$156)/10000</f>
        <v>0.39475299999999997</v>
      </c>
      <c r="N35" s="8">
        <f>SUMIF(累计考核费用!$B$107:$B$156,原格式费用考核表!$B35,累计考核费用!R$107:R$156)/10000</f>
        <v>3.1714939999999996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0.99936799999999981</v>
      </c>
      <c r="Q35" s="8" t="e">
        <f>SUMIF(累计考核费用!$B$107:$B$156,原格式费用考核表!$B35,累计考核费用!#REF!)/10000</f>
        <v>#REF!</v>
      </c>
      <c r="R35" s="8">
        <f>SUMIF(累计考核费用!$B$107:$B$156,原格式费用考核表!$B35,累计考核费用!T$107:T$156)/10000</f>
        <v>17.33052</v>
      </c>
      <c r="S35" s="8">
        <f>SUMIF(累计考核费用!$B$107:$B$156,原格式费用考核表!$B35,累计考核费用!U$107:U$156)/10000</f>
        <v>6.0055780000000007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SUMIF(累计考核费用!$B$107:$B$156,原格式费用考核表!$B35,累计考核费用!V$107:V$156)/10000</f>
        <v>4.2864870000000002</v>
      </c>
      <c r="V35" s="8">
        <f>SUMIF(累计考核费用!$B$107:$B$156,原格式费用考核表!$B35,累计考核费用!W$107:W$156)/10000</f>
        <v>4.1633799999999992</v>
      </c>
      <c r="W35" s="8">
        <f>SUMIF(累计考核费用!$B$107:$B$156,原格式费用考核表!$B35,累计考核费用!AB$107:AB$156)/10000</f>
        <v>1.168064</v>
      </c>
      <c r="X35" s="8" t="e">
        <f>SUMIF(累计考核费用!$B$107:$B$156,原格式费用考核表!$B35,累计考核费用!#REF!)/10000</f>
        <v>#REF!</v>
      </c>
      <c r="Y35" s="8" t="e">
        <f>SUMIF(累计考核费用!$B$107:$B$156,原格式费用考核表!$B35,累计考核费用!#REF!)/10000</f>
        <v>#REF!</v>
      </c>
      <c r="Z35" s="8" t="e">
        <f>SUMIF(累计考核费用!$B$107:$B$156,原格式费用考核表!$B35,累计考核费用!#REF!)/10000</f>
        <v>#REF!</v>
      </c>
      <c r="AA35" s="8">
        <f>SUMIF(累计考核费用!$B$107:$B$156,原格式费用考核表!$B35,累计考核费用!AC$107:AC$156)/10000</f>
        <v>0.30129800000000001</v>
      </c>
      <c r="AB35" s="8" t="e">
        <f>SUMIF(累计考核费用!$B$107:$B$156,原格式费用考核表!$B35,累计考核费用!#REF!)/10000</f>
        <v>#REF!</v>
      </c>
    </row>
    <row r="36" spans="1:28" s="2" customFormat="1" ht="12" customHeight="1">
      <c r="A36" s="274"/>
      <c r="B36" s="11" t="s">
        <v>127</v>
      </c>
      <c r="C36" s="11" t="s">
        <v>124</v>
      </c>
      <c r="D36" s="8">
        <f>SUMIF(累计考核费用!$B$107:$B$156,原格式费用考核表!$B36,累计考核费用!C$107:C$156)/10000</f>
        <v>116.372677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60.809677000000001</v>
      </c>
      <c r="G36" s="8">
        <f>SUMIF(累计考核费用!$B$107:$B$156,原格式费用考核表!$B36,累计考核费用!F$107:F$156)/10000</f>
        <v>54.762999999999998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0.8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SUMIF(累计考核费用!$B$107:$B$156,原格式费用考核表!$B36,累计考核费用!Q$107:Q$156)/10000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SUMIF(累计考核费用!$B$107:$B$156,原格式费用考核表!$B36,累计考核费用!O$107:O$156)/10000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0.8</v>
      </c>
      <c r="Q36" s="8" t="e">
        <f>SUMIF(累计考核费用!$B$107:$B$156,原格式费用考核表!$B36,累计考核费用!#REF!)/10000</f>
        <v>#REF!</v>
      </c>
      <c r="R36" s="8">
        <f>SUMIF(累计考核费用!$B$107:$B$156,原格式费用考核表!$B36,累计考核费用!T$107:T$156)/10000</f>
        <v>0</v>
      </c>
      <c r="S36" s="8">
        <f>SUMIF(累计考核费用!$B$107:$B$156,原格式费用考核表!$B36,累计考核费用!U$107:U$156)/10000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SUMIF(累计考核费用!$B$107:$B$156,原格式费用考核表!$B36,累计考核费用!V$107:V$156)/10000</f>
        <v>0</v>
      </c>
      <c r="V36" s="8">
        <f>SUMIF(累计考核费用!$B$107:$B$156,原格式费用考核表!$B36,累计考核费用!W$107:W$156)/10000</f>
        <v>0</v>
      </c>
      <c r="W36" s="8">
        <f>SUMIF(累计考核费用!$B$107:$B$156,原格式费用考核表!$B36,累计考核费用!AB$107:AB$156)/10000</f>
        <v>0</v>
      </c>
      <c r="X36" s="8" t="e">
        <f>SUMIF(累计考核费用!$B$107:$B$156,原格式费用考核表!$B36,累计考核费用!#REF!)/10000</f>
        <v>#REF!</v>
      </c>
      <c r="Y36" s="8" t="e">
        <f>SUMIF(累计考核费用!$B$107:$B$156,原格式费用考核表!$B36,累计考核费用!#REF!)/10000</f>
        <v>#REF!</v>
      </c>
      <c r="Z36" s="8" t="e">
        <f>SUMIF(累计考核费用!$B$107:$B$156,原格式费用考核表!$B36,累计考核费用!#REF!)/10000</f>
        <v>#REF!</v>
      </c>
      <c r="AA36" s="8">
        <f>SUMIF(累计考核费用!$B$107:$B$156,原格式费用考核表!$B36,累计考核费用!AC$107:AC$156)/10000</f>
        <v>0</v>
      </c>
      <c r="AB36" s="8" t="e">
        <f>SUMIF(累计考核费用!$B$107:$B$156,原格式费用考核表!$B36,累计考核费用!#REF!)/10000</f>
        <v>#REF!</v>
      </c>
    </row>
    <row r="37" spans="1:28" s="2" customFormat="1" ht="12" customHeight="1">
      <c r="A37" s="274"/>
      <c r="B37" s="11" t="s">
        <v>104</v>
      </c>
      <c r="C37" s="11" t="s">
        <v>125</v>
      </c>
      <c r="D37" s="8">
        <f>SUMIF(累计考核费用!$B$107:$B$156,原格式费用考核表!$B37,累计考核费用!C$107:C$156)/10000</f>
        <v>68.972363999999985</v>
      </c>
      <c r="E37" s="8">
        <f>SUMIF(累计考核费用!$B$107:$B$156,原格式费用考核表!$B37,累计考核费用!D$107:D$156)/10000</f>
        <v>0</v>
      </c>
      <c r="F37" s="8">
        <f>SUMIF(累计考核费用!$B$107:$B$156,原格式费用考核表!$B37,累计考核费用!E$107:E$156)/10000</f>
        <v>32.67</v>
      </c>
      <c r="G37" s="8">
        <f>SUMIF(累计考核费用!$B$107:$B$156,原格式费用考核表!$B37,累计考核费用!F$107:F$156)/10000</f>
        <v>34.933646999999986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SUMIF(累计考核费用!$B$107:$B$156,原格式费用考核表!$B37,累计考核费用!Q$107:Q$156)/10000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SUMIF(累计考核费用!$B$107:$B$156,原格式费用考核表!$B37,累计考核费用!O$107:O$156)/10000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 t="e">
        <f>SUMIF(累计考核费用!$B$107:$B$156,原格式费用考核表!$B37,累计考核费用!#REF!)/10000</f>
        <v>#REF!</v>
      </c>
      <c r="R37" s="8">
        <f>SUMIF(累计考核费用!$B$107:$B$156,原格式费用考核表!$B37,累计考核费用!T$107:T$156)/10000</f>
        <v>0</v>
      </c>
      <c r="S37" s="8">
        <f>SUMIF(累计考核费用!$B$107:$B$156,原格式费用考核表!$B37,累计考核费用!U$107:U$156)/10000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SUMIF(累计考核费用!$B$107:$B$156,原格式费用考核表!$B37,累计考核费用!V$107:V$156)/10000</f>
        <v>0</v>
      </c>
      <c r="V37" s="8">
        <f>SUMIF(累计考核费用!$B$107:$B$156,原格式费用考核表!$B37,累计考核费用!W$107:W$156)/10000</f>
        <v>0</v>
      </c>
      <c r="W37" s="8">
        <f>SUMIF(累计考核费用!$B$107:$B$156,原格式费用考核表!$B37,累计考核费用!AB$107:AB$156)/10000</f>
        <v>0</v>
      </c>
      <c r="X37" s="8" t="e">
        <f>SUMIF(累计考核费用!$B$107:$B$156,原格式费用考核表!$B37,累计考核费用!#REF!)/10000</f>
        <v>#REF!</v>
      </c>
      <c r="Y37" s="8" t="e">
        <f>SUMIF(累计考核费用!$B$107:$B$156,原格式费用考核表!$B37,累计考核费用!#REF!)/10000</f>
        <v>#REF!</v>
      </c>
      <c r="Z37" s="8" t="e">
        <f>SUMIF(累计考核费用!$B$107:$B$156,原格式费用考核表!$B37,累计考核费用!#REF!)/10000</f>
        <v>#REF!</v>
      </c>
      <c r="AA37" s="8">
        <f>SUMIF(累计考核费用!$B$107:$B$156,原格式费用考核表!$B37,累计考核费用!AC$107:AC$156)/10000</f>
        <v>0</v>
      </c>
      <c r="AB37" s="8" t="e">
        <f>SUMIF(累计考核费用!$B$107:$B$156,原格式费用考核表!$B37,累计考核费用!#REF!)/10000</f>
        <v>#REF!</v>
      </c>
    </row>
    <row r="38" spans="1:28" s="2" customFormat="1" ht="12" customHeight="1">
      <c r="A38" s="274"/>
      <c r="B38" s="11" t="s">
        <v>128</v>
      </c>
      <c r="C38" s="11" t="s">
        <v>126</v>
      </c>
      <c r="D38" s="8">
        <f>SUMIF(累计考核费用!$B$107:$B$156,原格式费用考核表!$B38,累计考核费用!C$107:C$156)/10000</f>
        <v>89.602724000000009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43.199905000000001</v>
      </c>
      <c r="G38" s="8">
        <f>SUMIF(累计考核费用!$B$107:$B$156,原格式费用考核表!$B38,累计考核费用!F$107:F$156)/10000</f>
        <v>9.5004570000000008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11.320753999999999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SUMIF(累计考核费用!$B$107:$B$156,原格式费用考核表!$B38,累计考核费用!Q$107:Q$156)/10000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SUMIF(累计考核费用!$B$107:$B$156,原格式费用考核表!$B38,累计考核费用!O$107:O$156)/10000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 t="e">
        <f>SUMIF(累计考核费用!$B$107:$B$156,原格式费用考核表!$B38,累计考核费用!#REF!)/10000</f>
        <v>#REF!</v>
      </c>
      <c r="R38" s="8">
        <f>SUMIF(累计考核费用!$B$107:$B$156,原格式费用考核表!$B38,累计考核费用!T$107:T$156)/10000</f>
        <v>25.581607999999999</v>
      </c>
      <c r="S38" s="8">
        <f>SUMIF(累计考核费用!$B$107:$B$156,原格式费用考核表!$B38,累计考核费用!U$107:U$156)/10000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SUMIF(累计考核费用!$B$107:$B$156,原格式费用考核表!$B38,累计考核费用!V$107:V$156)/10000</f>
        <v>22.696463999999999</v>
      </c>
      <c r="V38" s="8">
        <f>SUMIF(累计考核费用!$B$107:$B$156,原格式费用考核表!$B38,累计考核费用!W$107:W$156)/10000</f>
        <v>2.8851440000000004</v>
      </c>
      <c r="W38" s="8">
        <f>SUMIF(累计考核费用!$B$107:$B$156,原格式费用考核表!$B38,累计考核费用!AB$107:AB$156)/10000</f>
        <v>0</v>
      </c>
      <c r="X38" s="8" t="e">
        <f>SUMIF(累计考核费用!$B$107:$B$156,原格式费用考核表!$B38,累计考核费用!#REF!)/10000</f>
        <v>#REF!</v>
      </c>
      <c r="Y38" s="8" t="e">
        <f>SUMIF(累计考核费用!$B$107:$B$156,原格式费用考核表!$B38,累计考核费用!#REF!)/10000</f>
        <v>#REF!</v>
      </c>
      <c r="Z38" s="8" t="e">
        <f>SUMIF(累计考核费用!$B$107:$B$156,原格式费用考核表!$B38,累计考核费用!#REF!)/10000</f>
        <v>#REF!</v>
      </c>
      <c r="AA38" s="8">
        <f>SUMIF(累计考核费用!$B$107:$B$156,原格式费用考核表!$B38,累计考核费用!AC$107:AC$156)/10000</f>
        <v>0</v>
      </c>
      <c r="AB38" s="8" t="e">
        <f>SUMIF(累计考核费用!$B$107:$B$156,原格式费用考核表!$B38,累计考核费用!#REF!)/10000</f>
        <v>#REF!</v>
      </c>
    </row>
    <row r="39" spans="1:28" s="2" customFormat="1" ht="12" customHeight="1">
      <c r="A39" s="274"/>
      <c r="B39" s="11" t="s">
        <v>129</v>
      </c>
      <c r="C39" s="11" t="s">
        <v>127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SUMIF(累计考核费用!$B$107:$B$156,原格式费用考核表!$B39,累计考核费用!Q$107:Q$156)/10000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SUMIF(累计考核费用!$B$107:$B$156,原格式费用考核表!$B39,累计考核费用!O$107:O$156)/10000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 t="e">
        <f>SUMIF(累计考核费用!$B$107:$B$156,原格式费用考核表!$B39,累计考核费用!#REF!)/10000</f>
        <v>#REF!</v>
      </c>
      <c r="R39" s="8">
        <f>SUMIF(累计考核费用!$B$107:$B$156,原格式费用考核表!$B39,累计考核费用!T$107:T$156)/10000</f>
        <v>0</v>
      </c>
      <c r="S39" s="8">
        <f>SUMIF(累计考核费用!$B$107:$B$156,原格式费用考核表!$B39,累计考核费用!U$107:U$156)/10000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SUMIF(累计考核费用!$B$107:$B$156,原格式费用考核表!$B39,累计考核费用!V$107:V$156)/10000</f>
        <v>0</v>
      </c>
      <c r="V39" s="8">
        <f>SUMIF(累计考核费用!$B$107:$B$156,原格式费用考核表!$B39,累计考核费用!W$107:W$156)/10000</f>
        <v>0</v>
      </c>
      <c r="W39" s="8">
        <f>SUMIF(累计考核费用!$B$107:$B$156,原格式费用考核表!$B39,累计考核费用!AB$107:AB$156)/10000</f>
        <v>0</v>
      </c>
      <c r="X39" s="8" t="e">
        <f>SUMIF(累计考核费用!$B$107:$B$156,原格式费用考核表!$B39,累计考核费用!#REF!)/10000</f>
        <v>#REF!</v>
      </c>
      <c r="Y39" s="8" t="e">
        <f>SUMIF(累计考核费用!$B$107:$B$156,原格式费用考核表!$B39,累计考核费用!#REF!)/10000</f>
        <v>#REF!</v>
      </c>
      <c r="Z39" s="8" t="e">
        <f>SUMIF(累计考核费用!$B$107:$B$156,原格式费用考核表!$B39,累计考核费用!#REF!)/10000</f>
        <v>#REF!</v>
      </c>
      <c r="AA39" s="8">
        <f>SUMIF(累计考核费用!$B$107:$B$156,原格式费用考核表!$B39,累计考核费用!AC$107:AC$156)/10000</f>
        <v>0</v>
      </c>
      <c r="AB39" s="8" t="e">
        <f>SUMIF(累计考核费用!$B$107:$B$156,原格式费用考核表!$B39,累计考核费用!#REF!)/10000</f>
        <v>#REF!</v>
      </c>
    </row>
    <row r="40" spans="1:28" s="2" customFormat="1" ht="12" customHeight="1">
      <c r="A40" s="274"/>
      <c r="B40" s="11" t="s">
        <v>141</v>
      </c>
      <c r="C40" s="11" t="s">
        <v>128</v>
      </c>
      <c r="D40" s="8">
        <f>累计考核费用!C137/10000</f>
        <v>8.2275720000000003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5.0419999999999998</v>
      </c>
      <c r="H40" s="8">
        <f>累计考核费用!G137/10000</f>
        <v>0</v>
      </c>
      <c r="I40" s="8">
        <f>累计考核费用!L137/10000</f>
        <v>0.04</v>
      </c>
      <c r="J40" s="8">
        <f>累计考核费用!M137/10000</f>
        <v>0</v>
      </c>
      <c r="K40" s="8">
        <f>累计考核费用!Q137/10000</f>
        <v>0</v>
      </c>
      <c r="L40" s="8">
        <f>累计考核费用!P137/10000</f>
        <v>0</v>
      </c>
      <c r="M40" s="8">
        <f>累计考核费用!O137/10000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0.04</v>
      </c>
      <c r="Q40" s="8" t="e">
        <f>累计考核费用!#REF!/10000</f>
        <v>#REF!</v>
      </c>
      <c r="R40" s="8">
        <f>累计考核费用!T137/10000</f>
        <v>0</v>
      </c>
      <c r="S40" s="8">
        <f>累计考核费用!U137/10000</f>
        <v>0</v>
      </c>
      <c r="T40" s="8" t="e">
        <f>累计考核费用!#REF!/10000</f>
        <v>#REF!</v>
      </c>
      <c r="U40" s="8">
        <f>累计考核费用!V137/10000</f>
        <v>0</v>
      </c>
      <c r="V40" s="8">
        <f>累计考核费用!W137/10000</f>
        <v>0</v>
      </c>
      <c r="W40" s="8">
        <f>累计考核费用!AB137/10000</f>
        <v>0</v>
      </c>
      <c r="X40" s="8" t="e">
        <f>累计考核费用!#REF!/10000</f>
        <v>#REF!</v>
      </c>
      <c r="Y40" s="8" t="e">
        <f>累计考核费用!#REF!/10000</f>
        <v>#REF!</v>
      </c>
      <c r="Z40" s="8" t="e">
        <f>累计考核费用!#REF!/10000</f>
        <v>#REF!</v>
      </c>
      <c r="AA40" s="8">
        <f>累计考核费用!AC137/10000</f>
        <v>3.145572</v>
      </c>
      <c r="AB40" s="8" t="e">
        <f>累计考核费用!#REF!/10000</f>
        <v>#REF!</v>
      </c>
    </row>
    <row r="41" spans="1:28" s="2" customFormat="1" ht="12" customHeight="1">
      <c r="A41" s="275"/>
      <c r="B41" s="11" t="s">
        <v>99</v>
      </c>
      <c r="C41" s="11" t="s">
        <v>129</v>
      </c>
      <c r="D41" s="12">
        <f>SUM(D17:D40)</f>
        <v>8755.6349320000008</v>
      </c>
      <c r="E41" s="12">
        <f>SUM(E17:E40)</f>
        <v>86.338948000000002</v>
      </c>
      <c r="F41" s="12">
        <f t="shared" ref="F41:AB41" si="4">SUM(F17:F40)</f>
        <v>1944.1145590000003</v>
      </c>
      <c r="G41" s="12">
        <f t="shared" si="4"/>
        <v>3856.6537239999998</v>
      </c>
      <c r="H41" s="12">
        <f t="shared" si="4"/>
        <v>288.27723500000008</v>
      </c>
      <c r="I41" s="12">
        <f t="shared" si="4"/>
        <v>385.15961300000004</v>
      </c>
      <c r="J41" s="12">
        <f t="shared" si="4"/>
        <v>42.728015999999997</v>
      </c>
      <c r="K41" s="12">
        <f t="shared" si="4"/>
        <v>50.514844999999994</v>
      </c>
      <c r="L41" s="12">
        <f t="shared" si="4"/>
        <v>51.656634999999994</v>
      </c>
      <c r="M41" s="12">
        <f t="shared" si="4"/>
        <v>45.020861999999994</v>
      </c>
      <c r="N41" s="12">
        <f t="shared" si="4"/>
        <v>51.734687000000008</v>
      </c>
      <c r="O41" s="12" t="e">
        <f t="shared" si="4"/>
        <v>#REF!</v>
      </c>
      <c r="P41" s="12">
        <f t="shared" si="4"/>
        <v>79.699269000000015</v>
      </c>
      <c r="Q41" s="12" t="e">
        <f t="shared" si="4"/>
        <v>#REF!</v>
      </c>
      <c r="R41" s="12">
        <f t="shared" si="4"/>
        <v>2040.5994439999997</v>
      </c>
      <c r="S41" s="12">
        <f t="shared" si="4"/>
        <v>211.38699700000001</v>
      </c>
      <c r="T41" s="12" t="e">
        <f t="shared" si="4"/>
        <v>#REF!</v>
      </c>
      <c r="U41" s="12">
        <f t="shared" si="4"/>
        <v>1281.1898909999998</v>
      </c>
      <c r="V41" s="12">
        <f t="shared" si="4"/>
        <v>357.25981600000017</v>
      </c>
      <c r="W41" s="12">
        <f t="shared" si="4"/>
        <v>114.20445300000003</v>
      </c>
      <c r="X41" s="12" t="e">
        <f t="shared" si="4"/>
        <v>#REF!</v>
      </c>
      <c r="Y41" s="12" t="e">
        <f t="shared" si="4"/>
        <v>#REF!</v>
      </c>
      <c r="Z41" s="12" t="e">
        <f t="shared" si="4"/>
        <v>#REF!</v>
      </c>
      <c r="AA41" s="12">
        <f t="shared" si="4"/>
        <v>42.156556000000009</v>
      </c>
      <c r="AB41" s="12" t="e">
        <f t="shared" si="4"/>
        <v>#REF!</v>
      </c>
    </row>
    <row r="42" spans="1:28" s="2" customFormat="1" ht="12" customHeight="1">
      <c r="A42" s="273" t="s">
        <v>120</v>
      </c>
      <c r="B42" s="11" t="s">
        <v>130</v>
      </c>
      <c r="C42" s="11" t="s">
        <v>130</v>
      </c>
      <c r="D42" s="8">
        <f>SUMIF(累计考核费用!$B$107:$B$156,原格式费用考核表!$B42,累计考核费用!C$107:C$156)/10000</f>
        <v>1327.0935839999997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816.61796399999992</v>
      </c>
      <c r="G42" s="8">
        <f>SUMIF(累计考核费用!$B$107:$B$156,原格式费用考核表!$B42,累计考核费用!F$107:F$156)/10000</f>
        <v>482.1748119999998</v>
      </c>
      <c r="H42" s="8">
        <f>SUMIF(累计考核费用!$B$107:$B$156,原格式费用考核表!$B42,累计考核费用!G$107:G$156)/10000</f>
        <v>15.482777999999996</v>
      </c>
      <c r="I42" s="8">
        <f>SUMIF(累计考核费用!$B$107:$B$156,原格式费用考核表!$B42,累计考核费用!L$107:L$156)/10000</f>
        <v>12.818030000000002</v>
      </c>
      <c r="J42" s="8">
        <f>SUMIF(累计考核费用!$B$107:$B$156,原格式费用考核表!$B42,累计考核费用!M$107:M$156)/10000</f>
        <v>3.3959019999999995</v>
      </c>
      <c r="K42" s="8">
        <f>SUMIF(累计考核费用!$B$107:$B$156,原格式费用考核表!$B42,累计考核费用!Q$107:Q$156)/10000</f>
        <v>0</v>
      </c>
      <c r="L42" s="8">
        <f>SUMIF(累计考核费用!$B$107:$B$156,原格式费用考核表!$B42,累计考核费用!P$107:P$156)/10000</f>
        <v>2.6363439999999998</v>
      </c>
      <c r="M42" s="8">
        <f>SUMIF(累计考核费用!$B$107:$B$156,原格式费用考核表!$B42,累计考核费用!O$107:O$156)/10000</f>
        <v>0.61469099999999999</v>
      </c>
      <c r="N42" s="8">
        <f>SUMIF(累计考核费用!$B$107:$B$156,原格式费用考核表!$B42,累计考核费用!R$107:R$156)/10000</f>
        <v>3.5512769999999998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1.025226</v>
      </c>
      <c r="Q42" s="8" t="e">
        <f>SUMIF(累计考核费用!$B$107:$B$156,原格式费用考核表!$B42,累计考核费用!#REF!)/10000</f>
        <v>#REF!</v>
      </c>
      <c r="R42" s="8">
        <f>SUMIF(累计考核费用!$B$107:$B$156,原格式费用考核表!$B42,累计考核费用!T$107:T$156)/10000</f>
        <v>0</v>
      </c>
      <c r="S42" s="8">
        <f>SUMIF(累计考核费用!$B$107:$B$156,原格式费用考核表!$B42,累计考核费用!U$107:U$156)/10000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SUMIF(累计考核费用!$B$107:$B$156,原格式费用考核表!$B42,累计考核费用!V$107:V$156)/10000</f>
        <v>0</v>
      </c>
      <c r="V42" s="8">
        <f>SUMIF(累计考核费用!$B$107:$B$156,原格式费用考核表!$B42,累计考核费用!W$107:W$156)/10000</f>
        <v>0</v>
      </c>
      <c r="W42" s="8">
        <f>SUMIF(累计考核费用!$B$107:$B$156,原格式费用考核表!$B42,累计考核费用!AB$107:AB$156)/10000</f>
        <v>0</v>
      </c>
      <c r="X42" s="8" t="e">
        <f>SUMIF(累计考核费用!$B$107:$B$156,原格式费用考核表!$B42,累计考核费用!#REF!)/10000</f>
        <v>#REF!</v>
      </c>
      <c r="Y42" s="8" t="e">
        <f>SUMIF(累计考核费用!$B$107:$B$156,原格式费用考核表!$B42,累计考核费用!#REF!)/10000</f>
        <v>#REF!</v>
      </c>
      <c r="Z42" s="8" t="e">
        <f>SUMIF(累计考核费用!$B$107:$B$156,原格式费用考核表!$B42,累计考核费用!#REF!)/10000</f>
        <v>#REF!</v>
      </c>
      <c r="AA42" s="8">
        <f>SUMIF(累计考核费用!$B$107:$B$156,原格式费用考核表!$B42,累计考核费用!AC$107:AC$156)/10000</f>
        <v>0</v>
      </c>
      <c r="AB42" s="8" t="e">
        <f>SUMIF(累计考核费用!$B$107:$B$156,原格式费用考核表!$B42,累计考核费用!#REF!)/10000</f>
        <v>#REF!</v>
      </c>
    </row>
    <row r="43" spans="1:28" s="2" customFormat="1" ht="12" customHeight="1">
      <c r="A43" s="274"/>
      <c r="B43" s="11" t="s">
        <v>131</v>
      </c>
      <c r="C43" s="11" t="s">
        <v>131</v>
      </c>
      <c r="D43" s="8">
        <f>SUMIF(累计考核费用!$B$107:$B$156,原格式费用考核表!$B43,累计考核费用!C$107:C$156)/10000</f>
        <v>346.10853900000001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106.47149100000001</v>
      </c>
      <c r="G43" s="8">
        <f>SUMIF(累计考核费用!$B$107:$B$156,原格式费用考核表!$B43,累计考核费用!F$107:F$156)/10000</f>
        <v>207.19738799999999</v>
      </c>
      <c r="H43" s="8">
        <f>SUMIF(累计考核费用!$B$107:$B$156,原格式费用考核表!$B43,累计考核费用!G$107:G$156)/10000</f>
        <v>25.177462999999996</v>
      </c>
      <c r="I43" s="8">
        <f>SUMIF(累计考核费用!$B$107:$B$156,原格式费用考核表!$B43,累计考核费用!L$107:L$156)/10000</f>
        <v>6.0779320000000014</v>
      </c>
      <c r="J43" s="8">
        <f>SUMIF(累计考核费用!$B$107:$B$156,原格式费用考核表!$B43,累计考核费用!M$107:M$156)/10000</f>
        <v>0.53976400000000002</v>
      </c>
      <c r="K43" s="8">
        <f>SUMIF(累计考核费用!$B$107:$B$156,原格式费用考核表!$B43,累计考核费用!Q$107:Q$156)/10000</f>
        <v>1.4258960000000001</v>
      </c>
      <c r="L43" s="8">
        <f>SUMIF(累计考核费用!$B$107:$B$156,原格式费用考核表!$B43,累计考核费用!P$107:P$156)/10000</f>
        <v>1.3315560000000002</v>
      </c>
      <c r="M43" s="8">
        <f>SUMIF(累计考核费用!$B$107:$B$156,原格式费用考核表!$B43,累计考核费用!O$107:O$156)/10000</f>
        <v>0.75339599999999995</v>
      </c>
      <c r="N43" s="8">
        <f>SUMIF(累计考核费用!$B$107:$B$156,原格式费用考核表!$B43,累计考核费用!R$107:R$156)/10000</f>
        <v>1.3315560000000002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0.156</v>
      </c>
      <c r="Q43" s="8" t="e">
        <f>SUMIF(累计考核费用!$B$107:$B$156,原格式费用考核表!$B43,累计考核费用!#REF!)/10000</f>
        <v>#REF!</v>
      </c>
      <c r="R43" s="8">
        <f>SUMIF(累计考核费用!$B$107:$B$156,原格式费用考核表!$B43,累计考核费用!T$107:T$156)/10000</f>
        <v>0.41067900000000002</v>
      </c>
      <c r="S43" s="8">
        <f>SUMIF(累计考核费用!$B$107:$B$156,原格式费用考核表!$B43,累计考核费用!U$107:U$156)/10000</f>
        <v>0.25094299999999997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SUMIF(累计考核费用!$B$107:$B$156,原格式费用考核表!$B43,累计考核费用!V$107:V$156)/10000</f>
        <v>0.122</v>
      </c>
      <c r="V43" s="8">
        <f>SUMIF(累计考核费用!$B$107:$B$156,原格式费用考核表!$B43,累计考核费用!W$107:W$156)/10000</f>
        <v>0</v>
      </c>
      <c r="W43" s="8">
        <f>SUMIF(累计考核费用!$B$107:$B$156,原格式费用考核表!$B43,累计考核费用!AB$107:AB$156)/10000</f>
        <v>0.54716999999999993</v>
      </c>
      <c r="X43" s="8" t="e">
        <f>SUMIF(累计考核费用!$B$107:$B$156,原格式费用考核表!$B43,累计考核费用!#REF!)/10000</f>
        <v>#REF!</v>
      </c>
      <c r="Y43" s="8" t="e">
        <f>SUMIF(累计考核费用!$B$107:$B$156,原格式费用考核表!$B43,累计考核费用!#REF!)/10000</f>
        <v>#REF!</v>
      </c>
      <c r="Z43" s="8" t="e">
        <f>SUMIF(累计考核费用!$B$107:$B$156,原格式费用考核表!$B43,累计考核费用!#REF!)/10000</f>
        <v>#REF!</v>
      </c>
      <c r="AA43" s="8">
        <f>SUMIF(累计考核费用!$B$107:$B$156,原格式费用考核表!$B43,累计考核费用!AC$107:AC$156)/10000</f>
        <v>0.22641599999999998</v>
      </c>
      <c r="AB43" s="8" t="e">
        <f>SUMIF(累计考核费用!$B$107:$B$156,原格式费用考核表!$B43,累计考核费用!#REF!)/10000</f>
        <v>#REF!</v>
      </c>
    </row>
    <row r="44" spans="1:28" s="2" customFormat="1" ht="12" customHeight="1">
      <c r="A44" s="274"/>
      <c r="B44" s="11" t="s">
        <v>132</v>
      </c>
      <c r="C44" s="11" t="s">
        <v>132</v>
      </c>
      <c r="D44" s="8">
        <f>SUMIF(累计考核费用!$B$107:$B$156,原格式费用考核表!$B44,累计考核费用!C$107:C$156)/10000+累计考核费用!C154/10000</f>
        <v>3647.4471340000014</v>
      </c>
      <c r="E44" s="8">
        <f>SUMIF(累计考核费用!$B$107:$B$156,原格式费用考核表!$B44,累计考核费用!D$107:D$156)/10000+累计考核费用!D154/10000</f>
        <v>27.450320000000001</v>
      </c>
      <c r="F44" s="8">
        <f>SUMIF(累计考核费用!$B$107:$B$156,原格式费用考核表!$B44,累计考核费用!E$107:E$156)/10000+累计考核费用!E154/10000</f>
        <v>239.97724300000004</v>
      </c>
      <c r="G44" s="8">
        <f>SUMIF(累计考核费用!$B$107:$B$156,原格式费用考核表!$B44,累计考核费用!F$107:F$156)/10000+累计考核费用!F154/10000</f>
        <v>2537.6030490000012</v>
      </c>
      <c r="H44" s="8">
        <f>SUMIF(累计考核费用!$B$107:$B$156,原格式费用考核表!$B44,累计考核费用!G$107:G$156)/10000+累计考核费用!G154/10000</f>
        <v>48.605729999999987</v>
      </c>
      <c r="I44" s="8">
        <f>SUMIF(累计考核费用!$B$107:$B$156,原格式费用考核表!$B44,累计考核费用!L$107:L$156)/10000+累计考核费用!L154/10000</f>
        <v>710.27815700000019</v>
      </c>
      <c r="J44" s="8">
        <f>SUMIF(累计考核费用!$B$107:$B$156,原格式费用考核表!$B44,累计考核费用!M$107:M$156)/10000+累计考核费用!M154/10000</f>
        <v>23.434158</v>
      </c>
      <c r="K44" s="8">
        <f>SUMIF(累计考核费用!$B$107:$B$156,原格式费用考核表!$B44,累计考核费用!Q$107:Q$156)/10000+累计考核费用!Q154/10000</f>
        <v>24.056103999999998</v>
      </c>
      <c r="L44" s="8">
        <f>SUMIF(累计考核费用!$B$107:$B$156,原格式费用考核表!$B44,累计考核费用!P$107:P$156)/10000+累计考核费用!P154/10000</f>
        <v>29.534837</v>
      </c>
      <c r="M44" s="8">
        <f>SUMIF(累计考核费用!$B$107:$B$156,原格式费用考核表!$B44,累计考核费用!O$107:O$156)/10000+累计考核费用!O154/10000</f>
        <v>23.408858000000002</v>
      </c>
      <c r="N44" s="8">
        <f>SUMIF(累计考核费用!$B$107:$B$156,原格式费用考核表!$B44,累计考核费用!R$107:R$156)/10000+累计考核费用!R154/10000</f>
        <v>43.903768999999997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542.43448599999999</v>
      </c>
      <c r="Q44" s="8" t="e">
        <f>SUMIF(累计考核费用!$B$107:$B$156,原格式费用考核表!$B44,累计考核费用!#REF!)/10000+累计考核费用!#REF!/10000</f>
        <v>#REF!</v>
      </c>
      <c r="R44" s="8">
        <f>SUMIF(累计考核费用!$B$107:$B$156,原格式费用考核表!$B44,累计考核费用!T$107:T$156)/10000+累计考核费用!T154/10000</f>
        <v>57.825122</v>
      </c>
      <c r="S44" s="8">
        <f>SUMIF(累计考核费用!$B$107:$B$156,原格式费用考核表!$B44,累计考核费用!U$107:U$156)/10000+累计考核费用!U154/10000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SUMIF(累计考核费用!$B$107:$B$156,原格式费用考核表!$B44,累计考核费用!V$107:V$156)/10000+累计考核费用!V154/10000</f>
        <v>35.780851999999996</v>
      </c>
      <c r="V44" s="8">
        <f>SUMIF(累计考核费用!$B$107:$B$156,原格式费用考核表!$B44,累计考核费用!W$107:W$156)/10000+累计考核费用!W154/10000</f>
        <v>22.035869999999999</v>
      </c>
      <c r="W44" s="8">
        <f>SUMIF(累计考核费用!$B$107:$B$156,原格式费用考核表!$B44,累计考核费用!AB$107:AB$156)/10000+累计考核费用!AB154/10000</f>
        <v>11.302713000000001</v>
      </c>
      <c r="X44" s="8" t="e">
        <f>SUMIF(累计考核费用!$B$107:$B$156,原格式费用考核表!$B44,累计考核费用!#REF!)/10000+累计考核费用!#REF!/10000</f>
        <v>#REF!</v>
      </c>
      <c r="Y44" s="8" t="e">
        <f>SUMIF(累计考核费用!$B$107:$B$156,原格式费用考核表!$B44,累计考核费用!#REF!)/10000+累计考核费用!#REF!/10000</f>
        <v>#REF!</v>
      </c>
      <c r="Z44" s="8" t="e">
        <f>SUMIF(累计考核费用!$B$107:$B$156,原格式费用考核表!$B44,累计考核费用!#REF!)/10000+累计考核费用!#REF!/10000</f>
        <v>#REF!</v>
      </c>
      <c r="AA44" s="8">
        <f>SUMIF(累计考核费用!$B$107:$B$156,原格式费用考核表!$B44,累计考核费用!AC$107:AC$156)/10000+累计考核费用!AC154/10000</f>
        <v>14.4048</v>
      </c>
      <c r="AB44" s="8" t="e">
        <f>SUMIF(累计考核费用!$B$107:$B$156,原格式费用考核表!$B44,累计考核费用!#REF!)/10000+累计考核费用!#REF!/10000</f>
        <v>#REF!</v>
      </c>
    </row>
    <row r="45" spans="1:28" s="2" customFormat="1" ht="12" customHeight="1">
      <c r="A45" s="274"/>
      <c r="B45" s="11" t="s">
        <v>133</v>
      </c>
      <c r="C45" s="11" t="s">
        <v>133</v>
      </c>
      <c r="D45" s="8">
        <f>SUMIF(累计考核费用!$B$107:$B$156,原格式费用考核表!$B45,累计考核费用!C$107:C$156)/10000</f>
        <v>1621.7506449999998</v>
      </c>
      <c r="E45" s="8">
        <f>SUMIF(累计考核费用!$B$107:$B$156,原格式费用考核表!$B45,累计考核费用!D$107:D$156)/10000</f>
        <v>-854.39382899999987</v>
      </c>
      <c r="F45" s="8">
        <f>SUMIF(累计考核费用!$B$107:$B$156,原格式费用考核表!$B45,累计考核费用!E$107:E$156)/10000</f>
        <v>1223.1729810000002</v>
      </c>
      <c r="G45" s="8">
        <f>SUMIF(累计考核费用!$B$107:$B$156,原格式费用考核表!$B45,累计考核费用!F$107:F$156)/10000</f>
        <v>1193.7875019999999</v>
      </c>
      <c r="H45" s="8">
        <f>SUMIF(累计考核费用!$B$107:$B$156,原格式费用考核表!$B45,累计考核费用!G$107:G$156)/10000</f>
        <v>0.67112899999999998</v>
      </c>
      <c r="I45" s="8">
        <f>SUMIF(累计考核费用!$B$107:$B$156,原格式费用考核表!$B45,累计考核费用!L$107:L$156)/10000</f>
        <v>58.512861999999998</v>
      </c>
      <c r="J45" s="8">
        <f>SUMIF(累计考核费用!$B$107:$B$156,原格式费用考核表!$B45,累计考核费用!M$107:M$156)/10000</f>
        <v>2.4212229999999999</v>
      </c>
      <c r="K45" s="8">
        <f>SUMIF(累计考核费用!$B$107:$B$156,原格式费用考核表!$B45,累计考核费用!Q$107:Q$156)/10000</f>
        <v>0.37697700000000001</v>
      </c>
      <c r="L45" s="8">
        <f>SUMIF(累计考核费用!$B$107:$B$156,原格式费用考核表!$B45,累计考核费用!P$107:P$156)/10000</f>
        <v>2.7339549999999995</v>
      </c>
      <c r="M45" s="8">
        <f>SUMIF(累计考核费用!$B$107:$B$156,原格式费用考核表!$B45,累计考核费用!O$107:O$156)/10000</f>
        <v>2.4176960000000003</v>
      </c>
      <c r="N45" s="8">
        <f>SUMIF(累计考核费用!$B$107:$B$156,原格式费用考核表!$B45,累计考核费用!R$107:R$156)/10000</f>
        <v>1.2174339999999999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46.924353000000004</v>
      </c>
      <c r="Q45" s="8" t="e">
        <f>SUMIF(累计考核费用!$B$107:$B$156,原格式费用考核表!$B45,累计考核费用!#REF!)/10000</f>
        <v>#REF!</v>
      </c>
      <c r="R45" s="8">
        <f>SUMIF(累计考核费用!$B$107:$B$156,原格式费用考核表!$B45,累计考核费用!T$107:T$156)/10000</f>
        <v>0</v>
      </c>
      <c r="S45" s="8">
        <f>SUMIF(累计考核费用!$B$107:$B$156,原格式费用考核表!$B45,累计考核费用!U$107:U$156)/10000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SUMIF(累计考核费用!$B$107:$B$156,原格式费用考核表!$B45,累计考核费用!V$107:V$156)/10000</f>
        <v>0</v>
      </c>
      <c r="V45" s="8">
        <f>SUMIF(累计考核费用!$B$107:$B$156,原格式费用考核表!$B45,累计考核费用!W$107:W$156)/10000</f>
        <v>0</v>
      </c>
      <c r="W45" s="8">
        <f>SUMIF(累计考核费用!$B$107:$B$156,原格式费用考核表!$B45,累计考核费用!AB$107:AB$156)/10000</f>
        <v>0</v>
      </c>
      <c r="X45" s="8" t="e">
        <f>SUMIF(累计考核费用!$B$107:$B$156,原格式费用考核表!$B45,累计考核费用!#REF!)/10000</f>
        <v>#REF!</v>
      </c>
      <c r="Y45" s="8" t="e">
        <f>SUMIF(累计考核费用!$B$107:$B$156,原格式费用考核表!$B45,累计考核费用!#REF!)/10000</f>
        <v>#REF!</v>
      </c>
      <c r="Z45" s="8" t="e">
        <f>SUMIF(累计考核费用!$B$107:$B$156,原格式费用考核表!$B45,累计考核费用!#REF!)/10000</f>
        <v>#REF!</v>
      </c>
      <c r="AA45" s="8">
        <f>SUMIF(累计考核费用!$B$107:$B$156,原格式费用考核表!$B45,累计考核费用!AC$107:AC$156)/10000</f>
        <v>0</v>
      </c>
      <c r="AB45" s="8" t="e">
        <f>SUMIF(累计考核费用!$B$107:$B$156,原格式费用考核表!$B45,累计考核费用!#REF!)/10000</f>
        <v>#REF!</v>
      </c>
    </row>
    <row r="46" spans="1:28" s="2" customFormat="1" ht="12" customHeight="1">
      <c r="A46" s="274"/>
      <c r="B46" s="11" t="s">
        <v>134</v>
      </c>
      <c r="C46" s="11" t="s">
        <v>134</v>
      </c>
      <c r="D46" s="8">
        <f>SUMIF(累计考核费用!$B$107:$B$156,原格式费用考核表!$B46,累计考核费用!C$107:C$156)/10000</f>
        <v>771.49991300000011</v>
      </c>
      <c r="E46" s="8">
        <f>SUMIF(累计考核费用!$B$107:$B$156,原格式费用考核表!$B46,累计考核费用!D$107:D$156)/10000</f>
        <v>0</v>
      </c>
      <c r="F46" s="8">
        <f>SUMIF(累计考核费用!$B$107:$B$156,原格式费用考核表!$B46,累计考核费用!E$107:E$156)/10000</f>
        <v>702.667506</v>
      </c>
      <c r="G46" s="8">
        <f>SUMIF(累计考核费用!$B$107:$B$156,原格式费用考核表!$B46,累计考核费用!F$107:F$156)/10000</f>
        <v>58.11466200000001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10.403275000000001</v>
      </c>
      <c r="J46" s="8">
        <f>SUMIF(累计考核费用!$B$107:$B$156,原格式费用考核表!$B46,累计考核费用!M$107:M$156)/10000</f>
        <v>8.2600210000000001</v>
      </c>
      <c r="K46" s="8">
        <f>SUMIF(累计考核费用!$B$107:$B$156,原格式费用考核表!$B46,累计考核费用!Q$107:Q$156)/10000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SUMIF(累计考核费用!$B$107:$B$156,原格式费用考核表!$B46,累计考核费用!O$107:O$156)/10000</f>
        <v>1.0716270000000001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 t="e">
        <f>SUMIF(累计考核费用!$B$107:$B$156,原格式费用考核表!$B46,累计考核费用!#REF!)/10000</f>
        <v>#REF!</v>
      </c>
      <c r="R46" s="8">
        <f>SUMIF(累计考核费用!$B$107:$B$156,原格式费用考核表!$B46,累计考核费用!T$107:T$156)/10000</f>
        <v>0</v>
      </c>
      <c r="S46" s="8">
        <f>SUMIF(累计考核费用!$B$107:$B$156,原格式费用考核表!$B46,累计考核费用!U$107:U$156)/10000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SUMIF(累计考核费用!$B$107:$B$156,原格式费用考核表!$B46,累计考核费用!V$107:V$156)/10000</f>
        <v>0</v>
      </c>
      <c r="V46" s="8">
        <f>SUMIF(累计考核费用!$B$107:$B$156,原格式费用考核表!$B46,累计考核费用!W$107:W$156)/10000</f>
        <v>0</v>
      </c>
      <c r="W46" s="8">
        <f>SUMIF(累计考核费用!$B$107:$B$156,原格式费用考核表!$B46,累计考核费用!AB$107:AB$156)/10000</f>
        <v>0</v>
      </c>
      <c r="X46" s="8" t="e">
        <f>SUMIF(累计考核费用!$B$107:$B$156,原格式费用考核表!$B46,累计考核费用!#REF!)/10000</f>
        <v>#REF!</v>
      </c>
      <c r="Y46" s="8" t="e">
        <f>SUMIF(累计考核费用!$B$107:$B$156,原格式费用考核表!$B46,累计考核费用!#REF!)/10000</f>
        <v>#REF!</v>
      </c>
      <c r="Z46" s="8" t="e">
        <f>SUMIF(累计考核费用!$B$107:$B$156,原格式费用考核表!$B46,累计考核费用!#REF!)/10000</f>
        <v>#REF!</v>
      </c>
      <c r="AA46" s="8">
        <f>SUMIF(累计考核费用!$B$107:$B$156,原格式费用考核表!$B46,累计考核费用!AC$107:AC$156)/10000</f>
        <v>0.31447000000000003</v>
      </c>
      <c r="AB46" s="8" t="e">
        <f>SUMIF(累计考核费用!$B$107:$B$156,原格式费用考核表!$B46,累计考核费用!#REF!)/10000</f>
        <v>#REF!</v>
      </c>
    </row>
    <row r="47" spans="1:28" s="2" customFormat="1" ht="12" customHeight="1">
      <c r="A47" s="274"/>
      <c r="B47" s="11" t="s">
        <v>135</v>
      </c>
      <c r="C47" s="11" t="s">
        <v>135</v>
      </c>
      <c r="D47" s="8">
        <f>SUMIF(累计考核费用!$B$107:$B$156,原格式费用考核表!$B47,累计考核费用!C$107:C$156)/10000</f>
        <v>729.01268500000003</v>
      </c>
      <c r="E47" s="8">
        <f>SUMIF(累计考核费用!$B$107:$B$156,原格式费用考核表!$B47,累计考核费用!D$107:D$156)/10000</f>
        <v>0</v>
      </c>
      <c r="F47" s="8">
        <f>SUMIF(累计考核费用!$B$107:$B$156,原格式费用考核表!$B47,累计考核费用!E$107:E$156)/10000</f>
        <v>183.97110899999996</v>
      </c>
      <c r="G47" s="8">
        <f>SUMIF(累计考核费用!$B$107:$B$156,原格式费用考核表!$B47,累计考核费用!F$107:F$156)/10000</f>
        <v>507.85824100000002</v>
      </c>
      <c r="H47" s="8">
        <f>SUMIF(累计考核费用!$B$107:$B$156,原格式费用考核表!$B47,累计考核费用!G$107:G$156)/10000</f>
        <v>11.915964999999998</v>
      </c>
      <c r="I47" s="8">
        <f>SUMIF(累计考核费用!$B$107:$B$156,原格式费用考核表!$B47,累计考核费用!L$107:L$156)/10000</f>
        <v>23.542349999999999</v>
      </c>
      <c r="J47" s="8">
        <f>SUMIF(累计考核费用!$B$107:$B$156,原格式费用考核表!$B47,累计考核费用!M$107:M$156)/10000</f>
        <v>2.8001789999999995</v>
      </c>
      <c r="K47" s="8">
        <f>SUMIF(累计考核费用!$B$107:$B$156,原格式费用考核表!$B47,累计考核费用!Q$107:Q$156)/10000</f>
        <v>2.1866920000000003</v>
      </c>
      <c r="L47" s="8">
        <f>SUMIF(累计考核费用!$B$107:$B$156,原格式费用考核表!$B47,累计考核费用!P$107:P$156)/10000</f>
        <v>6.1939990000000016</v>
      </c>
      <c r="M47" s="8">
        <f>SUMIF(累计考核费用!$B$107:$B$156,原格式费用考核表!$B47,累计考核费用!O$107:O$156)/10000</f>
        <v>2.8031429999999999</v>
      </c>
      <c r="N47" s="8">
        <f>SUMIF(累计考核费用!$B$107:$B$156,原格式费用考核表!$B47,累计考核费用!R$107:R$156)/10000</f>
        <v>3.6831560000000003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3.1524700000000005</v>
      </c>
      <c r="Q47" s="8" t="e">
        <f>SUMIF(累计考核费用!$B$107:$B$156,原格式费用考核表!$B47,累计考核费用!#REF!)/10000</f>
        <v>#REF!</v>
      </c>
      <c r="R47" s="8">
        <f>SUMIF(累计考核费用!$B$107:$B$156,原格式费用考核表!$B47,累计考核费用!T$107:T$156)/10000</f>
        <v>1.7250200000000004</v>
      </c>
      <c r="S47" s="8">
        <f>SUMIF(累计考核费用!$B$107:$B$156,原格式费用考核表!$B47,累计考核费用!U$107:U$156)/10000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SUMIF(累计考核费用!$B$107:$B$156,原格式费用考核表!$B47,累计考核费用!V$107:V$156)/10000</f>
        <v>0.17233700000000002</v>
      </c>
      <c r="V47" s="8">
        <f>SUMIF(累计考核费用!$B$107:$B$156,原格式费用考核表!$B47,累计考核费用!W$107:W$156)/10000</f>
        <v>1.5526830000000003</v>
      </c>
      <c r="W47" s="8">
        <f>SUMIF(累计考核费用!$B$107:$B$156,原格式费用考核表!$B47,累计考核费用!AB$107:AB$156)/10000</f>
        <v>0</v>
      </c>
      <c r="X47" s="8" t="e">
        <f>SUMIF(累计考核费用!$B$107:$B$156,原格式费用考核表!$B47,累计考核费用!#REF!)/10000</f>
        <v>#REF!</v>
      </c>
      <c r="Y47" s="8" t="e">
        <f>SUMIF(累计考核费用!$B$107:$B$156,原格式费用考核表!$B47,累计考核费用!#REF!)/10000</f>
        <v>#REF!</v>
      </c>
      <c r="Z47" s="8" t="e">
        <f>SUMIF(累计考核费用!$B$107:$B$156,原格式费用考核表!$B47,累计考核费用!#REF!)/10000</f>
        <v>#REF!</v>
      </c>
      <c r="AA47" s="8">
        <f>SUMIF(累计考核费用!$B$107:$B$156,原格式费用考核表!$B47,累计考核费用!AC$107:AC$156)/10000</f>
        <v>0</v>
      </c>
      <c r="AB47" s="8" t="e">
        <f>SUMIF(累计考核费用!$B$107:$B$156,原格式费用考核表!$B47,累计考核费用!#REF!)/10000</f>
        <v>#REF!</v>
      </c>
    </row>
    <row r="48" spans="1:28" s="2" customFormat="1" ht="12" customHeight="1">
      <c r="A48" s="274"/>
      <c r="B48" s="11" t="s">
        <v>142</v>
      </c>
      <c r="C48" s="11" t="s">
        <v>136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SUMIF(累计考核费用!$B$107:$B$156,原格式费用考核表!$B48,累计考核费用!Q$107:Q$156)/10000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SUMIF(累计考核费用!$B$107:$B$156,原格式费用考核表!$B48,累计考核费用!O$107:O$156)/10000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 t="e">
        <f>SUMIF(累计考核费用!$B$107:$B$156,原格式费用考核表!$B48,累计考核费用!#REF!)/10000</f>
        <v>#REF!</v>
      </c>
      <c r="R48" s="8">
        <f>SUMIF(累计考核费用!$B$107:$B$156,原格式费用考核表!$B48,累计考核费用!T$107:T$156)/10000</f>
        <v>0</v>
      </c>
      <c r="S48" s="8">
        <f>SUMIF(累计考核费用!$B$107:$B$156,原格式费用考核表!$B48,累计考核费用!U$107:U$156)/10000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SUMIF(累计考核费用!$B$107:$B$156,原格式费用考核表!$B48,累计考核费用!V$107:V$156)/10000</f>
        <v>0</v>
      </c>
      <c r="V48" s="8">
        <f>SUMIF(累计考核费用!$B$107:$B$156,原格式费用考核表!$B48,累计考核费用!W$107:W$156)/10000</f>
        <v>0</v>
      </c>
      <c r="W48" s="8">
        <f>SUMIF(累计考核费用!$B$107:$B$156,原格式费用考核表!$B48,累计考核费用!AB$107:AB$156)/10000</f>
        <v>0</v>
      </c>
      <c r="X48" s="8" t="e">
        <f>SUMIF(累计考核费用!$B$107:$B$156,原格式费用考核表!$B48,累计考核费用!#REF!)/10000</f>
        <v>#REF!</v>
      </c>
      <c r="Y48" s="8" t="e">
        <f>SUMIF(累计考核费用!$B$107:$B$156,原格式费用考核表!$B48,累计考核费用!#REF!)/10000</f>
        <v>#REF!</v>
      </c>
      <c r="Z48" s="8" t="e">
        <f>SUMIF(累计考核费用!$B$107:$B$156,原格式费用考核表!$B48,累计考核费用!#REF!)/10000</f>
        <v>#REF!</v>
      </c>
      <c r="AA48" s="8">
        <f>SUMIF(累计考核费用!$B$107:$B$156,原格式费用考核表!$B48,累计考核费用!AC$107:AC$156)/10000</f>
        <v>0</v>
      </c>
      <c r="AB48" s="8" t="e">
        <f>SUMIF(累计考核费用!$B$107:$B$156,原格式费用考核表!$B48,累计考核费用!#REF!)/10000</f>
        <v>#REF!</v>
      </c>
    </row>
    <row r="49" spans="1:28" s="2" customFormat="1" ht="12" customHeight="1">
      <c r="A49" s="275"/>
      <c r="B49" s="11" t="s">
        <v>99</v>
      </c>
      <c r="C49" s="11" t="s">
        <v>99</v>
      </c>
      <c r="D49" s="13">
        <f t="shared" ref="D49:AB49" si="5">SUM(D42:D48)</f>
        <v>8442.9125000000004</v>
      </c>
      <c r="E49" s="13">
        <f t="shared" si="5"/>
        <v>-826.94350899999984</v>
      </c>
      <c r="F49" s="13">
        <f t="shared" si="5"/>
        <v>3272.8782940000001</v>
      </c>
      <c r="G49" s="13">
        <f t="shared" si="5"/>
        <v>4986.735654000001</v>
      </c>
      <c r="H49" s="13">
        <f t="shared" si="5"/>
        <v>101.85306499999997</v>
      </c>
      <c r="I49" s="13">
        <f t="shared" si="5"/>
        <v>821.63260600000035</v>
      </c>
      <c r="J49" s="13">
        <f t="shared" si="5"/>
        <v>40.851247000000001</v>
      </c>
      <c r="K49" s="13">
        <f t="shared" si="5"/>
        <v>28.045669</v>
      </c>
      <c r="L49" s="13">
        <f t="shared" si="5"/>
        <v>42.430690999999996</v>
      </c>
      <c r="M49" s="13">
        <f t="shared" si="5"/>
        <v>31.069410999999999</v>
      </c>
      <c r="N49" s="13">
        <f t="shared" si="5"/>
        <v>53.687191999999996</v>
      </c>
      <c r="O49" s="13" t="e">
        <f t="shared" si="5"/>
        <v>#REF!</v>
      </c>
      <c r="P49" s="13">
        <f t="shared" si="5"/>
        <v>593.69253500000002</v>
      </c>
      <c r="Q49" s="13" t="e">
        <f t="shared" si="5"/>
        <v>#REF!</v>
      </c>
      <c r="R49" s="13">
        <f t="shared" si="5"/>
        <v>59.960821000000003</v>
      </c>
      <c r="S49" s="13">
        <f t="shared" si="5"/>
        <v>0.25094299999999997</v>
      </c>
      <c r="T49" s="13" t="e">
        <f t="shared" si="5"/>
        <v>#REF!</v>
      </c>
      <c r="U49" s="13">
        <f t="shared" si="5"/>
        <v>36.075188999999995</v>
      </c>
      <c r="V49" s="13">
        <f t="shared" si="5"/>
        <v>23.588553000000001</v>
      </c>
      <c r="W49" s="13">
        <f t="shared" si="5"/>
        <v>11.849883</v>
      </c>
      <c r="X49" s="13" t="e">
        <f t="shared" si="5"/>
        <v>#REF!</v>
      </c>
      <c r="Y49" s="13" t="e">
        <f t="shared" si="5"/>
        <v>#REF!</v>
      </c>
      <c r="Z49" s="13" t="e">
        <f t="shared" si="5"/>
        <v>#REF!</v>
      </c>
      <c r="AA49" s="13">
        <f t="shared" si="5"/>
        <v>14.945686</v>
      </c>
      <c r="AB49" s="13" t="e">
        <f t="shared" si="5"/>
        <v>#REF!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64376.744381000004</v>
      </c>
      <c r="E50" s="16">
        <f t="shared" ref="E50:AB50" si="6">E11+E16+E41+E49</f>
        <v>292.11230000000012</v>
      </c>
      <c r="F50" s="16">
        <f t="shared" si="6"/>
        <v>15323.250961999998</v>
      </c>
      <c r="G50" s="16">
        <f t="shared" si="6"/>
        <v>31253.679860999997</v>
      </c>
      <c r="H50" s="16">
        <f t="shared" si="6"/>
        <v>1766.1113369999998</v>
      </c>
      <c r="I50" s="16">
        <f t="shared" si="6"/>
        <v>3131.3247799999999</v>
      </c>
      <c r="J50" s="16">
        <f t="shared" si="6"/>
        <v>273.74932899999999</v>
      </c>
      <c r="K50" s="16">
        <f t="shared" si="6"/>
        <v>337.41627899999997</v>
      </c>
      <c r="L50" s="16">
        <f t="shared" si="6"/>
        <v>704.650351</v>
      </c>
      <c r="M50" s="16">
        <f t="shared" si="6"/>
        <v>163.42144000000002</v>
      </c>
      <c r="N50" s="16">
        <f t="shared" si="6"/>
        <v>368.48541599999999</v>
      </c>
      <c r="O50" s="16" t="e">
        <f t="shared" si="6"/>
        <v>#REF!</v>
      </c>
      <c r="P50" s="16">
        <f t="shared" si="6"/>
        <v>920.24100500000009</v>
      </c>
      <c r="Q50" s="16" t="e">
        <f t="shared" si="6"/>
        <v>#REF!</v>
      </c>
      <c r="R50" s="16">
        <f t="shared" si="6"/>
        <v>11600.569309</v>
      </c>
      <c r="S50" s="16">
        <f t="shared" si="6"/>
        <v>959.18574200000012</v>
      </c>
      <c r="T50" s="16" t="e">
        <f t="shared" si="6"/>
        <v>#REF!</v>
      </c>
      <c r="U50" s="16">
        <f t="shared" si="6"/>
        <v>8011.8341329999994</v>
      </c>
      <c r="V50" s="16">
        <f t="shared" si="6"/>
        <v>2126.6500249999999</v>
      </c>
      <c r="W50" s="16">
        <f t="shared" si="6"/>
        <v>692.59021200000007</v>
      </c>
      <c r="X50" s="16" t="e">
        <f t="shared" si="6"/>
        <v>#REF!</v>
      </c>
      <c r="Y50" s="16" t="e">
        <f t="shared" si="6"/>
        <v>#REF!</v>
      </c>
      <c r="Z50" s="16" t="e">
        <f t="shared" si="6"/>
        <v>#REF!</v>
      </c>
      <c r="AA50" s="16">
        <f t="shared" si="6"/>
        <v>687.23935800000004</v>
      </c>
      <c r="AB50" s="16" t="e">
        <f t="shared" si="6"/>
        <v>#REF!</v>
      </c>
    </row>
    <row r="52" spans="1:28" s="1" customFormat="1" ht="12" customHeight="1">
      <c r="A52" s="4" t="s">
        <v>86</v>
      </c>
      <c r="B52" s="5" t="s">
        <v>87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8</v>
      </c>
      <c r="I52" s="6" t="s">
        <v>12</v>
      </c>
      <c r="J52" s="23" t="s">
        <v>67</v>
      </c>
      <c r="K52" s="23" t="s">
        <v>17</v>
      </c>
      <c r="L52" s="23" t="s">
        <v>16</v>
      </c>
      <c r="M52" s="23" t="s">
        <v>15</v>
      </c>
      <c r="N52" s="23" t="s">
        <v>18</v>
      </c>
      <c r="O52" s="23" t="s">
        <v>68</v>
      </c>
      <c r="P52" s="23" t="s">
        <v>19</v>
      </c>
      <c r="Q52" s="23" t="s">
        <v>412</v>
      </c>
      <c r="R52" s="6" t="s">
        <v>69</v>
      </c>
      <c r="S52" s="6" t="s">
        <v>20</v>
      </c>
      <c r="T52" s="23" t="s">
        <v>71</v>
      </c>
      <c r="U52" s="23" t="s">
        <v>70</v>
      </c>
      <c r="V52" s="23" t="s">
        <v>415</v>
      </c>
      <c r="W52" s="23" t="s">
        <v>484</v>
      </c>
      <c r="X52" s="6" t="s">
        <v>28</v>
      </c>
      <c r="Y52" s="23" t="s">
        <v>29</v>
      </c>
      <c r="Z52" s="23" t="s">
        <v>30</v>
      </c>
      <c r="AA52" s="6" t="s">
        <v>31</v>
      </c>
      <c r="AB52" s="6" t="s">
        <v>32</v>
      </c>
    </row>
    <row r="55" spans="1:28" s="2" customFormat="1" ht="13.5">
      <c r="A55" s="17" t="s">
        <v>86</v>
      </c>
      <c r="B55" s="18" t="s">
        <v>87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8</v>
      </c>
      <c r="I55" s="19" t="s">
        <v>12</v>
      </c>
      <c r="J55" s="24" t="s">
        <v>67</v>
      </c>
      <c r="K55" s="24" t="s">
        <v>16</v>
      </c>
      <c r="L55" s="24" t="s">
        <v>18</v>
      </c>
      <c r="M55" s="24" t="s">
        <v>68</v>
      </c>
      <c r="N55" s="24" t="s">
        <v>19</v>
      </c>
      <c r="O55" s="24" t="s">
        <v>412</v>
      </c>
      <c r="P55" s="19" t="s">
        <v>69</v>
      </c>
      <c r="Q55" s="19" t="s">
        <v>20</v>
      </c>
      <c r="R55" s="24" t="s">
        <v>71</v>
      </c>
      <c r="S55" s="24" t="s">
        <v>70</v>
      </c>
      <c r="T55" s="24" t="s">
        <v>415</v>
      </c>
      <c r="U55" s="24" t="s">
        <v>484</v>
      </c>
      <c r="V55" s="19" t="s">
        <v>28</v>
      </c>
      <c r="W55" s="24" t="s">
        <v>29</v>
      </c>
      <c r="X55" s="24" t="s">
        <v>30</v>
      </c>
      <c r="Y55" s="24" t="s">
        <v>31</v>
      </c>
      <c r="Z55" s="19">
        <v>0</v>
      </c>
      <c r="AA55" s="19">
        <v>0</v>
      </c>
    </row>
    <row r="56" spans="1:28" ht="12" customHeight="1">
      <c r="A56" s="20" t="s">
        <v>485</v>
      </c>
      <c r="B56" t="s">
        <v>139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86</v>
      </c>
      <c r="C59" s="18" t="s">
        <v>87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8</v>
      </c>
      <c r="I59" s="19" t="s">
        <v>12</v>
      </c>
      <c r="J59" s="24" t="s">
        <v>67</v>
      </c>
      <c r="K59" s="24" t="s">
        <v>16</v>
      </c>
      <c r="L59" s="24" t="s">
        <v>18</v>
      </c>
      <c r="M59" s="24" t="s">
        <v>68</v>
      </c>
      <c r="N59" s="24" t="s">
        <v>19</v>
      </c>
      <c r="O59" s="24" t="s">
        <v>412</v>
      </c>
      <c r="P59" s="19" t="s">
        <v>69</v>
      </c>
      <c r="Q59" s="19" t="s">
        <v>20</v>
      </c>
      <c r="R59" s="24" t="s">
        <v>71</v>
      </c>
      <c r="S59" s="24" t="s">
        <v>70</v>
      </c>
      <c r="T59" s="24" t="s">
        <v>415</v>
      </c>
      <c r="U59" s="24" t="s">
        <v>484</v>
      </c>
      <c r="V59" s="19" t="s">
        <v>28</v>
      </c>
      <c r="W59" s="24" t="s">
        <v>29</v>
      </c>
      <c r="X59" s="24" t="s">
        <v>30</v>
      </c>
      <c r="Y59" s="24" t="s">
        <v>31</v>
      </c>
      <c r="Z59" s="6" t="s">
        <v>32</v>
      </c>
    </row>
    <row r="60" spans="1:28" s="3" customFormat="1" ht="12" customHeight="1">
      <c r="B60" s="279" t="s">
        <v>88</v>
      </c>
      <c r="C60" s="21" t="s">
        <v>89</v>
      </c>
      <c r="D60" s="22">
        <f>D2</f>
        <v>19815.813304000003</v>
      </c>
      <c r="E60" s="22" t="e">
        <f>E2+AB2</f>
        <v>#REF!</v>
      </c>
      <c r="F60" s="22">
        <f t="shared" ref="F60:J69" si="8">F2</f>
        <v>5200.6463629999989</v>
      </c>
      <c r="G60" s="22">
        <f t="shared" si="8"/>
        <v>9344.9911080000002</v>
      </c>
      <c r="H60" s="22">
        <f t="shared" si="8"/>
        <v>895.0003479999998</v>
      </c>
      <c r="I60" s="22">
        <f t="shared" si="8"/>
        <v>1279.950059</v>
      </c>
      <c r="J60" s="22">
        <f t="shared" si="8"/>
        <v>89.796227999999999</v>
      </c>
      <c r="K60" s="22">
        <f>K2+L2</f>
        <v>552.72419500000001</v>
      </c>
      <c r="L60" s="22">
        <f t="shared" ref="L60:L91" si="9">N2</f>
        <v>209.61885299999997</v>
      </c>
      <c r="M60" s="22" t="e">
        <f t="shared" ref="M60:M91" si="10">O2</f>
        <v>#REF!</v>
      </c>
      <c r="N60" s="22">
        <f t="shared" ref="N60:N91" si="11">P2</f>
        <v>197.31685300000001</v>
      </c>
      <c r="O60" s="22" t="e">
        <f t="shared" ref="O60:O91" si="12">Q2</f>
        <v>#REF!</v>
      </c>
      <c r="P60" s="22">
        <f t="shared" ref="P60:Z60" si="13">R2</f>
        <v>2170.8730249999999</v>
      </c>
      <c r="Q60" s="22">
        <f t="shared" si="13"/>
        <v>411.88339999999999</v>
      </c>
      <c r="R60" s="22" t="e">
        <f t="shared" si="13"/>
        <v>#REF!</v>
      </c>
      <c r="S60" s="22">
        <f t="shared" si="13"/>
        <v>740.71876599999996</v>
      </c>
      <c r="T60" s="22">
        <f t="shared" si="13"/>
        <v>806.96125999999992</v>
      </c>
      <c r="U60" s="22">
        <f t="shared" si="13"/>
        <v>456.56895899999995</v>
      </c>
      <c r="V60" s="22" t="e">
        <f t="shared" si="13"/>
        <v>#REF!</v>
      </c>
      <c r="W60" s="22" t="e">
        <f t="shared" si="13"/>
        <v>#REF!</v>
      </c>
      <c r="X60" s="22" t="e">
        <f t="shared" si="13"/>
        <v>#REF!</v>
      </c>
      <c r="Y60" s="22">
        <f t="shared" si="13"/>
        <v>467.78344199999998</v>
      </c>
      <c r="Z60" s="25" t="e">
        <f t="shared" si="13"/>
        <v>#REF!</v>
      </c>
    </row>
    <row r="61" spans="1:28" s="3" customFormat="1" ht="12" customHeight="1">
      <c r="B61" s="280"/>
      <c r="C61" s="21" t="s">
        <v>90</v>
      </c>
      <c r="D61" s="22">
        <f t="shared" ref="D61:D108" si="14">D3</f>
        <v>314.80683699999997</v>
      </c>
      <c r="E61" s="22" t="e">
        <f t="shared" ref="E61:E108" si="15">E3+AB3</f>
        <v>#REF!</v>
      </c>
      <c r="F61" s="22">
        <f t="shared" si="8"/>
        <v>98.569069999999996</v>
      </c>
      <c r="G61" s="22">
        <f t="shared" si="8"/>
        <v>125.67849699999999</v>
      </c>
      <c r="H61" s="22">
        <f t="shared" si="8"/>
        <v>14.909591999999998</v>
      </c>
      <c r="I61" s="22">
        <f t="shared" si="8"/>
        <v>9.8334360000000007</v>
      </c>
      <c r="J61" s="22">
        <f t="shared" si="8"/>
        <v>0.65300000000000002</v>
      </c>
      <c r="K61" s="22">
        <f t="shared" ref="K61:K108" si="16">K3+L3</f>
        <v>3.4217599999999999</v>
      </c>
      <c r="L61" s="22">
        <f t="shared" si="9"/>
        <v>0.31508600000000003</v>
      </c>
      <c r="M61" s="22" t="e">
        <f t="shared" si="10"/>
        <v>#REF!</v>
      </c>
      <c r="N61" s="22">
        <f t="shared" si="11"/>
        <v>4.94109</v>
      </c>
      <c r="O61" s="22" t="e">
        <f t="shared" si="12"/>
        <v>#REF!</v>
      </c>
      <c r="P61" s="22">
        <f t="shared" ref="P61:P108" si="17">R3</f>
        <v>40.208962</v>
      </c>
      <c r="Q61" s="22">
        <f t="shared" ref="Q61:Q108" si="18">S3</f>
        <v>8.8383869999999991</v>
      </c>
      <c r="R61" s="22" t="e">
        <f t="shared" ref="R61:R108" si="19">T3</f>
        <v>#REF!</v>
      </c>
      <c r="S61" s="22">
        <f t="shared" ref="S61:S108" si="20">U3</f>
        <v>20.014951</v>
      </c>
      <c r="T61" s="22">
        <f t="shared" ref="T61:T108" si="21">V3</f>
        <v>9.4669119999999989</v>
      </c>
      <c r="U61" s="22">
        <f t="shared" ref="U61:U108" si="22">W3</f>
        <v>14.294279999999999</v>
      </c>
      <c r="V61" s="22" t="e">
        <f t="shared" ref="V61:V108" si="23">X3</f>
        <v>#REF!</v>
      </c>
      <c r="W61" s="22" t="e">
        <f t="shared" ref="W61:W108" si="24">Y3</f>
        <v>#REF!</v>
      </c>
      <c r="X61" s="22" t="e">
        <f t="shared" ref="X61:X108" si="25">Z3</f>
        <v>#REF!</v>
      </c>
      <c r="Y61" s="22">
        <f t="shared" ref="Y61:Y108" si="26">AA3</f>
        <v>11.313000000000001</v>
      </c>
      <c r="Z61" s="25" t="e">
        <f t="shared" ref="Z61:Z108" si="27">AB3</f>
        <v>#REF!</v>
      </c>
    </row>
    <row r="62" spans="1:28" s="3" customFormat="1" ht="12" customHeight="1">
      <c r="B62" s="280"/>
      <c r="C62" s="21" t="s">
        <v>91</v>
      </c>
      <c r="D62" s="22">
        <f t="shared" si="14"/>
        <v>637.97889900000007</v>
      </c>
      <c r="E62" s="22" t="e">
        <f t="shared" si="15"/>
        <v>#REF!</v>
      </c>
      <c r="F62" s="22">
        <f t="shared" si="8"/>
        <v>61.603009</v>
      </c>
      <c r="G62" s="22">
        <f t="shared" si="8"/>
        <v>322.44375500000007</v>
      </c>
      <c r="H62" s="22">
        <f t="shared" si="8"/>
        <v>20.196644000000003</v>
      </c>
      <c r="I62" s="22">
        <f t="shared" si="8"/>
        <v>25.187880000000003</v>
      </c>
      <c r="J62" s="22">
        <f t="shared" si="8"/>
        <v>1.7804819999999999</v>
      </c>
      <c r="K62" s="22">
        <f t="shared" si="16"/>
        <v>11.214003</v>
      </c>
      <c r="L62" s="22">
        <f t="shared" si="9"/>
        <v>4.2584570000000008</v>
      </c>
      <c r="M62" s="22" t="e">
        <f t="shared" si="10"/>
        <v>#REF!</v>
      </c>
      <c r="N62" s="22">
        <f t="shared" si="11"/>
        <v>3.2207790000000003</v>
      </c>
      <c r="O62" s="22" t="e">
        <f t="shared" si="12"/>
        <v>#REF!</v>
      </c>
      <c r="P62" s="22">
        <f t="shared" si="17"/>
        <v>194.99283200000002</v>
      </c>
      <c r="Q62" s="22">
        <f t="shared" si="18"/>
        <v>11.006870000000001</v>
      </c>
      <c r="R62" s="22" t="e">
        <f t="shared" si="19"/>
        <v>#REF!</v>
      </c>
      <c r="S62" s="22">
        <f t="shared" si="20"/>
        <v>149.55337600000001</v>
      </c>
      <c r="T62" s="22">
        <f t="shared" si="21"/>
        <v>30.049429999999997</v>
      </c>
      <c r="U62" s="22">
        <f t="shared" si="22"/>
        <v>5.9033129999999989</v>
      </c>
      <c r="V62" s="22" t="e">
        <f t="shared" si="23"/>
        <v>#REF!</v>
      </c>
      <c r="W62" s="22" t="e">
        <f t="shared" si="24"/>
        <v>#REF!</v>
      </c>
      <c r="X62" s="22" t="e">
        <f t="shared" si="25"/>
        <v>#REF!</v>
      </c>
      <c r="Y62" s="22">
        <f t="shared" si="26"/>
        <v>7.6514660000000001</v>
      </c>
      <c r="Z62" s="25" t="e">
        <f t="shared" si="27"/>
        <v>#REF!</v>
      </c>
    </row>
    <row r="63" spans="1:28" s="3" customFormat="1" ht="12" customHeight="1">
      <c r="B63" s="280"/>
      <c r="C63" s="21" t="s">
        <v>93</v>
      </c>
      <c r="D63" s="22">
        <f t="shared" si="14"/>
        <v>5425.0134279999984</v>
      </c>
      <c r="E63" s="22" t="e">
        <f t="shared" si="15"/>
        <v>#REF!</v>
      </c>
      <c r="F63" s="22">
        <f t="shared" si="8"/>
        <v>1278.62895</v>
      </c>
      <c r="G63" s="22">
        <f t="shared" si="8"/>
        <v>2777.0541729999991</v>
      </c>
      <c r="H63" s="22">
        <f t="shared" si="8"/>
        <v>244.86236400000007</v>
      </c>
      <c r="I63" s="22">
        <f t="shared" si="8"/>
        <v>269.807548</v>
      </c>
      <c r="J63" s="22">
        <f t="shared" si="8"/>
        <v>14.375463999999999</v>
      </c>
      <c r="K63" s="22">
        <f t="shared" si="16"/>
        <v>126.91120799999999</v>
      </c>
      <c r="L63" s="22">
        <f t="shared" si="9"/>
        <v>39.736731000000006</v>
      </c>
      <c r="M63" s="22" t="e">
        <f t="shared" si="10"/>
        <v>#REF!</v>
      </c>
      <c r="N63" s="22">
        <f t="shared" si="11"/>
        <v>38.125801999999993</v>
      </c>
      <c r="O63" s="22" t="e">
        <f t="shared" si="12"/>
        <v>#REF!</v>
      </c>
      <c r="P63" s="22">
        <f t="shared" si="17"/>
        <v>632.45873600000004</v>
      </c>
      <c r="Q63" s="22">
        <f t="shared" si="18"/>
        <v>133.61834000000002</v>
      </c>
      <c r="R63" s="22" t="e">
        <f t="shared" si="19"/>
        <v>#REF!</v>
      </c>
      <c r="S63" s="22">
        <f t="shared" si="20"/>
        <v>219.38435900000002</v>
      </c>
      <c r="T63" s="22">
        <f t="shared" si="21"/>
        <v>210.14027699999997</v>
      </c>
      <c r="U63" s="22">
        <f t="shared" si="22"/>
        <v>89.080923999999982</v>
      </c>
      <c r="V63" s="22" t="e">
        <f t="shared" si="23"/>
        <v>#REF!</v>
      </c>
      <c r="W63" s="22" t="e">
        <f t="shared" si="24"/>
        <v>#REF!</v>
      </c>
      <c r="X63" s="22" t="e">
        <f t="shared" si="25"/>
        <v>#REF!</v>
      </c>
      <c r="Y63" s="22">
        <f t="shared" si="26"/>
        <v>133.12073299999997</v>
      </c>
      <c r="Z63" s="25" t="e">
        <f t="shared" si="27"/>
        <v>#REF!</v>
      </c>
    </row>
    <row r="64" spans="1:28" s="3" customFormat="1" ht="12" customHeight="1">
      <c r="B64" s="280"/>
      <c r="C64" s="21" t="s">
        <v>94</v>
      </c>
      <c r="D64" s="22">
        <f t="shared" si="14"/>
        <v>35.974437000000002</v>
      </c>
      <c r="E64" s="22" t="e">
        <f t="shared" si="15"/>
        <v>#REF!</v>
      </c>
      <c r="F64" s="22">
        <f t="shared" si="8"/>
        <v>20</v>
      </c>
      <c r="G64" s="22">
        <f t="shared" si="8"/>
        <v>11.274900000000001</v>
      </c>
      <c r="H64" s="22">
        <f t="shared" si="8"/>
        <v>4.6995370000000003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 t="e">
        <f t="shared" si="12"/>
        <v>#REF!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 t="e">
        <f t="shared" si="23"/>
        <v>#REF!</v>
      </c>
      <c r="W64" s="22" t="e">
        <f t="shared" si="24"/>
        <v>#REF!</v>
      </c>
      <c r="X64" s="22" t="e">
        <f t="shared" si="25"/>
        <v>#REF!</v>
      </c>
      <c r="Y64" s="22">
        <f t="shared" si="26"/>
        <v>0</v>
      </c>
      <c r="Z64" s="25" t="e">
        <f t="shared" si="27"/>
        <v>#REF!</v>
      </c>
    </row>
    <row r="65" spans="2:26" s="3" customFormat="1" ht="12" customHeight="1">
      <c r="B65" s="280"/>
      <c r="C65" s="21" t="s">
        <v>95</v>
      </c>
      <c r="D65" s="22">
        <f t="shared" si="14"/>
        <v>271.14051700000005</v>
      </c>
      <c r="E65" s="22" t="e">
        <f t="shared" si="15"/>
        <v>#REF!</v>
      </c>
      <c r="F65" s="22">
        <f t="shared" si="8"/>
        <v>257.05168899999995</v>
      </c>
      <c r="G65" s="22">
        <f t="shared" si="8"/>
        <v>13.794647999999995</v>
      </c>
      <c r="H65" s="22">
        <f t="shared" si="8"/>
        <v>1.1789100000000001</v>
      </c>
      <c r="I65" s="22">
        <f t="shared" si="8"/>
        <v>-9.4529999999999989E-2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-9.4529999999999989E-2</v>
      </c>
      <c r="O65" s="22" t="e">
        <f t="shared" si="12"/>
        <v>#REF!</v>
      </c>
      <c r="P65" s="22">
        <f t="shared" si="17"/>
        <v>-0.48962999999999995</v>
      </c>
      <c r="Q65" s="22">
        <f t="shared" si="18"/>
        <v>-0.11150999999999998</v>
      </c>
      <c r="R65" s="22" t="e">
        <f t="shared" si="19"/>
        <v>#REF!</v>
      </c>
      <c r="S65" s="22">
        <f t="shared" si="20"/>
        <v>-9.4529999999999989E-2</v>
      </c>
      <c r="T65" s="22">
        <f t="shared" si="21"/>
        <v>-0.28358999999999995</v>
      </c>
      <c r="U65" s="22">
        <f t="shared" si="22"/>
        <v>-9.4529999999999989E-2</v>
      </c>
      <c r="V65" s="22" t="e">
        <f t="shared" si="23"/>
        <v>#REF!</v>
      </c>
      <c r="W65" s="22" t="e">
        <f t="shared" si="24"/>
        <v>#REF!</v>
      </c>
      <c r="X65" s="22" t="e">
        <f t="shared" si="25"/>
        <v>#REF!</v>
      </c>
      <c r="Y65" s="22">
        <f t="shared" si="26"/>
        <v>-0.20603999999999997</v>
      </c>
      <c r="Z65" s="25" t="e">
        <f t="shared" si="27"/>
        <v>#REF!</v>
      </c>
    </row>
    <row r="66" spans="2:26" s="3" customFormat="1" ht="12" customHeight="1">
      <c r="B66" s="280"/>
      <c r="C66" s="21" t="s">
        <v>96</v>
      </c>
      <c r="D66" s="22">
        <f t="shared" si="14"/>
        <v>253.66844899999998</v>
      </c>
      <c r="E66" s="22" t="e">
        <f t="shared" si="15"/>
        <v>#REF!</v>
      </c>
      <c r="F66" s="22">
        <f t="shared" si="8"/>
        <v>46.954999999999998</v>
      </c>
      <c r="G66" s="22">
        <f t="shared" si="8"/>
        <v>169.09862100000001</v>
      </c>
      <c r="H66" s="22">
        <f t="shared" si="8"/>
        <v>11.108000000000001</v>
      </c>
      <c r="I66" s="22">
        <f t="shared" si="8"/>
        <v>17.356000000000002</v>
      </c>
      <c r="J66" s="22">
        <f t="shared" si="8"/>
        <v>-0.77200000000000002</v>
      </c>
      <c r="K66" s="22">
        <f t="shared" si="16"/>
        <v>7.976</v>
      </c>
      <c r="L66" s="22">
        <f t="shared" si="9"/>
        <v>2.964</v>
      </c>
      <c r="M66" s="22" t="e">
        <f t="shared" si="10"/>
        <v>#REF!</v>
      </c>
      <c r="N66" s="22">
        <f t="shared" si="11"/>
        <v>1.974</v>
      </c>
      <c r="O66" s="22" t="e">
        <f t="shared" si="12"/>
        <v>#REF!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 t="e">
        <f t="shared" si="23"/>
        <v>#REF!</v>
      </c>
      <c r="W66" s="22" t="e">
        <f t="shared" si="24"/>
        <v>#REF!</v>
      </c>
      <c r="X66" s="22" t="e">
        <f t="shared" si="25"/>
        <v>#REF!</v>
      </c>
      <c r="Y66" s="22">
        <f t="shared" si="26"/>
        <v>9.1508280000000006</v>
      </c>
      <c r="Z66" s="25" t="e">
        <f t="shared" si="27"/>
        <v>#REF!</v>
      </c>
    </row>
    <row r="67" spans="2:26" s="3" customFormat="1" ht="12" customHeight="1">
      <c r="B67" s="280"/>
      <c r="C67" s="21" t="s">
        <v>139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80"/>
      <c r="C68" s="21" t="s">
        <v>98</v>
      </c>
      <c r="D68" s="22">
        <f t="shared" si="14"/>
        <v>1750</v>
      </c>
      <c r="E68" s="22" t="e">
        <f t="shared" si="15"/>
        <v>#REF!</v>
      </c>
      <c r="F68" s="22">
        <f t="shared" si="8"/>
        <v>1750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 t="e">
        <f t="shared" si="12"/>
        <v>#REF!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 t="e">
        <f t="shared" si="23"/>
        <v>#REF!</v>
      </c>
      <c r="W68" s="22" t="e">
        <f t="shared" si="24"/>
        <v>#REF!</v>
      </c>
      <c r="X68" s="22" t="e">
        <f t="shared" si="25"/>
        <v>#REF!</v>
      </c>
      <c r="Y68" s="22">
        <f t="shared" si="26"/>
        <v>0</v>
      </c>
      <c r="Z68" s="25" t="e">
        <f t="shared" si="27"/>
        <v>#REF!</v>
      </c>
    </row>
    <row r="69" spans="2:26" s="3" customFormat="1" ht="12" customHeight="1">
      <c r="B69" s="281"/>
      <c r="C69" s="21" t="s">
        <v>99</v>
      </c>
      <c r="D69" s="22">
        <f t="shared" si="14"/>
        <v>28554.562668000006</v>
      </c>
      <c r="E69" s="22" t="e">
        <f t="shared" si="15"/>
        <v>#REF!</v>
      </c>
      <c r="F69" s="22">
        <f t="shared" si="8"/>
        <v>8733.1974849999988</v>
      </c>
      <c r="G69" s="22">
        <f t="shared" si="8"/>
        <v>12785.718084999999</v>
      </c>
      <c r="H69" s="22">
        <f t="shared" si="8"/>
        <v>1193.1553949999998</v>
      </c>
      <c r="I69" s="22">
        <f t="shared" si="8"/>
        <v>1606.3728029999997</v>
      </c>
      <c r="J69" s="22">
        <f t="shared" si="8"/>
        <v>105.96017399999999</v>
      </c>
      <c r="K69" s="22">
        <f t="shared" si="16"/>
        <v>703.62106999999992</v>
      </c>
      <c r="L69" s="22">
        <f t="shared" si="9"/>
        <v>257.80972700000001</v>
      </c>
      <c r="M69" s="22" t="e">
        <f t="shared" si="10"/>
        <v>#REF!</v>
      </c>
      <c r="N69" s="22">
        <f t="shared" si="11"/>
        <v>246.83789999999999</v>
      </c>
      <c r="O69" s="22" t="e">
        <f t="shared" si="12"/>
        <v>#REF!</v>
      </c>
      <c r="P69" s="22">
        <f t="shared" si="17"/>
        <v>3038.8439250000001</v>
      </c>
      <c r="Q69" s="22">
        <f t="shared" si="18"/>
        <v>566.23448700000006</v>
      </c>
      <c r="R69" s="22" t="e">
        <f t="shared" si="19"/>
        <v>#REF!</v>
      </c>
      <c r="S69" s="22">
        <f t="shared" si="20"/>
        <v>1129.736922</v>
      </c>
      <c r="T69" s="22">
        <f t="shared" si="21"/>
        <v>1056.3342889999999</v>
      </c>
      <c r="U69" s="22">
        <f t="shared" si="22"/>
        <v>566.59194600000001</v>
      </c>
      <c r="V69" s="22" t="e">
        <f t="shared" si="23"/>
        <v>#REF!</v>
      </c>
      <c r="W69" s="22" t="e">
        <f t="shared" si="24"/>
        <v>#REF!</v>
      </c>
      <c r="X69" s="22" t="e">
        <f t="shared" si="25"/>
        <v>#REF!</v>
      </c>
      <c r="Y69" s="22">
        <f t="shared" si="26"/>
        <v>628.81342900000004</v>
      </c>
      <c r="Z69" s="25" t="e">
        <f t="shared" si="27"/>
        <v>#REF!</v>
      </c>
    </row>
    <row r="70" spans="2:26" s="3" customFormat="1" ht="12" customHeight="1">
      <c r="B70" s="276" t="s">
        <v>100</v>
      </c>
      <c r="C70" s="26" t="s">
        <v>101</v>
      </c>
      <c r="D70" s="22">
        <f t="shared" si="14"/>
        <v>10134.664984999999</v>
      </c>
      <c r="E70" s="22" t="e">
        <f t="shared" si="15"/>
        <v>#REF!</v>
      </c>
      <c r="F70" s="22">
        <f t="shared" ref="F70:J79" si="28">F12</f>
        <v>0</v>
      </c>
      <c r="G70" s="22">
        <f t="shared" si="28"/>
        <v>2653.4811129999994</v>
      </c>
      <c r="H70" s="22">
        <f t="shared" si="28"/>
        <v>244.22701600000002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 t="e">
        <f t="shared" si="12"/>
        <v>#REF!</v>
      </c>
      <c r="P70" s="22">
        <f t="shared" si="17"/>
        <v>7429.3890719999999</v>
      </c>
      <c r="Q70" s="22">
        <f t="shared" si="18"/>
        <v>138.46010000000001</v>
      </c>
      <c r="R70" s="22" t="e">
        <f t="shared" si="19"/>
        <v>#REF!</v>
      </c>
      <c r="S70" s="22">
        <f t="shared" si="20"/>
        <v>6736.95</v>
      </c>
      <c r="T70" s="22">
        <f t="shared" si="21"/>
        <v>546.13077199999998</v>
      </c>
      <c r="U70" s="22">
        <f t="shared" si="22"/>
        <v>0</v>
      </c>
      <c r="V70" s="22" t="e">
        <f t="shared" si="23"/>
        <v>#REF!</v>
      </c>
      <c r="W70" s="22" t="e">
        <f t="shared" si="24"/>
        <v>#REF!</v>
      </c>
      <c r="X70" s="22" t="e">
        <f t="shared" si="25"/>
        <v>#REF!</v>
      </c>
      <c r="Y70" s="22">
        <f t="shared" si="26"/>
        <v>0</v>
      </c>
      <c r="Z70" s="25" t="e">
        <f t="shared" si="27"/>
        <v>#REF!</v>
      </c>
    </row>
    <row r="71" spans="2:26" s="3" customFormat="1" ht="12" customHeight="1">
      <c r="B71" s="277"/>
      <c r="C71" s="26" t="s">
        <v>140</v>
      </c>
      <c r="D71" s="22">
        <f t="shared" si="14"/>
        <v>6730.4634699999988</v>
      </c>
      <c r="E71" s="22" t="e">
        <f t="shared" si="15"/>
        <v>#REF!</v>
      </c>
      <c r="F71" s="22">
        <f t="shared" si="28"/>
        <v>1813.5464329999998</v>
      </c>
      <c r="G71" s="22">
        <f t="shared" si="28"/>
        <v>5482.5814409999984</v>
      </c>
      <c r="H71" s="22">
        <f t="shared" si="28"/>
        <v>-6.0600000000000001E-2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 t="e">
        <f t="shared" si="12"/>
        <v>#REF!</v>
      </c>
      <c r="P71" s="22">
        <f t="shared" si="17"/>
        <v>-1438.7937529999997</v>
      </c>
      <c r="Q71" s="22">
        <f t="shared" si="18"/>
        <v>15.681900000000001</v>
      </c>
      <c r="R71" s="22" t="e">
        <f t="shared" si="19"/>
        <v>#REF!</v>
      </c>
      <c r="S71" s="22">
        <f t="shared" si="20"/>
        <v>-1564.3210470000001</v>
      </c>
      <c r="T71" s="22">
        <f t="shared" si="21"/>
        <v>97.844052000000005</v>
      </c>
      <c r="U71" s="22">
        <f t="shared" si="22"/>
        <v>0</v>
      </c>
      <c r="V71" s="22" t="e">
        <f t="shared" si="23"/>
        <v>#REF!</v>
      </c>
      <c r="W71" s="22" t="e">
        <f t="shared" si="24"/>
        <v>#REF!</v>
      </c>
      <c r="X71" s="22" t="e">
        <f t="shared" si="25"/>
        <v>#REF!</v>
      </c>
      <c r="Y71" s="22">
        <f t="shared" si="26"/>
        <v>1.3236870000000001</v>
      </c>
      <c r="Z71" s="25" t="e">
        <f t="shared" si="27"/>
        <v>#REF!</v>
      </c>
    </row>
    <row r="72" spans="2:26" s="3" customFormat="1" ht="12" customHeight="1">
      <c r="B72" s="277"/>
      <c r="C72" s="26" t="s">
        <v>103</v>
      </c>
      <c r="D72" s="22">
        <f t="shared" si="14"/>
        <v>1747.3454489999999</v>
      </c>
      <c r="E72" s="22" t="e">
        <f t="shared" si="15"/>
        <v>#REF!</v>
      </c>
      <c r="F72" s="22">
        <f t="shared" si="28"/>
        <v>-440.48580900000007</v>
      </c>
      <c r="G72" s="22">
        <f t="shared" si="28"/>
        <v>1488.5098439999999</v>
      </c>
      <c r="H72" s="22">
        <f t="shared" si="28"/>
        <v>-61.340773999999975</v>
      </c>
      <c r="I72" s="22">
        <f t="shared" si="28"/>
        <v>306.659381</v>
      </c>
      <c r="J72" s="22">
        <f t="shared" si="28"/>
        <v>79.376558000000003</v>
      </c>
      <c r="K72" s="22">
        <f t="shared" si="16"/>
        <v>165.79772</v>
      </c>
      <c r="L72" s="22">
        <f t="shared" si="9"/>
        <v>4.913809999999998</v>
      </c>
      <c r="M72" s="22" t="e">
        <f t="shared" si="10"/>
        <v>#REF!</v>
      </c>
      <c r="N72" s="22">
        <f t="shared" si="11"/>
        <v>1.1301000000000002E-2</v>
      </c>
      <c r="O72" s="22" t="e">
        <f t="shared" si="12"/>
        <v>#REF!</v>
      </c>
      <c r="P72" s="22">
        <f t="shared" si="17"/>
        <v>470.56979999999993</v>
      </c>
      <c r="Q72" s="22">
        <f t="shared" si="18"/>
        <v>27.171314999999996</v>
      </c>
      <c r="R72" s="22" t="e">
        <f t="shared" si="19"/>
        <v>#REF!</v>
      </c>
      <c r="S72" s="22">
        <f t="shared" si="20"/>
        <v>392.20317799999992</v>
      </c>
      <c r="T72" s="22">
        <f t="shared" si="21"/>
        <v>45.492542999999998</v>
      </c>
      <c r="U72" s="22">
        <f t="shared" si="22"/>
        <v>-5.6070000000000071E-2</v>
      </c>
      <c r="V72" s="22" t="e">
        <f t="shared" si="23"/>
        <v>#REF!</v>
      </c>
      <c r="W72" s="22" t="e">
        <f t="shared" si="24"/>
        <v>#REF!</v>
      </c>
      <c r="X72" s="22" t="e">
        <f t="shared" si="25"/>
        <v>#REF!</v>
      </c>
      <c r="Y72" s="22">
        <f t="shared" si="26"/>
        <v>0</v>
      </c>
      <c r="Z72" s="25" t="e">
        <f t="shared" si="27"/>
        <v>#REF!</v>
      </c>
    </row>
    <row r="73" spans="2:26" s="3" customFormat="1" ht="12" customHeight="1">
      <c r="B73" s="277"/>
      <c r="C73" s="26" t="s">
        <v>105</v>
      </c>
      <c r="D73" s="22">
        <f t="shared" si="14"/>
        <v>11.160377</v>
      </c>
      <c r="E73" s="22" t="e">
        <f t="shared" si="15"/>
        <v>#REF!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11.160377</v>
      </c>
      <c r="J73" s="22">
        <f t="shared" si="28"/>
        <v>4.8333339999999998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 t="e">
        <f t="shared" si="12"/>
        <v>#REF!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 t="e">
        <f t="shared" si="23"/>
        <v>#REF!</v>
      </c>
      <c r="W73" s="22" t="e">
        <f t="shared" si="24"/>
        <v>#REF!</v>
      </c>
      <c r="X73" s="22" t="e">
        <f t="shared" si="25"/>
        <v>#REF!</v>
      </c>
      <c r="Y73" s="22">
        <f t="shared" si="26"/>
        <v>0</v>
      </c>
      <c r="Z73" s="25" t="e">
        <f t="shared" si="27"/>
        <v>#REF!</v>
      </c>
    </row>
    <row r="74" spans="2:26" s="3" customFormat="1" ht="12" customHeight="1">
      <c r="B74" s="278"/>
      <c r="C74" s="26" t="s">
        <v>99</v>
      </c>
      <c r="D74" s="22">
        <f t="shared" si="14"/>
        <v>18623.634280999999</v>
      </c>
      <c r="E74" s="22" t="e">
        <f t="shared" si="15"/>
        <v>#REF!</v>
      </c>
      <c r="F74" s="22">
        <f t="shared" si="28"/>
        <v>1373.0606239999997</v>
      </c>
      <c r="G74" s="22">
        <f t="shared" si="28"/>
        <v>9624.5723979999984</v>
      </c>
      <c r="H74" s="22">
        <f t="shared" si="28"/>
        <v>182.82564200000004</v>
      </c>
      <c r="I74" s="22">
        <f t="shared" si="28"/>
        <v>318.15975799999995</v>
      </c>
      <c r="J74" s="22">
        <f t="shared" si="28"/>
        <v>84.209891999999996</v>
      </c>
      <c r="K74" s="22">
        <f t="shared" si="16"/>
        <v>165.79772</v>
      </c>
      <c r="L74" s="22">
        <f t="shared" si="9"/>
        <v>5.2538099999999979</v>
      </c>
      <c r="M74" s="22" t="e">
        <f t="shared" si="10"/>
        <v>#REF!</v>
      </c>
      <c r="N74" s="22">
        <f t="shared" si="11"/>
        <v>1.1301000000000002E-2</v>
      </c>
      <c r="O74" s="22" t="e">
        <f t="shared" si="12"/>
        <v>#REF!</v>
      </c>
      <c r="P74" s="22">
        <f t="shared" si="17"/>
        <v>6461.1651190000002</v>
      </c>
      <c r="Q74" s="22">
        <f t="shared" si="18"/>
        <v>181.31331500000002</v>
      </c>
      <c r="R74" s="22" t="e">
        <f t="shared" si="19"/>
        <v>#REF!</v>
      </c>
      <c r="S74" s="22">
        <f t="shared" si="20"/>
        <v>5564.8321309999992</v>
      </c>
      <c r="T74" s="22">
        <f t="shared" si="21"/>
        <v>689.46736699999997</v>
      </c>
      <c r="U74" s="22">
        <f t="shared" si="22"/>
        <v>-5.6070000000000071E-2</v>
      </c>
      <c r="V74" s="22" t="e">
        <f t="shared" si="23"/>
        <v>#REF!</v>
      </c>
      <c r="W74" s="22" t="e">
        <f t="shared" si="24"/>
        <v>#REF!</v>
      </c>
      <c r="X74" s="22" t="e">
        <f t="shared" si="25"/>
        <v>#REF!</v>
      </c>
      <c r="Y74" s="22">
        <f t="shared" si="26"/>
        <v>1.3236870000000001</v>
      </c>
      <c r="Z74" s="25" t="e">
        <f t="shared" si="27"/>
        <v>#REF!</v>
      </c>
    </row>
    <row r="75" spans="2:26" s="3" customFormat="1" ht="12" customHeight="1">
      <c r="B75" s="273" t="s">
        <v>106</v>
      </c>
      <c r="C75" s="26" t="s">
        <v>107</v>
      </c>
      <c r="D75" s="22">
        <f t="shared" si="14"/>
        <v>2502.1584520000001</v>
      </c>
      <c r="E75" s="22" t="e">
        <f t="shared" si="15"/>
        <v>#REF!</v>
      </c>
      <c r="F75" s="22">
        <f t="shared" si="28"/>
        <v>213.96238300000005</v>
      </c>
      <c r="G75" s="22">
        <f t="shared" si="28"/>
        <v>1171.529511</v>
      </c>
      <c r="H75" s="22">
        <f t="shared" si="28"/>
        <v>110.68441100000001</v>
      </c>
      <c r="I75" s="22">
        <f t="shared" si="28"/>
        <v>126.93081400000001</v>
      </c>
      <c r="J75" s="22">
        <f t="shared" si="28"/>
        <v>13.26849</v>
      </c>
      <c r="K75" s="22">
        <f t="shared" si="16"/>
        <v>41.297549000000004</v>
      </c>
      <c r="L75" s="22">
        <f t="shared" si="9"/>
        <v>20.018484000000001</v>
      </c>
      <c r="M75" s="22" t="e">
        <f t="shared" si="10"/>
        <v>#REF!</v>
      </c>
      <c r="N75" s="22">
        <f t="shared" si="11"/>
        <v>20.575710999999998</v>
      </c>
      <c r="O75" s="22" t="e">
        <f t="shared" si="12"/>
        <v>#REF!</v>
      </c>
      <c r="P75" s="22">
        <f t="shared" si="17"/>
        <v>826.18659999999988</v>
      </c>
      <c r="Q75" s="22">
        <f t="shared" si="18"/>
        <v>72.545742999999987</v>
      </c>
      <c r="R75" s="22" t="e">
        <f t="shared" si="19"/>
        <v>#REF!</v>
      </c>
      <c r="S75" s="22">
        <f t="shared" si="20"/>
        <v>546.13146699999993</v>
      </c>
      <c r="T75" s="22">
        <f t="shared" si="21"/>
        <v>143.88114400000001</v>
      </c>
      <c r="U75" s="22">
        <f t="shared" si="22"/>
        <v>34.306052999999999</v>
      </c>
      <c r="V75" s="22" t="e">
        <f t="shared" si="23"/>
        <v>#REF!</v>
      </c>
      <c r="W75" s="22" t="e">
        <f t="shared" si="24"/>
        <v>#REF!</v>
      </c>
      <c r="X75" s="22" t="e">
        <f t="shared" si="25"/>
        <v>#REF!</v>
      </c>
      <c r="Y75" s="22">
        <f t="shared" si="26"/>
        <v>18.040480000000002</v>
      </c>
      <c r="Z75" s="25" t="e">
        <f t="shared" si="27"/>
        <v>#REF!</v>
      </c>
    </row>
    <row r="76" spans="2:26" s="3" customFormat="1" ht="12" customHeight="1">
      <c r="B76" s="274"/>
      <c r="C76" s="26" t="s">
        <v>108</v>
      </c>
      <c r="D76" s="22">
        <f t="shared" si="14"/>
        <v>1535.7755929999998</v>
      </c>
      <c r="E76" s="22" t="e">
        <f t="shared" si="15"/>
        <v>#REF!</v>
      </c>
      <c r="F76" s="22">
        <f t="shared" si="28"/>
        <v>199.44786800000003</v>
      </c>
      <c r="G76" s="22">
        <f t="shared" si="28"/>
        <v>288.60351700000001</v>
      </c>
      <c r="H76" s="22">
        <f t="shared" si="28"/>
        <v>63.877212000000014</v>
      </c>
      <c r="I76" s="22">
        <f t="shared" si="28"/>
        <v>106.17373399999998</v>
      </c>
      <c r="J76" s="22">
        <f t="shared" si="28"/>
        <v>10.369998999999998</v>
      </c>
      <c r="K76" s="22">
        <f t="shared" si="16"/>
        <v>35.991745000000002</v>
      </c>
      <c r="L76" s="22">
        <f t="shared" si="9"/>
        <v>17.309583</v>
      </c>
      <c r="M76" s="22" t="e">
        <f t="shared" si="10"/>
        <v>#REF!</v>
      </c>
      <c r="N76" s="22">
        <f t="shared" si="11"/>
        <v>18.704994000000003</v>
      </c>
      <c r="O76" s="22" t="e">
        <f t="shared" si="12"/>
        <v>#REF!</v>
      </c>
      <c r="P76" s="22">
        <f t="shared" si="17"/>
        <v>820.67676299999994</v>
      </c>
      <c r="Q76" s="22">
        <f t="shared" si="18"/>
        <v>81.32525600000001</v>
      </c>
      <c r="R76" s="22" t="e">
        <f t="shared" si="19"/>
        <v>#REF!</v>
      </c>
      <c r="S76" s="22">
        <f t="shared" si="20"/>
        <v>495.04656899999992</v>
      </c>
      <c r="T76" s="22">
        <f t="shared" si="21"/>
        <v>131.78680299999999</v>
      </c>
      <c r="U76" s="22">
        <f t="shared" si="22"/>
        <v>47.267173</v>
      </c>
      <c r="V76" s="22" t="e">
        <f t="shared" si="23"/>
        <v>#REF!</v>
      </c>
      <c r="W76" s="22" t="e">
        <f t="shared" si="24"/>
        <v>#REF!</v>
      </c>
      <c r="X76" s="22" t="e">
        <f t="shared" si="25"/>
        <v>#REF!</v>
      </c>
      <c r="Y76" s="22">
        <f t="shared" si="26"/>
        <v>5.4619759999999991</v>
      </c>
      <c r="Z76" s="25" t="e">
        <f t="shared" si="27"/>
        <v>#REF!</v>
      </c>
    </row>
    <row r="77" spans="2:26" s="3" customFormat="1" ht="12" customHeight="1">
      <c r="B77" s="274"/>
      <c r="C77" s="26" t="s">
        <v>121</v>
      </c>
      <c r="D77" s="22">
        <f t="shared" si="14"/>
        <v>382.98314800000009</v>
      </c>
      <c r="E77" s="22" t="e">
        <f t="shared" si="15"/>
        <v>#REF!</v>
      </c>
      <c r="F77" s="22">
        <f t="shared" si="28"/>
        <v>100.298937</v>
      </c>
      <c r="G77" s="22">
        <f t="shared" si="28"/>
        <v>254.31505600000006</v>
      </c>
      <c r="H77" s="22">
        <f t="shared" si="28"/>
        <v>4.2927989999999987</v>
      </c>
      <c r="I77" s="22">
        <f t="shared" si="28"/>
        <v>15.50239</v>
      </c>
      <c r="J77" s="22">
        <f t="shared" si="28"/>
        <v>2.0207120000000001</v>
      </c>
      <c r="K77" s="22">
        <f t="shared" si="16"/>
        <v>4.404801</v>
      </c>
      <c r="L77" s="22">
        <f t="shared" si="9"/>
        <v>2.365888</v>
      </c>
      <c r="M77" s="22" t="e">
        <f t="shared" si="10"/>
        <v>#REF!</v>
      </c>
      <c r="N77" s="22">
        <f t="shared" si="11"/>
        <v>2.669565</v>
      </c>
      <c r="O77" s="22" t="e">
        <f t="shared" si="12"/>
        <v>#REF!</v>
      </c>
      <c r="P77" s="22">
        <f t="shared" si="17"/>
        <v>7.2988470000000003</v>
      </c>
      <c r="Q77" s="22">
        <f t="shared" si="18"/>
        <v>0</v>
      </c>
      <c r="R77" s="22" t="e">
        <f t="shared" si="19"/>
        <v>#REF!</v>
      </c>
      <c r="S77" s="22">
        <f t="shared" si="20"/>
        <v>4.5068209999999995</v>
      </c>
      <c r="T77" s="22">
        <f t="shared" si="21"/>
        <v>2.7920259999999999</v>
      </c>
      <c r="U77" s="22">
        <f t="shared" si="22"/>
        <v>1.2751190000000001</v>
      </c>
      <c r="V77" s="22" t="e">
        <f t="shared" si="23"/>
        <v>#REF!</v>
      </c>
      <c r="W77" s="22" t="e">
        <f t="shared" si="24"/>
        <v>#REF!</v>
      </c>
      <c r="X77" s="22" t="e">
        <f t="shared" si="25"/>
        <v>#REF!</v>
      </c>
      <c r="Y77" s="22">
        <f t="shared" si="26"/>
        <v>0</v>
      </c>
      <c r="Z77" s="25" t="e">
        <f t="shared" si="27"/>
        <v>#REF!</v>
      </c>
    </row>
    <row r="78" spans="2:26" s="3" customFormat="1" ht="12" customHeight="1">
      <c r="B78" s="274"/>
      <c r="C78" s="26" t="s">
        <v>122</v>
      </c>
      <c r="D78" s="22">
        <f t="shared" si="14"/>
        <v>270.338235</v>
      </c>
      <c r="E78" s="22" t="e">
        <f t="shared" si="15"/>
        <v>#REF!</v>
      </c>
      <c r="F78" s="22">
        <f t="shared" si="28"/>
        <v>51.931198000000009</v>
      </c>
      <c r="G78" s="22">
        <f t="shared" si="28"/>
        <v>169.08488200000002</v>
      </c>
      <c r="H78" s="22">
        <f t="shared" si="28"/>
        <v>8.9921129999999998</v>
      </c>
      <c r="I78" s="22">
        <f t="shared" si="28"/>
        <v>29.121317999999999</v>
      </c>
      <c r="J78" s="22">
        <f t="shared" si="28"/>
        <v>1.9364370000000002</v>
      </c>
      <c r="K78" s="22">
        <f t="shared" si="16"/>
        <v>3.6685980000000002</v>
      </c>
      <c r="L78" s="22">
        <f t="shared" si="9"/>
        <v>1.9628950000000001</v>
      </c>
      <c r="M78" s="22" t="e">
        <f t="shared" si="10"/>
        <v>#REF!</v>
      </c>
      <c r="N78" s="22">
        <f t="shared" si="11"/>
        <v>16.599539</v>
      </c>
      <c r="O78" s="22" t="e">
        <f t="shared" si="12"/>
        <v>#REF!</v>
      </c>
      <c r="P78" s="22">
        <f t="shared" si="17"/>
        <v>5.5787900000000006</v>
      </c>
      <c r="Q78" s="22">
        <f t="shared" si="18"/>
        <v>1.490329</v>
      </c>
      <c r="R78" s="22" t="e">
        <f t="shared" si="19"/>
        <v>#REF!</v>
      </c>
      <c r="S78" s="22">
        <f t="shared" si="20"/>
        <v>2.1324750000000003</v>
      </c>
      <c r="T78" s="22">
        <f t="shared" si="21"/>
        <v>1.2627110000000001</v>
      </c>
      <c r="U78" s="22">
        <f t="shared" si="22"/>
        <v>1.748475</v>
      </c>
      <c r="V78" s="22" t="e">
        <f t="shared" si="23"/>
        <v>#REF!</v>
      </c>
      <c r="W78" s="22" t="e">
        <f t="shared" si="24"/>
        <v>#REF!</v>
      </c>
      <c r="X78" s="22" t="e">
        <f t="shared" si="25"/>
        <v>#REF!</v>
      </c>
      <c r="Y78" s="22">
        <f t="shared" si="26"/>
        <v>3.8814589999999995</v>
      </c>
      <c r="Z78" s="25" t="e">
        <f t="shared" si="27"/>
        <v>#REF!</v>
      </c>
    </row>
    <row r="79" spans="2:26" s="3" customFormat="1" ht="12" customHeight="1">
      <c r="B79" s="274"/>
      <c r="C79" s="26" t="s">
        <v>109</v>
      </c>
      <c r="D79" s="22">
        <f t="shared" si="14"/>
        <v>505.12210999999996</v>
      </c>
      <c r="E79" s="22" t="e">
        <f t="shared" si="15"/>
        <v>#REF!</v>
      </c>
      <c r="F79" s="22">
        <f t="shared" si="28"/>
        <v>147.217466</v>
      </c>
      <c r="G79" s="22">
        <f t="shared" si="28"/>
        <v>204.43430299999997</v>
      </c>
      <c r="H79" s="22">
        <f t="shared" si="28"/>
        <v>21.326921000000002</v>
      </c>
      <c r="I79" s="22">
        <f t="shared" si="28"/>
        <v>8.1254609999999996</v>
      </c>
      <c r="J79" s="22">
        <f t="shared" si="28"/>
        <v>0.73799800000000004</v>
      </c>
      <c r="K79" s="22">
        <f t="shared" si="16"/>
        <v>2.5120900000000002</v>
      </c>
      <c r="L79" s="22">
        <f t="shared" si="9"/>
        <v>2.5523659999999997</v>
      </c>
      <c r="M79" s="22" t="e">
        <f t="shared" si="10"/>
        <v>#REF!</v>
      </c>
      <c r="N79" s="22">
        <f t="shared" si="11"/>
        <v>0.27105299999999993</v>
      </c>
      <c r="O79" s="22" t="e">
        <f t="shared" si="12"/>
        <v>#REF!</v>
      </c>
      <c r="P79" s="22">
        <f t="shared" si="17"/>
        <v>111.97450500000001</v>
      </c>
      <c r="Q79" s="22">
        <f t="shared" si="18"/>
        <v>13.317583000000001</v>
      </c>
      <c r="R79" s="22" t="e">
        <f t="shared" si="19"/>
        <v>#REF!</v>
      </c>
      <c r="S79" s="22">
        <f t="shared" si="20"/>
        <v>69.821601000000001</v>
      </c>
      <c r="T79" s="22">
        <f t="shared" si="21"/>
        <v>23.970369000000002</v>
      </c>
      <c r="U79" s="22">
        <f t="shared" si="22"/>
        <v>9.450272</v>
      </c>
      <c r="V79" s="22" t="e">
        <f t="shared" si="23"/>
        <v>#REF!</v>
      </c>
      <c r="W79" s="22" t="e">
        <f t="shared" si="24"/>
        <v>#REF!</v>
      </c>
      <c r="X79" s="22" t="e">
        <f t="shared" si="25"/>
        <v>#REF!</v>
      </c>
      <c r="Y79" s="22">
        <f t="shared" si="26"/>
        <v>2.5931820000000001</v>
      </c>
      <c r="Z79" s="25" t="e">
        <f t="shared" si="27"/>
        <v>#REF!</v>
      </c>
    </row>
    <row r="80" spans="2:26" s="3" customFormat="1" ht="12" customHeight="1">
      <c r="B80" s="274"/>
      <c r="C80" s="26" t="s">
        <v>110</v>
      </c>
      <c r="D80" s="22">
        <f t="shared" si="14"/>
        <v>225.81393099999997</v>
      </c>
      <c r="E80" s="22" t="e">
        <f t="shared" si="15"/>
        <v>#REF!</v>
      </c>
      <c r="F80" s="22">
        <f t="shared" ref="F80:J89" si="29">F22</f>
        <v>43.036669000000003</v>
      </c>
      <c r="G80" s="22">
        <f t="shared" si="29"/>
        <v>115.48624099999996</v>
      </c>
      <c r="H80" s="22">
        <f t="shared" si="29"/>
        <v>8.3282749999999979</v>
      </c>
      <c r="I80" s="22">
        <f t="shared" si="29"/>
        <v>2.4332170000000004</v>
      </c>
      <c r="J80" s="22">
        <f t="shared" si="29"/>
        <v>0.24663100000000004</v>
      </c>
      <c r="K80" s="22">
        <f t="shared" si="16"/>
        <v>0.14372099999999999</v>
      </c>
      <c r="L80" s="22">
        <f t="shared" si="9"/>
        <v>0.60196500000000008</v>
      </c>
      <c r="M80" s="22" t="e">
        <f t="shared" si="10"/>
        <v>#REF!</v>
      </c>
      <c r="N80" s="22">
        <f t="shared" si="11"/>
        <v>0.76773599999999997</v>
      </c>
      <c r="O80" s="22" t="e">
        <f t="shared" si="12"/>
        <v>#REF!</v>
      </c>
      <c r="P80" s="22">
        <f t="shared" si="17"/>
        <v>51.108325000000008</v>
      </c>
      <c r="Q80" s="22">
        <f t="shared" si="18"/>
        <v>4.4787119999999998</v>
      </c>
      <c r="R80" s="22" t="e">
        <f t="shared" si="19"/>
        <v>#REF!</v>
      </c>
      <c r="S80" s="22">
        <f t="shared" si="20"/>
        <v>31.455201000000006</v>
      </c>
      <c r="T80" s="22">
        <f t="shared" si="21"/>
        <v>13.996817000000002</v>
      </c>
      <c r="U80" s="22">
        <f t="shared" si="22"/>
        <v>3.9456479999999994</v>
      </c>
      <c r="V80" s="22" t="e">
        <f t="shared" si="23"/>
        <v>#REF!</v>
      </c>
      <c r="W80" s="22" t="e">
        <f t="shared" si="24"/>
        <v>#REF!</v>
      </c>
      <c r="X80" s="22" t="e">
        <f t="shared" si="25"/>
        <v>#REF!</v>
      </c>
      <c r="Y80" s="22">
        <f t="shared" si="26"/>
        <v>1.4755559999999999</v>
      </c>
      <c r="Z80" s="25" t="e">
        <f t="shared" si="27"/>
        <v>#REF!</v>
      </c>
    </row>
    <row r="81" spans="2:26" s="3" customFormat="1" ht="12" customHeight="1">
      <c r="B81" s="274"/>
      <c r="C81" s="21" t="s">
        <v>92</v>
      </c>
      <c r="D81" s="22">
        <f t="shared" si="14"/>
        <v>478.97468999999995</v>
      </c>
      <c r="E81" s="22" t="e">
        <f t="shared" si="15"/>
        <v>#REF!</v>
      </c>
      <c r="F81" s="22">
        <f t="shared" si="29"/>
        <v>191.31174000000001</v>
      </c>
      <c r="G81" s="22">
        <f t="shared" si="29"/>
        <v>182.05963400000005</v>
      </c>
      <c r="H81" s="22">
        <f t="shared" si="29"/>
        <v>12.534394000000002</v>
      </c>
      <c r="I81" s="22">
        <f t="shared" si="29"/>
        <v>16.603337999999997</v>
      </c>
      <c r="J81" s="22">
        <f t="shared" si="29"/>
        <v>2.2717499999999999</v>
      </c>
      <c r="K81" s="22">
        <f t="shared" si="16"/>
        <v>4.8381470000000002</v>
      </c>
      <c r="L81" s="22">
        <f t="shared" si="9"/>
        <v>2.6324419999999997</v>
      </c>
      <c r="M81" s="22" t="e">
        <f t="shared" si="10"/>
        <v>#REF!</v>
      </c>
      <c r="N81" s="22">
        <f t="shared" si="11"/>
        <v>1.529185</v>
      </c>
      <c r="O81" s="22" t="e">
        <f t="shared" si="12"/>
        <v>#REF!</v>
      </c>
      <c r="P81" s="22">
        <f t="shared" si="17"/>
        <v>67.084935000000016</v>
      </c>
      <c r="Q81" s="22">
        <f t="shared" si="18"/>
        <v>6.3104529999999999</v>
      </c>
      <c r="R81" s="22" t="e">
        <f t="shared" si="19"/>
        <v>#REF!</v>
      </c>
      <c r="S81" s="22">
        <f t="shared" si="20"/>
        <v>40.241785999999998</v>
      </c>
      <c r="T81" s="22">
        <f t="shared" si="21"/>
        <v>18.696479</v>
      </c>
      <c r="U81" s="22">
        <f t="shared" si="22"/>
        <v>5.1780810000000015</v>
      </c>
      <c r="V81" s="22" t="e">
        <f t="shared" si="23"/>
        <v>#REF!</v>
      </c>
      <c r="W81" s="22" t="e">
        <f t="shared" si="24"/>
        <v>#REF!</v>
      </c>
      <c r="X81" s="22" t="e">
        <f t="shared" si="25"/>
        <v>#REF!</v>
      </c>
      <c r="Y81" s="22">
        <f t="shared" si="26"/>
        <v>4.2025679999999994</v>
      </c>
      <c r="Z81" s="25" t="e">
        <f t="shared" si="27"/>
        <v>#REF!</v>
      </c>
    </row>
    <row r="82" spans="2:26" s="3" customFormat="1" ht="12" customHeight="1">
      <c r="B82" s="274"/>
      <c r="C82" s="26" t="s">
        <v>123</v>
      </c>
      <c r="D82" s="22">
        <f t="shared" si="14"/>
        <v>242.34229699999997</v>
      </c>
      <c r="E82" s="22" t="e">
        <f t="shared" si="15"/>
        <v>#REF!</v>
      </c>
      <c r="F82" s="22">
        <f t="shared" si="29"/>
        <v>217.786517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 t="e">
        <f t="shared" si="12"/>
        <v>#REF!</v>
      </c>
      <c r="P82" s="22">
        <f t="shared" si="17"/>
        <v>24.555779999999999</v>
      </c>
      <c r="Q82" s="22">
        <f t="shared" si="18"/>
        <v>0</v>
      </c>
      <c r="R82" s="22" t="e">
        <f t="shared" si="19"/>
        <v>#REF!</v>
      </c>
      <c r="S82" s="22">
        <f t="shared" si="20"/>
        <v>24.555779999999999</v>
      </c>
      <c r="T82" s="22">
        <f t="shared" si="21"/>
        <v>0</v>
      </c>
      <c r="U82" s="22">
        <f t="shared" si="22"/>
        <v>0</v>
      </c>
      <c r="V82" s="22" t="e">
        <f t="shared" si="23"/>
        <v>#REF!</v>
      </c>
      <c r="W82" s="22" t="e">
        <f t="shared" si="24"/>
        <v>#REF!</v>
      </c>
      <c r="X82" s="22" t="e">
        <f t="shared" si="25"/>
        <v>#REF!</v>
      </c>
      <c r="Y82" s="22">
        <f t="shared" si="26"/>
        <v>0</v>
      </c>
      <c r="Z82" s="25" t="e">
        <f t="shared" si="27"/>
        <v>#REF!</v>
      </c>
    </row>
    <row r="83" spans="2:26" s="3" customFormat="1" ht="12" customHeight="1">
      <c r="B83" s="274"/>
      <c r="C83" s="26" t="s">
        <v>111</v>
      </c>
      <c r="D83" s="22">
        <f t="shared" si="14"/>
        <v>441.29876300000006</v>
      </c>
      <c r="E83" s="22" t="e">
        <f t="shared" si="15"/>
        <v>#REF!</v>
      </c>
      <c r="F83" s="22">
        <f t="shared" si="29"/>
        <v>217.58154000000005</v>
      </c>
      <c r="G83" s="22">
        <f t="shared" si="29"/>
        <v>223.441146</v>
      </c>
      <c r="H83" s="22">
        <f t="shared" si="29"/>
        <v>1.1320999999999999E-2</v>
      </c>
      <c r="I83" s="22">
        <f t="shared" si="29"/>
        <v>0.11396300000000001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 t="e">
        <f t="shared" si="12"/>
        <v>#REF!</v>
      </c>
      <c r="P83" s="22">
        <f t="shared" si="17"/>
        <v>0.101132</v>
      </c>
      <c r="Q83" s="22">
        <f t="shared" si="18"/>
        <v>2.717E-2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 t="e">
        <f t="shared" si="23"/>
        <v>#REF!</v>
      </c>
      <c r="W83" s="22" t="e">
        <f t="shared" si="24"/>
        <v>#REF!</v>
      </c>
      <c r="X83" s="22" t="e">
        <f t="shared" si="25"/>
        <v>#REF!</v>
      </c>
      <c r="Y83" s="22">
        <f t="shared" si="26"/>
        <v>3.8339999999999999E-2</v>
      </c>
      <c r="Z83" s="25" t="e">
        <f t="shared" si="27"/>
        <v>#REF!</v>
      </c>
    </row>
    <row r="84" spans="2:26" s="3" customFormat="1" ht="12" customHeight="1">
      <c r="B84" s="274"/>
      <c r="C84" s="26" t="s">
        <v>118</v>
      </c>
      <c r="D84" s="22">
        <f t="shared" si="14"/>
        <v>513.39688599999999</v>
      </c>
      <c r="E84" s="22" t="e">
        <f t="shared" si="15"/>
        <v>#REF!</v>
      </c>
      <c r="F84" s="22">
        <f t="shared" si="29"/>
        <v>0</v>
      </c>
      <c r="G84" s="22">
        <f t="shared" si="29"/>
        <v>513.39688599999999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 t="e">
        <f t="shared" si="12"/>
        <v>#REF!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 t="e">
        <f t="shared" si="23"/>
        <v>#REF!</v>
      </c>
      <c r="W84" s="22" t="e">
        <f t="shared" si="24"/>
        <v>#REF!</v>
      </c>
      <c r="X84" s="22" t="e">
        <f t="shared" si="25"/>
        <v>#REF!</v>
      </c>
      <c r="Y84" s="22">
        <f t="shared" si="26"/>
        <v>0</v>
      </c>
      <c r="Z84" s="25" t="e">
        <f t="shared" si="27"/>
        <v>#REF!</v>
      </c>
    </row>
    <row r="85" spans="2:26" s="3" customFormat="1" ht="12" customHeight="1">
      <c r="B85" s="274"/>
      <c r="C85" s="26" t="s">
        <v>112</v>
      </c>
      <c r="D85" s="22">
        <f t="shared" si="14"/>
        <v>370.04235900000009</v>
      </c>
      <c r="E85" s="22" t="e">
        <f t="shared" si="15"/>
        <v>#REF!</v>
      </c>
      <c r="F85" s="22">
        <f t="shared" si="29"/>
        <v>100.55505599999999</v>
      </c>
      <c r="G85" s="22">
        <f t="shared" si="29"/>
        <v>116.86015400000001</v>
      </c>
      <c r="H85" s="22">
        <f t="shared" si="29"/>
        <v>35.355307000000003</v>
      </c>
      <c r="I85" s="22">
        <f t="shared" si="29"/>
        <v>13.857123999999999</v>
      </c>
      <c r="J85" s="22">
        <f t="shared" si="29"/>
        <v>2.917573</v>
      </c>
      <c r="K85" s="22">
        <f t="shared" si="16"/>
        <v>5.7283429999999997</v>
      </c>
      <c r="L85" s="22">
        <f t="shared" si="9"/>
        <v>0.47046000000000004</v>
      </c>
      <c r="M85" s="22" t="e">
        <f t="shared" si="10"/>
        <v>#REF!</v>
      </c>
      <c r="N85" s="22">
        <f t="shared" si="11"/>
        <v>0.36480000000000001</v>
      </c>
      <c r="O85" s="22" t="e">
        <f t="shared" si="12"/>
        <v>#REF!</v>
      </c>
      <c r="P85" s="22">
        <f t="shared" si="17"/>
        <v>21.131720000000001</v>
      </c>
      <c r="Q85" s="22">
        <f t="shared" si="18"/>
        <v>19.672520000000002</v>
      </c>
      <c r="R85" s="22" t="e">
        <f t="shared" si="19"/>
        <v>#REF!</v>
      </c>
      <c r="S85" s="22">
        <f t="shared" si="20"/>
        <v>0.72960000000000003</v>
      </c>
      <c r="T85" s="22">
        <f t="shared" si="21"/>
        <v>0.72960000000000003</v>
      </c>
      <c r="U85" s="22">
        <f t="shared" si="22"/>
        <v>0.72960000000000003</v>
      </c>
      <c r="V85" s="22" t="e">
        <f t="shared" si="23"/>
        <v>#REF!</v>
      </c>
      <c r="W85" s="22" t="e">
        <f t="shared" si="24"/>
        <v>#REF!</v>
      </c>
      <c r="X85" s="22" t="e">
        <f t="shared" si="25"/>
        <v>#REF!</v>
      </c>
      <c r="Y85" s="22">
        <f t="shared" si="26"/>
        <v>0</v>
      </c>
      <c r="Z85" s="25" t="e">
        <f t="shared" si="27"/>
        <v>#REF!</v>
      </c>
    </row>
    <row r="86" spans="2:26" s="3" customFormat="1" ht="12" customHeight="1">
      <c r="B86" s="274"/>
      <c r="C86" s="26" t="s">
        <v>124</v>
      </c>
      <c r="D86" s="22">
        <f t="shared" si="14"/>
        <v>227.22078899999991</v>
      </c>
      <c r="E86" s="22" t="e">
        <f t="shared" si="15"/>
        <v>#REF!</v>
      </c>
      <c r="F86" s="22">
        <f t="shared" si="29"/>
        <v>29.085394999999991</v>
      </c>
      <c r="G86" s="22">
        <f t="shared" si="29"/>
        <v>185.43993399999991</v>
      </c>
      <c r="H86" s="22">
        <f t="shared" si="29"/>
        <v>2.3301209999999997</v>
      </c>
      <c r="I86" s="22">
        <f t="shared" si="29"/>
        <v>8.6174960000000009</v>
      </c>
      <c r="J86" s="22">
        <f t="shared" si="29"/>
        <v>1.0939729999999999</v>
      </c>
      <c r="K86" s="22">
        <f t="shared" si="16"/>
        <v>2.5078429999999998</v>
      </c>
      <c r="L86" s="22">
        <f t="shared" si="9"/>
        <v>1.41387</v>
      </c>
      <c r="M86" s="22" t="e">
        <f t="shared" si="10"/>
        <v>#REF!</v>
      </c>
      <c r="N86" s="22">
        <f t="shared" si="11"/>
        <v>1.4138659999999998</v>
      </c>
      <c r="O86" s="22" t="e">
        <f t="shared" si="12"/>
        <v>#REF!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 t="e">
        <f t="shared" si="23"/>
        <v>#REF!</v>
      </c>
      <c r="W86" s="22" t="e">
        <f t="shared" si="24"/>
        <v>#REF!</v>
      </c>
      <c r="X86" s="22" t="e">
        <f t="shared" si="25"/>
        <v>#REF!</v>
      </c>
      <c r="Y86" s="22">
        <f t="shared" si="26"/>
        <v>1.747843</v>
      </c>
      <c r="Z86" s="25" t="e">
        <f t="shared" si="27"/>
        <v>#REF!</v>
      </c>
    </row>
    <row r="87" spans="2:26" s="3" customFormat="1" ht="12" customHeight="1">
      <c r="B87" s="274"/>
      <c r="C87" s="26" t="s">
        <v>113</v>
      </c>
      <c r="D87" s="22">
        <f t="shared" si="14"/>
        <v>279.151544</v>
      </c>
      <c r="E87" s="22" t="e">
        <f t="shared" si="15"/>
        <v>#REF!</v>
      </c>
      <c r="F87" s="22">
        <f t="shared" si="29"/>
        <v>132.54120699999999</v>
      </c>
      <c r="G87" s="22">
        <f t="shared" si="29"/>
        <v>81.809421000000015</v>
      </c>
      <c r="H87" s="22">
        <f t="shared" si="29"/>
        <v>6.6574179999999989</v>
      </c>
      <c r="I87" s="22">
        <f t="shared" si="29"/>
        <v>22.547393</v>
      </c>
      <c r="J87" s="22">
        <f t="shared" si="29"/>
        <v>6.9995469999999997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 t="e">
        <f t="shared" si="12"/>
        <v>#REF!</v>
      </c>
      <c r="P87" s="22">
        <f t="shared" si="17"/>
        <v>31.457414</v>
      </c>
      <c r="Q87" s="22">
        <f t="shared" si="18"/>
        <v>5.6942350000000008</v>
      </c>
      <c r="R87" s="22" t="e">
        <f t="shared" si="19"/>
        <v>#REF!</v>
      </c>
      <c r="S87" s="22">
        <f t="shared" si="20"/>
        <v>17.807935999999998</v>
      </c>
      <c r="T87" s="22">
        <f t="shared" si="21"/>
        <v>6.5316840000000003</v>
      </c>
      <c r="U87" s="22">
        <f t="shared" si="22"/>
        <v>3.4773510000000001</v>
      </c>
      <c r="V87" s="22" t="e">
        <f t="shared" si="23"/>
        <v>#REF!</v>
      </c>
      <c r="W87" s="22" t="e">
        <f t="shared" si="24"/>
        <v>#REF!</v>
      </c>
      <c r="X87" s="22" t="e">
        <f t="shared" si="25"/>
        <v>#REF!</v>
      </c>
      <c r="Y87" s="22">
        <f t="shared" si="26"/>
        <v>0.66133999999999993</v>
      </c>
      <c r="Z87" s="25" t="e">
        <f t="shared" si="27"/>
        <v>#REF!</v>
      </c>
    </row>
    <row r="88" spans="2:26" s="3" customFormat="1" ht="12" customHeight="1">
      <c r="B88" s="274"/>
      <c r="C88" s="26" t="s">
        <v>114</v>
      </c>
      <c r="D88" s="22">
        <f t="shared" si="14"/>
        <v>94.602693000000002</v>
      </c>
      <c r="E88" s="22" t="e">
        <f t="shared" si="15"/>
        <v>#REF!</v>
      </c>
      <c r="F88" s="22">
        <f t="shared" si="29"/>
        <v>12.943175</v>
      </c>
      <c r="G88" s="22">
        <f t="shared" si="29"/>
        <v>43.430593999999992</v>
      </c>
      <c r="H88" s="22">
        <f t="shared" si="29"/>
        <v>2.857443</v>
      </c>
      <c r="I88" s="22">
        <f t="shared" si="29"/>
        <v>1.8614489999999997</v>
      </c>
      <c r="J88" s="22">
        <f t="shared" si="29"/>
        <v>0.169434</v>
      </c>
      <c r="K88" s="22">
        <f t="shared" si="16"/>
        <v>0.39480799999999999</v>
      </c>
      <c r="L88" s="22">
        <f t="shared" si="9"/>
        <v>0.1386</v>
      </c>
      <c r="M88" s="22" t="e">
        <f t="shared" si="10"/>
        <v>#REF!</v>
      </c>
      <c r="N88" s="22">
        <f t="shared" si="11"/>
        <v>0.75624099999999994</v>
      </c>
      <c r="O88" s="22" t="e">
        <f t="shared" si="12"/>
        <v>#REF!</v>
      </c>
      <c r="P88" s="22">
        <f t="shared" si="17"/>
        <v>29.860711999999999</v>
      </c>
      <c r="Q88" s="22">
        <f t="shared" si="18"/>
        <v>1.4321660000000003</v>
      </c>
      <c r="R88" s="22" t="e">
        <f t="shared" si="19"/>
        <v>#REF!</v>
      </c>
      <c r="S88" s="22">
        <f t="shared" si="20"/>
        <v>21.265353000000001</v>
      </c>
      <c r="T88" s="22">
        <f t="shared" si="21"/>
        <v>5.8894320000000002</v>
      </c>
      <c r="U88" s="22">
        <f t="shared" si="22"/>
        <v>3.4757279999999997</v>
      </c>
      <c r="V88" s="22" t="e">
        <f t="shared" si="23"/>
        <v>#REF!</v>
      </c>
      <c r="W88" s="22" t="e">
        <f t="shared" si="24"/>
        <v>#REF!</v>
      </c>
      <c r="X88" s="22" t="e">
        <f t="shared" si="25"/>
        <v>#REF!</v>
      </c>
      <c r="Y88" s="22">
        <f t="shared" si="26"/>
        <v>0.173592</v>
      </c>
      <c r="Z88" s="25" t="e">
        <f t="shared" si="27"/>
        <v>#REF!</v>
      </c>
    </row>
    <row r="89" spans="2:26" s="3" customFormat="1" ht="12" customHeight="1">
      <c r="B89" s="274"/>
      <c r="C89" s="26" t="s">
        <v>117</v>
      </c>
      <c r="D89" s="22">
        <f t="shared" si="14"/>
        <v>204.732315</v>
      </c>
      <c r="E89" s="22" t="e">
        <f t="shared" si="15"/>
        <v>#REF!</v>
      </c>
      <c r="F89" s="22">
        <f t="shared" si="29"/>
        <v>66.947279000000009</v>
      </c>
      <c r="G89" s="22">
        <f t="shared" si="29"/>
        <v>122.19304699999998</v>
      </c>
      <c r="H89" s="22">
        <f t="shared" si="29"/>
        <v>4.9001629999999992</v>
      </c>
      <c r="I89" s="22">
        <f t="shared" si="29"/>
        <v>11.312757999999999</v>
      </c>
      <c r="J89" s="22">
        <f t="shared" si="29"/>
        <v>0.384463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11.697973000000001</v>
      </c>
      <c r="O89" s="22" t="e">
        <f t="shared" si="12"/>
        <v>#REF!</v>
      </c>
      <c r="P89" s="22">
        <f t="shared" si="17"/>
        <v>-0.22889999999999999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1.4775680000000002</v>
      </c>
      <c r="V89" s="22" t="e">
        <f t="shared" si="23"/>
        <v>#REF!</v>
      </c>
      <c r="W89" s="22" t="e">
        <f t="shared" si="24"/>
        <v>#REF!</v>
      </c>
      <c r="X89" s="22" t="e">
        <f t="shared" si="25"/>
        <v>#REF!</v>
      </c>
      <c r="Y89" s="22">
        <f t="shared" si="26"/>
        <v>0</v>
      </c>
      <c r="Z89" s="25" t="e">
        <f t="shared" si="27"/>
        <v>#REF!</v>
      </c>
    </row>
    <row r="90" spans="2:26" s="3" customFormat="1" ht="12" customHeight="1">
      <c r="B90" s="274"/>
      <c r="C90" s="26" t="s">
        <v>125</v>
      </c>
      <c r="D90" s="22">
        <f t="shared" si="14"/>
        <v>24.524056999999999</v>
      </c>
      <c r="E90" s="22" t="e">
        <f t="shared" si="15"/>
        <v>#REF!</v>
      </c>
      <c r="F90" s="22">
        <f t="shared" ref="F90:J99" si="30">F32</f>
        <v>24.524056999999999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 t="e">
        <f t="shared" si="12"/>
        <v>#REF!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 t="e">
        <f t="shared" si="23"/>
        <v>#REF!</v>
      </c>
      <c r="W90" s="22" t="e">
        <f t="shared" si="24"/>
        <v>#REF!</v>
      </c>
      <c r="X90" s="22" t="e">
        <f t="shared" si="25"/>
        <v>#REF!</v>
      </c>
      <c r="Y90" s="22">
        <f t="shared" si="26"/>
        <v>0</v>
      </c>
      <c r="Z90" s="25" t="e">
        <f t="shared" si="27"/>
        <v>#REF!</v>
      </c>
    </row>
    <row r="91" spans="2:26" s="3" customFormat="1" ht="12" customHeight="1">
      <c r="B91" s="274"/>
      <c r="C91" s="26" t="s">
        <v>126</v>
      </c>
      <c r="D91" s="22">
        <f t="shared" si="14"/>
        <v>66.128084999999999</v>
      </c>
      <c r="E91" s="22" t="e">
        <f t="shared" si="15"/>
        <v>#REF!</v>
      </c>
      <c r="F91" s="22">
        <f t="shared" si="30"/>
        <v>35.641224999999999</v>
      </c>
      <c r="G91" s="22">
        <f t="shared" si="30"/>
        <v>28.397940000000002</v>
      </c>
      <c r="H91" s="22">
        <f t="shared" si="30"/>
        <v>0.04</v>
      </c>
      <c r="I91" s="22">
        <f t="shared" si="30"/>
        <v>1.2412939999999999</v>
      </c>
      <c r="J91" s="22">
        <f t="shared" si="30"/>
        <v>0</v>
      </c>
      <c r="K91" s="22">
        <f t="shared" si="16"/>
        <v>0.60204899999999995</v>
      </c>
      <c r="L91" s="22">
        <f t="shared" si="9"/>
        <v>0</v>
      </c>
      <c r="M91" s="22" t="e">
        <f t="shared" si="10"/>
        <v>#REF!</v>
      </c>
      <c r="N91" s="22">
        <f t="shared" si="11"/>
        <v>0.63924499999999995</v>
      </c>
      <c r="O91" s="22" t="e">
        <f t="shared" si="12"/>
        <v>#REF!</v>
      </c>
      <c r="P91" s="22">
        <f t="shared" si="17"/>
        <v>0.16462599999999999</v>
      </c>
      <c r="Q91" s="22">
        <f t="shared" si="18"/>
        <v>0</v>
      </c>
      <c r="R91" s="22" t="e">
        <f t="shared" si="19"/>
        <v>#REF!</v>
      </c>
      <c r="S91" s="22">
        <f t="shared" si="20"/>
        <v>7.4160000000000004E-2</v>
      </c>
      <c r="T91" s="22">
        <f t="shared" si="21"/>
        <v>9.0465999999999991E-2</v>
      </c>
      <c r="U91" s="22">
        <f t="shared" si="22"/>
        <v>0.61</v>
      </c>
      <c r="V91" s="22" t="e">
        <f t="shared" si="23"/>
        <v>#REF!</v>
      </c>
      <c r="W91" s="22" t="e">
        <f t="shared" si="24"/>
        <v>#REF!</v>
      </c>
      <c r="X91" s="22" t="e">
        <f t="shared" si="25"/>
        <v>#REF!</v>
      </c>
      <c r="Y91" s="22">
        <f t="shared" si="26"/>
        <v>3.3000000000000002E-2</v>
      </c>
      <c r="Z91" s="25" t="e">
        <f t="shared" si="27"/>
        <v>#REF!</v>
      </c>
    </row>
    <row r="92" spans="2:26" s="3" customFormat="1" ht="12" customHeight="1">
      <c r="B92" s="274"/>
      <c r="C92" s="26" t="s">
        <v>115</v>
      </c>
      <c r="D92" s="22">
        <f t="shared" si="14"/>
        <v>23.812927999999999</v>
      </c>
      <c r="E92" s="22" t="e">
        <f t="shared" si="15"/>
        <v>#REF!</v>
      </c>
      <c r="F92" s="22">
        <f t="shared" si="30"/>
        <v>3.3214199999999998</v>
      </c>
      <c r="G92" s="22">
        <f t="shared" si="30"/>
        <v>17.975229000000002</v>
      </c>
      <c r="H92" s="22">
        <f t="shared" si="30"/>
        <v>0.47370400000000001</v>
      </c>
      <c r="I92" s="22">
        <f t="shared" si="30"/>
        <v>0.82215799999999994</v>
      </c>
      <c r="J92" s="22">
        <f t="shared" si="30"/>
        <v>2.9065999999999998E-2</v>
      </c>
      <c r="K92" s="22">
        <f t="shared" si="16"/>
        <v>0.33365</v>
      </c>
      <c r="L92" s="22">
        <f t="shared" ref="L92:L108" si="31">N34</f>
        <v>1.324E-2</v>
      </c>
      <c r="M92" s="22" t="e">
        <f t="shared" ref="M92:M108" si="32">O34</f>
        <v>#REF!</v>
      </c>
      <c r="N92" s="22">
        <f t="shared" ref="N92:N108" si="33">P34</f>
        <v>0.38806799999999997</v>
      </c>
      <c r="O92" s="22" t="e">
        <f t="shared" ref="O92:O108" si="34">Q34</f>
        <v>#REF!</v>
      </c>
      <c r="P92" s="22">
        <f t="shared" si="17"/>
        <v>0.73606700000000003</v>
      </c>
      <c r="Q92" s="22">
        <f t="shared" si="18"/>
        <v>8.6251999999999995E-2</v>
      </c>
      <c r="R92" s="22" t="e">
        <f t="shared" si="19"/>
        <v>#REF!</v>
      </c>
      <c r="S92" s="22">
        <f t="shared" si="20"/>
        <v>0.374</v>
      </c>
      <c r="T92" s="22">
        <f t="shared" si="21"/>
        <v>0.169682</v>
      </c>
      <c r="U92" s="22">
        <f t="shared" si="22"/>
        <v>8.4000000000000005E-2</v>
      </c>
      <c r="V92" s="22" t="e">
        <f t="shared" si="23"/>
        <v>#REF!</v>
      </c>
      <c r="W92" s="22" t="e">
        <f t="shared" si="24"/>
        <v>#REF!</v>
      </c>
      <c r="X92" s="22" t="e">
        <f t="shared" si="25"/>
        <v>#REF!</v>
      </c>
      <c r="Y92" s="22">
        <f t="shared" si="26"/>
        <v>0.40034999999999998</v>
      </c>
      <c r="Z92" s="25" t="e">
        <f t="shared" si="27"/>
        <v>#REF!</v>
      </c>
    </row>
    <row r="93" spans="2:26" s="3" customFormat="1" ht="12" customHeight="1">
      <c r="B93" s="274"/>
      <c r="C93" s="26" t="s">
        <v>116</v>
      </c>
      <c r="D93" s="22">
        <f t="shared" si="14"/>
        <v>84.040719999999979</v>
      </c>
      <c r="E93" s="22" t="e">
        <f t="shared" si="15"/>
        <v>#REF!</v>
      </c>
      <c r="F93" s="22">
        <f t="shared" si="30"/>
        <v>19.301845</v>
      </c>
      <c r="G93" s="22">
        <f t="shared" si="30"/>
        <v>33.957124999999998</v>
      </c>
      <c r="H93" s="22">
        <f t="shared" si="30"/>
        <v>5.6156329999999999</v>
      </c>
      <c r="I93" s="22">
        <f t="shared" si="30"/>
        <v>6.3662349999999988</v>
      </c>
      <c r="J93" s="22">
        <f t="shared" si="30"/>
        <v>0.281943</v>
      </c>
      <c r="K93" s="22">
        <f t="shared" si="16"/>
        <v>1.1212849999999999</v>
      </c>
      <c r="L93" s="22">
        <f t="shared" si="31"/>
        <v>3.1714939999999996</v>
      </c>
      <c r="M93" s="22" t="e">
        <f t="shared" si="32"/>
        <v>#REF!</v>
      </c>
      <c r="N93" s="22">
        <f t="shared" si="33"/>
        <v>0.99936799999999981</v>
      </c>
      <c r="O93" s="22" t="e">
        <f t="shared" si="34"/>
        <v>#REF!</v>
      </c>
      <c r="P93" s="22">
        <f t="shared" si="17"/>
        <v>17.33052</v>
      </c>
      <c r="Q93" s="22">
        <f t="shared" si="18"/>
        <v>6.0055780000000007</v>
      </c>
      <c r="R93" s="22" t="e">
        <f t="shared" si="19"/>
        <v>#REF!</v>
      </c>
      <c r="S93" s="22">
        <f t="shared" si="20"/>
        <v>4.2864870000000002</v>
      </c>
      <c r="T93" s="22">
        <f t="shared" si="21"/>
        <v>4.1633799999999992</v>
      </c>
      <c r="U93" s="22">
        <f t="shared" si="22"/>
        <v>1.168064</v>
      </c>
      <c r="V93" s="22" t="e">
        <f t="shared" si="23"/>
        <v>#REF!</v>
      </c>
      <c r="W93" s="22" t="e">
        <f t="shared" si="24"/>
        <v>#REF!</v>
      </c>
      <c r="X93" s="22" t="e">
        <f t="shared" si="25"/>
        <v>#REF!</v>
      </c>
      <c r="Y93" s="22">
        <f t="shared" si="26"/>
        <v>0.30129800000000001</v>
      </c>
      <c r="Z93" s="25" t="e">
        <f t="shared" si="27"/>
        <v>#REF!</v>
      </c>
    </row>
    <row r="94" spans="2:26" s="3" customFormat="1" ht="12" customHeight="1">
      <c r="B94" s="274"/>
      <c r="C94" s="26" t="s">
        <v>127</v>
      </c>
      <c r="D94" s="22">
        <f t="shared" si="14"/>
        <v>116.372677</v>
      </c>
      <c r="E94" s="22" t="e">
        <f t="shared" si="15"/>
        <v>#REF!</v>
      </c>
      <c r="F94" s="22">
        <f t="shared" si="30"/>
        <v>60.809677000000001</v>
      </c>
      <c r="G94" s="22">
        <f t="shared" si="30"/>
        <v>54.762999999999998</v>
      </c>
      <c r="H94" s="22">
        <f t="shared" si="30"/>
        <v>0</v>
      </c>
      <c r="I94" s="22">
        <f t="shared" si="30"/>
        <v>0.8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0.8</v>
      </c>
      <c r="O94" s="22" t="e">
        <f t="shared" si="34"/>
        <v>#REF!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 t="e">
        <f t="shared" si="23"/>
        <v>#REF!</v>
      </c>
      <c r="W94" s="22" t="e">
        <f t="shared" si="24"/>
        <v>#REF!</v>
      </c>
      <c r="X94" s="22" t="e">
        <f t="shared" si="25"/>
        <v>#REF!</v>
      </c>
      <c r="Y94" s="22">
        <f t="shared" si="26"/>
        <v>0</v>
      </c>
      <c r="Z94" s="25" t="e">
        <f t="shared" si="27"/>
        <v>#REF!</v>
      </c>
    </row>
    <row r="95" spans="2:26" s="3" customFormat="1" ht="12" customHeight="1">
      <c r="B95" s="274"/>
      <c r="C95" s="26" t="s">
        <v>104</v>
      </c>
      <c r="D95" s="22">
        <f t="shared" si="14"/>
        <v>68.972363999999985</v>
      </c>
      <c r="E95" s="22" t="e">
        <f t="shared" si="15"/>
        <v>#REF!</v>
      </c>
      <c r="F95" s="22">
        <f t="shared" si="30"/>
        <v>32.67</v>
      </c>
      <c r="G95" s="22">
        <f t="shared" si="30"/>
        <v>34.933646999999986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 t="e">
        <f t="shared" si="34"/>
        <v>#REF!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 t="e">
        <f t="shared" si="23"/>
        <v>#REF!</v>
      </c>
      <c r="W95" s="22" t="e">
        <f t="shared" si="24"/>
        <v>#REF!</v>
      </c>
      <c r="X95" s="22" t="e">
        <f t="shared" si="25"/>
        <v>#REF!</v>
      </c>
      <c r="Y95" s="22">
        <f t="shared" si="26"/>
        <v>0</v>
      </c>
      <c r="Z95" s="25" t="e">
        <f t="shared" si="27"/>
        <v>#REF!</v>
      </c>
    </row>
    <row r="96" spans="2:26" s="3" customFormat="1" ht="12" customHeight="1">
      <c r="B96" s="274"/>
      <c r="C96" s="26" t="s">
        <v>128</v>
      </c>
      <c r="D96" s="22">
        <f t="shared" si="14"/>
        <v>89.602724000000009</v>
      </c>
      <c r="E96" s="22" t="e">
        <f t="shared" si="15"/>
        <v>#REF!</v>
      </c>
      <c r="F96" s="22">
        <f t="shared" si="30"/>
        <v>43.199905000000001</v>
      </c>
      <c r="G96" s="22">
        <f t="shared" si="30"/>
        <v>9.5004570000000008</v>
      </c>
      <c r="H96" s="22">
        <f t="shared" si="30"/>
        <v>0</v>
      </c>
      <c r="I96" s="22">
        <f t="shared" si="30"/>
        <v>11.320753999999999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 t="e">
        <f t="shared" si="34"/>
        <v>#REF!</v>
      </c>
      <c r="P96" s="22">
        <f t="shared" si="17"/>
        <v>25.581607999999999</v>
      </c>
      <c r="Q96" s="22">
        <f t="shared" si="18"/>
        <v>0</v>
      </c>
      <c r="R96" s="22" t="e">
        <f t="shared" si="19"/>
        <v>#REF!</v>
      </c>
      <c r="S96" s="22">
        <f t="shared" si="20"/>
        <v>22.696463999999999</v>
      </c>
      <c r="T96" s="22">
        <f t="shared" si="21"/>
        <v>2.8851440000000004</v>
      </c>
      <c r="U96" s="22">
        <f t="shared" si="22"/>
        <v>0</v>
      </c>
      <c r="V96" s="22" t="e">
        <f t="shared" si="23"/>
        <v>#REF!</v>
      </c>
      <c r="W96" s="22" t="e">
        <f t="shared" si="24"/>
        <v>#REF!</v>
      </c>
      <c r="X96" s="22" t="e">
        <f t="shared" si="25"/>
        <v>#REF!</v>
      </c>
      <c r="Y96" s="22">
        <f t="shared" si="26"/>
        <v>0</v>
      </c>
      <c r="Z96" s="25" t="e">
        <f t="shared" si="27"/>
        <v>#REF!</v>
      </c>
    </row>
    <row r="97" spans="2:26" s="3" customFormat="1" ht="12" customHeight="1">
      <c r="B97" s="274"/>
      <c r="C97" s="26" t="s">
        <v>129</v>
      </c>
      <c r="D97" s="22">
        <f t="shared" si="14"/>
        <v>0</v>
      </c>
      <c r="E97" s="22" t="e">
        <f t="shared" si="15"/>
        <v>#REF!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 t="e">
        <f t="shared" si="34"/>
        <v>#REF!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 t="e">
        <f t="shared" si="23"/>
        <v>#REF!</v>
      </c>
      <c r="W97" s="22" t="e">
        <f t="shared" si="24"/>
        <v>#REF!</v>
      </c>
      <c r="X97" s="22" t="e">
        <f t="shared" si="25"/>
        <v>#REF!</v>
      </c>
      <c r="Y97" s="22">
        <f t="shared" si="26"/>
        <v>0</v>
      </c>
      <c r="Z97" s="25" t="e">
        <f t="shared" si="27"/>
        <v>#REF!</v>
      </c>
    </row>
    <row r="98" spans="2:26" s="3" customFormat="1" ht="12" customHeight="1">
      <c r="B98" s="274"/>
      <c r="C98" s="26" t="s">
        <v>141</v>
      </c>
      <c r="D98" s="22">
        <f t="shared" si="14"/>
        <v>8.2275720000000003</v>
      </c>
      <c r="E98" s="22" t="e">
        <f t="shared" si="15"/>
        <v>#REF!</v>
      </c>
      <c r="F98" s="22">
        <f t="shared" si="30"/>
        <v>0</v>
      </c>
      <c r="G98" s="22">
        <f t="shared" si="30"/>
        <v>5.0419999999999998</v>
      </c>
      <c r="H98" s="22">
        <f t="shared" si="30"/>
        <v>0</v>
      </c>
      <c r="I98" s="22">
        <f t="shared" si="30"/>
        <v>0.04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0.04</v>
      </c>
      <c r="O98" s="22" t="e">
        <f t="shared" si="34"/>
        <v>#REF!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 t="e">
        <f t="shared" si="23"/>
        <v>#REF!</v>
      </c>
      <c r="W98" s="22" t="e">
        <f t="shared" si="24"/>
        <v>#REF!</v>
      </c>
      <c r="X98" s="22" t="e">
        <f t="shared" si="25"/>
        <v>#REF!</v>
      </c>
      <c r="Y98" s="22">
        <f t="shared" si="26"/>
        <v>3.145572</v>
      </c>
      <c r="Z98" s="25" t="e">
        <f t="shared" si="27"/>
        <v>#REF!</v>
      </c>
    </row>
    <row r="99" spans="2:26" s="3" customFormat="1" ht="12" customHeight="1">
      <c r="B99" s="275"/>
      <c r="C99" s="26" t="s">
        <v>99</v>
      </c>
      <c r="D99" s="22">
        <f t="shared" si="14"/>
        <v>8755.6349320000008</v>
      </c>
      <c r="E99" s="22" t="e">
        <f t="shared" si="15"/>
        <v>#REF!</v>
      </c>
      <c r="F99" s="22">
        <f t="shared" si="30"/>
        <v>1944.1145590000003</v>
      </c>
      <c r="G99" s="22">
        <f t="shared" si="30"/>
        <v>3856.6537239999998</v>
      </c>
      <c r="H99" s="22">
        <f t="shared" si="30"/>
        <v>288.27723500000008</v>
      </c>
      <c r="I99" s="22">
        <f t="shared" si="30"/>
        <v>385.15961300000004</v>
      </c>
      <c r="J99" s="22">
        <f t="shared" si="30"/>
        <v>42.728015999999997</v>
      </c>
      <c r="K99" s="22">
        <f t="shared" si="16"/>
        <v>102.17147999999999</v>
      </c>
      <c r="L99" s="22">
        <f t="shared" si="31"/>
        <v>51.734687000000008</v>
      </c>
      <c r="M99" s="22" t="e">
        <f t="shared" si="32"/>
        <v>#REF!</v>
      </c>
      <c r="N99" s="22">
        <f t="shared" si="33"/>
        <v>79.699269000000015</v>
      </c>
      <c r="O99" s="22" t="e">
        <f t="shared" si="34"/>
        <v>#REF!</v>
      </c>
      <c r="P99" s="22">
        <f t="shared" si="17"/>
        <v>2040.5994439999997</v>
      </c>
      <c r="Q99" s="22">
        <f t="shared" si="18"/>
        <v>211.38699700000001</v>
      </c>
      <c r="R99" s="22" t="e">
        <f t="shared" si="19"/>
        <v>#REF!</v>
      </c>
      <c r="S99" s="22">
        <f t="shared" si="20"/>
        <v>1281.1898909999998</v>
      </c>
      <c r="T99" s="22">
        <f t="shared" si="21"/>
        <v>357.25981600000017</v>
      </c>
      <c r="U99" s="22">
        <f t="shared" si="22"/>
        <v>114.20445300000003</v>
      </c>
      <c r="V99" s="22" t="e">
        <f t="shared" si="23"/>
        <v>#REF!</v>
      </c>
      <c r="W99" s="22" t="e">
        <f t="shared" si="24"/>
        <v>#REF!</v>
      </c>
      <c r="X99" s="22" t="e">
        <f t="shared" si="25"/>
        <v>#REF!</v>
      </c>
      <c r="Y99" s="22">
        <f t="shared" si="26"/>
        <v>42.156556000000009</v>
      </c>
      <c r="Z99" s="25" t="e">
        <f t="shared" si="27"/>
        <v>#REF!</v>
      </c>
    </row>
    <row r="100" spans="2:26" s="3" customFormat="1" ht="12" customHeight="1">
      <c r="B100" s="273" t="s">
        <v>120</v>
      </c>
      <c r="C100" s="26" t="s">
        <v>130</v>
      </c>
      <c r="D100" s="22">
        <f t="shared" si="14"/>
        <v>1327.0935839999997</v>
      </c>
      <c r="E100" s="22" t="e">
        <f t="shared" si="15"/>
        <v>#REF!</v>
      </c>
      <c r="F100" s="22">
        <f t="shared" ref="F100:J108" si="35">F42</f>
        <v>816.61796399999992</v>
      </c>
      <c r="G100" s="22">
        <f t="shared" si="35"/>
        <v>482.1748119999998</v>
      </c>
      <c r="H100" s="22">
        <f t="shared" si="35"/>
        <v>15.482777999999996</v>
      </c>
      <c r="I100" s="22">
        <f t="shared" si="35"/>
        <v>12.818030000000002</v>
      </c>
      <c r="J100" s="22">
        <f t="shared" si="35"/>
        <v>3.3959019999999995</v>
      </c>
      <c r="K100" s="22">
        <f t="shared" si="16"/>
        <v>2.6363439999999998</v>
      </c>
      <c r="L100" s="22">
        <f t="shared" si="31"/>
        <v>3.5512769999999998</v>
      </c>
      <c r="M100" s="22" t="e">
        <f t="shared" si="32"/>
        <v>#REF!</v>
      </c>
      <c r="N100" s="22">
        <f t="shared" si="33"/>
        <v>1.025226</v>
      </c>
      <c r="O100" s="22" t="e">
        <f t="shared" si="34"/>
        <v>#REF!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 t="e">
        <f t="shared" si="23"/>
        <v>#REF!</v>
      </c>
      <c r="W100" s="22" t="e">
        <f t="shared" si="24"/>
        <v>#REF!</v>
      </c>
      <c r="X100" s="22" t="e">
        <f t="shared" si="25"/>
        <v>#REF!</v>
      </c>
      <c r="Y100" s="22">
        <f t="shared" si="26"/>
        <v>0</v>
      </c>
      <c r="Z100" s="25" t="e">
        <f t="shared" si="27"/>
        <v>#REF!</v>
      </c>
    </row>
    <row r="101" spans="2:26" s="3" customFormat="1" ht="12" customHeight="1">
      <c r="B101" s="274"/>
      <c r="C101" s="26" t="s">
        <v>131</v>
      </c>
      <c r="D101" s="22">
        <f t="shared" si="14"/>
        <v>346.10853900000001</v>
      </c>
      <c r="E101" s="22" t="e">
        <f t="shared" si="15"/>
        <v>#REF!</v>
      </c>
      <c r="F101" s="22">
        <f t="shared" si="35"/>
        <v>106.47149100000001</v>
      </c>
      <c r="G101" s="22">
        <f t="shared" si="35"/>
        <v>207.19738799999999</v>
      </c>
      <c r="H101" s="22">
        <f t="shared" si="35"/>
        <v>25.177462999999996</v>
      </c>
      <c r="I101" s="22">
        <f t="shared" si="35"/>
        <v>6.0779320000000014</v>
      </c>
      <c r="J101" s="22">
        <f t="shared" si="35"/>
        <v>0.53976400000000002</v>
      </c>
      <c r="K101" s="22">
        <f t="shared" si="16"/>
        <v>2.7574520000000002</v>
      </c>
      <c r="L101" s="22">
        <f t="shared" si="31"/>
        <v>1.3315560000000002</v>
      </c>
      <c r="M101" s="22" t="e">
        <f t="shared" si="32"/>
        <v>#REF!</v>
      </c>
      <c r="N101" s="22">
        <f t="shared" si="33"/>
        <v>0.156</v>
      </c>
      <c r="O101" s="22" t="e">
        <f t="shared" si="34"/>
        <v>#REF!</v>
      </c>
      <c r="P101" s="22">
        <f t="shared" si="17"/>
        <v>0.41067900000000002</v>
      </c>
      <c r="Q101" s="22">
        <f t="shared" si="18"/>
        <v>0.25094299999999997</v>
      </c>
      <c r="R101" s="22" t="e">
        <f t="shared" si="19"/>
        <v>#REF!</v>
      </c>
      <c r="S101" s="22">
        <f t="shared" si="20"/>
        <v>0.122</v>
      </c>
      <c r="T101" s="22">
        <f t="shared" si="21"/>
        <v>0</v>
      </c>
      <c r="U101" s="22">
        <f t="shared" si="22"/>
        <v>0.54716999999999993</v>
      </c>
      <c r="V101" s="22" t="e">
        <f t="shared" si="23"/>
        <v>#REF!</v>
      </c>
      <c r="W101" s="22" t="e">
        <f t="shared" si="24"/>
        <v>#REF!</v>
      </c>
      <c r="X101" s="22" t="e">
        <f t="shared" si="25"/>
        <v>#REF!</v>
      </c>
      <c r="Y101" s="22">
        <f t="shared" si="26"/>
        <v>0.22641599999999998</v>
      </c>
      <c r="Z101" s="25" t="e">
        <f t="shared" si="27"/>
        <v>#REF!</v>
      </c>
    </row>
    <row r="102" spans="2:26" s="3" customFormat="1" ht="12" customHeight="1">
      <c r="B102" s="274"/>
      <c r="C102" s="26" t="s">
        <v>132</v>
      </c>
      <c r="D102" s="22">
        <f t="shared" si="14"/>
        <v>3647.4471340000014</v>
      </c>
      <c r="E102" s="22" t="e">
        <f t="shared" si="15"/>
        <v>#REF!</v>
      </c>
      <c r="F102" s="22">
        <f t="shared" si="35"/>
        <v>239.97724300000004</v>
      </c>
      <c r="G102" s="22">
        <f t="shared" si="35"/>
        <v>2537.6030490000012</v>
      </c>
      <c r="H102" s="22">
        <f t="shared" si="35"/>
        <v>48.605729999999987</v>
      </c>
      <c r="I102" s="22">
        <f t="shared" si="35"/>
        <v>710.27815700000019</v>
      </c>
      <c r="J102" s="22">
        <f t="shared" si="35"/>
        <v>23.434158</v>
      </c>
      <c r="K102" s="22">
        <f t="shared" si="16"/>
        <v>53.590941000000001</v>
      </c>
      <c r="L102" s="22">
        <f t="shared" si="31"/>
        <v>43.903768999999997</v>
      </c>
      <c r="M102" s="22" t="e">
        <f t="shared" si="32"/>
        <v>#REF!</v>
      </c>
      <c r="N102" s="22">
        <f t="shared" si="33"/>
        <v>542.43448599999999</v>
      </c>
      <c r="O102" s="22" t="e">
        <f t="shared" si="34"/>
        <v>#REF!</v>
      </c>
      <c r="P102" s="22">
        <f t="shared" si="17"/>
        <v>57.825122</v>
      </c>
      <c r="Q102" s="22">
        <f t="shared" si="18"/>
        <v>0</v>
      </c>
      <c r="R102" s="22" t="e">
        <f t="shared" si="19"/>
        <v>#REF!</v>
      </c>
      <c r="S102" s="22">
        <f t="shared" si="20"/>
        <v>35.780851999999996</v>
      </c>
      <c r="T102" s="22">
        <f t="shared" si="21"/>
        <v>22.035869999999999</v>
      </c>
      <c r="U102" s="22">
        <f t="shared" si="22"/>
        <v>11.302713000000001</v>
      </c>
      <c r="V102" s="22" t="e">
        <f t="shared" si="23"/>
        <v>#REF!</v>
      </c>
      <c r="W102" s="22" t="e">
        <f t="shared" si="24"/>
        <v>#REF!</v>
      </c>
      <c r="X102" s="22" t="e">
        <f t="shared" si="25"/>
        <v>#REF!</v>
      </c>
      <c r="Y102" s="22">
        <f t="shared" si="26"/>
        <v>14.4048</v>
      </c>
      <c r="Z102" s="25" t="e">
        <f t="shared" si="27"/>
        <v>#REF!</v>
      </c>
    </row>
    <row r="103" spans="2:26" s="3" customFormat="1" ht="12" customHeight="1">
      <c r="B103" s="274"/>
      <c r="C103" s="26" t="s">
        <v>133</v>
      </c>
      <c r="D103" s="22">
        <f t="shared" si="14"/>
        <v>1621.7506449999998</v>
      </c>
      <c r="E103" s="22" t="e">
        <f t="shared" si="15"/>
        <v>#REF!</v>
      </c>
      <c r="F103" s="22">
        <f t="shared" si="35"/>
        <v>1223.1729810000002</v>
      </c>
      <c r="G103" s="22">
        <f t="shared" si="35"/>
        <v>1193.7875019999999</v>
      </c>
      <c r="H103" s="22">
        <f t="shared" si="35"/>
        <v>0.67112899999999998</v>
      </c>
      <c r="I103" s="22">
        <f t="shared" si="35"/>
        <v>58.512861999999998</v>
      </c>
      <c r="J103" s="22">
        <f t="shared" si="35"/>
        <v>2.4212229999999999</v>
      </c>
      <c r="K103" s="22">
        <f t="shared" si="16"/>
        <v>3.1109319999999996</v>
      </c>
      <c r="L103" s="22">
        <f t="shared" si="31"/>
        <v>1.2174339999999999</v>
      </c>
      <c r="M103" s="22" t="e">
        <f t="shared" si="32"/>
        <v>#REF!</v>
      </c>
      <c r="N103" s="22">
        <f t="shared" si="33"/>
        <v>46.924353000000004</v>
      </c>
      <c r="O103" s="22" t="e">
        <f t="shared" si="34"/>
        <v>#REF!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 t="e">
        <f t="shared" si="23"/>
        <v>#REF!</v>
      </c>
      <c r="W103" s="22" t="e">
        <f t="shared" si="24"/>
        <v>#REF!</v>
      </c>
      <c r="X103" s="22" t="e">
        <f t="shared" si="25"/>
        <v>#REF!</v>
      </c>
      <c r="Y103" s="22">
        <f t="shared" si="26"/>
        <v>0</v>
      </c>
      <c r="Z103" s="25" t="e">
        <f t="shared" si="27"/>
        <v>#REF!</v>
      </c>
    </row>
    <row r="104" spans="2:26" s="3" customFormat="1" ht="12" customHeight="1">
      <c r="B104" s="274"/>
      <c r="C104" s="26" t="s">
        <v>134</v>
      </c>
      <c r="D104" s="22">
        <f t="shared" si="14"/>
        <v>771.49991300000011</v>
      </c>
      <c r="E104" s="22" t="e">
        <f t="shared" si="15"/>
        <v>#REF!</v>
      </c>
      <c r="F104" s="22">
        <f t="shared" si="35"/>
        <v>702.667506</v>
      </c>
      <c r="G104" s="22">
        <f t="shared" si="35"/>
        <v>58.11466200000001</v>
      </c>
      <c r="H104" s="22">
        <f t="shared" si="35"/>
        <v>0</v>
      </c>
      <c r="I104" s="22">
        <f t="shared" si="35"/>
        <v>10.403275000000001</v>
      </c>
      <c r="J104" s="22">
        <f t="shared" si="35"/>
        <v>8.2600210000000001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 t="e">
        <f t="shared" si="34"/>
        <v>#REF!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 t="e">
        <f t="shared" si="23"/>
        <v>#REF!</v>
      </c>
      <c r="W104" s="22" t="e">
        <f t="shared" si="24"/>
        <v>#REF!</v>
      </c>
      <c r="X104" s="22" t="e">
        <f t="shared" si="25"/>
        <v>#REF!</v>
      </c>
      <c r="Y104" s="22">
        <f t="shared" si="26"/>
        <v>0.31447000000000003</v>
      </c>
      <c r="Z104" s="25" t="e">
        <f t="shared" si="27"/>
        <v>#REF!</v>
      </c>
    </row>
    <row r="105" spans="2:26" s="3" customFormat="1" ht="12" customHeight="1">
      <c r="B105" s="274"/>
      <c r="C105" s="26" t="s">
        <v>135</v>
      </c>
      <c r="D105" s="22">
        <f t="shared" si="14"/>
        <v>729.01268500000003</v>
      </c>
      <c r="E105" s="22" t="e">
        <f t="shared" si="15"/>
        <v>#REF!</v>
      </c>
      <c r="F105" s="22">
        <f t="shared" si="35"/>
        <v>183.97110899999996</v>
      </c>
      <c r="G105" s="22">
        <f t="shared" si="35"/>
        <v>507.85824100000002</v>
      </c>
      <c r="H105" s="22">
        <f t="shared" si="35"/>
        <v>11.915964999999998</v>
      </c>
      <c r="I105" s="22">
        <f t="shared" si="35"/>
        <v>23.542349999999999</v>
      </c>
      <c r="J105" s="22">
        <f t="shared" si="35"/>
        <v>2.8001789999999995</v>
      </c>
      <c r="K105" s="22">
        <f t="shared" si="16"/>
        <v>8.3806910000000023</v>
      </c>
      <c r="L105" s="22">
        <f t="shared" si="31"/>
        <v>3.6831560000000003</v>
      </c>
      <c r="M105" s="22" t="e">
        <f t="shared" si="32"/>
        <v>#REF!</v>
      </c>
      <c r="N105" s="22">
        <f t="shared" si="33"/>
        <v>3.1524700000000005</v>
      </c>
      <c r="O105" s="22" t="e">
        <f t="shared" si="34"/>
        <v>#REF!</v>
      </c>
      <c r="P105" s="22">
        <f t="shared" si="17"/>
        <v>1.7250200000000004</v>
      </c>
      <c r="Q105" s="22">
        <f t="shared" si="18"/>
        <v>0</v>
      </c>
      <c r="R105" s="22" t="e">
        <f t="shared" si="19"/>
        <v>#REF!</v>
      </c>
      <c r="S105" s="22">
        <f t="shared" si="20"/>
        <v>0.17233700000000002</v>
      </c>
      <c r="T105" s="22">
        <f t="shared" si="21"/>
        <v>1.5526830000000003</v>
      </c>
      <c r="U105" s="22">
        <f t="shared" si="22"/>
        <v>0</v>
      </c>
      <c r="V105" s="22" t="e">
        <f t="shared" si="23"/>
        <v>#REF!</v>
      </c>
      <c r="W105" s="22" t="e">
        <f t="shared" si="24"/>
        <v>#REF!</v>
      </c>
      <c r="X105" s="22" t="e">
        <f t="shared" si="25"/>
        <v>#REF!</v>
      </c>
      <c r="Y105" s="22">
        <f t="shared" si="26"/>
        <v>0</v>
      </c>
      <c r="Z105" s="25" t="e">
        <f t="shared" si="27"/>
        <v>#REF!</v>
      </c>
    </row>
    <row r="106" spans="2:26" s="3" customFormat="1" ht="12" customHeight="1">
      <c r="B106" s="274"/>
      <c r="C106" s="26" t="s">
        <v>142</v>
      </c>
      <c r="D106" s="22">
        <f t="shared" si="14"/>
        <v>0</v>
      </c>
      <c r="E106" s="22" t="e">
        <f t="shared" si="15"/>
        <v>#REF!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 t="e">
        <f t="shared" si="34"/>
        <v>#REF!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 t="e">
        <f t="shared" si="23"/>
        <v>#REF!</v>
      </c>
      <c r="W106" s="22" t="e">
        <f t="shared" si="24"/>
        <v>#REF!</v>
      </c>
      <c r="X106" s="22" t="e">
        <f t="shared" si="25"/>
        <v>#REF!</v>
      </c>
      <c r="Y106" s="22">
        <f t="shared" si="26"/>
        <v>0</v>
      </c>
      <c r="Z106" s="25" t="e">
        <f t="shared" si="27"/>
        <v>#REF!</v>
      </c>
    </row>
    <row r="107" spans="2:26" s="3" customFormat="1" ht="12" customHeight="1">
      <c r="B107" s="275"/>
      <c r="C107" s="26" t="s">
        <v>99</v>
      </c>
      <c r="D107" s="22">
        <f t="shared" si="14"/>
        <v>8442.9125000000004</v>
      </c>
      <c r="E107" s="22" t="e">
        <f t="shared" si="15"/>
        <v>#REF!</v>
      </c>
      <c r="F107" s="22">
        <f t="shared" si="35"/>
        <v>3272.8782940000001</v>
      </c>
      <c r="G107" s="22">
        <f t="shared" si="35"/>
        <v>4986.735654000001</v>
      </c>
      <c r="H107" s="22">
        <f t="shared" si="35"/>
        <v>101.85306499999997</v>
      </c>
      <c r="I107" s="22">
        <f t="shared" si="35"/>
        <v>821.63260600000035</v>
      </c>
      <c r="J107" s="22">
        <f t="shared" si="35"/>
        <v>40.851247000000001</v>
      </c>
      <c r="K107" s="22">
        <f t="shared" si="16"/>
        <v>70.47636</v>
      </c>
      <c r="L107" s="22">
        <f t="shared" si="31"/>
        <v>53.687191999999996</v>
      </c>
      <c r="M107" s="22" t="e">
        <f t="shared" si="32"/>
        <v>#REF!</v>
      </c>
      <c r="N107" s="22">
        <f t="shared" si="33"/>
        <v>593.69253500000002</v>
      </c>
      <c r="O107" s="22" t="e">
        <f t="shared" si="34"/>
        <v>#REF!</v>
      </c>
      <c r="P107" s="22">
        <f t="shared" si="17"/>
        <v>59.960821000000003</v>
      </c>
      <c r="Q107" s="22">
        <f t="shared" si="18"/>
        <v>0.25094299999999997</v>
      </c>
      <c r="R107" s="22" t="e">
        <f t="shared" si="19"/>
        <v>#REF!</v>
      </c>
      <c r="S107" s="22">
        <f t="shared" si="20"/>
        <v>36.075188999999995</v>
      </c>
      <c r="T107" s="22">
        <f t="shared" si="21"/>
        <v>23.588553000000001</v>
      </c>
      <c r="U107" s="22">
        <f t="shared" si="22"/>
        <v>11.849883</v>
      </c>
      <c r="V107" s="22" t="e">
        <f t="shared" si="23"/>
        <v>#REF!</v>
      </c>
      <c r="W107" s="22" t="e">
        <f t="shared" si="24"/>
        <v>#REF!</v>
      </c>
      <c r="X107" s="22" t="e">
        <f t="shared" si="25"/>
        <v>#REF!</v>
      </c>
      <c r="Y107" s="22">
        <f t="shared" si="26"/>
        <v>14.945686</v>
      </c>
      <c r="Z107" s="25" t="e">
        <f t="shared" si="27"/>
        <v>#REF!</v>
      </c>
    </row>
    <row r="108" spans="2:26" s="3" customFormat="1" ht="12" customHeight="1">
      <c r="B108" s="14"/>
      <c r="C108" s="27" t="s">
        <v>3</v>
      </c>
      <c r="D108" s="22">
        <f t="shared" si="14"/>
        <v>64376.744381000004</v>
      </c>
      <c r="E108" s="22" t="e">
        <f t="shared" si="15"/>
        <v>#REF!</v>
      </c>
      <c r="F108" s="22">
        <f t="shared" si="35"/>
        <v>15323.250961999998</v>
      </c>
      <c r="G108" s="22">
        <f t="shared" si="35"/>
        <v>31253.679860999997</v>
      </c>
      <c r="H108" s="22">
        <f t="shared" si="35"/>
        <v>1766.1113369999998</v>
      </c>
      <c r="I108" s="22">
        <f t="shared" si="35"/>
        <v>3131.3247799999999</v>
      </c>
      <c r="J108" s="22">
        <f t="shared" si="35"/>
        <v>273.74932899999999</v>
      </c>
      <c r="K108" s="22">
        <f t="shared" si="16"/>
        <v>1042.06663</v>
      </c>
      <c r="L108" s="22">
        <f t="shared" si="31"/>
        <v>368.48541599999999</v>
      </c>
      <c r="M108" s="22" t="e">
        <f t="shared" si="32"/>
        <v>#REF!</v>
      </c>
      <c r="N108" s="22">
        <f t="shared" si="33"/>
        <v>920.24100500000009</v>
      </c>
      <c r="O108" s="22" t="e">
        <f t="shared" si="34"/>
        <v>#REF!</v>
      </c>
      <c r="P108" s="22">
        <f t="shared" si="17"/>
        <v>11600.569309</v>
      </c>
      <c r="Q108" s="22">
        <f t="shared" si="18"/>
        <v>959.18574200000012</v>
      </c>
      <c r="R108" s="22" t="e">
        <f t="shared" si="19"/>
        <v>#REF!</v>
      </c>
      <c r="S108" s="22">
        <f t="shared" si="20"/>
        <v>8011.8341329999994</v>
      </c>
      <c r="T108" s="22">
        <f t="shared" si="21"/>
        <v>2126.6500249999999</v>
      </c>
      <c r="U108" s="22">
        <f t="shared" si="22"/>
        <v>692.59021200000007</v>
      </c>
      <c r="V108" s="22" t="e">
        <f t="shared" si="23"/>
        <v>#REF!</v>
      </c>
      <c r="W108" s="22" t="e">
        <f t="shared" si="24"/>
        <v>#REF!</v>
      </c>
      <c r="X108" s="22" t="e">
        <f t="shared" si="25"/>
        <v>#REF!</v>
      </c>
      <c r="Y108" s="22">
        <f t="shared" si="26"/>
        <v>687.23935800000004</v>
      </c>
      <c r="Z108" s="25" t="e">
        <f t="shared" si="27"/>
        <v>#REF!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 t="e">
        <f t="shared" si="36"/>
        <v>#REF!</v>
      </c>
    </row>
    <row r="156" spans="15:15" ht="12" customHeight="1">
      <c r="O156" s="28" t="e">
        <f t="shared" si="36"/>
        <v>#REF!</v>
      </c>
    </row>
    <row r="157" spans="15:15" ht="12" customHeight="1">
      <c r="O157" s="28" t="e">
        <f t="shared" si="36"/>
        <v>#REF!</v>
      </c>
    </row>
    <row r="158" spans="15:15" ht="12" customHeight="1">
      <c r="O158" s="28" t="e">
        <f t="shared" si="36"/>
        <v>#REF!</v>
      </c>
    </row>
    <row r="159" spans="15:15" ht="12" customHeight="1">
      <c r="O159" s="28" t="e">
        <f t="shared" si="36"/>
        <v>#REF!</v>
      </c>
    </row>
    <row r="160" spans="15:15" ht="12" customHeight="1">
      <c r="O160" s="28" t="e">
        <f t="shared" si="36"/>
        <v>#REF!</v>
      </c>
    </row>
    <row r="161" spans="15:15" ht="12" customHeight="1">
      <c r="O161" s="28" t="e">
        <f t="shared" si="36"/>
        <v>#REF!</v>
      </c>
    </row>
    <row r="162" spans="15:15" ht="12" customHeight="1">
      <c r="O162" s="28">
        <f t="shared" si="36"/>
        <v>1.3610000000000002</v>
      </c>
    </row>
    <row r="163" spans="15:15" ht="12" customHeight="1">
      <c r="O163" s="28" t="e">
        <f t="shared" si="36"/>
        <v>#REF!</v>
      </c>
    </row>
    <row r="164" spans="15:15" ht="12" customHeight="1">
      <c r="O164" s="28" t="e">
        <f t="shared" si="36"/>
        <v>#REF!</v>
      </c>
    </row>
    <row r="165" spans="15:15" ht="12" customHeight="1">
      <c r="O165" s="28" t="e">
        <f t="shared" si="36"/>
        <v>#REF!</v>
      </c>
    </row>
    <row r="166" spans="15:15" ht="12" customHeight="1">
      <c r="O166" s="28" t="e">
        <f t="shared" si="36"/>
        <v>#REF!</v>
      </c>
    </row>
    <row r="167" spans="15:15" ht="12" customHeight="1">
      <c r="O167" s="28" t="e">
        <f t="shared" si="36"/>
        <v>#REF!</v>
      </c>
    </row>
    <row r="168" spans="15:15" ht="12" customHeight="1">
      <c r="O168" s="28" t="e">
        <f t="shared" si="36"/>
        <v>#REF!</v>
      </c>
    </row>
    <row r="169" spans="15:15" ht="12" customHeight="1">
      <c r="O169" s="28" t="e">
        <f t="shared" si="36"/>
        <v>#REF!</v>
      </c>
    </row>
    <row r="170" spans="15:15" ht="12" customHeight="1">
      <c r="O170" s="28" t="e">
        <f t="shared" si="36"/>
        <v>#REF!</v>
      </c>
    </row>
    <row r="171" spans="15:15" ht="12" customHeight="1">
      <c r="O171" s="28" t="e">
        <f t="shared" si="36"/>
        <v>#REF!</v>
      </c>
    </row>
    <row r="172" spans="15:15" ht="12" customHeight="1">
      <c r="O172" s="28" t="e">
        <f t="shared" si="36"/>
        <v>#REF!</v>
      </c>
    </row>
    <row r="173" spans="15:15" ht="12" customHeight="1">
      <c r="O173" s="28" t="e">
        <f t="shared" si="36"/>
        <v>#REF!</v>
      </c>
    </row>
    <row r="174" spans="15:15" ht="12" customHeight="1">
      <c r="O174" s="28" t="e">
        <f t="shared" si="36"/>
        <v>#REF!</v>
      </c>
    </row>
    <row r="175" spans="15:15" ht="12" customHeight="1">
      <c r="O175" s="28" t="e">
        <f t="shared" si="36"/>
        <v>#REF!</v>
      </c>
    </row>
    <row r="176" spans="15:15" ht="12" customHeight="1">
      <c r="O176" s="28" t="e">
        <f t="shared" si="36"/>
        <v>#REF!</v>
      </c>
    </row>
    <row r="177" spans="15:15" ht="12" customHeight="1">
      <c r="O177" s="28" t="e">
        <f t="shared" ref="O177:O184" si="37">P82+O82</f>
        <v>#REF!</v>
      </c>
    </row>
    <row r="178" spans="15:15" ht="12" customHeight="1">
      <c r="O178" s="28" t="e">
        <f t="shared" si="37"/>
        <v>#REF!</v>
      </c>
    </row>
    <row r="179" spans="15:15" ht="12" customHeight="1">
      <c r="O179" s="28" t="e">
        <f t="shared" si="37"/>
        <v>#REF!</v>
      </c>
    </row>
    <row r="180" spans="15:15" ht="12" customHeight="1">
      <c r="O180" s="28" t="e">
        <f t="shared" si="37"/>
        <v>#REF!</v>
      </c>
    </row>
    <row r="181" spans="15:15" ht="12" customHeight="1">
      <c r="O181" s="28" t="e">
        <f t="shared" si="37"/>
        <v>#REF!</v>
      </c>
    </row>
    <row r="182" spans="15:15" ht="12" customHeight="1">
      <c r="O182" s="28" t="e">
        <f t="shared" si="37"/>
        <v>#REF!</v>
      </c>
    </row>
    <row r="183" spans="15:15" ht="12" customHeight="1">
      <c r="O183" s="28" t="e">
        <f t="shared" si="37"/>
        <v>#REF!</v>
      </c>
    </row>
    <row r="184" spans="15:15" ht="12" customHeight="1">
      <c r="O184" s="28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cp:lastPrinted>2017-12-15T05:25:48Z</cp:lastPrinted>
  <dcterms:created xsi:type="dcterms:W3CDTF">2015-03-04T01:18:00Z</dcterms:created>
  <dcterms:modified xsi:type="dcterms:W3CDTF">2017-12-15T05:25:55Z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