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考核\考核调整\2018.01\"/>
    </mc:Choice>
  </mc:AlternateContent>
  <bookViews>
    <workbookView xWindow="0" yWindow="0" windowWidth="23895" windowHeight="10350" activeTab="3"/>
  </bookViews>
  <sheets>
    <sheet name="累计利润调整表" sheetId="1" r:id="rId1"/>
    <sheet name="累计考核费用" sheetId="2" r:id="rId2"/>
    <sheet name="费用表原始表" sheetId="10" state="hidden" r:id="rId3"/>
    <sheet name="考核调整事项表" sheetId="3" r:id="rId4"/>
    <sheet name="资金" sheetId="8" r:id="rId5"/>
    <sheet name="Sheet2" sheetId="11" r:id="rId6"/>
    <sheet name="Sheet1" sheetId="7" state="hidden" r:id="rId7"/>
    <sheet name="分部报表（费用）" sheetId="5" state="hidden" r:id="rId8"/>
    <sheet name="调整后万元版" sheetId="4" state="hidden" r:id="rId9"/>
    <sheet name="分部报表原始表" sheetId="9" state="hidden" r:id="rId10"/>
    <sheet name="原格式费用考核表" sheetId="6" state="hidden" r:id="rId11"/>
  </sheets>
  <externalReferences>
    <externalReference r:id="rId12"/>
    <externalReference r:id="rId13"/>
    <externalReference r:id="rId14"/>
    <externalReference r:id="rId15"/>
    <externalReference r:id="rId16"/>
  </externalReferences>
  <definedNames>
    <definedName name="_xlnm._FilterDatabase" localSheetId="3" hidden="1">考核调整事项表!$A$284:$Y$394</definedName>
    <definedName name="报表项目">考核调整事项表!#REF!</definedName>
    <definedName name="部门名称">考核调整事项表!$K$1:$K$18</definedName>
    <definedName name="了">[1]考核调整事项表!$K$1:$K$18</definedName>
  </definedNames>
  <calcPr calcId="152511"/>
</workbook>
</file>

<file path=xl/calcChain.xml><?xml version="1.0" encoding="utf-8"?>
<calcChain xmlns="http://schemas.openxmlformats.org/spreadsheetml/2006/main">
  <c r="D2" i="1" l="1"/>
  <c r="E13" i="8" l="1"/>
  <c r="E12" i="8"/>
  <c r="E8" i="8"/>
  <c r="V52" i="8"/>
  <c r="V53" i="8"/>
  <c r="V54" i="8"/>
  <c r="V55" i="8"/>
  <c r="V56" i="8"/>
  <c r="V57" i="8"/>
  <c r="V58" i="8"/>
  <c r="V59" i="8"/>
  <c r="V51" i="8"/>
  <c r="V60" i="8" s="1"/>
  <c r="V47" i="8"/>
  <c r="V48" i="8"/>
  <c r="V49" i="8"/>
  <c r="V40" i="8"/>
  <c r="V41" i="8"/>
  <c r="V42" i="8"/>
  <c r="V44" i="8"/>
  <c r="V39" i="8"/>
  <c r="V29" i="8"/>
  <c r="V30" i="8"/>
  <c r="V31" i="8"/>
  <c r="V32" i="8"/>
  <c r="V33" i="8"/>
  <c r="V34" i="8"/>
  <c r="V35" i="8"/>
  <c r="V36" i="8"/>
  <c r="V37" i="8"/>
  <c r="V28" i="8"/>
  <c r="S28" i="8"/>
  <c r="T28" i="8"/>
  <c r="L52" i="8"/>
  <c r="L53" i="8"/>
  <c r="L54" i="8"/>
  <c r="L55" i="8"/>
  <c r="L56" i="8"/>
  <c r="L57" i="8"/>
  <c r="L58" i="8"/>
  <c r="L59" i="8"/>
  <c r="L51" i="8"/>
  <c r="L29" i="8"/>
  <c r="L30" i="8"/>
  <c r="L31" i="8"/>
  <c r="L32" i="8"/>
  <c r="L33" i="8"/>
  <c r="L36" i="8"/>
  <c r="L37" i="8"/>
  <c r="L28" i="8"/>
  <c r="K52" i="8"/>
  <c r="K53" i="8"/>
  <c r="K54" i="8"/>
  <c r="K55" i="8"/>
  <c r="K56" i="8"/>
  <c r="K57" i="8"/>
  <c r="K58" i="8"/>
  <c r="K59" i="8"/>
  <c r="K51" i="8"/>
  <c r="K47" i="8"/>
  <c r="K48" i="8"/>
  <c r="K49" i="8"/>
  <c r="K40" i="8"/>
  <c r="K41" i="8"/>
  <c r="K42" i="8"/>
  <c r="K44" i="8"/>
  <c r="K39" i="8"/>
  <c r="K30" i="8"/>
  <c r="K29" i="8"/>
  <c r="K31" i="8"/>
  <c r="K32" i="8"/>
  <c r="K33" i="8"/>
  <c r="K36" i="8"/>
  <c r="K37" i="8"/>
  <c r="K28" i="8"/>
  <c r="M28" i="8" s="1"/>
  <c r="R60" i="8"/>
  <c r="Q60" i="8"/>
  <c r="P60" i="8"/>
  <c r="H60" i="8"/>
  <c r="G60" i="8"/>
  <c r="C9" i="8" s="1"/>
  <c r="E60" i="8"/>
  <c r="D60" i="8"/>
  <c r="T59" i="8"/>
  <c r="I59" i="8"/>
  <c r="F59" i="8"/>
  <c r="S58" i="8"/>
  <c r="T58" i="8"/>
  <c r="I58" i="8"/>
  <c r="F58" i="8"/>
  <c r="T57" i="8"/>
  <c r="I57" i="8"/>
  <c r="F57" i="8"/>
  <c r="S56" i="8"/>
  <c r="I56" i="8"/>
  <c r="F56" i="8"/>
  <c r="S55" i="8"/>
  <c r="T55" i="8"/>
  <c r="I55" i="8"/>
  <c r="F55" i="8"/>
  <c r="T54" i="8"/>
  <c r="S54" i="8"/>
  <c r="I54" i="8"/>
  <c r="F54" i="8"/>
  <c r="S53" i="8"/>
  <c r="I53" i="8"/>
  <c r="T53" i="8" s="1"/>
  <c r="F53" i="8"/>
  <c r="I52" i="8"/>
  <c r="F52" i="8"/>
  <c r="J52" i="8" s="1"/>
  <c r="T51" i="8"/>
  <c r="S51" i="8"/>
  <c r="N60" i="8"/>
  <c r="I51" i="8"/>
  <c r="F51" i="8"/>
  <c r="R50" i="8"/>
  <c r="Q50" i="8"/>
  <c r="P50" i="8"/>
  <c r="N50" i="8"/>
  <c r="L50" i="8"/>
  <c r="T49" i="8"/>
  <c r="I49" i="8"/>
  <c r="F49" i="8"/>
  <c r="I48" i="8"/>
  <c r="F48" i="8"/>
  <c r="S47" i="8"/>
  <c r="I47" i="8"/>
  <c r="F47" i="8"/>
  <c r="T46" i="8"/>
  <c r="I46" i="8"/>
  <c r="D46" i="8"/>
  <c r="V46" i="8" s="1"/>
  <c r="Q45" i="8"/>
  <c r="P45" i="8"/>
  <c r="L45" i="8"/>
  <c r="H45" i="8"/>
  <c r="G45" i="8"/>
  <c r="E45" i="8"/>
  <c r="R45" i="8"/>
  <c r="S44" i="8"/>
  <c r="I44" i="8"/>
  <c r="F44" i="8"/>
  <c r="T43" i="8"/>
  <c r="I43" i="8"/>
  <c r="D43" i="8"/>
  <c r="D45" i="8" s="1"/>
  <c r="T42" i="8"/>
  <c r="S42" i="8"/>
  <c r="I42" i="8"/>
  <c r="F42" i="8"/>
  <c r="S41" i="8"/>
  <c r="I41" i="8"/>
  <c r="T41" i="8" s="1"/>
  <c r="F41" i="8"/>
  <c r="T40" i="8"/>
  <c r="I40" i="8"/>
  <c r="F40" i="8"/>
  <c r="S39" i="8"/>
  <c r="I39" i="8"/>
  <c r="F39" i="8"/>
  <c r="R38" i="8"/>
  <c r="Q38" i="8"/>
  <c r="P38" i="8"/>
  <c r="N38" i="8"/>
  <c r="H38" i="8"/>
  <c r="G38" i="8"/>
  <c r="C10" i="8" s="1"/>
  <c r="E38" i="8"/>
  <c r="D38" i="8"/>
  <c r="T37" i="8"/>
  <c r="I37" i="8"/>
  <c r="J37" i="8" s="1"/>
  <c r="T36" i="8"/>
  <c r="I36" i="8"/>
  <c r="J36" i="8" s="1"/>
  <c r="I35" i="8"/>
  <c r="I34" i="8"/>
  <c r="T33" i="8"/>
  <c r="S33" i="8"/>
  <c r="I33" i="8"/>
  <c r="F33" i="8"/>
  <c r="T32" i="8"/>
  <c r="I32" i="8"/>
  <c r="F32" i="8"/>
  <c r="T31" i="8"/>
  <c r="S31" i="8"/>
  <c r="I31" i="8"/>
  <c r="F31" i="8"/>
  <c r="T30" i="8"/>
  <c r="I30" i="8"/>
  <c r="F30" i="8"/>
  <c r="T29" i="8"/>
  <c r="S29" i="8"/>
  <c r="I29" i="8"/>
  <c r="F29" i="8"/>
  <c r="J29" i="8" s="1"/>
  <c r="I28" i="8"/>
  <c r="F28" i="8"/>
  <c r="J28" i="8" s="1"/>
  <c r="L23" i="11"/>
  <c r="L22" i="11"/>
  <c r="K22" i="11"/>
  <c r="L8" i="11"/>
  <c r="B10" i="11"/>
  <c r="E10" i="11"/>
  <c r="B11" i="11"/>
  <c r="C11" i="11"/>
  <c r="F11" i="11" s="1"/>
  <c r="M8" i="11" s="1"/>
  <c r="B12" i="11"/>
  <c r="L9" i="11" s="1"/>
  <c r="C12" i="11"/>
  <c r="F12" i="11" s="1"/>
  <c r="M9" i="11" s="1"/>
  <c r="B14" i="11"/>
  <c r="L14" i="11" s="1"/>
  <c r="E14" i="11"/>
  <c r="B15" i="11"/>
  <c r="C15" i="11" s="1"/>
  <c r="D15" i="11"/>
  <c r="D16" i="11" s="1"/>
  <c r="E15" i="11"/>
  <c r="C60" i="11"/>
  <c r="E60" i="11" s="1"/>
  <c r="D60" i="11"/>
  <c r="C61" i="11"/>
  <c r="E61" i="11" s="1"/>
  <c r="D61" i="11"/>
  <c r="C62" i="11"/>
  <c r="E62" i="11" s="1"/>
  <c r="D62" i="11"/>
  <c r="C63" i="11"/>
  <c r="E63" i="11" s="1"/>
  <c r="D63" i="11"/>
  <c r="C64" i="11"/>
  <c r="E64" i="11" s="1"/>
  <c r="D64" i="11"/>
  <c r="C65" i="11"/>
  <c r="E65" i="11" s="1"/>
  <c r="D65" i="11"/>
  <c r="D66" i="11"/>
  <c r="E66" i="11"/>
  <c r="F66" i="11"/>
  <c r="C67" i="11"/>
  <c r="E67" i="11" s="1"/>
  <c r="F67" i="11" s="1"/>
  <c r="D67" i="11"/>
  <c r="B68" i="11"/>
  <c r="E69" i="11"/>
  <c r="E74" i="11"/>
  <c r="F74" i="11"/>
  <c r="E75" i="11"/>
  <c r="F75" i="11"/>
  <c r="E76" i="11"/>
  <c r="F76" i="11"/>
  <c r="G76" i="11" s="1"/>
  <c r="E77" i="11"/>
  <c r="F77" i="11"/>
  <c r="G78" i="11"/>
  <c r="D79" i="11"/>
  <c r="R54" i="11"/>
  <c r="Q54" i="11"/>
  <c r="P54" i="11"/>
  <c r="H54" i="11"/>
  <c r="G54" i="11"/>
  <c r="E54" i="11"/>
  <c r="D54" i="11"/>
  <c r="L6" i="11" s="1"/>
  <c r="O53" i="11"/>
  <c r="T53" i="11" s="1"/>
  <c r="L53" i="11"/>
  <c r="K53" i="11"/>
  <c r="I53" i="11"/>
  <c r="F53" i="11"/>
  <c r="O52" i="11"/>
  <c r="T52" i="11" s="1"/>
  <c r="L52" i="11"/>
  <c r="K52" i="11"/>
  <c r="I52" i="11"/>
  <c r="F52" i="11"/>
  <c r="O51" i="11"/>
  <c r="T51" i="11" s="1"/>
  <c r="L51" i="11"/>
  <c r="K51" i="11"/>
  <c r="I51" i="11"/>
  <c r="F51" i="11"/>
  <c r="O50" i="11"/>
  <c r="S50" i="11" s="1"/>
  <c r="L50" i="11"/>
  <c r="K50" i="11"/>
  <c r="I50" i="11"/>
  <c r="F50" i="11"/>
  <c r="O49" i="11"/>
  <c r="T49" i="11" s="1"/>
  <c r="L49" i="11"/>
  <c r="K49" i="11"/>
  <c r="I49" i="11"/>
  <c r="F49" i="11"/>
  <c r="O48" i="11"/>
  <c r="T48" i="11" s="1"/>
  <c r="L48" i="11"/>
  <c r="K48" i="11"/>
  <c r="I48" i="11"/>
  <c r="F48" i="11"/>
  <c r="S47" i="11"/>
  <c r="L47" i="11"/>
  <c r="K47" i="11"/>
  <c r="I47" i="11"/>
  <c r="T47" i="11" s="1"/>
  <c r="F47" i="11"/>
  <c r="O46" i="11"/>
  <c r="L46" i="11"/>
  <c r="K46" i="11"/>
  <c r="I46" i="11"/>
  <c r="F46" i="11"/>
  <c r="N45" i="11"/>
  <c r="N54" i="11" s="1"/>
  <c r="L45" i="11"/>
  <c r="K45" i="11"/>
  <c r="I45" i="11"/>
  <c r="F45" i="11"/>
  <c r="R44" i="11"/>
  <c r="Q44" i="11"/>
  <c r="P44" i="11"/>
  <c r="N44" i="11"/>
  <c r="L44" i="11"/>
  <c r="O43" i="11"/>
  <c r="T43" i="11" s="1"/>
  <c r="K43" i="11"/>
  <c r="M43" i="11" s="1"/>
  <c r="I43" i="11"/>
  <c r="F43" i="11"/>
  <c r="O42" i="11"/>
  <c r="K42" i="11"/>
  <c r="M42" i="11" s="1"/>
  <c r="I42" i="11"/>
  <c r="F42" i="11"/>
  <c r="O41" i="11"/>
  <c r="T41" i="11" s="1"/>
  <c r="K41" i="11"/>
  <c r="M41" i="11" s="1"/>
  <c r="I41" i="11"/>
  <c r="F41" i="11"/>
  <c r="O40" i="11"/>
  <c r="T40" i="11" s="1"/>
  <c r="I40" i="11"/>
  <c r="D40" i="11"/>
  <c r="K40" i="11" s="1"/>
  <c r="M40" i="11" s="1"/>
  <c r="Q39" i="11"/>
  <c r="P39" i="11"/>
  <c r="L39" i="11"/>
  <c r="H39" i="11"/>
  <c r="G39" i="11"/>
  <c r="E39" i="11"/>
  <c r="R38" i="11"/>
  <c r="R39" i="11" s="1"/>
  <c r="N38" i="11"/>
  <c r="N39" i="11" s="1"/>
  <c r="O39" i="11" s="1"/>
  <c r="K38" i="11"/>
  <c r="M38" i="11" s="1"/>
  <c r="I38" i="11"/>
  <c r="F38" i="11"/>
  <c r="O37" i="11"/>
  <c r="T37" i="11" s="1"/>
  <c r="I37" i="11"/>
  <c r="D37" i="11"/>
  <c r="K37" i="11" s="1"/>
  <c r="M37" i="11" s="1"/>
  <c r="T36" i="11"/>
  <c r="S36" i="11"/>
  <c r="K36" i="11"/>
  <c r="M36" i="11" s="1"/>
  <c r="I36" i="11"/>
  <c r="F36" i="11"/>
  <c r="S35" i="11"/>
  <c r="K35" i="11"/>
  <c r="I35" i="11"/>
  <c r="T35" i="11" s="1"/>
  <c r="F35" i="11"/>
  <c r="O34" i="11"/>
  <c r="K34" i="11"/>
  <c r="M34" i="11" s="1"/>
  <c r="I34" i="11"/>
  <c r="F34" i="11"/>
  <c r="O33" i="11"/>
  <c r="T33" i="11" s="1"/>
  <c r="K33" i="11"/>
  <c r="M33" i="11" s="1"/>
  <c r="I33" i="11"/>
  <c r="F33" i="11"/>
  <c r="R32" i="11"/>
  <c r="Q32" i="11"/>
  <c r="P32" i="11"/>
  <c r="N32" i="11"/>
  <c r="H32" i="11"/>
  <c r="G32" i="11"/>
  <c r="E32" i="11"/>
  <c r="D32" i="11"/>
  <c r="L4" i="11" s="1"/>
  <c r="O31" i="11"/>
  <c r="L31" i="11"/>
  <c r="K31" i="11"/>
  <c r="I31" i="11"/>
  <c r="J31" i="11" s="1"/>
  <c r="O30" i="11"/>
  <c r="T30" i="11" s="1"/>
  <c r="L30" i="11"/>
  <c r="K30" i="11"/>
  <c r="I30" i="11"/>
  <c r="J30" i="11" s="1"/>
  <c r="L29" i="11"/>
  <c r="I29" i="11"/>
  <c r="L28" i="11"/>
  <c r="I28" i="11"/>
  <c r="O27" i="11"/>
  <c r="T27" i="11" s="1"/>
  <c r="L27" i="11"/>
  <c r="K27" i="11"/>
  <c r="I27" i="11"/>
  <c r="F27" i="11"/>
  <c r="O26" i="11"/>
  <c r="L26" i="11"/>
  <c r="K26" i="11"/>
  <c r="I26" i="11"/>
  <c r="F26" i="11"/>
  <c r="O25" i="11"/>
  <c r="T25" i="11" s="1"/>
  <c r="L25" i="11"/>
  <c r="K25" i="11"/>
  <c r="I25" i="11"/>
  <c r="F25" i="11"/>
  <c r="O24" i="11"/>
  <c r="L24" i="11"/>
  <c r="K24" i="11"/>
  <c r="I24" i="11"/>
  <c r="F24" i="11"/>
  <c r="O23" i="11"/>
  <c r="T23" i="11" s="1"/>
  <c r="K23" i="11"/>
  <c r="I23" i="11"/>
  <c r="F23" i="11"/>
  <c r="J23" i="11" s="1"/>
  <c r="O22" i="11"/>
  <c r="I22" i="11"/>
  <c r="F22" i="11"/>
  <c r="C79" i="11" l="1"/>
  <c r="C78" i="11" s="1"/>
  <c r="G74" i="11"/>
  <c r="M49" i="11"/>
  <c r="M53" i="11"/>
  <c r="E16" i="11"/>
  <c r="B16" i="11"/>
  <c r="F43" i="8"/>
  <c r="J44" i="8"/>
  <c r="J48" i="8"/>
  <c r="J57" i="8"/>
  <c r="J59" i="8"/>
  <c r="I38" i="8"/>
  <c r="V50" i="8"/>
  <c r="E79" i="11"/>
  <c r="C14" i="11" s="1"/>
  <c r="F14" i="11" s="1"/>
  <c r="M14" i="11" s="1"/>
  <c r="E68" i="11"/>
  <c r="E70" i="11" s="1"/>
  <c r="J41" i="11"/>
  <c r="J43" i="11"/>
  <c r="L5" i="11"/>
  <c r="L7" i="11"/>
  <c r="Q55" i="11"/>
  <c r="F15" i="11"/>
  <c r="M13" i="11" s="1"/>
  <c r="M15" i="11" s="1"/>
  <c r="J33" i="8"/>
  <c r="S46" i="8"/>
  <c r="J58" i="8"/>
  <c r="K43" i="8"/>
  <c r="K46" i="8"/>
  <c r="J41" i="8"/>
  <c r="J43" i="8"/>
  <c r="U28" i="8"/>
  <c r="J47" i="8"/>
  <c r="V43" i="8"/>
  <c r="V45" i="8" s="1"/>
  <c r="J30" i="8"/>
  <c r="J49" i="8"/>
  <c r="J53" i="8"/>
  <c r="V38" i="8"/>
  <c r="J32" i="8"/>
  <c r="Q61" i="8"/>
  <c r="T47" i="8"/>
  <c r="J54" i="8"/>
  <c r="T56" i="8"/>
  <c r="S59" i="8"/>
  <c r="H61" i="8"/>
  <c r="F45" i="8"/>
  <c r="S40" i="8"/>
  <c r="J42" i="8"/>
  <c r="S43" i="8"/>
  <c r="S45" i="8" s="1"/>
  <c r="F60" i="8"/>
  <c r="S57" i="8"/>
  <c r="P61" i="8"/>
  <c r="E61" i="8"/>
  <c r="J40" i="8"/>
  <c r="S49" i="8"/>
  <c r="L60" i="8"/>
  <c r="J55" i="8"/>
  <c r="J56" i="8"/>
  <c r="G61" i="8"/>
  <c r="T48" i="8"/>
  <c r="S48" i="8"/>
  <c r="S30" i="8"/>
  <c r="S37" i="8"/>
  <c r="T39" i="8"/>
  <c r="F38" i="8"/>
  <c r="S32" i="8"/>
  <c r="S36" i="8"/>
  <c r="I45" i="8"/>
  <c r="J39" i="8"/>
  <c r="O50" i="8"/>
  <c r="T52" i="8"/>
  <c r="T60" i="8" s="1"/>
  <c r="S52" i="8"/>
  <c r="D61" i="8"/>
  <c r="R61" i="8"/>
  <c r="I60" i="8"/>
  <c r="J51" i="8"/>
  <c r="J60" i="8" s="1"/>
  <c r="T38" i="8"/>
  <c r="J31" i="8"/>
  <c r="O38" i="8"/>
  <c r="T44" i="8"/>
  <c r="N45" i="8"/>
  <c r="O45" i="8" s="1"/>
  <c r="D50" i="8"/>
  <c r="F46" i="8"/>
  <c r="F61" i="8"/>
  <c r="O60" i="8"/>
  <c r="F65" i="11"/>
  <c r="L13" i="11"/>
  <c r="L15" i="11" s="1"/>
  <c r="F62" i="11"/>
  <c r="M23" i="11"/>
  <c r="J25" i="11"/>
  <c r="M27" i="11"/>
  <c r="M30" i="11"/>
  <c r="J34" i="11"/>
  <c r="J36" i="11"/>
  <c r="R55" i="11"/>
  <c r="J46" i="11"/>
  <c r="G77" i="11"/>
  <c r="B70" i="11"/>
  <c r="B69" i="11" s="1"/>
  <c r="D69" i="11" s="1"/>
  <c r="F69" i="11" s="1"/>
  <c r="F64" i="11"/>
  <c r="F60" i="11"/>
  <c r="C10" i="11"/>
  <c r="F61" i="11"/>
  <c r="F79" i="11"/>
  <c r="G75" i="11"/>
  <c r="G79" i="11" s="1"/>
  <c r="C68" i="11"/>
  <c r="C70" i="11" s="1"/>
  <c r="D68" i="11"/>
  <c r="D70" i="11" s="1"/>
  <c r="F63" i="11"/>
  <c r="M31" i="11"/>
  <c r="M45" i="11"/>
  <c r="J47" i="11"/>
  <c r="J50" i="11"/>
  <c r="M22" i="11"/>
  <c r="M50" i="11"/>
  <c r="S27" i="11"/>
  <c r="P55" i="11"/>
  <c r="J24" i="11"/>
  <c r="M26" i="11"/>
  <c r="S52" i="11"/>
  <c r="E55" i="11"/>
  <c r="M24" i="11"/>
  <c r="J26" i="11"/>
  <c r="U36" i="11"/>
  <c r="O44" i="11"/>
  <c r="M46" i="11"/>
  <c r="J48" i="11"/>
  <c r="T50" i="11"/>
  <c r="U50" i="11" s="1"/>
  <c r="M51" i="11"/>
  <c r="M52" i="11"/>
  <c r="M44" i="11"/>
  <c r="S23" i="11"/>
  <c r="U23" i="11" s="1"/>
  <c r="K39" i="11"/>
  <c r="J42" i="11"/>
  <c r="J49" i="11"/>
  <c r="F32" i="11"/>
  <c r="S25" i="11"/>
  <c r="I39" i="11"/>
  <c r="O38" i="11"/>
  <c r="S41" i="11"/>
  <c r="U41" i="11" s="1"/>
  <c r="S48" i="11"/>
  <c r="J51" i="11"/>
  <c r="O32" i="11"/>
  <c r="L32" i="11"/>
  <c r="M25" i="11"/>
  <c r="J27" i="11"/>
  <c r="J35" i="11"/>
  <c r="J38" i="11"/>
  <c r="M48" i="11"/>
  <c r="J52" i="11"/>
  <c r="J53" i="11"/>
  <c r="J33" i="11"/>
  <c r="S33" i="11"/>
  <c r="K44" i="11"/>
  <c r="F54" i="11"/>
  <c r="S46" i="11"/>
  <c r="T46" i="11"/>
  <c r="M47" i="11"/>
  <c r="U47" i="11" s="1"/>
  <c r="L54" i="11"/>
  <c r="H55" i="11"/>
  <c r="T26" i="11"/>
  <c r="S26" i="11"/>
  <c r="T31" i="11"/>
  <c r="S31" i="11"/>
  <c r="G55" i="11"/>
  <c r="I32" i="11"/>
  <c r="T24" i="11"/>
  <c r="S24" i="11"/>
  <c r="J22" i="11"/>
  <c r="T22" i="11"/>
  <c r="S22" i="11"/>
  <c r="S30" i="11"/>
  <c r="U30" i="11" s="1"/>
  <c r="K32" i="11"/>
  <c r="T34" i="11"/>
  <c r="S34" i="11"/>
  <c r="D39" i="11"/>
  <c r="L11" i="11" s="1"/>
  <c r="F37" i="11"/>
  <c r="J37" i="11" s="1"/>
  <c r="S40" i="11"/>
  <c r="D44" i="11"/>
  <c r="L10" i="11" s="1"/>
  <c r="F40" i="11"/>
  <c r="S42" i="11"/>
  <c r="T42" i="11"/>
  <c r="T44" i="11" s="1"/>
  <c r="I54" i="11"/>
  <c r="J45" i="11"/>
  <c r="N55" i="11"/>
  <c r="K54" i="11"/>
  <c r="M35" i="11"/>
  <c r="U35" i="11" s="1"/>
  <c r="S37" i="11"/>
  <c r="U37" i="11" s="1"/>
  <c r="S43" i="11"/>
  <c r="U43" i="11" s="1"/>
  <c r="O45" i="11"/>
  <c r="S49" i="11"/>
  <c r="S51" i="11"/>
  <c r="S53" i="11"/>
  <c r="U53" i="11" s="1"/>
  <c r="U27" i="11" l="1"/>
  <c r="U49" i="11"/>
  <c r="U51" i="11"/>
  <c r="J38" i="8"/>
  <c r="T50" i="8"/>
  <c r="V61" i="8"/>
  <c r="F68" i="11"/>
  <c r="F70" i="11" s="1"/>
  <c r="L12" i="11"/>
  <c r="L16" i="11" s="1"/>
  <c r="S60" i="8"/>
  <c r="S50" i="8"/>
  <c r="I61" i="8"/>
  <c r="J45" i="8"/>
  <c r="J61" i="8" s="1"/>
  <c r="O61" i="8"/>
  <c r="J46" i="8"/>
  <c r="J50" i="8" s="1"/>
  <c r="F50" i="8"/>
  <c r="T45" i="8"/>
  <c r="T61" i="8" s="1"/>
  <c r="S38" i="8"/>
  <c r="S61" i="8" s="1"/>
  <c r="N61" i="8"/>
  <c r="U52" i="11"/>
  <c r="M32" i="11"/>
  <c r="F10" i="11"/>
  <c r="C16" i="11"/>
  <c r="L55" i="11"/>
  <c r="M39" i="11"/>
  <c r="U48" i="11"/>
  <c r="U25" i="11"/>
  <c r="J54" i="11"/>
  <c r="J32" i="11"/>
  <c r="U46" i="11"/>
  <c r="S38" i="11"/>
  <c r="T38" i="11"/>
  <c r="T39" i="11" s="1"/>
  <c r="U24" i="11"/>
  <c r="M54" i="11"/>
  <c r="U34" i="11"/>
  <c r="U26" i="11"/>
  <c r="U33" i="11"/>
  <c r="I55" i="11"/>
  <c r="U22" i="11"/>
  <c r="S32" i="11"/>
  <c r="S45" i="11"/>
  <c r="O54" i="11"/>
  <c r="O55" i="11" s="1"/>
  <c r="T45" i="11"/>
  <c r="T54" i="11" s="1"/>
  <c r="F39" i="11"/>
  <c r="F55" i="11" s="1"/>
  <c r="K55" i="11"/>
  <c r="J40" i="11"/>
  <c r="J44" i="11" s="1"/>
  <c r="F44" i="11"/>
  <c r="J39" i="11"/>
  <c r="D55" i="11"/>
  <c r="U42" i="11"/>
  <c r="U40" i="11"/>
  <c r="S44" i="11"/>
  <c r="T32" i="11"/>
  <c r="U31" i="11"/>
  <c r="M55" i="11" l="1"/>
  <c r="M5" i="11"/>
  <c r="F16" i="11"/>
  <c r="U44" i="11"/>
  <c r="M10" i="11" s="1"/>
  <c r="U38" i="11"/>
  <c r="U39" i="11" s="1"/>
  <c r="M11" i="11" s="1"/>
  <c r="J55" i="11"/>
  <c r="S39" i="11"/>
  <c r="T55" i="11"/>
  <c r="U45" i="11"/>
  <c r="U54" i="11" s="1"/>
  <c r="M6" i="11" s="1"/>
  <c r="S54" i="11"/>
  <c r="U32" i="11"/>
  <c r="M4" i="11" s="1"/>
  <c r="M12" i="11" l="1"/>
  <c r="M7" i="11"/>
  <c r="S55" i="11"/>
  <c r="U55" i="11"/>
  <c r="M16" i="11" l="1"/>
  <c r="E292" i="3"/>
  <c r="E291" i="3"/>
  <c r="E67" i="3"/>
  <c r="E66" i="3" l="1"/>
  <c r="E65" i="3"/>
  <c r="S93" i="1"/>
  <c r="D93" i="1"/>
  <c r="C93" i="1"/>
  <c r="U93" i="1"/>
  <c r="V93" i="1"/>
  <c r="W93" i="1"/>
  <c r="X93" i="1"/>
  <c r="Y93" i="1"/>
  <c r="Z93" i="1"/>
  <c r="AA93" i="1"/>
  <c r="AB93" i="1"/>
  <c r="AC93" i="1"/>
  <c r="B16" i="8"/>
  <c r="B15" i="8"/>
  <c r="B13" i="8"/>
  <c r="B12" i="8"/>
  <c r="B10" i="8"/>
  <c r="B9" i="8"/>
  <c r="B8" i="8"/>
  <c r="B6" i="8"/>
  <c r="B5" i="8"/>
  <c r="B4" i="8"/>
  <c r="B3" i="8"/>
  <c r="F93" i="1" l="1"/>
  <c r="E93" i="1"/>
  <c r="O93" i="1"/>
  <c r="D8" i="8"/>
  <c r="F8" i="8" s="1"/>
  <c r="D13" i="8"/>
  <c r="F13" i="8" s="1"/>
  <c r="M49" i="8"/>
  <c r="U49" i="8" s="1"/>
  <c r="M40" i="8"/>
  <c r="U40" i="8" s="1"/>
  <c r="M48" i="8"/>
  <c r="U48" i="8" s="1"/>
  <c r="M44" i="8"/>
  <c r="U44" i="8" s="1"/>
  <c r="M47" i="8"/>
  <c r="U47" i="8" s="1"/>
  <c r="M41" i="8"/>
  <c r="U41" i="8" s="1"/>
  <c r="D4" i="8"/>
  <c r="F4" i="8" s="1"/>
  <c r="M42" i="8"/>
  <c r="U42" i="8" s="1"/>
  <c r="M43" i="8"/>
  <c r="U43" i="8" s="1"/>
  <c r="I93" i="1"/>
  <c r="C124" i="3"/>
  <c r="D12" i="8"/>
  <c r="F12" i="8" s="1"/>
  <c r="D3" i="8"/>
  <c r="F3" i="8" s="1"/>
  <c r="M53" i="8"/>
  <c r="U53" i="8" s="1"/>
  <c r="M59" i="8"/>
  <c r="U59" i="8" s="1"/>
  <c r="M57" i="8"/>
  <c r="U57" i="8" s="1"/>
  <c r="M55" i="8"/>
  <c r="U55" i="8" s="1"/>
  <c r="M52" i="8"/>
  <c r="U52" i="8" s="1"/>
  <c r="M58" i="8"/>
  <c r="U58" i="8" s="1"/>
  <c r="M54" i="8"/>
  <c r="U54" i="8" s="1"/>
  <c r="M56" i="8"/>
  <c r="U56" i="8" s="1"/>
  <c r="H93" i="1"/>
  <c r="N93" i="1"/>
  <c r="M93" i="1"/>
  <c r="C122" i="3"/>
  <c r="L93" i="1"/>
  <c r="C121" i="3"/>
  <c r="J93" i="1"/>
  <c r="C123" i="3"/>
  <c r="R93" i="1"/>
  <c r="C125" i="3"/>
  <c r="T93" i="1"/>
  <c r="B14" i="8"/>
  <c r="Q93" i="1"/>
  <c r="B11" i="8"/>
  <c r="B7" i="8"/>
  <c r="F14" i="8" l="1"/>
  <c r="G93" i="1"/>
  <c r="K38" i="8"/>
  <c r="M39" i="8"/>
  <c r="M45" i="8" s="1"/>
  <c r="K45" i="8"/>
  <c r="K60" i="8"/>
  <c r="M51" i="8"/>
  <c r="M37" i="8"/>
  <c r="U37" i="8" s="1"/>
  <c r="M32" i="8"/>
  <c r="U32" i="8" s="1"/>
  <c r="M30" i="8"/>
  <c r="U30" i="8" s="1"/>
  <c r="M31" i="8"/>
  <c r="U31" i="8" s="1"/>
  <c r="M29" i="8"/>
  <c r="U29" i="8" s="1"/>
  <c r="M36" i="8"/>
  <c r="U36" i="8" s="1"/>
  <c r="M46" i="8"/>
  <c r="K50" i="8"/>
  <c r="M33" i="8"/>
  <c r="U33" i="8" s="1"/>
  <c r="K93" i="1"/>
  <c r="P93" i="1"/>
  <c r="B17" i="8"/>
  <c r="B93" i="1" l="1"/>
  <c r="B106" i="1" s="1"/>
  <c r="M38" i="8"/>
  <c r="U38" i="8"/>
  <c r="F10" i="8" s="1"/>
  <c r="M60" i="8"/>
  <c r="U51" i="8"/>
  <c r="U60" i="8" s="1"/>
  <c r="K61" i="8"/>
  <c r="M50" i="8"/>
  <c r="U46" i="8"/>
  <c r="U50" i="8" s="1"/>
  <c r="F6" i="8" s="1"/>
  <c r="L38" i="8"/>
  <c r="L61" i="8" s="1"/>
  <c r="U39" i="8"/>
  <c r="U45" i="8" s="1"/>
  <c r="F5" i="8" s="1"/>
  <c r="E55" i="3"/>
  <c r="E54" i="3"/>
  <c r="E53" i="3"/>
  <c r="E52" i="3"/>
  <c r="E288" i="3"/>
  <c r="E289" i="3"/>
  <c r="E290" i="3"/>
  <c r="C379" i="3"/>
  <c r="G395" i="3"/>
  <c r="Y61" i="1" s="1"/>
  <c r="Y33" i="1" s="1"/>
  <c r="C383" i="3"/>
  <c r="C385" i="3" s="1"/>
  <c r="C382" i="3"/>
  <c r="AA61" i="1"/>
  <c r="AA33" i="1" s="1"/>
  <c r="C387" i="3"/>
  <c r="C386" i="3"/>
  <c r="C384" i="3"/>
  <c r="O61" i="1" s="1"/>
  <c r="O33" i="1" s="1"/>
  <c r="C381" i="3"/>
  <c r="C380" i="3"/>
  <c r="J42" i="1"/>
  <c r="N59" i="1"/>
  <c r="N89" i="1" s="1"/>
  <c r="N57" i="1"/>
  <c r="N87" i="1" s="1"/>
  <c r="N56" i="1"/>
  <c r="N86" i="1" s="1"/>
  <c r="N54" i="1"/>
  <c r="N84" i="1" s="1"/>
  <c r="N53" i="1"/>
  <c r="N83" i="1" s="1"/>
  <c r="N49" i="1"/>
  <c r="N79" i="1" s="1"/>
  <c r="N48" i="1"/>
  <c r="N78" i="1" s="1"/>
  <c r="N47" i="1"/>
  <c r="N77" i="1" s="1"/>
  <c r="N46" i="1"/>
  <c r="N76" i="1" s="1"/>
  <c r="N44" i="1"/>
  <c r="N74" i="1" s="1"/>
  <c r="N43" i="1"/>
  <c r="N73" i="1" s="1"/>
  <c r="N42" i="1"/>
  <c r="N72" i="1" s="1"/>
  <c r="N40" i="1"/>
  <c r="N70" i="1" s="1"/>
  <c r="N39" i="1"/>
  <c r="F7" i="8" l="1"/>
  <c r="M61" i="8"/>
  <c r="U61" i="8"/>
  <c r="F9" i="8"/>
  <c r="F11" i="8" s="1"/>
  <c r="I61" i="1"/>
  <c r="I33" i="1" s="1"/>
  <c r="Q61" i="1"/>
  <c r="Q33" i="1" s="1"/>
  <c r="W61" i="1"/>
  <c r="W33" i="1" s="1"/>
  <c r="H61" i="1"/>
  <c r="H33" i="1" s="1"/>
  <c r="M61" i="1"/>
  <c r="M33" i="1" s="1"/>
  <c r="E61" i="1"/>
  <c r="E33" i="1" s="1"/>
  <c r="L61" i="1"/>
  <c r="L33" i="1" s="1"/>
  <c r="AB61" i="1"/>
  <c r="AB33" i="1" s="1"/>
  <c r="X61" i="1"/>
  <c r="X33" i="1" s="1"/>
  <c r="U61" i="1"/>
  <c r="U33" i="1" s="1"/>
  <c r="C61" i="1"/>
  <c r="C33" i="1" s="1"/>
  <c r="R61" i="1"/>
  <c r="R33" i="1" s="1"/>
  <c r="Z61" i="1"/>
  <c r="Z33" i="1" s="1"/>
  <c r="V61" i="1"/>
  <c r="V33" i="1" s="1"/>
  <c r="J61" i="1"/>
  <c r="J91" i="1" s="1"/>
  <c r="S61" i="1"/>
  <c r="S33" i="1" s="1"/>
  <c r="F61" i="1"/>
  <c r="F33" i="1" s="1"/>
  <c r="D61" i="1"/>
  <c r="D33" i="1" s="1"/>
  <c r="AC61" i="1"/>
  <c r="AC33" i="1" s="1"/>
  <c r="J72" i="1"/>
  <c r="N69" i="1"/>
  <c r="J33" i="1" l="1"/>
  <c r="T61" i="1"/>
  <c r="T33" i="1" s="1"/>
  <c r="P61" i="1"/>
  <c r="J39" i="1"/>
  <c r="J59" i="1"/>
  <c r="J89" i="1" s="1"/>
  <c r="J57" i="1"/>
  <c r="J87" i="1" s="1"/>
  <c r="J56" i="1"/>
  <c r="J54" i="1"/>
  <c r="J84" i="1" s="1"/>
  <c r="J53" i="1"/>
  <c r="J83" i="1" s="1"/>
  <c r="J49" i="1"/>
  <c r="J79" i="1" s="1"/>
  <c r="J48" i="1"/>
  <c r="J47" i="1"/>
  <c r="J77" i="1" s="1"/>
  <c r="J46" i="1"/>
  <c r="J76" i="1" s="1"/>
  <c r="J44" i="1"/>
  <c r="J43" i="1"/>
  <c r="J73" i="1" s="1"/>
  <c r="J41" i="1"/>
  <c r="J40" i="1"/>
  <c r="G36" i="1"/>
  <c r="H36" i="1"/>
  <c r="H66" i="1" s="1"/>
  <c r="I36" i="1"/>
  <c r="I66" i="1" s="1"/>
  <c r="J36" i="1"/>
  <c r="J66" i="1" s="1"/>
  <c r="K36" i="1"/>
  <c r="K66" i="1" s="1"/>
  <c r="L36" i="1"/>
  <c r="L66" i="1" s="1"/>
  <c r="M36" i="1"/>
  <c r="M66" i="1" s="1"/>
  <c r="N36" i="1"/>
  <c r="N66" i="1" s="1"/>
  <c r="O36" i="1"/>
  <c r="O66" i="1" s="1"/>
  <c r="P36" i="1"/>
  <c r="P66" i="1" s="1"/>
  <c r="Q36" i="1"/>
  <c r="Q66" i="1" s="1"/>
  <c r="R36" i="1"/>
  <c r="R66" i="1" s="1"/>
  <c r="S36" i="1"/>
  <c r="S66" i="1" s="1"/>
  <c r="T36" i="1"/>
  <c r="T66" i="1" s="1"/>
  <c r="U36" i="1"/>
  <c r="U66" i="1" s="1"/>
  <c r="V36" i="1"/>
  <c r="V66" i="1" s="1"/>
  <c r="W36" i="1"/>
  <c r="W66" i="1" s="1"/>
  <c r="X36" i="1"/>
  <c r="X66" i="1" s="1"/>
  <c r="Y36" i="1"/>
  <c r="Y66" i="1" s="1"/>
  <c r="Z36" i="1"/>
  <c r="Z66" i="1" s="1"/>
  <c r="AA36" i="1"/>
  <c r="AA66" i="1" s="1"/>
  <c r="AB36" i="1"/>
  <c r="AB66" i="1" s="1"/>
  <c r="AC36" i="1"/>
  <c r="AC66" i="1" s="1"/>
  <c r="F36" i="1"/>
  <c r="F66" i="1" s="1"/>
  <c r="G66" i="1"/>
  <c r="D5" i="2"/>
  <c r="E5" i="2"/>
  <c r="F5" i="2"/>
  <c r="G5" i="2"/>
  <c r="I5" i="2"/>
  <c r="J5" i="2"/>
  <c r="K5" i="2"/>
  <c r="M5" i="2"/>
  <c r="N5" i="2"/>
  <c r="O5" i="2"/>
  <c r="P5" i="2"/>
  <c r="R5" i="2"/>
  <c r="S5" i="2"/>
  <c r="T5" i="2"/>
  <c r="V5" i="2"/>
  <c r="W5" i="2"/>
  <c r="X5" i="2"/>
  <c r="Y5" i="2"/>
  <c r="Z5" i="2"/>
  <c r="AA5" i="2"/>
  <c r="AB5" i="2"/>
  <c r="AC5" i="2"/>
  <c r="AD5" i="2"/>
  <c r="D6" i="2"/>
  <c r="E6" i="2"/>
  <c r="F6" i="2"/>
  <c r="G6" i="2"/>
  <c r="I6" i="2"/>
  <c r="J6" i="2"/>
  <c r="K6" i="2"/>
  <c r="M6" i="2"/>
  <c r="N6" i="2"/>
  <c r="O6" i="2"/>
  <c r="P6" i="2"/>
  <c r="R6" i="2"/>
  <c r="S6" i="2"/>
  <c r="T6" i="2"/>
  <c r="V6" i="2"/>
  <c r="W6" i="2"/>
  <c r="X6" i="2"/>
  <c r="Y6" i="2"/>
  <c r="Z6" i="2"/>
  <c r="AA6" i="2"/>
  <c r="AB6" i="2"/>
  <c r="AC6" i="2"/>
  <c r="AD6" i="2"/>
  <c r="D7" i="2"/>
  <c r="E7" i="2"/>
  <c r="F7" i="2"/>
  <c r="G7" i="2"/>
  <c r="I7" i="2"/>
  <c r="J7" i="2"/>
  <c r="K7" i="2"/>
  <c r="M7" i="2"/>
  <c r="N7" i="2"/>
  <c r="O7" i="2"/>
  <c r="P7" i="2"/>
  <c r="R7" i="2"/>
  <c r="S7" i="2"/>
  <c r="T7" i="2"/>
  <c r="V7" i="2"/>
  <c r="W7" i="2"/>
  <c r="X7" i="2"/>
  <c r="Y7" i="2"/>
  <c r="Z7" i="2"/>
  <c r="AA7" i="2"/>
  <c r="AB7" i="2"/>
  <c r="AC7" i="2"/>
  <c r="AD7" i="2"/>
  <c r="D8" i="2"/>
  <c r="E8" i="2"/>
  <c r="F8" i="2"/>
  <c r="G8" i="2"/>
  <c r="I8" i="2"/>
  <c r="J8" i="2"/>
  <c r="K8" i="2"/>
  <c r="M8" i="2"/>
  <c r="N8" i="2"/>
  <c r="O8" i="2"/>
  <c r="P8" i="2"/>
  <c r="R8" i="2"/>
  <c r="S8" i="2"/>
  <c r="T8" i="2"/>
  <c r="V8" i="2"/>
  <c r="W8" i="2"/>
  <c r="X8" i="2"/>
  <c r="Y8" i="2"/>
  <c r="Z8" i="2"/>
  <c r="AA8" i="2"/>
  <c r="AB8" i="2"/>
  <c r="AC8" i="2"/>
  <c r="AD8" i="2"/>
  <c r="D9" i="2"/>
  <c r="E9" i="2"/>
  <c r="F9" i="2"/>
  <c r="G9" i="2"/>
  <c r="I9" i="2"/>
  <c r="J9" i="2"/>
  <c r="K9" i="2"/>
  <c r="M9" i="2"/>
  <c r="N9" i="2"/>
  <c r="O9" i="2"/>
  <c r="P9" i="2"/>
  <c r="R9" i="2"/>
  <c r="S9" i="2"/>
  <c r="T9" i="2"/>
  <c r="V9" i="2"/>
  <c r="W9" i="2"/>
  <c r="X9" i="2"/>
  <c r="Y9" i="2"/>
  <c r="Z9" i="2"/>
  <c r="AA9" i="2"/>
  <c r="AB9" i="2"/>
  <c r="AC9" i="2"/>
  <c r="AD9" i="2"/>
  <c r="D10" i="2"/>
  <c r="E10" i="2"/>
  <c r="F10" i="2"/>
  <c r="G10" i="2"/>
  <c r="I10" i="2"/>
  <c r="J10" i="2"/>
  <c r="K10" i="2"/>
  <c r="M10" i="2"/>
  <c r="N10" i="2"/>
  <c r="O10" i="2"/>
  <c r="P10" i="2"/>
  <c r="R10" i="2"/>
  <c r="S10" i="2"/>
  <c r="T10" i="2"/>
  <c r="V10" i="2"/>
  <c r="W10" i="2"/>
  <c r="X10" i="2"/>
  <c r="Y10" i="2"/>
  <c r="Z10" i="2"/>
  <c r="AA10" i="2"/>
  <c r="AB10" i="2"/>
  <c r="AC10" i="2"/>
  <c r="AD10" i="2"/>
  <c r="D11" i="2"/>
  <c r="E11" i="2"/>
  <c r="F11" i="2"/>
  <c r="G11" i="2"/>
  <c r="I11" i="2"/>
  <c r="J11" i="2"/>
  <c r="K11" i="2"/>
  <c r="M11" i="2"/>
  <c r="N11" i="2"/>
  <c r="O11" i="2"/>
  <c r="P11" i="2"/>
  <c r="R11" i="2"/>
  <c r="S11" i="2"/>
  <c r="T11" i="2"/>
  <c r="V11" i="2"/>
  <c r="W11" i="2"/>
  <c r="X11" i="2"/>
  <c r="Y11" i="2"/>
  <c r="Z11" i="2"/>
  <c r="AA11" i="2"/>
  <c r="AB11" i="2"/>
  <c r="AC11" i="2"/>
  <c r="AD11" i="2"/>
  <c r="D12" i="2"/>
  <c r="E12" i="2"/>
  <c r="F12" i="2"/>
  <c r="G12" i="2"/>
  <c r="I12" i="2"/>
  <c r="J12" i="2"/>
  <c r="K12" i="2"/>
  <c r="M12" i="2"/>
  <c r="N12" i="2"/>
  <c r="O12" i="2"/>
  <c r="P12" i="2"/>
  <c r="R12" i="2"/>
  <c r="S12" i="2"/>
  <c r="T12" i="2"/>
  <c r="V12" i="2"/>
  <c r="W12" i="2"/>
  <c r="X12" i="2"/>
  <c r="Y12" i="2"/>
  <c r="Z12" i="2"/>
  <c r="AA12" i="2"/>
  <c r="AB12" i="2"/>
  <c r="AC12" i="2"/>
  <c r="AD12" i="2"/>
  <c r="D13" i="2"/>
  <c r="E13" i="2"/>
  <c r="F13" i="2"/>
  <c r="G13" i="2"/>
  <c r="I13" i="2"/>
  <c r="J13" i="2"/>
  <c r="K13" i="2"/>
  <c r="M13" i="2"/>
  <c r="N13" i="2"/>
  <c r="O13" i="2"/>
  <c r="P13" i="2"/>
  <c r="R13" i="2"/>
  <c r="S13" i="2"/>
  <c r="T13" i="2"/>
  <c r="V13" i="2"/>
  <c r="W13" i="2"/>
  <c r="X13" i="2"/>
  <c r="Y13" i="2"/>
  <c r="Z13" i="2"/>
  <c r="AA13" i="2"/>
  <c r="AB13" i="2"/>
  <c r="AC13" i="2"/>
  <c r="AD13" i="2"/>
  <c r="D14" i="2"/>
  <c r="E14" i="2"/>
  <c r="F14" i="2"/>
  <c r="G14" i="2"/>
  <c r="I14" i="2"/>
  <c r="J14" i="2"/>
  <c r="K14" i="2"/>
  <c r="M14" i="2"/>
  <c r="N14" i="2"/>
  <c r="O14" i="2"/>
  <c r="P14" i="2"/>
  <c r="R14" i="2"/>
  <c r="S14" i="2"/>
  <c r="T14" i="2"/>
  <c r="V14" i="2"/>
  <c r="W14" i="2"/>
  <c r="X14" i="2"/>
  <c r="Y14" i="2"/>
  <c r="Z14" i="2"/>
  <c r="AA14" i="2"/>
  <c r="AB14" i="2"/>
  <c r="AC14" i="2"/>
  <c r="AD14" i="2"/>
  <c r="D15" i="2"/>
  <c r="E15" i="2"/>
  <c r="F15" i="2"/>
  <c r="G15" i="2"/>
  <c r="I15" i="2"/>
  <c r="J15" i="2"/>
  <c r="K15" i="2"/>
  <c r="M15" i="2"/>
  <c r="N15" i="2"/>
  <c r="O15" i="2"/>
  <c r="P15" i="2"/>
  <c r="R15" i="2"/>
  <c r="S15" i="2"/>
  <c r="T15" i="2"/>
  <c r="V15" i="2"/>
  <c r="W15" i="2"/>
  <c r="X15" i="2"/>
  <c r="Y15" i="2"/>
  <c r="Z15" i="2"/>
  <c r="AA15" i="2"/>
  <c r="AB15" i="2"/>
  <c r="AC15" i="2"/>
  <c r="AD15" i="2"/>
  <c r="D16" i="2"/>
  <c r="E16" i="2"/>
  <c r="F16" i="2"/>
  <c r="G16" i="2"/>
  <c r="I16" i="2"/>
  <c r="J16" i="2"/>
  <c r="K16" i="2"/>
  <c r="M16" i="2"/>
  <c r="N16" i="2"/>
  <c r="O16" i="2"/>
  <c r="P16" i="2"/>
  <c r="R16" i="2"/>
  <c r="S16" i="2"/>
  <c r="T16" i="2"/>
  <c r="V16" i="2"/>
  <c r="W16" i="2"/>
  <c r="X16" i="2"/>
  <c r="Y16" i="2"/>
  <c r="Z16" i="2"/>
  <c r="AA16" i="2"/>
  <c r="AB16" i="2"/>
  <c r="AC16" i="2"/>
  <c r="AD16" i="2"/>
  <c r="D17" i="2"/>
  <c r="E17" i="2"/>
  <c r="F17" i="2"/>
  <c r="G17" i="2"/>
  <c r="I17" i="2"/>
  <c r="J17" i="2"/>
  <c r="K17" i="2"/>
  <c r="M17" i="2"/>
  <c r="N17" i="2"/>
  <c r="O17" i="2"/>
  <c r="P17" i="2"/>
  <c r="R17" i="2"/>
  <c r="S17" i="2"/>
  <c r="T17" i="2"/>
  <c r="V17" i="2"/>
  <c r="W17" i="2"/>
  <c r="X17" i="2"/>
  <c r="Y17" i="2"/>
  <c r="Z17" i="2"/>
  <c r="AA17" i="2"/>
  <c r="AB17" i="2"/>
  <c r="AC17" i="2"/>
  <c r="AD17" i="2"/>
  <c r="D18" i="2"/>
  <c r="E18" i="2"/>
  <c r="F18" i="2"/>
  <c r="G18" i="2"/>
  <c r="I18" i="2"/>
  <c r="J18" i="2"/>
  <c r="K18" i="2"/>
  <c r="M18" i="2"/>
  <c r="N18" i="2"/>
  <c r="O18" i="2"/>
  <c r="P18" i="2"/>
  <c r="R18" i="2"/>
  <c r="S18" i="2"/>
  <c r="T18" i="2"/>
  <c r="V18" i="2"/>
  <c r="W18" i="2"/>
  <c r="X18" i="2"/>
  <c r="Y18" i="2"/>
  <c r="Z18" i="2"/>
  <c r="AA18" i="2"/>
  <c r="AB18" i="2"/>
  <c r="AC18" i="2"/>
  <c r="AD18" i="2"/>
  <c r="D19" i="2"/>
  <c r="E19" i="2"/>
  <c r="F19" i="2"/>
  <c r="G19" i="2"/>
  <c r="I19" i="2"/>
  <c r="J19" i="2"/>
  <c r="K19" i="2"/>
  <c r="M19" i="2"/>
  <c r="N19" i="2"/>
  <c r="O19" i="2"/>
  <c r="P19" i="2"/>
  <c r="R19" i="2"/>
  <c r="S19" i="2"/>
  <c r="T19" i="2"/>
  <c r="V19" i="2"/>
  <c r="W19" i="2"/>
  <c r="X19" i="2"/>
  <c r="Y19" i="2"/>
  <c r="Z19" i="2"/>
  <c r="AA19" i="2"/>
  <c r="AB19" i="2"/>
  <c r="AC19" i="2"/>
  <c r="AD19" i="2"/>
  <c r="D20" i="2"/>
  <c r="E20" i="2"/>
  <c r="F20" i="2"/>
  <c r="G20" i="2"/>
  <c r="I20" i="2"/>
  <c r="J20" i="2"/>
  <c r="K20" i="2"/>
  <c r="M20" i="2"/>
  <c r="N20" i="2"/>
  <c r="O20" i="2"/>
  <c r="P20" i="2"/>
  <c r="R20" i="2"/>
  <c r="S20" i="2"/>
  <c r="T20" i="2"/>
  <c r="V20" i="2"/>
  <c r="W20" i="2"/>
  <c r="X20" i="2"/>
  <c r="Y20" i="2"/>
  <c r="Z20" i="2"/>
  <c r="AA20" i="2"/>
  <c r="AB20" i="2"/>
  <c r="AC20" i="2"/>
  <c r="AD20" i="2"/>
  <c r="D21" i="2"/>
  <c r="E21" i="2"/>
  <c r="F21" i="2"/>
  <c r="G21" i="2"/>
  <c r="I21" i="2"/>
  <c r="J21" i="2"/>
  <c r="K21" i="2"/>
  <c r="M21" i="2"/>
  <c r="N21" i="2"/>
  <c r="O21" i="2"/>
  <c r="P21" i="2"/>
  <c r="R21" i="2"/>
  <c r="S21" i="2"/>
  <c r="T21" i="2"/>
  <c r="V21" i="2"/>
  <c r="W21" i="2"/>
  <c r="X21" i="2"/>
  <c r="Y21" i="2"/>
  <c r="Z21" i="2"/>
  <c r="AA21" i="2"/>
  <c r="AB21" i="2"/>
  <c r="AC21" i="2"/>
  <c r="AD21" i="2"/>
  <c r="D22" i="2"/>
  <c r="E22" i="2"/>
  <c r="F22" i="2"/>
  <c r="G22" i="2"/>
  <c r="I22" i="2"/>
  <c r="J22" i="2"/>
  <c r="K22" i="2"/>
  <c r="M22" i="2"/>
  <c r="N22" i="2"/>
  <c r="O22" i="2"/>
  <c r="P22" i="2"/>
  <c r="R22" i="2"/>
  <c r="S22" i="2"/>
  <c r="T22" i="2"/>
  <c r="V22" i="2"/>
  <c r="W22" i="2"/>
  <c r="X22" i="2"/>
  <c r="Y22" i="2"/>
  <c r="Z22" i="2"/>
  <c r="AA22" i="2"/>
  <c r="AB22" i="2"/>
  <c r="AC22" i="2"/>
  <c r="AD22" i="2"/>
  <c r="D23" i="2"/>
  <c r="E23" i="2"/>
  <c r="F23" i="2"/>
  <c r="G23" i="2"/>
  <c r="I23" i="2"/>
  <c r="J23" i="2"/>
  <c r="K23" i="2"/>
  <c r="M23" i="2"/>
  <c r="N23" i="2"/>
  <c r="O23" i="2"/>
  <c r="P23" i="2"/>
  <c r="R23" i="2"/>
  <c r="S23" i="2"/>
  <c r="T23" i="2"/>
  <c r="V23" i="2"/>
  <c r="W23" i="2"/>
  <c r="X23" i="2"/>
  <c r="Y23" i="2"/>
  <c r="Z23" i="2"/>
  <c r="AA23" i="2"/>
  <c r="AB23" i="2"/>
  <c r="AC23" i="2"/>
  <c r="AD23" i="2"/>
  <c r="D24" i="2"/>
  <c r="E24" i="2"/>
  <c r="F24" i="2"/>
  <c r="G24" i="2"/>
  <c r="I24" i="2"/>
  <c r="J24" i="2"/>
  <c r="K24" i="2"/>
  <c r="M24" i="2"/>
  <c r="N24" i="2"/>
  <c r="O24" i="2"/>
  <c r="P24" i="2"/>
  <c r="R24" i="2"/>
  <c r="S24" i="2"/>
  <c r="T24" i="2"/>
  <c r="V24" i="2"/>
  <c r="W24" i="2"/>
  <c r="X24" i="2"/>
  <c r="Y24" i="2"/>
  <c r="Z24" i="2"/>
  <c r="AA24" i="2"/>
  <c r="AB24" i="2"/>
  <c r="AC24" i="2"/>
  <c r="AD24" i="2"/>
  <c r="D25" i="2"/>
  <c r="E25" i="2"/>
  <c r="F25" i="2"/>
  <c r="G25" i="2"/>
  <c r="I25" i="2"/>
  <c r="J25" i="2"/>
  <c r="K25" i="2"/>
  <c r="M25" i="2"/>
  <c r="N25" i="2"/>
  <c r="O25" i="2"/>
  <c r="P25" i="2"/>
  <c r="R25" i="2"/>
  <c r="S25" i="2"/>
  <c r="T25" i="2"/>
  <c r="V25" i="2"/>
  <c r="W25" i="2"/>
  <c r="X25" i="2"/>
  <c r="Y25" i="2"/>
  <c r="Z25" i="2"/>
  <c r="AA25" i="2"/>
  <c r="AB25" i="2"/>
  <c r="AC25" i="2"/>
  <c r="AD25" i="2"/>
  <c r="D26" i="2"/>
  <c r="E26" i="2"/>
  <c r="F26" i="2"/>
  <c r="G26" i="2"/>
  <c r="I26" i="2"/>
  <c r="J26" i="2"/>
  <c r="K26" i="2"/>
  <c r="M26" i="2"/>
  <c r="N26" i="2"/>
  <c r="O26" i="2"/>
  <c r="P26" i="2"/>
  <c r="R26" i="2"/>
  <c r="S26" i="2"/>
  <c r="T26" i="2"/>
  <c r="V26" i="2"/>
  <c r="W26" i="2"/>
  <c r="X26" i="2"/>
  <c r="Y26" i="2"/>
  <c r="Z26" i="2"/>
  <c r="AA26" i="2"/>
  <c r="AB26" i="2"/>
  <c r="AC26" i="2"/>
  <c r="AD26" i="2"/>
  <c r="D27" i="2"/>
  <c r="E27" i="2"/>
  <c r="F27" i="2"/>
  <c r="G27" i="2"/>
  <c r="I27" i="2"/>
  <c r="J27" i="2"/>
  <c r="K27" i="2"/>
  <c r="M27" i="2"/>
  <c r="N27" i="2"/>
  <c r="O27" i="2"/>
  <c r="P27" i="2"/>
  <c r="R27" i="2"/>
  <c r="S27" i="2"/>
  <c r="T27" i="2"/>
  <c r="V27" i="2"/>
  <c r="W27" i="2"/>
  <c r="X27" i="2"/>
  <c r="Y27" i="2"/>
  <c r="Z27" i="2"/>
  <c r="AA27" i="2"/>
  <c r="AB27" i="2"/>
  <c r="AC27" i="2"/>
  <c r="AD27" i="2"/>
  <c r="D28" i="2"/>
  <c r="E28" i="2"/>
  <c r="F28" i="2"/>
  <c r="G28" i="2"/>
  <c r="I28" i="2"/>
  <c r="J28" i="2"/>
  <c r="K28" i="2"/>
  <c r="M28" i="2"/>
  <c r="N28" i="2"/>
  <c r="O28" i="2"/>
  <c r="P28" i="2"/>
  <c r="R28" i="2"/>
  <c r="S28" i="2"/>
  <c r="T28" i="2"/>
  <c r="V28" i="2"/>
  <c r="W28" i="2"/>
  <c r="X28" i="2"/>
  <c r="Y28" i="2"/>
  <c r="Z28" i="2"/>
  <c r="AA28" i="2"/>
  <c r="AB28" i="2"/>
  <c r="AC28" i="2"/>
  <c r="AD28" i="2"/>
  <c r="D29" i="2"/>
  <c r="E29" i="2"/>
  <c r="F29" i="2"/>
  <c r="G29" i="2"/>
  <c r="I29" i="2"/>
  <c r="J29" i="2"/>
  <c r="K29" i="2"/>
  <c r="M29" i="2"/>
  <c r="N29" i="2"/>
  <c r="O29" i="2"/>
  <c r="P29" i="2"/>
  <c r="R29" i="2"/>
  <c r="S29" i="2"/>
  <c r="T29" i="2"/>
  <c r="V29" i="2"/>
  <c r="W29" i="2"/>
  <c r="X29" i="2"/>
  <c r="Y29" i="2"/>
  <c r="Z29" i="2"/>
  <c r="AA29" i="2"/>
  <c r="AB29" i="2"/>
  <c r="AC29" i="2"/>
  <c r="AD29" i="2"/>
  <c r="D30" i="2"/>
  <c r="E30" i="2"/>
  <c r="F30" i="2"/>
  <c r="G30" i="2"/>
  <c r="I30" i="2"/>
  <c r="J30" i="2"/>
  <c r="K30" i="2"/>
  <c r="M30" i="2"/>
  <c r="N30" i="2"/>
  <c r="O30" i="2"/>
  <c r="P30" i="2"/>
  <c r="R30" i="2"/>
  <c r="S30" i="2"/>
  <c r="T30" i="2"/>
  <c r="V30" i="2"/>
  <c r="W30" i="2"/>
  <c r="X30" i="2"/>
  <c r="Y30" i="2"/>
  <c r="Z30" i="2"/>
  <c r="AA30" i="2"/>
  <c r="AB30" i="2"/>
  <c r="AC30" i="2"/>
  <c r="AD30" i="2"/>
  <c r="D31" i="2"/>
  <c r="E31" i="2"/>
  <c r="F31" i="2"/>
  <c r="G31" i="2"/>
  <c r="I31" i="2"/>
  <c r="J31" i="2"/>
  <c r="K31" i="2"/>
  <c r="M31" i="2"/>
  <c r="N31" i="2"/>
  <c r="O31" i="2"/>
  <c r="P31" i="2"/>
  <c r="R31" i="2"/>
  <c r="S31" i="2"/>
  <c r="T31" i="2"/>
  <c r="V31" i="2"/>
  <c r="W31" i="2"/>
  <c r="X31" i="2"/>
  <c r="Y31" i="2"/>
  <c r="Z31" i="2"/>
  <c r="AA31" i="2"/>
  <c r="AB31" i="2"/>
  <c r="AC31" i="2"/>
  <c r="AD31" i="2"/>
  <c r="D32" i="2"/>
  <c r="E32" i="2"/>
  <c r="F32" i="2"/>
  <c r="G32" i="2"/>
  <c r="I32" i="2"/>
  <c r="J32" i="2"/>
  <c r="K32" i="2"/>
  <c r="M32" i="2"/>
  <c r="N32" i="2"/>
  <c r="O32" i="2"/>
  <c r="P32" i="2"/>
  <c r="R32" i="2"/>
  <c r="S32" i="2"/>
  <c r="T32" i="2"/>
  <c r="V32" i="2"/>
  <c r="W32" i="2"/>
  <c r="X32" i="2"/>
  <c r="Y32" i="2"/>
  <c r="Z32" i="2"/>
  <c r="AA32" i="2"/>
  <c r="AB32" i="2"/>
  <c r="AC32" i="2"/>
  <c r="AD32" i="2"/>
  <c r="D33" i="2"/>
  <c r="E33" i="2"/>
  <c r="F33" i="2"/>
  <c r="G33" i="2"/>
  <c r="I33" i="2"/>
  <c r="J33" i="2"/>
  <c r="K33" i="2"/>
  <c r="M33" i="2"/>
  <c r="N33" i="2"/>
  <c r="O33" i="2"/>
  <c r="P33" i="2"/>
  <c r="R33" i="2"/>
  <c r="S33" i="2"/>
  <c r="T33" i="2"/>
  <c r="V33" i="2"/>
  <c r="W33" i="2"/>
  <c r="X33" i="2"/>
  <c r="Y33" i="2"/>
  <c r="Z33" i="2"/>
  <c r="AA33" i="2"/>
  <c r="AB33" i="2"/>
  <c r="AC33" i="2"/>
  <c r="AD33" i="2"/>
  <c r="D34" i="2"/>
  <c r="E34" i="2"/>
  <c r="F34" i="2"/>
  <c r="G34" i="2"/>
  <c r="I34" i="2"/>
  <c r="J34" i="2"/>
  <c r="K34" i="2"/>
  <c r="M34" i="2"/>
  <c r="N34" i="2"/>
  <c r="O34" i="2"/>
  <c r="P34" i="2"/>
  <c r="R34" i="2"/>
  <c r="S34" i="2"/>
  <c r="T34" i="2"/>
  <c r="V34" i="2"/>
  <c r="W34" i="2"/>
  <c r="X34" i="2"/>
  <c r="Y34" i="2"/>
  <c r="Z34" i="2"/>
  <c r="AA34" i="2"/>
  <c r="AB34" i="2"/>
  <c r="AC34" i="2"/>
  <c r="AD34" i="2"/>
  <c r="D35" i="2"/>
  <c r="E35" i="2"/>
  <c r="F35" i="2"/>
  <c r="G35" i="2"/>
  <c r="I35" i="2"/>
  <c r="J35" i="2"/>
  <c r="K35" i="2"/>
  <c r="M35" i="2"/>
  <c r="N35" i="2"/>
  <c r="O35" i="2"/>
  <c r="P35" i="2"/>
  <c r="R35" i="2"/>
  <c r="S35" i="2"/>
  <c r="T35" i="2"/>
  <c r="V35" i="2"/>
  <c r="W35" i="2"/>
  <c r="X35" i="2"/>
  <c r="Y35" i="2"/>
  <c r="Z35" i="2"/>
  <c r="AA35" i="2"/>
  <c r="AB35" i="2"/>
  <c r="AC35" i="2"/>
  <c r="AD35" i="2"/>
  <c r="D36" i="2"/>
  <c r="E36" i="2"/>
  <c r="F36" i="2"/>
  <c r="G36" i="2"/>
  <c r="I36" i="2"/>
  <c r="J36" i="2"/>
  <c r="K36" i="2"/>
  <c r="M36" i="2"/>
  <c r="N36" i="2"/>
  <c r="O36" i="2"/>
  <c r="P36" i="2"/>
  <c r="R36" i="2"/>
  <c r="S36" i="2"/>
  <c r="T36" i="2"/>
  <c r="V36" i="2"/>
  <c r="W36" i="2"/>
  <c r="X36" i="2"/>
  <c r="Y36" i="2"/>
  <c r="Z36" i="2"/>
  <c r="AA36" i="2"/>
  <c r="AB36" i="2"/>
  <c r="AC36" i="2"/>
  <c r="AD36" i="2"/>
  <c r="D37" i="2"/>
  <c r="E37" i="2"/>
  <c r="F37" i="2"/>
  <c r="G37" i="2"/>
  <c r="I37" i="2"/>
  <c r="J37" i="2"/>
  <c r="K37" i="2"/>
  <c r="M37" i="2"/>
  <c r="N37" i="2"/>
  <c r="O37" i="2"/>
  <c r="P37" i="2"/>
  <c r="R37" i="2"/>
  <c r="S37" i="2"/>
  <c r="T37" i="2"/>
  <c r="V37" i="2"/>
  <c r="W37" i="2"/>
  <c r="X37" i="2"/>
  <c r="Y37" i="2"/>
  <c r="Z37" i="2"/>
  <c r="AA37" i="2"/>
  <c r="AB37" i="2"/>
  <c r="AC37" i="2"/>
  <c r="AD37" i="2"/>
  <c r="D38" i="2"/>
  <c r="E38" i="2"/>
  <c r="F38" i="2"/>
  <c r="G38" i="2"/>
  <c r="I38" i="2"/>
  <c r="J38" i="2"/>
  <c r="K38" i="2"/>
  <c r="M38" i="2"/>
  <c r="N38" i="2"/>
  <c r="O38" i="2"/>
  <c r="P38" i="2"/>
  <c r="R38" i="2"/>
  <c r="S38" i="2"/>
  <c r="T38" i="2"/>
  <c r="V38" i="2"/>
  <c r="W38" i="2"/>
  <c r="X38" i="2"/>
  <c r="Y38" i="2"/>
  <c r="Z38" i="2"/>
  <c r="AA38" i="2"/>
  <c r="AB38" i="2"/>
  <c r="AC38" i="2"/>
  <c r="AD38" i="2"/>
  <c r="D39" i="2"/>
  <c r="E39" i="2"/>
  <c r="F39" i="2"/>
  <c r="G39" i="2"/>
  <c r="I39" i="2"/>
  <c r="J39" i="2"/>
  <c r="K39" i="2"/>
  <c r="M39" i="2"/>
  <c r="N39" i="2"/>
  <c r="O39" i="2"/>
  <c r="P39" i="2"/>
  <c r="R39" i="2"/>
  <c r="S39" i="2"/>
  <c r="T39" i="2"/>
  <c r="V39" i="2"/>
  <c r="W39" i="2"/>
  <c r="X39" i="2"/>
  <c r="Y39" i="2"/>
  <c r="Z39" i="2"/>
  <c r="AA39" i="2"/>
  <c r="AB39" i="2"/>
  <c r="AC39" i="2"/>
  <c r="AD39" i="2"/>
  <c r="D40" i="2"/>
  <c r="E40" i="2"/>
  <c r="F40" i="2"/>
  <c r="G40" i="2"/>
  <c r="I40" i="2"/>
  <c r="J40" i="2"/>
  <c r="K40" i="2"/>
  <c r="M40" i="2"/>
  <c r="N40" i="2"/>
  <c r="O40" i="2"/>
  <c r="P40" i="2"/>
  <c r="R40" i="2"/>
  <c r="S40" i="2"/>
  <c r="T40" i="2"/>
  <c r="V40" i="2"/>
  <c r="W40" i="2"/>
  <c r="X40" i="2"/>
  <c r="Y40" i="2"/>
  <c r="Z40" i="2"/>
  <c r="AA40" i="2"/>
  <c r="AB40" i="2"/>
  <c r="AC40" i="2"/>
  <c r="AD40" i="2"/>
  <c r="D41" i="2"/>
  <c r="E41" i="2"/>
  <c r="F41" i="2"/>
  <c r="G41" i="2"/>
  <c r="I41" i="2"/>
  <c r="J41" i="2"/>
  <c r="K41" i="2"/>
  <c r="M41" i="2"/>
  <c r="N41" i="2"/>
  <c r="O41" i="2"/>
  <c r="P41" i="2"/>
  <c r="R41" i="2"/>
  <c r="S41" i="2"/>
  <c r="T41" i="2"/>
  <c r="V41" i="2"/>
  <c r="W41" i="2"/>
  <c r="X41" i="2"/>
  <c r="Y41" i="2"/>
  <c r="Z41" i="2"/>
  <c r="AA41" i="2"/>
  <c r="AB41" i="2"/>
  <c r="AC41" i="2"/>
  <c r="AD41" i="2"/>
  <c r="D42" i="2"/>
  <c r="E42" i="2"/>
  <c r="F42" i="2"/>
  <c r="G42" i="2"/>
  <c r="I42" i="2"/>
  <c r="J42" i="2"/>
  <c r="K42" i="2"/>
  <c r="M42" i="2"/>
  <c r="N42" i="2"/>
  <c r="O42" i="2"/>
  <c r="P42" i="2"/>
  <c r="R42" i="2"/>
  <c r="S42" i="2"/>
  <c r="T42" i="2"/>
  <c r="V42" i="2"/>
  <c r="W42" i="2"/>
  <c r="X42" i="2"/>
  <c r="Y42" i="2"/>
  <c r="Z42" i="2"/>
  <c r="AA42" i="2"/>
  <c r="AB42" i="2"/>
  <c r="AC42" i="2"/>
  <c r="AD42" i="2"/>
  <c r="D43" i="2"/>
  <c r="E43" i="2"/>
  <c r="F43" i="2"/>
  <c r="G43" i="2"/>
  <c r="I43" i="2"/>
  <c r="J43" i="2"/>
  <c r="K43" i="2"/>
  <c r="M43" i="2"/>
  <c r="N43" i="2"/>
  <c r="O43" i="2"/>
  <c r="P43" i="2"/>
  <c r="R43" i="2"/>
  <c r="S43" i="2"/>
  <c r="T43" i="2"/>
  <c r="V43" i="2"/>
  <c r="W43" i="2"/>
  <c r="X43" i="2"/>
  <c r="Y43" i="2"/>
  <c r="Z43" i="2"/>
  <c r="AA43" i="2"/>
  <c r="AB43" i="2"/>
  <c r="AC43" i="2"/>
  <c r="AD43" i="2"/>
  <c r="D44" i="2"/>
  <c r="E44" i="2"/>
  <c r="F44" i="2"/>
  <c r="G44" i="2"/>
  <c r="I44" i="2"/>
  <c r="J44" i="2"/>
  <c r="K44" i="2"/>
  <c r="M44" i="2"/>
  <c r="N44" i="2"/>
  <c r="O44" i="2"/>
  <c r="P44" i="2"/>
  <c r="R44" i="2"/>
  <c r="S44" i="2"/>
  <c r="T44" i="2"/>
  <c r="V44" i="2"/>
  <c r="W44" i="2"/>
  <c r="X44" i="2"/>
  <c r="Y44" i="2"/>
  <c r="Z44" i="2"/>
  <c r="AA44" i="2"/>
  <c r="AB44" i="2"/>
  <c r="AC44" i="2"/>
  <c r="AD44" i="2"/>
  <c r="D45" i="2"/>
  <c r="E45" i="2"/>
  <c r="F45" i="2"/>
  <c r="G45" i="2"/>
  <c r="I45" i="2"/>
  <c r="J45" i="2"/>
  <c r="K45" i="2"/>
  <c r="M45" i="2"/>
  <c r="N45" i="2"/>
  <c r="O45" i="2"/>
  <c r="P45" i="2"/>
  <c r="R45" i="2"/>
  <c r="S45" i="2"/>
  <c r="T45" i="2"/>
  <c r="V45" i="2"/>
  <c r="W45" i="2"/>
  <c r="X45" i="2"/>
  <c r="Y45" i="2"/>
  <c r="Z45" i="2"/>
  <c r="AA45" i="2"/>
  <c r="AB45" i="2"/>
  <c r="AC45" i="2"/>
  <c r="AD45" i="2"/>
  <c r="D46" i="2"/>
  <c r="E46" i="2"/>
  <c r="F46" i="2"/>
  <c r="G46" i="2"/>
  <c r="I46" i="2"/>
  <c r="J46" i="2"/>
  <c r="K46" i="2"/>
  <c r="M46" i="2"/>
  <c r="N46" i="2"/>
  <c r="O46" i="2"/>
  <c r="P46" i="2"/>
  <c r="R46" i="2"/>
  <c r="S46" i="2"/>
  <c r="T46" i="2"/>
  <c r="V46" i="2"/>
  <c r="W46" i="2"/>
  <c r="X46" i="2"/>
  <c r="Y46" i="2"/>
  <c r="Z46" i="2"/>
  <c r="AA46" i="2"/>
  <c r="AB46" i="2"/>
  <c r="AC46" i="2"/>
  <c r="AD46" i="2"/>
  <c r="D47" i="2"/>
  <c r="E47" i="2"/>
  <c r="F47" i="2"/>
  <c r="G47" i="2"/>
  <c r="I47" i="2"/>
  <c r="J47" i="2"/>
  <c r="K47" i="2"/>
  <c r="M47" i="2"/>
  <c r="N47" i="2"/>
  <c r="O47" i="2"/>
  <c r="P47" i="2"/>
  <c r="R47" i="2"/>
  <c r="S47" i="2"/>
  <c r="T47" i="2"/>
  <c r="V47" i="2"/>
  <c r="W47" i="2"/>
  <c r="X47" i="2"/>
  <c r="Y47" i="2"/>
  <c r="Z47" i="2"/>
  <c r="AA47" i="2"/>
  <c r="AB47" i="2"/>
  <c r="AC47" i="2"/>
  <c r="AD47" i="2"/>
  <c r="D48" i="2"/>
  <c r="E48" i="2"/>
  <c r="F48" i="2"/>
  <c r="G48" i="2"/>
  <c r="I48" i="2"/>
  <c r="J48" i="2"/>
  <c r="K48" i="2"/>
  <c r="M48" i="2"/>
  <c r="N48" i="2"/>
  <c r="O48" i="2"/>
  <c r="P48" i="2"/>
  <c r="R48" i="2"/>
  <c r="S48" i="2"/>
  <c r="T48" i="2"/>
  <c r="V48" i="2"/>
  <c r="W48" i="2"/>
  <c r="X48" i="2"/>
  <c r="Y48" i="2"/>
  <c r="Z48" i="2"/>
  <c r="AA48" i="2"/>
  <c r="AB48" i="2"/>
  <c r="AC48" i="2"/>
  <c r="AD48" i="2"/>
  <c r="D49" i="2"/>
  <c r="E49" i="2"/>
  <c r="F49" i="2"/>
  <c r="G49" i="2"/>
  <c r="I49" i="2"/>
  <c r="J49" i="2"/>
  <c r="K49" i="2"/>
  <c r="M49" i="2"/>
  <c r="N49" i="2"/>
  <c r="O49" i="2"/>
  <c r="P49" i="2"/>
  <c r="R49" i="2"/>
  <c r="S49" i="2"/>
  <c r="T49" i="2"/>
  <c r="V49" i="2"/>
  <c r="W49" i="2"/>
  <c r="X49" i="2"/>
  <c r="Y49" i="2"/>
  <c r="Z49" i="2"/>
  <c r="AA49" i="2"/>
  <c r="AB49" i="2"/>
  <c r="AC49" i="2"/>
  <c r="AD49" i="2"/>
  <c r="D50" i="2"/>
  <c r="E50" i="2"/>
  <c r="F50" i="2"/>
  <c r="G50" i="2"/>
  <c r="I50" i="2"/>
  <c r="J50" i="2"/>
  <c r="K50" i="2"/>
  <c r="M50" i="2"/>
  <c r="N50" i="2"/>
  <c r="O50" i="2"/>
  <c r="P50" i="2"/>
  <c r="R50" i="2"/>
  <c r="S50" i="2"/>
  <c r="T50" i="2"/>
  <c r="V50" i="2"/>
  <c r="W50" i="2"/>
  <c r="X50" i="2"/>
  <c r="Y50" i="2"/>
  <c r="Z50" i="2"/>
  <c r="AA50" i="2"/>
  <c r="AB50" i="2"/>
  <c r="AC50" i="2"/>
  <c r="AD50" i="2"/>
  <c r="D51" i="2"/>
  <c r="E51" i="2"/>
  <c r="F51" i="2"/>
  <c r="G51" i="2"/>
  <c r="I51" i="2"/>
  <c r="J51" i="2"/>
  <c r="K51" i="2"/>
  <c r="M51" i="2"/>
  <c r="N51" i="2"/>
  <c r="O51" i="2"/>
  <c r="P51" i="2"/>
  <c r="R51" i="2"/>
  <c r="S51" i="2"/>
  <c r="T51" i="2"/>
  <c r="V51" i="2"/>
  <c r="W51" i="2"/>
  <c r="X51" i="2"/>
  <c r="Y51" i="2"/>
  <c r="Z51" i="2"/>
  <c r="AA51" i="2"/>
  <c r="AB51" i="2"/>
  <c r="AC51" i="2"/>
  <c r="AD51" i="2"/>
  <c r="D4" i="2"/>
  <c r="E4" i="2"/>
  <c r="F4" i="2"/>
  <c r="AD4" i="2"/>
  <c r="AC4" i="2"/>
  <c r="W4" i="2"/>
  <c r="X4" i="2"/>
  <c r="Y4" i="2"/>
  <c r="Z4" i="2"/>
  <c r="AA4" i="2"/>
  <c r="AB4" i="2"/>
  <c r="V4" i="2"/>
  <c r="T4" i="2"/>
  <c r="S4" i="2"/>
  <c r="R4" i="2"/>
  <c r="O4" i="2"/>
  <c r="P4" i="2"/>
  <c r="N4" i="2"/>
  <c r="M4" i="2"/>
  <c r="G4" i="2"/>
  <c r="K4" i="2"/>
  <c r="J4" i="2"/>
  <c r="I4" i="2"/>
  <c r="EG106" i="10"/>
  <c r="EF106" i="10"/>
  <c r="EE106" i="10"/>
  <c r="ED106" i="10"/>
  <c r="EC106" i="10"/>
  <c r="EB106" i="10"/>
  <c r="EA106" i="10"/>
  <c r="EG105" i="10"/>
  <c r="EF105" i="10"/>
  <c r="EE105" i="10"/>
  <c r="ED105" i="10"/>
  <c r="EC105" i="10"/>
  <c r="EB105" i="10"/>
  <c r="EA105" i="10"/>
  <c r="EG104" i="10"/>
  <c r="EF104" i="10"/>
  <c r="EE104" i="10"/>
  <c r="ED104" i="10"/>
  <c r="EC104" i="10"/>
  <c r="EB104" i="10"/>
  <c r="EA104" i="10"/>
  <c r="EG103" i="10"/>
  <c r="EF103" i="10"/>
  <c r="EE103" i="10"/>
  <c r="ED103" i="10"/>
  <c r="EC103" i="10"/>
  <c r="EB103" i="10"/>
  <c r="EA103" i="10"/>
  <c r="EG102" i="10"/>
  <c r="EF102" i="10"/>
  <c r="EE102" i="10"/>
  <c r="ED102" i="10"/>
  <c r="EC102" i="10"/>
  <c r="EB102" i="10"/>
  <c r="EA102" i="10"/>
  <c r="EG101" i="10"/>
  <c r="EF101" i="10"/>
  <c r="EE101" i="10"/>
  <c r="ED101" i="10"/>
  <c r="EC101" i="10"/>
  <c r="EB101" i="10"/>
  <c r="EA101" i="10"/>
  <c r="EG100" i="10"/>
  <c r="EF100" i="10"/>
  <c r="EE100" i="10"/>
  <c r="ED100" i="10"/>
  <c r="EC100" i="10"/>
  <c r="EB100" i="10"/>
  <c r="EA100" i="10"/>
  <c r="EG99" i="10"/>
  <c r="EF99" i="10"/>
  <c r="EE99" i="10"/>
  <c r="ED99" i="10"/>
  <c r="EC99" i="10"/>
  <c r="EB99" i="10"/>
  <c r="EA99" i="10"/>
  <c r="EG98" i="10"/>
  <c r="EF98" i="10"/>
  <c r="EE98" i="10"/>
  <c r="ED98" i="10"/>
  <c r="EC98" i="10"/>
  <c r="EB98" i="10"/>
  <c r="EA98" i="10"/>
  <c r="EG97" i="10"/>
  <c r="EF97" i="10"/>
  <c r="EE97" i="10"/>
  <c r="ED97" i="10"/>
  <c r="EC97" i="10"/>
  <c r="EB97" i="10"/>
  <c r="EA97" i="10"/>
  <c r="EG96" i="10"/>
  <c r="EF96" i="10"/>
  <c r="EE96" i="10"/>
  <c r="ED96" i="10"/>
  <c r="EC96" i="10"/>
  <c r="EB96" i="10"/>
  <c r="EA96" i="10"/>
  <c r="EG95" i="10"/>
  <c r="EF95" i="10"/>
  <c r="EE95" i="10"/>
  <c r="ED95" i="10"/>
  <c r="EC95" i="10"/>
  <c r="EB95" i="10"/>
  <c r="EA95" i="10"/>
  <c r="EG94" i="10"/>
  <c r="EF94" i="10"/>
  <c r="EE94" i="10"/>
  <c r="ED94" i="10"/>
  <c r="EC94" i="10"/>
  <c r="EB94" i="10"/>
  <c r="EA94" i="10"/>
  <c r="EG93" i="10"/>
  <c r="EF93" i="10"/>
  <c r="EE93" i="10"/>
  <c r="ED93" i="10"/>
  <c r="EC93" i="10"/>
  <c r="EB93" i="10"/>
  <c r="EA93" i="10"/>
  <c r="EG92" i="10"/>
  <c r="EF92" i="10"/>
  <c r="EE92" i="10"/>
  <c r="ED92" i="10"/>
  <c r="EC92" i="10"/>
  <c r="EB92" i="10"/>
  <c r="EA92" i="10"/>
  <c r="EG91" i="10"/>
  <c r="EF91" i="10"/>
  <c r="EE91" i="10"/>
  <c r="ED91" i="10"/>
  <c r="EC91" i="10"/>
  <c r="EB91" i="10"/>
  <c r="EA91" i="10"/>
  <c r="EG90" i="10"/>
  <c r="EF90" i="10"/>
  <c r="EE90" i="10"/>
  <c r="ED90" i="10"/>
  <c r="EC90" i="10"/>
  <c r="EB90" i="10"/>
  <c r="EA90" i="10"/>
  <c r="EG89" i="10"/>
  <c r="EF89" i="10"/>
  <c r="EE89" i="10"/>
  <c r="ED89" i="10"/>
  <c r="EC89" i="10"/>
  <c r="EB89" i="10"/>
  <c r="EA89" i="10"/>
  <c r="EG88" i="10"/>
  <c r="EF88" i="10"/>
  <c r="EE88" i="10"/>
  <c r="ED88" i="10"/>
  <c r="EC88" i="10"/>
  <c r="EB88" i="10"/>
  <c r="EA88" i="10"/>
  <c r="EG87" i="10"/>
  <c r="EF87" i="10"/>
  <c r="EE87" i="10"/>
  <c r="ED87" i="10"/>
  <c r="EC87" i="10"/>
  <c r="EB87" i="10"/>
  <c r="EA87" i="10"/>
  <c r="EG86" i="10"/>
  <c r="EF86" i="10"/>
  <c r="EE86" i="10"/>
  <c r="ED86" i="10"/>
  <c r="EC86" i="10"/>
  <c r="EB86" i="10"/>
  <c r="EA86" i="10"/>
  <c r="EG85" i="10"/>
  <c r="EF85" i="10"/>
  <c r="EE85" i="10"/>
  <c r="ED85" i="10"/>
  <c r="EC85" i="10"/>
  <c r="EB85" i="10"/>
  <c r="EA85" i="10"/>
  <c r="EG84" i="10"/>
  <c r="EF84" i="10"/>
  <c r="EE84" i="10"/>
  <c r="ED84" i="10"/>
  <c r="EC84" i="10"/>
  <c r="EB84" i="10"/>
  <c r="EA84" i="10"/>
  <c r="EG83" i="10"/>
  <c r="EF83" i="10"/>
  <c r="EE83" i="10"/>
  <c r="ED83" i="10"/>
  <c r="EC83" i="10"/>
  <c r="EB83" i="10"/>
  <c r="EA83" i="10"/>
  <c r="EG82" i="10"/>
  <c r="EF82" i="10"/>
  <c r="EE82" i="10"/>
  <c r="ED82" i="10"/>
  <c r="EC82" i="10"/>
  <c r="EB82" i="10"/>
  <c r="EA82" i="10"/>
  <c r="EG81" i="10"/>
  <c r="EF81" i="10"/>
  <c r="EE81" i="10"/>
  <c r="ED81" i="10"/>
  <c r="EC81" i="10"/>
  <c r="EB81" i="10"/>
  <c r="EA81" i="10"/>
  <c r="EG80" i="10"/>
  <c r="EF80" i="10"/>
  <c r="EE80" i="10"/>
  <c r="ED80" i="10"/>
  <c r="EC80" i="10"/>
  <c r="EB80" i="10"/>
  <c r="EA80" i="10"/>
  <c r="EG79" i="10"/>
  <c r="EF79" i="10"/>
  <c r="EE79" i="10"/>
  <c r="ED79" i="10"/>
  <c r="EC79" i="10"/>
  <c r="EB79" i="10"/>
  <c r="EA79" i="10"/>
  <c r="EG78" i="10"/>
  <c r="EF78" i="10"/>
  <c r="EE78" i="10"/>
  <c r="ED78" i="10"/>
  <c r="EC78" i="10"/>
  <c r="EB78" i="10"/>
  <c r="EA78" i="10"/>
  <c r="EG77" i="10"/>
  <c r="EF77" i="10"/>
  <c r="EE77" i="10"/>
  <c r="ED77" i="10"/>
  <c r="EC77" i="10"/>
  <c r="EB77" i="10"/>
  <c r="EA77" i="10"/>
  <c r="EG76" i="10"/>
  <c r="EF76" i="10"/>
  <c r="EE76" i="10"/>
  <c r="ED76" i="10"/>
  <c r="EC76" i="10"/>
  <c r="EB76" i="10"/>
  <c r="EA76" i="10"/>
  <c r="EG75" i="10"/>
  <c r="EF75" i="10"/>
  <c r="EE75" i="10"/>
  <c r="ED75" i="10"/>
  <c r="EC75" i="10"/>
  <c r="EB75" i="10"/>
  <c r="EA75" i="10"/>
  <c r="EG74" i="10"/>
  <c r="EF74" i="10"/>
  <c r="EE74" i="10"/>
  <c r="ED74" i="10"/>
  <c r="EC74" i="10"/>
  <c r="EB74" i="10"/>
  <c r="EA74" i="10"/>
  <c r="EG73" i="10"/>
  <c r="EF73" i="10"/>
  <c r="EE73" i="10"/>
  <c r="ED73" i="10"/>
  <c r="EC73" i="10"/>
  <c r="EB73" i="10"/>
  <c r="EA73" i="10"/>
  <c r="EG72" i="10"/>
  <c r="EF72" i="10"/>
  <c r="EE72" i="10"/>
  <c r="ED72" i="10"/>
  <c r="EC72" i="10"/>
  <c r="EB72" i="10"/>
  <c r="EA72" i="10"/>
  <c r="EG71" i="10"/>
  <c r="EF71" i="10"/>
  <c r="EE71" i="10"/>
  <c r="ED71" i="10"/>
  <c r="EC71" i="10"/>
  <c r="EB71" i="10"/>
  <c r="EA71" i="10"/>
  <c r="EG70" i="10"/>
  <c r="EF70" i="10"/>
  <c r="EE70" i="10"/>
  <c r="ED70" i="10"/>
  <c r="EC70" i="10"/>
  <c r="EB70" i="10"/>
  <c r="EA70" i="10"/>
  <c r="EG69" i="10"/>
  <c r="EF69" i="10"/>
  <c r="EE69" i="10"/>
  <c r="ED69" i="10"/>
  <c r="EC69" i="10"/>
  <c r="EB69" i="10"/>
  <c r="EA69" i="10"/>
  <c r="EG68" i="10"/>
  <c r="EF68" i="10"/>
  <c r="EE68" i="10"/>
  <c r="ED68" i="10"/>
  <c r="EC68" i="10"/>
  <c r="EB68" i="10"/>
  <c r="EA68" i="10"/>
  <c r="EG67" i="10"/>
  <c r="EF67" i="10"/>
  <c r="EE67" i="10"/>
  <c r="ED67" i="10"/>
  <c r="EC67" i="10"/>
  <c r="EB67" i="10"/>
  <c r="EA67" i="10"/>
  <c r="EG66" i="10"/>
  <c r="EF66" i="10"/>
  <c r="EE66" i="10"/>
  <c r="ED66" i="10"/>
  <c r="EC66" i="10"/>
  <c r="EB66" i="10"/>
  <c r="EA66" i="10"/>
  <c r="EG65" i="10"/>
  <c r="EF65" i="10"/>
  <c r="EE65" i="10"/>
  <c r="ED65" i="10"/>
  <c r="EC65" i="10"/>
  <c r="EB65" i="10"/>
  <c r="EA65" i="10"/>
  <c r="EG64" i="10"/>
  <c r="EF64" i="10"/>
  <c r="EE64" i="10"/>
  <c r="ED64" i="10"/>
  <c r="EC64" i="10"/>
  <c r="EB64" i="10"/>
  <c r="EA64" i="10"/>
  <c r="EG63" i="10"/>
  <c r="EF63" i="10"/>
  <c r="EE63" i="10"/>
  <c r="ED63" i="10"/>
  <c r="EC63" i="10"/>
  <c r="EB63" i="10"/>
  <c r="EA63" i="10"/>
  <c r="EG62" i="10"/>
  <c r="EF62" i="10"/>
  <c r="EE62" i="10"/>
  <c r="ED62" i="10"/>
  <c r="EC62" i="10"/>
  <c r="EB62" i="10"/>
  <c r="EA62" i="10"/>
  <c r="EG61" i="10"/>
  <c r="EF61" i="10"/>
  <c r="EE61" i="10"/>
  <c r="ED61" i="10"/>
  <c r="EC61" i="10"/>
  <c r="EB61" i="10"/>
  <c r="EA61" i="10"/>
  <c r="EG60" i="10"/>
  <c r="EF60" i="10"/>
  <c r="EE60" i="10"/>
  <c r="ED60" i="10"/>
  <c r="EC60" i="10"/>
  <c r="EB60" i="10"/>
  <c r="EA60" i="10"/>
  <c r="EG59" i="10"/>
  <c r="EF59" i="10"/>
  <c r="EE59" i="10"/>
  <c r="ED59" i="10"/>
  <c r="EC59" i="10"/>
  <c r="EB59" i="10"/>
  <c r="EA59" i="10"/>
  <c r="EG58" i="10"/>
  <c r="EF58" i="10"/>
  <c r="EE58" i="10"/>
  <c r="ED58" i="10"/>
  <c r="EC58" i="10"/>
  <c r="EB58" i="10"/>
  <c r="EA58" i="10"/>
  <c r="EG57" i="10"/>
  <c r="EF57" i="10"/>
  <c r="EE57" i="10"/>
  <c r="ED57" i="10"/>
  <c r="EC57" i="10"/>
  <c r="EB57" i="10"/>
  <c r="EA57" i="10"/>
  <c r="EG56" i="10"/>
  <c r="EF56" i="10"/>
  <c r="EG55" i="10"/>
  <c r="EF55" i="10"/>
  <c r="EG54" i="10"/>
  <c r="EF54" i="10"/>
  <c r="Q49" i="2" l="1"/>
  <c r="Q20" i="2"/>
  <c r="Q16" i="2"/>
  <c r="U47" i="2"/>
  <c r="Q11" i="2"/>
  <c r="Q4" i="2"/>
  <c r="Q50" i="2"/>
  <c r="H50" i="2"/>
  <c r="Q35" i="2"/>
  <c r="Q39" i="2"/>
  <c r="Q31" i="2"/>
  <c r="H51" i="2"/>
  <c r="L49" i="2"/>
  <c r="Q45" i="2"/>
  <c r="H42" i="2"/>
  <c r="H14" i="2"/>
  <c r="Q10" i="2"/>
  <c r="Q36" i="2"/>
  <c r="Q32" i="2"/>
  <c r="L32" i="2"/>
  <c r="L31" i="2"/>
  <c r="L30" i="2"/>
  <c r="Q23" i="2"/>
  <c r="K52" i="2"/>
  <c r="K53" i="2" s="1"/>
  <c r="G52" i="2"/>
  <c r="G53" i="2" s="1"/>
  <c r="Q29" i="2"/>
  <c r="H15" i="2"/>
  <c r="Q14" i="2"/>
  <c r="Q13" i="2"/>
  <c r="U11" i="2"/>
  <c r="H10" i="2"/>
  <c r="Q9" i="2"/>
  <c r="H6" i="2"/>
  <c r="Q51" i="2"/>
  <c r="Q46" i="2"/>
  <c r="H43" i="2"/>
  <c r="Q42" i="2"/>
  <c r="L42" i="2"/>
  <c r="H38" i="2"/>
  <c r="S52" i="2"/>
  <c r="S53" i="2" s="1"/>
  <c r="H34" i="2"/>
  <c r="Q28" i="2"/>
  <c r="Q24" i="2"/>
  <c r="L24" i="2"/>
  <c r="L23" i="2"/>
  <c r="U22" i="2"/>
  <c r="L22" i="2"/>
  <c r="Q19" i="2"/>
  <c r="Q15" i="2"/>
  <c r="AD52" i="2"/>
  <c r="AD53" i="2" s="1"/>
  <c r="Z52" i="2"/>
  <c r="Z53" i="2" s="1"/>
  <c r="H7" i="2"/>
  <c r="U6" i="2"/>
  <c r="Q5" i="2"/>
  <c r="Q47" i="2"/>
  <c r="Q43" i="2"/>
  <c r="H30" i="2"/>
  <c r="H26" i="2"/>
  <c r="L16" i="2"/>
  <c r="U15" i="2"/>
  <c r="AC52" i="2"/>
  <c r="AC53" i="2" s="1"/>
  <c r="Y52" i="2"/>
  <c r="Y53" i="2" s="1"/>
  <c r="T52" i="2"/>
  <c r="T53" i="2" s="1"/>
  <c r="J52" i="2"/>
  <c r="J53" i="2" s="1"/>
  <c r="F52" i="2"/>
  <c r="F53" i="2" s="1"/>
  <c r="Q7" i="2"/>
  <c r="H46" i="2"/>
  <c r="Q40" i="2"/>
  <c r="L40" i="2"/>
  <c r="L39" i="2"/>
  <c r="L38" i="2"/>
  <c r="Q27" i="2"/>
  <c r="H22" i="2"/>
  <c r="Q21" i="2"/>
  <c r="H18" i="2"/>
  <c r="AB52" i="2"/>
  <c r="AB53" i="2" s="1"/>
  <c r="X52" i="2"/>
  <c r="X53" i="2" s="1"/>
  <c r="N52" i="2"/>
  <c r="N53" i="2" s="1"/>
  <c r="I52" i="2"/>
  <c r="I53" i="2" s="1"/>
  <c r="E52" i="2"/>
  <c r="E53" i="2" s="1"/>
  <c r="U30" i="2"/>
  <c r="O52" i="2"/>
  <c r="O53" i="2" s="1"/>
  <c r="AA52" i="2"/>
  <c r="AA53" i="2" s="1"/>
  <c r="W52" i="2"/>
  <c r="W53" i="2" s="1"/>
  <c r="M52" i="2"/>
  <c r="M53" i="2" s="1"/>
  <c r="D52" i="2"/>
  <c r="D53" i="2" s="1"/>
  <c r="J70" i="1"/>
  <c r="J71" i="1"/>
  <c r="J86" i="1"/>
  <c r="J38" i="1"/>
  <c r="J69" i="1"/>
  <c r="J74" i="1"/>
  <c r="J78" i="1"/>
  <c r="U38" i="2"/>
  <c r="L51" i="2"/>
  <c r="U50" i="2"/>
  <c r="L50" i="2"/>
  <c r="Q44" i="2"/>
  <c r="L44" i="2"/>
  <c r="L43" i="2"/>
  <c r="U42" i="2"/>
  <c r="Q41" i="2"/>
  <c r="L41" i="2"/>
  <c r="U39" i="2"/>
  <c r="H35" i="2"/>
  <c r="Q34" i="2"/>
  <c r="Q33" i="2"/>
  <c r="L33" i="2"/>
  <c r="U31" i="2"/>
  <c r="H27" i="2"/>
  <c r="Q26" i="2"/>
  <c r="Q25" i="2"/>
  <c r="L25" i="2"/>
  <c r="U23" i="2"/>
  <c r="H19" i="2"/>
  <c r="Q18" i="2"/>
  <c r="Q17" i="2"/>
  <c r="L17" i="2"/>
  <c r="L15" i="2"/>
  <c r="U14" i="2"/>
  <c r="L14" i="2"/>
  <c r="L9" i="2"/>
  <c r="Q8" i="2"/>
  <c r="L8" i="2"/>
  <c r="L7" i="2"/>
  <c r="L6" i="2"/>
  <c r="V52" i="2"/>
  <c r="V53" i="2" s="1"/>
  <c r="R52" i="2"/>
  <c r="R53" i="2" s="1"/>
  <c r="U51" i="2"/>
  <c r="H47" i="2"/>
  <c r="L45" i="2"/>
  <c r="U43" i="2"/>
  <c r="L37" i="2"/>
  <c r="L36" i="2"/>
  <c r="L35" i="2"/>
  <c r="U34" i="2"/>
  <c r="L34" i="2"/>
  <c r="L28" i="2"/>
  <c r="L27" i="2"/>
  <c r="U26" i="2"/>
  <c r="L26" i="2"/>
  <c r="L20" i="2"/>
  <c r="L19" i="2"/>
  <c r="U18" i="2"/>
  <c r="L18" i="2"/>
  <c r="H11" i="2"/>
  <c r="U10" i="2"/>
  <c r="U7" i="2"/>
  <c r="Q48" i="2"/>
  <c r="L48" i="2"/>
  <c r="L47" i="2"/>
  <c r="U46" i="2"/>
  <c r="L46" i="2"/>
  <c r="H39" i="2"/>
  <c r="Q38" i="2"/>
  <c r="Q37" i="2"/>
  <c r="U35" i="2"/>
  <c r="H31" i="2"/>
  <c r="Q30" i="2"/>
  <c r="L29" i="2"/>
  <c r="U27" i="2"/>
  <c r="H23" i="2"/>
  <c r="Q22" i="2"/>
  <c r="L21" i="2"/>
  <c r="U19" i="2"/>
  <c r="L13" i="2"/>
  <c r="Q12" i="2"/>
  <c r="L12" i="2"/>
  <c r="L11" i="2"/>
  <c r="L10" i="2"/>
  <c r="Q6" i="2"/>
  <c r="L5" i="2"/>
  <c r="P52" i="2"/>
  <c r="P53" i="2" s="1"/>
  <c r="U48" i="2"/>
  <c r="U28" i="2"/>
  <c r="U24" i="2"/>
  <c r="U16" i="2"/>
  <c r="U49" i="2"/>
  <c r="U45" i="2"/>
  <c r="U37" i="2"/>
  <c r="U33" i="2"/>
  <c r="U29" i="2"/>
  <c r="U25" i="2"/>
  <c r="U21" i="2"/>
  <c r="U17" i="2"/>
  <c r="U13" i="2"/>
  <c r="U9" i="2"/>
  <c r="U5" i="2"/>
  <c r="H48" i="2"/>
  <c r="H44" i="2"/>
  <c r="H40" i="2"/>
  <c r="H37" i="2"/>
  <c r="H36" i="2"/>
  <c r="H32" i="2"/>
  <c r="H28" i="2"/>
  <c r="H24" i="2"/>
  <c r="H20" i="2"/>
  <c r="H52" i="2" s="1"/>
  <c r="H53" i="2" s="1"/>
  <c r="H16" i="2"/>
  <c r="H13" i="2"/>
  <c r="H12" i="2"/>
  <c r="H9" i="2"/>
  <c r="H8" i="2"/>
  <c r="H5" i="2"/>
  <c r="U44" i="2"/>
  <c r="U40" i="2"/>
  <c r="U36" i="2"/>
  <c r="U32" i="2"/>
  <c r="U20" i="2"/>
  <c r="U12" i="2"/>
  <c r="U8" i="2"/>
  <c r="U41" i="2"/>
  <c r="H49" i="2"/>
  <c r="H45" i="2"/>
  <c r="H41" i="2"/>
  <c r="H33" i="2"/>
  <c r="H29" i="2"/>
  <c r="H25" i="2"/>
  <c r="H21" i="2"/>
  <c r="H17" i="2"/>
  <c r="U4" i="2"/>
  <c r="L4" i="2"/>
  <c r="H4" i="2"/>
  <c r="C38" i="2" l="1"/>
  <c r="C6" i="2"/>
  <c r="C22" i="2"/>
  <c r="C30" i="2"/>
  <c r="C35" i="2"/>
  <c r="C19" i="2"/>
  <c r="C42" i="2"/>
  <c r="C45" i="2"/>
  <c r="C10" i="2"/>
  <c r="C32" i="2"/>
  <c r="C41" i="2"/>
  <c r="C46" i="2"/>
  <c r="C34" i="2"/>
  <c r="C50" i="2"/>
  <c r="C23" i="2"/>
  <c r="C31" i="2"/>
  <c r="C27" i="2"/>
  <c r="C26" i="2"/>
  <c r="C17" i="2"/>
  <c r="C4" i="2"/>
  <c r="C37" i="2"/>
  <c r="Q52" i="2"/>
  <c r="Q53" i="2" s="1"/>
  <c r="C5" i="2"/>
  <c r="C13" i="2"/>
  <c r="C28" i="2"/>
  <c r="C40" i="2"/>
  <c r="C33" i="2"/>
  <c r="C9" i="2"/>
  <c r="C15" i="2"/>
  <c r="C21" i="2"/>
  <c r="C24" i="2"/>
  <c r="C39" i="2"/>
  <c r="C11" i="2"/>
  <c r="C47" i="2"/>
  <c r="C16" i="2"/>
  <c r="U52" i="2"/>
  <c r="U53" i="2" s="1"/>
  <c r="C18" i="2"/>
  <c r="C43" i="2"/>
  <c r="C12" i="2"/>
  <c r="J68" i="1"/>
  <c r="C25" i="2"/>
  <c r="C14" i="2"/>
  <c r="C20" i="2"/>
  <c r="C36" i="2"/>
  <c r="C48" i="2"/>
  <c r="C29" i="2"/>
  <c r="C49" i="2"/>
  <c r="C8" i="2"/>
  <c r="C7" i="2"/>
  <c r="L52" i="2"/>
  <c r="L53" i="2" s="1"/>
  <c r="C51" i="2"/>
  <c r="C44" i="2"/>
  <c r="C52" i="2" l="1"/>
  <c r="C53" i="2" s="1"/>
  <c r="D107"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J55" i="2"/>
  <c r="K55" i="2"/>
  <c r="L55" i="2"/>
  <c r="M55" i="2"/>
  <c r="N55" i="2"/>
  <c r="O55" i="2"/>
  <c r="O56" i="2" s="1"/>
  <c r="O108" i="2" s="1"/>
  <c r="P55" i="2"/>
  <c r="Q55" i="2"/>
  <c r="R55" i="2"/>
  <c r="S55" i="2"/>
  <c r="T55" i="2"/>
  <c r="U55" i="2"/>
  <c r="V55" i="2"/>
  <c r="W55" i="2"/>
  <c r="X55" i="2"/>
  <c r="Y55" i="2"/>
  <c r="Z55" i="2"/>
  <c r="AA55" i="2"/>
  <c r="AB55" i="2"/>
  <c r="AC55" i="2"/>
  <c r="AD55" i="2"/>
  <c r="F55" i="2"/>
  <c r="G55" i="2"/>
  <c r="H55" i="2"/>
  <c r="I55" i="2"/>
  <c r="D55" i="2"/>
  <c r="E55" i="2"/>
  <c r="C107" i="2"/>
  <c r="C55" i="2"/>
  <c r="E63" i="3"/>
  <c r="E64" i="3"/>
  <c r="G75" i="2" l="1"/>
  <c r="G93" i="2"/>
  <c r="G59" i="2"/>
  <c r="G80" i="2"/>
  <c r="G97" i="2"/>
  <c r="G63" i="2"/>
  <c r="G84" i="2"/>
  <c r="G101" i="2"/>
  <c r="G70" i="2"/>
  <c r="G89" i="2"/>
  <c r="G98" i="2"/>
  <c r="G81" i="2"/>
  <c r="G60" i="2"/>
  <c r="G100" i="2"/>
  <c r="G83" i="2"/>
  <c r="G62" i="2"/>
  <c r="G99" i="2"/>
  <c r="G82" i="2"/>
  <c r="G61" i="2"/>
  <c r="G94" i="2"/>
  <c r="G76" i="2"/>
  <c r="G96" i="2"/>
  <c r="G79" i="2"/>
  <c r="G58" i="2"/>
  <c r="G95" i="2"/>
  <c r="G77" i="2"/>
  <c r="G57" i="2"/>
  <c r="G90" i="2"/>
  <c r="G71" i="2"/>
  <c r="G92" i="2"/>
  <c r="G74" i="2"/>
  <c r="G91" i="2"/>
  <c r="G73" i="2"/>
  <c r="G102" i="2"/>
  <c r="G85" i="2"/>
  <c r="G64" i="2"/>
  <c r="G88" i="2"/>
  <c r="G68" i="2"/>
  <c r="G56" i="2"/>
  <c r="G87" i="2"/>
  <c r="G65" i="2"/>
  <c r="T57" i="2"/>
  <c r="T61" i="2"/>
  <c r="T65" i="2"/>
  <c r="T71" i="2"/>
  <c r="T76" i="2"/>
  <c r="T81" i="2"/>
  <c r="T85" i="2"/>
  <c r="T90" i="2"/>
  <c r="T94" i="2"/>
  <c r="T98" i="2"/>
  <c r="T56" i="2"/>
  <c r="T58" i="2"/>
  <c r="T62" i="2"/>
  <c r="T67" i="2"/>
  <c r="T73" i="2"/>
  <c r="T77" i="2"/>
  <c r="T82" i="2"/>
  <c r="T87" i="2"/>
  <c r="T91" i="2"/>
  <c r="T95" i="2"/>
  <c r="T100" i="2"/>
  <c r="T59" i="2"/>
  <c r="T63" i="2"/>
  <c r="T68" i="2"/>
  <c r="T74" i="2"/>
  <c r="T78" i="2"/>
  <c r="T83" i="2"/>
  <c r="T88" i="2"/>
  <c r="T92" i="2"/>
  <c r="T96" i="2"/>
  <c r="T101" i="2"/>
  <c r="T80" i="2"/>
  <c r="T60" i="2"/>
  <c r="T64" i="2"/>
  <c r="T70" i="2"/>
  <c r="T75" i="2"/>
  <c r="T79" i="2"/>
  <c r="T84" i="2"/>
  <c r="T89" i="2"/>
  <c r="T93" i="2"/>
  <c r="T97" i="2"/>
  <c r="T102" i="2"/>
  <c r="AD88" i="2"/>
  <c r="AD140" i="2" s="1"/>
  <c r="AD70" i="2"/>
  <c r="AD122" i="2" s="1"/>
  <c r="AD100" i="2"/>
  <c r="AD152" i="2" s="1"/>
  <c r="AD83" i="2"/>
  <c r="AD135" i="2" s="1"/>
  <c r="AD64" i="2"/>
  <c r="AD116" i="2" s="1"/>
  <c r="AD96" i="2"/>
  <c r="AD148" i="2" s="1"/>
  <c r="AD79" i="2"/>
  <c r="AD131" i="2" s="1"/>
  <c r="AD60" i="2"/>
  <c r="AD112" i="2" s="1"/>
  <c r="AD92" i="2"/>
  <c r="AD144" i="2" s="1"/>
  <c r="AD75" i="2"/>
  <c r="AD127" i="2" s="1"/>
  <c r="AD56" i="2"/>
  <c r="AD74" i="2"/>
  <c r="AD126" i="2" s="1"/>
  <c r="AD91" i="2"/>
  <c r="AD143" i="2" s="1"/>
  <c r="AD65" i="2"/>
  <c r="AD117" i="2" s="1"/>
  <c r="AD84" i="2"/>
  <c r="AD136" i="2" s="1"/>
  <c r="AD101" i="2"/>
  <c r="AD153" i="2" s="1"/>
  <c r="AD67" i="2"/>
  <c r="AD119" i="2" s="1"/>
  <c r="AD85" i="2"/>
  <c r="AD137" i="2" s="1"/>
  <c r="AD102" i="2"/>
  <c r="AD154" i="2" s="1"/>
  <c r="AD59" i="2"/>
  <c r="AD111" i="2" s="1"/>
  <c r="AD78" i="2"/>
  <c r="AD130" i="2" s="1"/>
  <c r="AD95" i="2"/>
  <c r="AD147" i="2" s="1"/>
  <c r="AD71" i="2"/>
  <c r="AD123" i="2" s="1"/>
  <c r="AD89" i="2"/>
  <c r="AD141" i="2" s="1"/>
  <c r="AD73" i="2"/>
  <c r="AD90" i="2"/>
  <c r="AD142" i="2" s="1"/>
  <c r="AD63" i="2"/>
  <c r="AD115" i="2" s="1"/>
  <c r="AD82" i="2"/>
  <c r="AD134" i="2" s="1"/>
  <c r="AD99" i="2"/>
  <c r="AD151" i="2" s="1"/>
  <c r="AD57" i="2"/>
  <c r="AD109" i="2" s="1"/>
  <c r="AD76" i="2"/>
  <c r="AD128" i="2" s="1"/>
  <c r="AD93" i="2"/>
  <c r="AD145" i="2" s="1"/>
  <c r="AD58" i="2"/>
  <c r="AD110" i="2" s="1"/>
  <c r="AD77" i="2"/>
  <c r="AD129" i="2" s="1"/>
  <c r="AD94" i="2"/>
  <c r="AD146" i="2" s="1"/>
  <c r="AD68" i="2"/>
  <c r="AD120" i="2" s="1"/>
  <c r="AD87" i="2"/>
  <c r="AD61" i="2"/>
  <c r="AD113" i="2" s="1"/>
  <c r="AD80" i="2"/>
  <c r="AD132" i="2" s="1"/>
  <c r="AD97" i="2"/>
  <c r="AD149" i="2" s="1"/>
  <c r="AD62" i="2"/>
  <c r="AD114" i="2" s="1"/>
  <c r="AD81" i="2"/>
  <c r="AD133" i="2" s="1"/>
  <c r="AD98" i="2"/>
  <c r="AD150" i="2" s="1"/>
  <c r="E286" i="3"/>
  <c r="E287" i="3"/>
  <c r="E293" i="3"/>
  <c r="E56" i="3"/>
  <c r="E57" i="3"/>
  <c r="E58" i="3"/>
  <c r="E59" i="3"/>
  <c r="E60" i="3"/>
  <c r="E61" i="3"/>
  <c r="E62" i="3"/>
  <c r="G66" i="2" l="1"/>
  <c r="AD103" i="2"/>
  <c r="AD155" i="2" s="1"/>
  <c r="AD139" i="2"/>
  <c r="AD125" i="2"/>
  <c r="AD86" i="2"/>
  <c r="AD138" i="2" s="1"/>
  <c r="T86" i="2"/>
  <c r="T66" i="2"/>
  <c r="G103" i="2"/>
  <c r="AD66" i="2"/>
  <c r="AD118" i="2" s="1"/>
  <c r="AD108" i="2"/>
  <c r="U50" i="9"/>
  <c r="U49" i="9"/>
  <c r="U48" i="9"/>
  <c r="U47" i="9"/>
  <c r="U46" i="9"/>
  <c r="U45" i="9"/>
  <c r="U44" i="9"/>
  <c r="U43" i="9"/>
  <c r="U42" i="9"/>
  <c r="U41" i="9"/>
  <c r="U40" i="9"/>
  <c r="U39" i="9"/>
  <c r="U38" i="9"/>
  <c r="U37" i="9"/>
  <c r="U36" i="9"/>
  <c r="U35" i="9"/>
  <c r="U34" i="9"/>
  <c r="U33" i="9"/>
  <c r="U32" i="9"/>
  <c r="U31" i="9"/>
  <c r="U30" i="9"/>
  <c r="U29" i="9"/>
  <c r="U28" i="9"/>
  <c r="U27" i="9"/>
  <c r="U26" i="9"/>
  <c r="U25" i="9"/>
  <c r="U24" i="9"/>
  <c r="U23" i="9"/>
  <c r="U22" i="9"/>
  <c r="U21" i="9"/>
  <c r="U20" i="9"/>
  <c r="U19" i="9"/>
  <c r="U18" i="9"/>
  <c r="U17" i="9"/>
  <c r="U16" i="9"/>
  <c r="U15" i="9"/>
  <c r="U14" i="9"/>
  <c r="U13" i="9"/>
  <c r="U12" i="9"/>
  <c r="U11" i="9"/>
  <c r="U10" i="9"/>
  <c r="U9" i="9"/>
  <c r="U8" i="9"/>
  <c r="U7" i="9"/>
  <c r="U6" i="9"/>
  <c r="U5" i="9"/>
  <c r="U4" i="9"/>
  <c r="P18" i="1"/>
  <c r="N29" i="1"/>
  <c r="G5" i="1"/>
  <c r="G6" i="1"/>
  <c r="G7" i="1"/>
  <c r="G8" i="1"/>
  <c r="G9" i="1"/>
  <c r="G10" i="1"/>
  <c r="G11" i="1"/>
  <c r="G12" i="1"/>
  <c r="G13" i="1"/>
  <c r="G14" i="1"/>
  <c r="G15" i="1"/>
  <c r="G16" i="1"/>
  <c r="G17" i="1"/>
  <c r="G18" i="1"/>
  <c r="G19" i="1"/>
  <c r="G20" i="1"/>
  <c r="G21" i="1"/>
  <c r="G22" i="1"/>
  <c r="G23" i="1"/>
  <c r="G24" i="1"/>
  <c r="G25" i="1"/>
  <c r="G26" i="1"/>
  <c r="G27" i="1"/>
  <c r="G28" i="1"/>
  <c r="G4" i="1"/>
  <c r="K5" i="1"/>
  <c r="K6" i="1"/>
  <c r="K7" i="1"/>
  <c r="K8" i="1"/>
  <c r="K9" i="1"/>
  <c r="K10" i="1"/>
  <c r="K11" i="1"/>
  <c r="K12" i="1"/>
  <c r="K13" i="1"/>
  <c r="K14" i="1"/>
  <c r="K15" i="1"/>
  <c r="K16" i="1"/>
  <c r="K17" i="1"/>
  <c r="K18" i="1"/>
  <c r="K19" i="1"/>
  <c r="K20" i="1"/>
  <c r="K21" i="1"/>
  <c r="K22" i="1"/>
  <c r="K23" i="1"/>
  <c r="K24" i="1"/>
  <c r="K25" i="1"/>
  <c r="K26" i="1"/>
  <c r="K27" i="1"/>
  <c r="K28" i="1"/>
  <c r="K4" i="1"/>
  <c r="P5" i="1"/>
  <c r="P6" i="1"/>
  <c r="P7" i="1"/>
  <c r="P8" i="1"/>
  <c r="P9" i="1"/>
  <c r="P10" i="1"/>
  <c r="P11" i="1"/>
  <c r="P12" i="1"/>
  <c r="P13" i="1"/>
  <c r="P14" i="1"/>
  <c r="P15" i="1"/>
  <c r="P16" i="1"/>
  <c r="P17" i="1"/>
  <c r="P19" i="1"/>
  <c r="P20" i="1"/>
  <c r="P21" i="1"/>
  <c r="P22" i="1"/>
  <c r="P23" i="1"/>
  <c r="P24" i="1"/>
  <c r="P25" i="1"/>
  <c r="P26" i="1"/>
  <c r="P27" i="1"/>
  <c r="P28" i="1"/>
  <c r="P33" i="1" s="1"/>
  <c r="P4" i="1"/>
  <c r="C29" i="1"/>
  <c r="D29" i="1"/>
  <c r="E29" i="1"/>
  <c r="F29" i="1"/>
  <c r="H29" i="1"/>
  <c r="I29" i="1"/>
  <c r="J29" i="1"/>
  <c r="L29" i="1"/>
  <c r="M29" i="1"/>
  <c r="O29" i="1"/>
  <c r="Q29" i="1"/>
  <c r="P29" i="1" s="1"/>
  <c r="R29" i="1"/>
  <c r="S29" i="1"/>
  <c r="U29" i="1"/>
  <c r="V29" i="1"/>
  <c r="W29" i="1"/>
  <c r="X29" i="1"/>
  <c r="Y29" i="1"/>
  <c r="Z29" i="1"/>
  <c r="AA29" i="1"/>
  <c r="AB29" i="1"/>
  <c r="AC29" i="1"/>
  <c r="R39" i="1"/>
  <c r="R40" i="1"/>
  <c r="R41" i="1"/>
  <c r="R42" i="1"/>
  <c r="R44" i="1"/>
  <c r="R46" i="1"/>
  <c r="R47" i="1"/>
  <c r="R48" i="1"/>
  <c r="T5" i="1"/>
  <c r="T6" i="1"/>
  <c r="T7" i="1"/>
  <c r="T8" i="1"/>
  <c r="T9" i="1"/>
  <c r="T10" i="1"/>
  <c r="T11" i="1"/>
  <c r="T12" i="1"/>
  <c r="T13" i="1"/>
  <c r="T14" i="1"/>
  <c r="T15" i="1"/>
  <c r="T16" i="1"/>
  <c r="T17" i="1"/>
  <c r="T18" i="1"/>
  <c r="T19" i="1"/>
  <c r="T20" i="1"/>
  <c r="T21" i="1"/>
  <c r="T22" i="1"/>
  <c r="T23" i="1"/>
  <c r="T24" i="1"/>
  <c r="T25" i="1"/>
  <c r="T26" i="1"/>
  <c r="T27" i="1"/>
  <c r="T29" i="1" s="1"/>
  <c r="T4" i="1"/>
  <c r="B28" i="1" l="1"/>
  <c r="B20" i="1"/>
  <c r="B24" i="1"/>
  <c r="B26" i="1"/>
  <c r="B22" i="1"/>
  <c r="B14" i="1"/>
  <c r="B10" i="1"/>
  <c r="B6" i="1"/>
  <c r="B25" i="1"/>
  <c r="B21" i="1"/>
  <c r="B17" i="1"/>
  <c r="B13" i="1"/>
  <c r="B9" i="1"/>
  <c r="B5" i="1"/>
  <c r="B16" i="1"/>
  <c r="B12" i="1"/>
  <c r="B8" i="1"/>
  <c r="B27" i="1"/>
  <c r="B23" i="1"/>
  <c r="B19" i="1"/>
  <c r="B15" i="1"/>
  <c r="B11" i="1"/>
  <c r="B7" i="1"/>
  <c r="B18" i="1"/>
  <c r="B4" i="1"/>
  <c r="K29" i="1"/>
  <c r="G29" i="1"/>
  <c r="R38" i="1"/>
  <c r="B29" i="1" l="1"/>
  <c r="D91" i="1"/>
  <c r="E91" i="1"/>
  <c r="F91" i="1"/>
  <c r="I91" i="1"/>
  <c r="M91" i="1"/>
  <c r="O91" i="1"/>
  <c r="R91" i="1"/>
  <c r="S91" i="1"/>
  <c r="V91" i="1"/>
  <c r="W91" i="1"/>
  <c r="X91" i="1"/>
  <c r="Y91" i="1"/>
  <c r="Z91" i="1"/>
  <c r="AA91" i="1"/>
  <c r="AB91" i="1"/>
  <c r="AC91" i="1"/>
  <c r="C91" i="1"/>
  <c r="C54" i="1"/>
  <c r="C84" i="1" s="1"/>
  <c r="H91" i="1" l="1"/>
  <c r="G61" i="1"/>
  <c r="Q91" i="1"/>
  <c r="P91" i="1"/>
  <c r="L91" i="1"/>
  <c r="U91" i="1"/>
  <c r="T91" i="1" s="1"/>
  <c r="G91" i="1" l="1"/>
  <c r="G33" i="1"/>
  <c r="F48" i="1"/>
  <c r="H48" i="1"/>
  <c r="I48" i="1"/>
  <c r="I78" i="1" s="1"/>
  <c r="L48" i="1"/>
  <c r="M48" i="1"/>
  <c r="M78" i="1" s="1"/>
  <c r="O48" i="1"/>
  <c r="O78" i="1" s="1"/>
  <c r="Q48" i="1"/>
  <c r="R78" i="1"/>
  <c r="S48" i="1"/>
  <c r="S78" i="1" s="1"/>
  <c r="U48" i="1"/>
  <c r="V48" i="1"/>
  <c r="V78" i="1" s="1"/>
  <c r="W48" i="1"/>
  <c r="W78" i="1" s="1"/>
  <c r="X48" i="1"/>
  <c r="X78" i="1" s="1"/>
  <c r="Y48" i="1"/>
  <c r="Y78" i="1" s="1"/>
  <c r="Z48" i="1"/>
  <c r="Z78" i="1" s="1"/>
  <c r="AA48" i="1"/>
  <c r="AA78" i="1" s="1"/>
  <c r="AB48" i="1"/>
  <c r="AB78" i="1" s="1"/>
  <c r="AC48" i="1"/>
  <c r="AC78" i="1" s="1"/>
  <c r="F49" i="1"/>
  <c r="H49" i="1"/>
  <c r="I49" i="1"/>
  <c r="I79" i="1" s="1"/>
  <c r="L49" i="1"/>
  <c r="M49" i="1"/>
  <c r="M79" i="1" s="1"/>
  <c r="O49" i="1"/>
  <c r="O79" i="1" s="1"/>
  <c r="Q49" i="1"/>
  <c r="R49" i="1"/>
  <c r="S49" i="1"/>
  <c r="S79" i="1" s="1"/>
  <c r="U49" i="1"/>
  <c r="V49" i="1"/>
  <c r="V79" i="1" s="1"/>
  <c r="W49" i="1"/>
  <c r="W79" i="1" s="1"/>
  <c r="X49" i="1"/>
  <c r="X79" i="1" s="1"/>
  <c r="Y49" i="1"/>
  <c r="Y79" i="1" s="1"/>
  <c r="Z49" i="1"/>
  <c r="Z79" i="1" s="1"/>
  <c r="AA49" i="1"/>
  <c r="AA79" i="1" s="1"/>
  <c r="AB49" i="1"/>
  <c r="AB79" i="1" s="1"/>
  <c r="AC49" i="1"/>
  <c r="AC79" i="1" s="1"/>
  <c r="E48" i="1"/>
  <c r="E78" i="1" s="1"/>
  <c r="E49" i="1"/>
  <c r="E79" i="1" s="1"/>
  <c r="F42" i="1"/>
  <c r="D47" i="1"/>
  <c r="D77" i="1" s="1"/>
  <c r="D48" i="1"/>
  <c r="D78" i="1" s="1"/>
  <c r="C48" i="1"/>
  <c r="C49" i="1"/>
  <c r="D49" i="1"/>
  <c r="D79" i="1" s="1"/>
  <c r="Q78" i="1" l="1"/>
  <c r="P48" i="1"/>
  <c r="P78" i="1" s="1"/>
  <c r="L79" i="1"/>
  <c r="K49" i="1"/>
  <c r="U79" i="1"/>
  <c r="T79" i="1" s="1"/>
  <c r="T49" i="1"/>
  <c r="U78" i="1"/>
  <c r="T78" i="1" s="1"/>
  <c r="T48" i="1"/>
  <c r="Q79" i="1"/>
  <c r="P49" i="1"/>
  <c r="P79" i="1" s="1"/>
  <c r="L78" i="1"/>
  <c r="K48" i="1"/>
  <c r="H79" i="1"/>
  <c r="G49" i="1"/>
  <c r="G79" i="1" s="1"/>
  <c r="H78" i="1"/>
  <c r="G48" i="1"/>
  <c r="G78" i="1" s="1"/>
  <c r="R79" i="1"/>
  <c r="F72" i="1"/>
  <c r="F79" i="1"/>
  <c r="F78" i="1"/>
  <c r="C78" i="1"/>
  <c r="C79" i="1"/>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G67" i="2" s="1"/>
  <c r="E332" i="3"/>
  <c r="E333" i="3"/>
  <c r="E334" i="3"/>
  <c r="G78" i="2" s="1"/>
  <c r="G86" i="2" s="1"/>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C209" i="3"/>
  <c r="E209" i="3" s="1"/>
  <c r="C210" i="3"/>
  <c r="E210" i="3" s="1"/>
  <c r="C211" i="3"/>
  <c r="E211" i="3" s="1"/>
  <c r="C212" i="3"/>
  <c r="E212" i="3" s="1"/>
  <c r="C213" i="3"/>
  <c r="E213" i="3" s="1"/>
  <c r="C214" i="3"/>
  <c r="E214" i="3" s="1"/>
  <c r="C215" i="3"/>
  <c r="E215" i="3" s="1"/>
  <c r="C216" i="3"/>
  <c r="E216" i="3" s="1"/>
  <c r="C217" i="3"/>
  <c r="E217" i="3" s="1"/>
  <c r="C218" i="3"/>
  <c r="E218" i="3" s="1"/>
  <c r="C219" i="3"/>
  <c r="E219" i="3" s="1"/>
  <c r="C220" i="3"/>
  <c r="E220" i="3" s="1"/>
  <c r="C221" i="3"/>
  <c r="E221" i="3" s="1"/>
  <c r="E222" i="3"/>
  <c r="E223" i="3"/>
  <c r="C224" i="3"/>
  <c r="E224" i="3" s="1"/>
  <c r="C225" i="3"/>
  <c r="E225" i="3" s="1"/>
  <c r="C226" i="3"/>
  <c r="E226" i="3" s="1"/>
  <c r="C227" i="3"/>
  <c r="E227" i="3" s="1"/>
  <c r="C228" i="3"/>
  <c r="E228" i="3" s="1"/>
  <c r="C229" i="3"/>
  <c r="E229" i="3" s="1"/>
  <c r="C230" i="3"/>
  <c r="E230" i="3" s="1"/>
  <c r="C231" i="3"/>
  <c r="E231" i="3" s="1"/>
  <c r="C232" i="3"/>
  <c r="E232" i="3" s="1"/>
  <c r="C233" i="3"/>
  <c r="E233" i="3" s="1"/>
  <c r="C234" i="3"/>
  <c r="E234" i="3" s="1"/>
  <c r="C235" i="3"/>
  <c r="E235" i="3" s="1"/>
  <c r="C236" i="3"/>
  <c r="E236" i="3" s="1"/>
  <c r="C237" i="3"/>
  <c r="E237" i="3" s="1"/>
  <c r="C238" i="3"/>
  <c r="E238" i="3" s="1"/>
  <c r="C239" i="3"/>
  <c r="E239" i="3" s="1"/>
  <c r="C240" i="3"/>
  <c r="E240" i="3" s="1"/>
  <c r="C241" i="3"/>
  <c r="E241" i="3" s="1"/>
  <c r="C242" i="3"/>
  <c r="E242" i="3" s="1"/>
  <c r="C243" i="3"/>
  <c r="E243" i="3" s="1"/>
  <c r="C244" i="3"/>
  <c r="E244" i="3" s="1"/>
  <c r="C245" i="3"/>
  <c r="E245" i="3" s="1"/>
  <c r="C246" i="3"/>
  <c r="E246" i="3" s="1"/>
  <c r="C247" i="3"/>
  <c r="E247" i="3" s="1"/>
  <c r="C248" i="3"/>
  <c r="E248" i="3" s="1"/>
  <c r="C249" i="3"/>
  <c r="E249" i="3" s="1"/>
  <c r="C250" i="3"/>
  <c r="E250" i="3" s="1"/>
  <c r="C251" i="3"/>
  <c r="E251" i="3" s="1"/>
  <c r="C252" i="3"/>
  <c r="E252" i="3" s="1"/>
  <c r="C253" i="3"/>
  <c r="E253" i="3" s="1"/>
  <c r="C254" i="3"/>
  <c r="E254" i="3" s="1"/>
  <c r="C255" i="3"/>
  <c r="E255" i="3" s="1"/>
  <c r="C256" i="3"/>
  <c r="E256" i="3" s="1"/>
  <c r="C257" i="3"/>
  <c r="E257" i="3" s="1"/>
  <c r="C258" i="3"/>
  <c r="E258" i="3" s="1"/>
  <c r="C259" i="3"/>
  <c r="E259" i="3" s="1"/>
  <c r="C260" i="3"/>
  <c r="E260" i="3" s="1"/>
  <c r="C261" i="3"/>
  <c r="E261" i="3" s="1"/>
  <c r="C262" i="3"/>
  <c r="E262" i="3" s="1"/>
  <c r="C263" i="3"/>
  <c r="E263" i="3" s="1"/>
  <c r="C264" i="3"/>
  <c r="E264" i="3" s="1"/>
  <c r="C265" i="3"/>
  <c r="E265" i="3" s="1"/>
  <c r="C266" i="3"/>
  <c r="E266" i="3" s="1"/>
  <c r="C267" i="3"/>
  <c r="E267" i="3" s="1"/>
  <c r="C268" i="3"/>
  <c r="E268" i="3" s="1"/>
  <c r="C269" i="3"/>
  <c r="E269" i="3" s="1"/>
  <c r="C270" i="3"/>
  <c r="E270" i="3" s="1"/>
  <c r="C271" i="3"/>
  <c r="E271" i="3" s="1"/>
  <c r="C272" i="3"/>
  <c r="E272" i="3" s="1"/>
  <c r="C273" i="3"/>
  <c r="E273" i="3" s="1"/>
  <c r="C274" i="3"/>
  <c r="E274" i="3" s="1"/>
  <c r="C275" i="3"/>
  <c r="E275" i="3" s="1"/>
  <c r="C276" i="3"/>
  <c r="E276" i="3" s="1"/>
  <c r="C277" i="3"/>
  <c r="E277" i="3" s="1"/>
  <c r="C278" i="3"/>
  <c r="E278" i="3" s="1"/>
  <c r="C279" i="3"/>
  <c r="E279" i="3" s="1"/>
  <c r="C280" i="3"/>
  <c r="E280" i="3" s="1"/>
  <c r="C281" i="3"/>
  <c r="E281" i="3" s="1"/>
  <c r="C282" i="3"/>
  <c r="E282" i="3" s="1"/>
  <c r="C283" i="3"/>
  <c r="E283" i="3" s="1"/>
  <c r="C284" i="3"/>
  <c r="E284" i="3" s="1"/>
  <c r="C131" i="3"/>
  <c r="E131" i="3" s="1"/>
  <c r="C132" i="3"/>
  <c r="E132" i="3" s="1"/>
  <c r="C133" i="3"/>
  <c r="E133" i="3" s="1"/>
  <c r="C134" i="3"/>
  <c r="E134" i="3" s="1"/>
  <c r="C135" i="3"/>
  <c r="E135" i="3" s="1"/>
  <c r="C136" i="3"/>
  <c r="E136" i="3" s="1"/>
  <c r="C137" i="3"/>
  <c r="E137" i="3" s="1"/>
  <c r="C138" i="3"/>
  <c r="E138" i="3" s="1"/>
  <c r="C139" i="3"/>
  <c r="E139" i="3" s="1"/>
  <c r="C140" i="3"/>
  <c r="E140" i="3" s="1"/>
  <c r="C141" i="3"/>
  <c r="E141" i="3" s="1"/>
  <c r="C142" i="3"/>
  <c r="E142" i="3" s="1"/>
  <c r="C143" i="3"/>
  <c r="E143" i="3" s="1"/>
  <c r="E144" i="3"/>
  <c r="E145" i="3"/>
  <c r="C146" i="3"/>
  <c r="E146" i="3" s="1"/>
  <c r="C147" i="3"/>
  <c r="E147" i="3" s="1"/>
  <c r="C148" i="3"/>
  <c r="E148" i="3" s="1"/>
  <c r="C149" i="3"/>
  <c r="E149" i="3" s="1"/>
  <c r="C150" i="3"/>
  <c r="E150" i="3" s="1"/>
  <c r="C151" i="3"/>
  <c r="E151" i="3" s="1"/>
  <c r="C152" i="3"/>
  <c r="E152" i="3" s="1"/>
  <c r="C153" i="3"/>
  <c r="E153" i="3" s="1"/>
  <c r="C154" i="3"/>
  <c r="E154" i="3" s="1"/>
  <c r="C155" i="3"/>
  <c r="E155" i="3" s="1"/>
  <c r="C156" i="3"/>
  <c r="E156" i="3" s="1"/>
  <c r="C157" i="3"/>
  <c r="E157" i="3" s="1"/>
  <c r="C158" i="3"/>
  <c r="E158" i="3" s="1"/>
  <c r="C159" i="3"/>
  <c r="E159" i="3" s="1"/>
  <c r="C160" i="3"/>
  <c r="E160" i="3" s="1"/>
  <c r="C161" i="3"/>
  <c r="E161" i="3" s="1"/>
  <c r="C162" i="3"/>
  <c r="E162" i="3" s="1"/>
  <c r="C163" i="3"/>
  <c r="E163" i="3" s="1"/>
  <c r="C164" i="3"/>
  <c r="E164" i="3" s="1"/>
  <c r="C165" i="3"/>
  <c r="E165" i="3" s="1"/>
  <c r="C166" i="3"/>
  <c r="E166" i="3" s="1"/>
  <c r="C167" i="3"/>
  <c r="E167" i="3" s="1"/>
  <c r="C168" i="3"/>
  <c r="E168" i="3" s="1"/>
  <c r="C169" i="3"/>
  <c r="E169" i="3" s="1"/>
  <c r="C170" i="3"/>
  <c r="E170" i="3" s="1"/>
  <c r="C171" i="3"/>
  <c r="E171" i="3" s="1"/>
  <c r="C172" i="3"/>
  <c r="E172" i="3" s="1"/>
  <c r="C173" i="3"/>
  <c r="E173" i="3" s="1"/>
  <c r="C174" i="3"/>
  <c r="E174" i="3" s="1"/>
  <c r="C175" i="3"/>
  <c r="E175" i="3" s="1"/>
  <c r="C176" i="3"/>
  <c r="E176" i="3" s="1"/>
  <c r="C177" i="3"/>
  <c r="E177" i="3" s="1"/>
  <c r="C178" i="3"/>
  <c r="E178" i="3" s="1"/>
  <c r="C179" i="3"/>
  <c r="E179" i="3" s="1"/>
  <c r="C180" i="3"/>
  <c r="E180" i="3" s="1"/>
  <c r="C181" i="3"/>
  <c r="E181" i="3" s="1"/>
  <c r="C182" i="3"/>
  <c r="E182" i="3" s="1"/>
  <c r="C183" i="3"/>
  <c r="E183" i="3" s="1"/>
  <c r="C184" i="3"/>
  <c r="E184" i="3" s="1"/>
  <c r="C185" i="3"/>
  <c r="E185" i="3" s="1"/>
  <c r="C186" i="3"/>
  <c r="E186" i="3" s="1"/>
  <c r="C187" i="3"/>
  <c r="E187" i="3" s="1"/>
  <c r="C188" i="3"/>
  <c r="E188" i="3" s="1"/>
  <c r="C189" i="3"/>
  <c r="E189" i="3" s="1"/>
  <c r="C190" i="3"/>
  <c r="E190" i="3" s="1"/>
  <c r="C191" i="3"/>
  <c r="E191" i="3" s="1"/>
  <c r="C192" i="3"/>
  <c r="E192" i="3" s="1"/>
  <c r="C193" i="3"/>
  <c r="E193" i="3" s="1"/>
  <c r="C194" i="3"/>
  <c r="E194" i="3" s="1"/>
  <c r="C195" i="3"/>
  <c r="E195" i="3" s="1"/>
  <c r="C196" i="3"/>
  <c r="E196" i="3" s="1"/>
  <c r="C197" i="3"/>
  <c r="E197" i="3" s="1"/>
  <c r="C198" i="3"/>
  <c r="E198" i="3" s="1"/>
  <c r="C199" i="3"/>
  <c r="E199" i="3" s="1"/>
  <c r="C200" i="3"/>
  <c r="E200" i="3" s="1"/>
  <c r="C201" i="3"/>
  <c r="E201" i="3" s="1"/>
  <c r="C202" i="3"/>
  <c r="E202" i="3" s="1"/>
  <c r="C203" i="3"/>
  <c r="E203" i="3" s="1"/>
  <c r="C204" i="3"/>
  <c r="E204" i="3" s="1"/>
  <c r="C205" i="3"/>
  <c r="E205" i="3" s="1"/>
  <c r="C206" i="3"/>
  <c r="E206" i="3" s="1"/>
  <c r="T99" i="2" l="1"/>
  <c r="T103" i="2" s="1"/>
  <c r="B48" i="1"/>
  <c r="K78" i="1"/>
  <c r="B78" i="1" s="1"/>
  <c r="B49" i="1"/>
  <c r="K79" i="1"/>
  <c r="B79" i="1" s="1"/>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09" i="3"/>
  <c r="D210" i="3"/>
  <c r="D211" i="3"/>
  <c r="D212" i="3"/>
  <c r="D213" i="3"/>
  <c r="D214" i="3"/>
  <c r="D215" i="3"/>
  <c r="D216" i="3"/>
  <c r="D217" i="3"/>
  <c r="D218" i="3"/>
  <c r="E128" i="3" l="1"/>
  <c r="E81" i="3"/>
  <c r="D131" i="3" l="1"/>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E92" i="3" l="1"/>
  <c r="C47" i="3" l="1"/>
  <c r="E122" i="3" l="1"/>
  <c r="E123" i="3" l="1"/>
  <c r="E124" i="3" l="1"/>
  <c r="E127" i="3"/>
  <c r="E125" i="3"/>
  <c r="E126" i="3"/>
  <c r="O154" i="6"/>
  <c r="O153" i="6"/>
  <c r="O151" i="6"/>
  <c r="O150" i="6"/>
  <c r="O149" i="6"/>
  <c r="O148" i="6"/>
  <c r="O147" i="6"/>
  <c r="O146" i="6"/>
  <c r="Y57" i="6"/>
  <c r="X57" i="6"/>
  <c r="W57" i="6"/>
  <c r="V57" i="6"/>
  <c r="U57" i="6"/>
  <c r="T57" i="6"/>
  <c r="S57" i="6"/>
  <c r="R57" i="6"/>
  <c r="Q57" i="6"/>
  <c r="P57" i="6"/>
  <c r="O57" i="6"/>
  <c r="N57" i="6"/>
  <c r="M57" i="6"/>
  <c r="L57" i="6"/>
  <c r="K57" i="6"/>
  <c r="J57" i="6"/>
  <c r="I57" i="6"/>
  <c r="H57" i="6"/>
  <c r="G57" i="6"/>
  <c r="F57" i="6"/>
  <c r="E57" i="6"/>
  <c r="D57" i="6"/>
  <c r="AB48" i="6"/>
  <c r="Z106" i="6" s="1"/>
  <c r="AA48" i="6"/>
  <c r="Y106" i="6" s="1"/>
  <c r="Z48" i="6"/>
  <c r="X106" i="6" s="1"/>
  <c r="Y48" i="6"/>
  <c r="W106" i="6" s="1"/>
  <c r="X48" i="6"/>
  <c r="V106" i="6" s="1"/>
  <c r="W48" i="6"/>
  <c r="U106" i="6" s="1"/>
  <c r="V48" i="6"/>
  <c r="T106" i="6" s="1"/>
  <c r="U48" i="6"/>
  <c r="S106" i="6" s="1"/>
  <c r="T48" i="6"/>
  <c r="R106" i="6" s="1"/>
  <c r="S48" i="6"/>
  <c r="Q106" i="6" s="1"/>
  <c r="R48" i="6"/>
  <c r="P106" i="6" s="1"/>
  <c r="Q48" i="6"/>
  <c r="O106" i="6" s="1"/>
  <c r="P48" i="6"/>
  <c r="O48" i="6"/>
  <c r="M106" i="6" s="1"/>
  <c r="N48" i="6"/>
  <c r="L106" i="6" s="1"/>
  <c r="M48" i="6"/>
  <c r="L48" i="6"/>
  <c r="K48" i="6"/>
  <c r="J48" i="6"/>
  <c r="J106" i="6" s="1"/>
  <c r="I48" i="6"/>
  <c r="I106" i="6" s="1"/>
  <c r="H48" i="6"/>
  <c r="H106" i="6" s="1"/>
  <c r="G48" i="6"/>
  <c r="G106" i="6" s="1"/>
  <c r="F48" i="6"/>
  <c r="F106" i="6" s="1"/>
  <c r="E48" i="6"/>
  <c r="D48" i="6"/>
  <c r="D106" i="6" s="1"/>
  <c r="AB47" i="6"/>
  <c r="Z105" i="6" s="1"/>
  <c r="Z47" i="6"/>
  <c r="X105" i="6" s="1"/>
  <c r="Y47" i="6"/>
  <c r="W105" i="6" s="1"/>
  <c r="X47" i="6"/>
  <c r="V105" i="6" s="1"/>
  <c r="T47" i="6"/>
  <c r="R105" i="6" s="1"/>
  <c r="Q47" i="6"/>
  <c r="O105" i="6" s="1"/>
  <c r="O47" i="6"/>
  <c r="M105" i="6" s="1"/>
  <c r="AB46" i="6"/>
  <c r="Z104" i="6" s="1"/>
  <c r="Z46" i="6"/>
  <c r="X104" i="6" s="1"/>
  <c r="Y46" i="6"/>
  <c r="W104" i="6" s="1"/>
  <c r="X46" i="6"/>
  <c r="V104" i="6" s="1"/>
  <c r="T46" i="6"/>
  <c r="R104" i="6" s="1"/>
  <c r="Q46" i="6"/>
  <c r="O104" i="6" s="1"/>
  <c r="O46" i="6"/>
  <c r="M104" i="6" s="1"/>
  <c r="AB45" i="6"/>
  <c r="Z103" i="6" s="1"/>
  <c r="Z45" i="6"/>
  <c r="X103" i="6" s="1"/>
  <c r="Y45" i="6"/>
  <c r="W103" i="6" s="1"/>
  <c r="X45" i="6"/>
  <c r="V103" i="6" s="1"/>
  <c r="T45" i="6"/>
  <c r="R103" i="6" s="1"/>
  <c r="Q45" i="6"/>
  <c r="O103" i="6" s="1"/>
  <c r="O45" i="6"/>
  <c r="M103" i="6" s="1"/>
  <c r="AB44" i="6"/>
  <c r="Z102" i="6" s="1"/>
  <c r="Z44" i="6"/>
  <c r="X102" i="6" s="1"/>
  <c r="Y44" i="6"/>
  <c r="W102" i="6" s="1"/>
  <c r="X44" i="6"/>
  <c r="V102" i="6" s="1"/>
  <c r="T44" i="6"/>
  <c r="R102" i="6" s="1"/>
  <c r="Q44" i="6"/>
  <c r="O102" i="6" s="1"/>
  <c r="O44" i="6"/>
  <c r="M102" i="6" s="1"/>
  <c r="AB43" i="6"/>
  <c r="Z101" i="6" s="1"/>
  <c r="Z43" i="6"/>
  <c r="X101" i="6" s="1"/>
  <c r="Y43" i="6"/>
  <c r="W101" i="6" s="1"/>
  <c r="X43" i="6"/>
  <c r="V101" i="6" s="1"/>
  <c r="T43" i="6"/>
  <c r="R101" i="6" s="1"/>
  <c r="Q43" i="6"/>
  <c r="O101" i="6" s="1"/>
  <c r="O43" i="6"/>
  <c r="M101" i="6" s="1"/>
  <c r="AB42" i="6"/>
  <c r="Z100" i="6" s="1"/>
  <c r="Z42" i="6"/>
  <c r="X100" i="6" s="1"/>
  <c r="Y42" i="6"/>
  <c r="X42" i="6"/>
  <c r="V100" i="6" s="1"/>
  <c r="T42" i="6"/>
  <c r="R100" i="6" s="1"/>
  <c r="Q42" i="6"/>
  <c r="O42" i="6"/>
  <c r="AB40" i="6"/>
  <c r="Z98" i="6" s="1"/>
  <c r="Z40" i="6"/>
  <c r="X98" i="6" s="1"/>
  <c r="Y40" i="6"/>
  <c r="W98" i="6" s="1"/>
  <c r="X40" i="6"/>
  <c r="V98" i="6" s="1"/>
  <c r="T40" i="6"/>
  <c r="R98" i="6" s="1"/>
  <c r="Q40" i="6"/>
  <c r="O98" i="6" s="1"/>
  <c r="O40" i="6"/>
  <c r="M98" i="6" s="1"/>
  <c r="AB39" i="6"/>
  <c r="Z97" i="6" s="1"/>
  <c r="Z39" i="6"/>
  <c r="X97" i="6" s="1"/>
  <c r="Y39" i="6"/>
  <c r="W97" i="6" s="1"/>
  <c r="X39" i="6"/>
  <c r="V97" i="6" s="1"/>
  <c r="T39" i="6"/>
  <c r="R97" i="6" s="1"/>
  <c r="Q39" i="6"/>
  <c r="O97" i="6" s="1"/>
  <c r="O39" i="6"/>
  <c r="M97" i="6" s="1"/>
  <c r="AB38" i="6"/>
  <c r="Z96" i="6" s="1"/>
  <c r="Z38" i="6"/>
  <c r="X96" i="6" s="1"/>
  <c r="Y38" i="6"/>
  <c r="W96" i="6" s="1"/>
  <c r="X38" i="6"/>
  <c r="V96" i="6" s="1"/>
  <c r="T38" i="6"/>
  <c r="R96" i="6" s="1"/>
  <c r="Q38" i="6"/>
  <c r="O96" i="6" s="1"/>
  <c r="O38" i="6"/>
  <c r="M96" i="6" s="1"/>
  <c r="AB37" i="6"/>
  <c r="Z95" i="6" s="1"/>
  <c r="Z37" i="6"/>
  <c r="X95" i="6" s="1"/>
  <c r="Y37" i="6"/>
  <c r="W95" i="6" s="1"/>
  <c r="X37" i="6"/>
  <c r="V95" i="6" s="1"/>
  <c r="T37" i="6"/>
  <c r="R95" i="6" s="1"/>
  <c r="Q37" i="6"/>
  <c r="O95" i="6" s="1"/>
  <c r="O37" i="6"/>
  <c r="M95" i="6" s="1"/>
  <c r="AB36" i="6"/>
  <c r="Z94" i="6" s="1"/>
  <c r="Z36" i="6"/>
  <c r="X94" i="6" s="1"/>
  <c r="Y36" i="6"/>
  <c r="W94" i="6" s="1"/>
  <c r="X36" i="6"/>
  <c r="V94" i="6" s="1"/>
  <c r="T36" i="6"/>
  <c r="R94" i="6" s="1"/>
  <c r="Q36" i="6"/>
  <c r="O94" i="6" s="1"/>
  <c r="O36" i="6"/>
  <c r="M94" i="6" s="1"/>
  <c r="AB35" i="6"/>
  <c r="Z93" i="6" s="1"/>
  <c r="Z35" i="6"/>
  <c r="X93" i="6" s="1"/>
  <c r="Y35" i="6"/>
  <c r="W93" i="6" s="1"/>
  <c r="X35" i="6"/>
  <c r="V93" i="6" s="1"/>
  <c r="T35" i="6"/>
  <c r="R93" i="6" s="1"/>
  <c r="Q35" i="6"/>
  <c r="O93" i="6" s="1"/>
  <c r="O35" i="6"/>
  <c r="M93" i="6" s="1"/>
  <c r="AB34" i="6"/>
  <c r="Z92" i="6" s="1"/>
  <c r="Z34" i="6"/>
  <c r="X92" i="6" s="1"/>
  <c r="Y34" i="6"/>
  <c r="W92" i="6" s="1"/>
  <c r="X34" i="6"/>
  <c r="V92" i="6" s="1"/>
  <c r="T34" i="6"/>
  <c r="R92" i="6" s="1"/>
  <c r="Q34" i="6"/>
  <c r="O92" i="6" s="1"/>
  <c r="O34" i="6"/>
  <c r="M92" i="6" s="1"/>
  <c r="AB33" i="6"/>
  <c r="Z91" i="6" s="1"/>
  <c r="Z33" i="6"/>
  <c r="X91" i="6" s="1"/>
  <c r="Y33" i="6"/>
  <c r="W91" i="6" s="1"/>
  <c r="X33" i="6"/>
  <c r="V91" i="6" s="1"/>
  <c r="T33" i="6"/>
  <c r="R91" i="6" s="1"/>
  <c r="Q33" i="6"/>
  <c r="O91" i="6" s="1"/>
  <c r="O33" i="6"/>
  <c r="M91" i="6" s="1"/>
  <c r="AB32" i="6"/>
  <c r="Z90" i="6" s="1"/>
  <c r="Z32" i="6"/>
  <c r="X90" i="6" s="1"/>
  <c r="Y32" i="6"/>
  <c r="W90" i="6" s="1"/>
  <c r="X32" i="6"/>
  <c r="V90" i="6" s="1"/>
  <c r="T32" i="6"/>
  <c r="R90" i="6" s="1"/>
  <c r="Q32" i="6"/>
  <c r="O90" i="6" s="1"/>
  <c r="O32" i="6"/>
  <c r="M90" i="6" s="1"/>
  <c r="AB30" i="6"/>
  <c r="Z88" i="6" s="1"/>
  <c r="Z30" i="6"/>
  <c r="X88" i="6" s="1"/>
  <c r="Y30" i="6"/>
  <c r="W88" i="6" s="1"/>
  <c r="X30" i="6"/>
  <c r="V88" i="6" s="1"/>
  <c r="T30" i="6"/>
  <c r="R88" i="6" s="1"/>
  <c r="Q30" i="6"/>
  <c r="O88" i="6" s="1"/>
  <c r="O30" i="6"/>
  <c r="M88" i="6" s="1"/>
  <c r="AB29" i="6"/>
  <c r="Z87" i="6" s="1"/>
  <c r="Z29" i="6"/>
  <c r="X87" i="6" s="1"/>
  <c r="Y29" i="6"/>
  <c r="W87" i="6" s="1"/>
  <c r="X29" i="6"/>
  <c r="V87" i="6" s="1"/>
  <c r="T29" i="6"/>
  <c r="R87" i="6" s="1"/>
  <c r="Q29" i="6"/>
  <c r="O87" i="6" s="1"/>
  <c r="O29" i="6"/>
  <c r="M87" i="6" s="1"/>
  <c r="AB28" i="6"/>
  <c r="Z86" i="6" s="1"/>
  <c r="Z28" i="6"/>
  <c r="X86" i="6" s="1"/>
  <c r="Y28" i="6"/>
  <c r="W86" i="6" s="1"/>
  <c r="X28" i="6"/>
  <c r="V86" i="6" s="1"/>
  <c r="T28" i="6"/>
  <c r="R86" i="6" s="1"/>
  <c r="Q28" i="6"/>
  <c r="O86" i="6" s="1"/>
  <c r="O28" i="6"/>
  <c r="M86" i="6" s="1"/>
  <c r="AB27" i="6"/>
  <c r="Z85" i="6" s="1"/>
  <c r="Z27" i="6"/>
  <c r="X85" i="6" s="1"/>
  <c r="Y27" i="6"/>
  <c r="W85" i="6" s="1"/>
  <c r="X27" i="6"/>
  <c r="V85" i="6" s="1"/>
  <c r="T27" i="6"/>
  <c r="R85" i="6" s="1"/>
  <c r="Q27" i="6"/>
  <c r="O85" i="6" s="1"/>
  <c r="O27" i="6"/>
  <c r="M85" i="6" s="1"/>
  <c r="AB26" i="6"/>
  <c r="Z84" i="6" s="1"/>
  <c r="Z26" i="6"/>
  <c r="X84" i="6" s="1"/>
  <c r="Y26" i="6"/>
  <c r="W84" i="6" s="1"/>
  <c r="X26" i="6"/>
  <c r="V84" i="6" s="1"/>
  <c r="T26" i="6"/>
  <c r="R84" i="6" s="1"/>
  <c r="Q26" i="6"/>
  <c r="O84" i="6" s="1"/>
  <c r="O26" i="6"/>
  <c r="M84" i="6" s="1"/>
  <c r="AB25" i="6"/>
  <c r="Z83" i="6" s="1"/>
  <c r="Z25" i="6"/>
  <c r="X83" i="6" s="1"/>
  <c r="Y25" i="6"/>
  <c r="W83" i="6" s="1"/>
  <c r="X25" i="6"/>
  <c r="V83" i="6" s="1"/>
  <c r="T25" i="6"/>
  <c r="R83" i="6" s="1"/>
  <c r="Q25" i="6"/>
  <c r="O83" i="6" s="1"/>
  <c r="O25" i="6"/>
  <c r="M83" i="6" s="1"/>
  <c r="AB24" i="6"/>
  <c r="Z82" i="6" s="1"/>
  <c r="Z24" i="6"/>
  <c r="X82" i="6" s="1"/>
  <c r="Y24" i="6"/>
  <c r="W82" i="6" s="1"/>
  <c r="X24" i="6"/>
  <c r="V82" i="6" s="1"/>
  <c r="T24" i="6"/>
  <c r="R82" i="6" s="1"/>
  <c r="Q24" i="6"/>
  <c r="O82" i="6" s="1"/>
  <c r="O24" i="6"/>
  <c r="M82" i="6" s="1"/>
  <c r="AB23" i="6"/>
  <c r="Z81" i="6" s="1"/>
  <c r="Z23" i="6"/>
  <c r="X81" i="6" s="1"/>
  <c r="Y23" i="6"/>
  <c r="W81" i="6" s="1"/>
  <c r="X23" i="6"/>
  <c r="V81" i="6" s="1"/>
  <c r="T23" i="6"/>
  <c r="R81" i="6" s="1"/>
  <c r="Q23" i="6"/>
  <c r="O81" i="6" s="1"/>
  <c r="O23" i="6"/>
  <c r="M81" i="6" s="1"/>
  <c r="AB22" i="6"/>
  <c r="Z80" i="6" s="1"/>
  <c r="Z22" i="6"/>
  <c r="X80" i="6" s="1"/>
  <c r="Y22" i="6"/>
  <c r="W80" i="6" s="1"/>
  <c r="X22" i="6"/>
  <c r="V80" i="6" s="1"/>
  <c r="T22" i="6"/>
  <c r="R80" i="6" s="1"/>
  <c r="Q22" i="6"/>
  <c r="O80" i="6" s="1"/>
  <c r="O22" i="6"/>
  <c r="M80" i="6" s="1"/>
  <c r="AB21" i="6"/>
  <c r="Z79" i="6" s="1"/>
  <c r="Z21" i="6"/>
  <c r="X79" i="6" s="1"/>
  <c r="Y21" i="6"/>
  <c r="W79" i="6" s="1"/>
  <c r="X21" i="6"/>
  <c r="V79" i="6" s="1"/>
  <c r="T21" i="6"/>
  <c r="R79" i="6" s="1"/>
  <c r="Q21" i="6"/>
  <c r="O79" i="6" s="1"/>
  <c r="O21" i="6"/>
  <c r="M79" i="6" s="1"/>
  <c r="AB20" i="6"/>
  <c r="Z78" i="6" s="1"/>
  <c r="Z20" i="6"/>
  <c r="X78" i="6" s="1"/>
  <c r="Y20" i="6"/>
  <c r="W78" i="6" s="1"/>
  <c r="X20" i="6"/>
  <c r="V78" i="6" s="1"/>
  <c r="T20" i="6"/>
  <c r="R78" i="6" s="1"/>
  <c r="Q20" i="6"/>
  <c r="O78" i="6" s="1"/>
  <c r="O20" i="6"/>
  <c r="M78" i="6" s="1"/>
  <c r="AB19" i="6"/>
  <c r="Z77" i="6" s="1"/>
  <c r="Z19" i="6"/>
  <c r="X77" i="6" s="1"/>
  <c r="Y19" i="6"/>
  <c r="W77" i="6" s="1"/>
  <c r="X19" i="6"/>
  <c r="V77" i="6" s="1"/>
  <c r="T19" i="6"/>
  <c r="R77" i="6" s="1"/>
  <c r="Q19" i="6"/>
  <c r="O77" i="6" s="1"/>
  <c r="O19" i="6"/>
  <c r="M77" i="6" s="1"/>
  <c r="AB18" i="6"/>
  <c r="Z76" i="6" s="1"/>
  <c r="Z18" i="6"/>
  <c r="X76" i="6" s="1"/>
  <c r="Y18" i="6"/>
  <c r="W76" i="6" s="1"/>
  <c r="X18" i="6"/>
  <c r="V76" i="6" s="1"/>
  <c r="T18" i="6"/>
  <c r="R76" i="6" s="1"/>
  <c r="Q18" i="6"/>
  <c r="O76" i="6" s="1"/>
  <c r="O18" i="6"/>
  <c r="M76" i="6" s="1"/>
  <c r="AB17" i="6"/>
  <c r="Z17" i="6"/>
  <c r="X75" i="6" s="1"/>
  <c r="Y17" i="6"/>
  <c r="X17" i="6"/>
  <c r="T17" i="6"/>
  <c r="Q17" i="6"/>
  <c r="O17" i="6"/>
  <c r="AB15" i="6"/>
  <c r="Z73" i="6" s="1"/>
  <c r="Z15" i="6"/>
  <c r="X73" i="6" s="1"/>
  <c r="Y15" i="6"/>
  <c r="W73" i="6" s="1"/>
  <c r="X15" i="6"/>
  <c r="V73" i="6" s="1"/>
  <c r="T15" i="6"/>
  <c r="R73" i="6" s="1"/>
  <c r="Q15" i="6"/>
  <c r="O73" i="6" s="1"/>
  <c r="O15" i="6"/>
  <c r="M73" i="6" s="1"/>
  <c r="AB14" i="6"/>
  <c r="Z72" i="6" s="1"/>
  <c r="Z14" i="6"/>
  <c r="X72" i="6" s="1"/>
  <c r="Y14" i="6"/>
  <c r="W72" i="6" s="1"/>
  <c r="X14" i="6"/>
  <c r="V72" i="6" s="1"/>
  <c r="T14" i="6"/>
  <c r="R72" i="6" s="1"/>
  <c r="Q14" i="6"/>
  <c r="O72" i="6" s="1"/>
  <c r="O14" i="6"/>
  <c r="M72" i="6" s="1"/>
  <c r="AB13" i="6"/>
  <c r="Z13" i="6"/>
  <c r="X71" i="6" s="1"/>
  <c r="Y13" i="6"/>
  <c r="W71" i="6" s="1"/>
  <c r="X13" i="6"/>
  <c r="V71" i="6" s="1"/>
  <c r="T13" i="6"/>
  <c r="R71" i="6" s="1"/>
  <c r="Q13" i="6"/>
  <c r="O71" i="6" s="1"/>
  <c r="O13" i="6"/>
  <c r="M71" i="6" s="1"/>
  <c r="AB12" i="6"/>
  <c r="Z12" i="6"/>
  <c r="X70" i="6" s="1"/>
  <c r="Y12" i="6"/>
  <c r="W70" i="6" s="1"/>
  <c r="X12" i="6"/>
  <c r="V70" i="6" s="1"/>
  <c r="T12" i="6"/>
  <c r="R70" i="6" s="1"/>
  <c r="Q12" i="6"/>
  <c r="O70" i="6" s="1"/>
  <c r="O12" i="6"/>
  <c r="AB10" i="6"/>
  <c r="Z68" i="6" s="1"/>
  <c r="Z10" i="6"/>
  <c r="X68" i="6" s="1"/>
  <c r="Y10" i="6"/>
  <c r="W68" i="6" s="1"/>
  <c r="X10" i="6"/>
  <c r="V68" i="6" s="1"/>
  <c r="T10" i="6"/>
  <c r="R68" i="6" s="1"/>
  <c r="Q10" i="6"/>
  <c r="O68" i="6" s="1"/>
  <c r="O10" i="6"/>
  <c r="M68" i="6" s="1"/>
  <c r="AB9" i="6"/>
  <c r="Z67" i="6" s="1"/>
  <c r="AA9" i="6"/>
  <c r="Z9" i="6"/>
  <c r="Y9" i="6"/>
  <c r="X9" i="6"/>
  <c r="V67" i="6" s="1"/>
  <c r="W9" i="6"/>
  <c r="V9" i="6"/>
  <c r="U9" i="6"/>
  <c r="T9" i="6"/>
  <c r="R67" i="6" s="1"/>
  <c r="S9" i="6"/>
  <c r="R9" i="6"/>
  <c r="Q9" i="6"/>
  <c r="P9" i="6"/>
  <c r="N67" i="6" s="1"/>
  <c r="O9" i="6"/>
  <c r="N9" i="6"/>
  <c r="L9" i="6"/>
  <c r="J9" i="6"/>
  <c r="J67" i="6" s="1"/>
  <c r="I9" i="6"/>
  <c r="I67" i="6" s="1"/>
  <c r="H9" i="6"/>
  <c r="G9" i="6"/>
  <c r="F9" i="6"/>
  <c r="F67" i="6" s="1"/>
  <c r="E9" i="6"/>
  <c r="D9" i="6"/>
  <c r="AB8" i="6"/>
  <c r="Z66" i="6" s="1"/>
  <c r="Z8" i="6"/>
  <c r="X66" i="6" s="1"/>
  <c r="Y8" i="6"/>
  <c r="W66" i="6" s="1"/>
  <c r="X8" i="6"/>
  <c r="V66" i="6" s="1"/>
  <c r="T8" i="6"/>
  <c r="R66" i="6" s="1"/>
  <c r="Q8" i="6"/>
  <c r="O66" i="6" s="1"/>
  <c r="O8" i="6"/>
  <c r="M66" i="6" s="1"/>
  <c r="AB7" i="6"/>
  <c r="Z65" i="6" s="1"/>
  <c r="Z7" i="6"/>
  <c r="X65" i="6" s="1"/>
  <c r="Y7" i="6"/>
  <c r="W65" i="6" s="1"/>
  <c r="X7" i="6"/>
  <c r="V65" i="6" s="1"/>
  <c r="T7" i="6"/>
  <c r="R65" i="6" s="1"/>
  <c r="Q7" i="6"/>
  <c r="O65" i="6" s="1"/>
  <c r="O7" i="6"/>
  <c r="M65" i="6" s="1"/>
  <c r="AB6" i="6"/>
  <c r="Z64" i="6" s="1"/>
  <c r="Z6" i="6"/>
  <c r="X64" i="6" s="1"/>
  <c r="Y6" i="6"/>
  <c r="W64" i="6" s="1"/>
  <c r="X6" i="6"/>
  <c r="V64" i="6" s="1"/>
  <c r="T6" i="6"/>
  <c r="R64" i="6" s="1"/>
  <c r="Q6" i="6"/>
  <c r="O64" i="6" s="1"/>
  <c r="O6" i="6"/>
  <c r="M64" i="6" s="1"/>
  <c r="AB5" i="6"/>
  <c r="Z63" i="6" s="1"/>
  <c r="Z5" i="6"/>
  <c r="X63" i="6" s="1"/>
  <c r="Y5" i="6"/>
  <c r="W63" i="6" s="1"/>
  <c r="X5" i="6"/>
  <c r="V63" i="6" s="1"/>
  <c r="T5" i="6"/>
  <c r="R63" i="6" s="1"/>
  <c r="Q5" i="6"/>
  <c r="O63" i="6" s="1"/>
  <c r="O5" i="6"/>
  <c r="M63" i="6" s="1"/>
  <c r="AB4" i="6"/>
  <c r="Z62" i="6" s="1"/>
  <c r="Z4" i="6"/>
  <c r="X62" i="6" s="1"/>
  <c r="Y4" i="6"/>
  <c r="W62" i="6" s="1"/>
  <c r="X4" i="6"/>
  <c r="V62" i="6" s="1"/>
  <c r="T4" i="6"/>
  <c r="R62" i="6" s="1"/>
  <c r="Q4" i="6"/>
  <c r="O62" i="6" s="1"/>
  <c r="O4" i="6"/>
  <c r="M62" i="6" s="1"/>
  <c r="AB3" i="6"/>
  <c r="Z61" i="6" s="1"/>
  <c r="Z3" i="6"/>
  <c r="X61" i="6" s="1"/>
  <c r="Y3" i="6"/>
  <c r="W61" i="6" s="1"/>
  <c r="X3" i="6"/>
  <c r="V61" i="6" s="1"/>
  <c r="T3" i="6"/>
  <c r="R61" i="6" s="1"/>
  <c r="Q3" i="6"/>
  <c r="O61" i="6" s="1"/>
  <c r="O3" i="6"/>
  <c r="M61" i="6" s="1"/>
  <c r="AB2" i="6"/>
  <c r="Z2" i="6"/>
  <c r="Y2" i="6"/>
  <c r="W60" i="6" s="1"/>
  <c r="X2" i="6"/>
  <c r="T2" i="6"/>
  <c r="R60" i="6" s="1"/>
  <c r="Q2" i="6"/>
  <c r="O60" i="6" s="1"/>
  <c r="O2" i="6"/>
  <c r="M60" i="6" s="1"/>
  <c r="AD81" i="4"/>
  <c r="AD80" i="4"/>
  <c r="AC80" i="4"/>
  <c r="AD79" i="4"/>
  <c r="AC79" i="4"/>
  <c r="AD78" i="4"/>
  <c r="AC78" i="4"/>
  <c r="AD77" i="4"/>
  <c r="AC77" i="4"/>
  <c r="AD76" i="4"/>
  <c r="AC76" i="4"/>
  <c r="AD75" i="4"/>
  <c r="AC75" i="4"/>
  <c r="AD74" i="4"/>
  <c r="AC74" i="4"/>
  <c r="AD73" i="4"/>
  <c r="AC73" i="4"/>
  <c r="AD72" i="4"/>
  <c r="AC72" i="4"/>
  <c r="AD71" i="4"/>
  <c r="AC71" i="4"/>
  <c r="AD70" i="4"/>
  <c r="AC70" i="4"/>
  <c r="AD69" i="4"/>
  <c r="AC69" i="4"/>
  <c r="AD68" i="4"/>
  <c r="AC68" i="4"/>
  <c r="AD67" i="4"/>
  <c r="AC67" i="4"/>
  <c r="AD66" i="4"/>
  <c r="AC66" i="4"/>
  <c r="AD65" i="4"/>
  <c r="AC65" i="4"/>
  <c r="AD64" i="4"/>
  <c r="AC64" i="4"/>
  <c r="AD63" i="4"/>
  <c r="AC63" i="4"/>
  <c r="AD62" i="4"/>
  <c r="AC62" i="4"/>
  <c r="AD61" i="4"/>
  <c r="AC61" i="4"/>
  <c r="AD60" i="4"/>
  <c r="AC60" i="4"/>
  <c r="AD59" i="4"/>
  <c r="AC59" i="4"/>
  <c r="AD58" i="4"/>
  <c r="AC58" i="4"/>
  <c r="AD57" i="4"/>
  <c r="AC57" i="4"/>
  <c r="AD56" i="4"/>
  <c r="AC56" i="4"/>
  <c r="AD55" i="4"/>
  <c r="AC55" i="4"/>
  <c r="AD54" i="4"/>
  <c r="AC54" i="4"/>
  <c r="AD53" i="4"/>
  <c r="AC53" i="4"/>
  <c r="AD52" i="4"/>
  <c r="AC52" i="4"/>
  <c r="AD51" i="4"/>
  <c r="AC51" i="4"/>
  <c r="AD50" i="4"/>
  <c r="AC50" i="4"/>
  <c r="AD49" i="4"/>
  <c r="AD48" i="4"/>
  <c r="AC48" i="4"/>
  <c r="AD47" i="4"/>
  <c r="AC47" i="4"/>
  <c r="AD46" i="4"/>
  <c r="AD45" i="4"/>
  <c r="AC45" i="4"/>
  <c r="AD44" i="4"/>
  <c r="AC44" i="4"/>
  <c r="AD43" i="4"/>
  <c r="AC43" i="4"/>
  <c r="AD42" i="4"/>
  <c r="AC42" i="4"/>
  <c r="AD41" i="4"/>
  <c r="AC41" i="4"/>
  <c r="AD40" i="4"/>
  <c r="AC40" i="4"/>
  <c r="AD39" i="4"/>
  <c r="AC39" i="4"/>
  <c r="AD38" i="4"/>
  <c r="AC38" i="4"/>
  <c r="AD37" i="4"/>
  <c r="AC37" i="4"/>
  <c r="AD36" i="4"/>
  <c r="AC36" i="4"/>
  <c r="AD35" i="4"/>
  <c r="AC35" i="4"/>
  <c r="AD34" i="4"/>
  <c r="AC34" i="4"/>
  <c r="AD33" i="4"/>
  <c r="AC33" i="4"/>
  <c r="AD32" i="4"/>
  <c r="AC32" i="4"/>
  <c r="AB32" i="4"/>
  <c r="AA32" i="4"/>
  <c r="Z32" i="4"/>
  <c r="Y32" i="4"/>
  <c r="X32" i="4"/>
  <c r="W32" i="4"/>
  <c r="AB2" i="4"/>
  <c r="AA2" i="4"/>
  <c r="Z2" i="4"/>
  <c r="Y2" i="4"/>
  <c r="X2" i="4"/>
  <c r="W2" i="4"/>
  <c r="V2" i="4"/>
  <c r="U2" i="4"/>
  <c r="T2" i="4"/>
  <c r="S2" i="4"/>
  <c r="R2" i="4"/>
  <c r="Q2" i="4"/>
  <c r="P2" i="4"/>
  <c r="O2" i="4"/>
  <c r="N2" i="4"/>
  <c r="M2" i="4"/>
  <c r="L2" i="4"/>
  <c r="K2" i="4"/>
  <c r="J2" i="4"/>
  <c r="I2" i="4"/>
  <c r="H2" i="4"/>
  <c r="G2" i="4"/>
  <c r="F2" i="4"/>
  <c r="E2" i="4"/>
  <c r="D2" i="4"/>
  <c r="C2" i="4"/>
  <c r="B2" i="4"/>
  <c r="DN86" i="5"/>
  <c r="DM86" i="5"/>
  <c r="DL86" i="5"/>
  <c r="DK86" i="5"/>
  <c r="DJ86" i="5"/>
  <c r="DI86" i="5"/>
  <c r="DH86" i="5"/>
  <c r="DG86" i="5"/>
  <c r="DF86" i="5"/>
  <c r="DE86" i="5"/>
  <c r="DD86" i="5"/>
  <c r="DL72" i="5"/>
  <c r="DK72" i="5"/>
  <c r="DJ72" i="5"/>
  <c r="DI72" i="5"/>
  <c r="DH72" i="5"/>
  <c r="DG72" i="5"/>
  <c r="DF72" i="5"/>
  <c r="DE72" i="5"/>
  <c r="DD72" i="5"/>
  <c r="DP66" i="5"/>
  <c r="DO66" i="5"/>
  <c r="DN66" i="5"/>
  <c r="DM66" i="5"/>
  <c r="DL66" i="5"/>
  <c r="DK66" i="5"/>
  <c r="DJ66" i="5"/>
  <c r="DI66" i="5"/>
  <c r="DH66" i="5"/>
  <c r="DG66" i="5"/>
  <c r="DF66" i="5"/>
  <c r="DE66" i="5"/>
  <c r="DD66" i="5"/>
  <c r="E390" i="3"/>
  <c r="E389" i="3"/>
  <c r="E387" i="3"/>
  <c r="E45" i="1" s="1"/>
  <c r="E75" i="1" s="1"/>
  <c r="E386" i="3"/>
  <c r="E385" i="3"/>
  <c r="E383" i="3"/>
  <c r="E382" i="3"/>
  <c r="E381" i="3"/>
  <c r="I45" i="1" s="1"/>
  <c r="I75" i="1" s="1"/>
  <c r="E380" i="3"/>
  <c r="E379" i="3"/>
  <c r="J45" i="1" s="1"/>
  <c r="D101" i="2"/>
  <c r="W56" i="2"/>
  <c r="E99" i="2"/>
  <c r="E151" i="2" s="1"/>
  <c r="AA59" i="2"/>
  <c r="AA111" i="2" s="1"/>
  <c r="Z36" i="4" s="1"/>
  <c r="AA73" i="2"/>
  <c r="AA74" i="2"/>
  <c r="AA126" i="2" s="1"/>
  <c r="Z51" i="4" s="1"/>
  <c r="F98" i="2"/>
  <c r="F150" i="2" s="1"/>
  <c r="E75" i="4" s="1"/>
  <c r="D98" i="2"/>
  <c r="F99" i="2"/>
  <c r="F151" i="2" s="1"/>
  <c r="D74" i="2"/>
  <c r="D78" i="2"/>
  <c r="F78" i="2"/>
  <c r="F130" i="2" s="1"/>
  <c r="F208" i="3"/>
  <c r="D208" i="3"/>
  <c r="C208" i="3"/>
  <c r="E208" i="3" s="1"/>
  <c r="F130" i="3"/>
  <c r="D130" i="3"/>
  <c r="C130" i="3"/>
  <c r="E130" i="3" s="1"/>
  <c r="E119" i="3"/>
  <c r="E118" i="3"/>
  <c r="E117" i="3"/>
  <c r="E116" i="3"/>
  <c r="E115" i="3"/>
  <c r="E114" i="3"/>
  <c r="E113" i="3"/>
  <c r="E112" i="3"/>
  <c r="R43" i="1" s="1"/>
  <c r="R73" i="1" s="1"/>
  <c r="E111" i="3"/>
  <c r="E110" i="3"/>
  <c r="E109" i="3"/>
  <c r="E108" i="3"/>
  <c r="E107" i="3"/>
  <c r="E106" i="3"/>
  <c r="E105" i="3"/>
  <c r="Q43" i="1" s="1"/>
  <c r="E104" i="3"/>
  <c r="E103" i="3"/>
  <c r="E102" i="3"/>
  <c r="V40" i="1" s="1"/>
  <c r="V70" i="1" s="1"/>
  <c r="E101" i="3"/>
  <c r="E100" i="3"/>
  <c r="E39" i="1" s="1"/>
  <c r="E69" i="1" s="1"/>
  <c r="E99" i="3"/>
  <c r="E98" i="3"/>
  <c r="E97" i="3"/>
  <c r="E96" i="3"/>
  <c r="E43" i="1" s="1"/>
  <c r="E73" i="1" s="1"/>
  <c r="E95" i="3"/>
  <c r="E94" i="3"/>
  <c r="I39" i="1" s="1"/>
  <c r="I69" i="1" s="1"/>
  <c r="E93" i="3"/>
  <c r="I42" i="1" s="1"/>
  <c r="I72" i="1" s="1"/>
  <c r="E91" i="3"/>
  <c r="I43" i="1" s="1"/>
  <c r="I73" i="1" s="1"/>
  <c r="E90" i="3"/>
  <c r="E85" i="3"/>
  <c r="N41" i="1" s="1"/>
  <c r="E84" i="3"/>
  <c r="E83" i="3"/>
  <c r="E82" i="3"/>
  <c r="E80" i="3"/>
  <c r="E79" i="3"/>
  <c r="U43" i="1" s="1"/>
  <c r="E78" i="3"/>
  <c r="U45" i="1" s="1"/>
  <c r="E76" i="3"/>
  <c r="E75" i="3"/>
  <c r="E74" i="3"/>
  <c r="E72" i="3"/>
  <c r="E71" i="3"/>
  <c r="E70" i="3"/>
  <c r="E69" i="3"/>
  <c r="R45" i="1"/>
  <c r="R75" i="1" s="1"/>
  <c r="Y44" i="3"/>
  <c r="U44" i="3"/>
  <c r="Y43" i="3"/>
  <c r="U43" i="3"/>
  <c r="Y42" i="3"/>
  <c r="U42" i="3"/>
  <c r="Y41" i="3"/>
  <c r="U41" i="3"/>
  <c r="Y40" i="3"/>
  <c r="U40" i="3"/>
  <c r="Y39" i="3"/>
  <c r="U39" i="3"/>
  <c r="Y38" i="3"/>
  <c r="U38" i="3"/>
  <c r="Y37" i="3"/>
  <c r="U37" i="3"/>
  <c r="Y36" i="3"/>
  <c r="U36" i="3"/>
  <c r="Y35" i="3"/>
  <c r="U35" i="3"/>
  <c r="Y34" i="3"/>
  <c r="U34" i="3"/>
  <c r="Y33" i="3"/>
  <c r="U33" i="3"/>
  <c r="Y32" i="3"/>
  <c r="U32" i="3"/>
  <c r="Y31" i="3"/>
  <c r="U31" i="3"/>
  <c r="Y30" i="3"/>
  <c r="U30" i="3"/>
  <c r="Y29" i="3"/>
  <c r="U29" i="3"/>
  <c r="Y28" i="3"/>
  <c r="U28" i="3"/>
  <c r="Y27" i="3"/>
  <c r="U27" i="3"/>
  <c r="Y26" i="3"/>
  <c r="U26" i="3"/>
  <c r="Y25" i="3"/>
  <c r="U25" i="3"/>
  <c r="Y24" i="3"/>
  <c r="U24" i="3"/>
  <c r="Y23" i="3"/>
  <c r="U23" i="3"/>
  <c r="Y22" i="3"/>
  <c r="U22" i="3"/>
  <c r="Y21" i="3"/>
  <c r="U21" i="3"/>
  <c r="Y20" i="3"/>
  <c r="U20" i="3"/>
  <c r="Y19" i="3"/>
  <c r="U19" i="3"/>
  <c r="Y18" i="3"/>
  <c r="U18" i="3"/>
  <c r="Y17" i="3"/>
  <c r="U17" i="3"/>
  <c r="Y16" i="3"/>
  <c r="U16" i="3"/>
  <c r="Y15" i="3"/>
  <c r="U15" i="3"/>
  <c r="Y14" i="3"/>
  <c r="U14" i="3"/>
  <c r="Y13" i="3"/>
  <c r="U13" i="3"/>
  <c r="Y12" i="3"/>
  <c r="U12" i="3"/>
  <c r="Y11" i="3"/>
  <c r="U11" i="3"/>
  <c r="Y10" i="3"/>
  <c r="U10" i="3"/>
  <c r="Y9" i="3"/>
  <c r="U9" i="3"/>
  <c r="Y8" i="3"/>
  <c r="U8" i="3"/>
  <c r="Y7" i="3"/>
  <c r="U7" i="3"/>
  <c r="Y6" i="3"/>
  <c r="U6" i="3"/>
  <c r="Y5" i="3"/>
  <c r="U5" i="3"/>
  <c r="Y4" i="3"/>
  <c r="U4" i="3"/>
  <c r="Y3" i="3"/>
  <c r="U3" i="3"/>
  <c r="Y2" i="3"/>
  <c r="U2" i="3"/>
  <c r="Y1" i="3"/>
  <c r="U1" i="3"/>
  <c r="V32" i="4"/>
  <c r="U32" i="4"/>
  <c r="T32" i="4"/>
  <c r="S32" i="4"/>
  <c r="R32" i="4"/>
  <c r="Q32" i="4"/>
  <c r="P32" i="4"/>
  <c r="O32" i="4"/>
  <c r="N32" i="4"/>
  <c r="M32" i="4"/>
  <c r="L32" i="4"/>
  <c r="K32" i="4"/>
  <c r="J32" i="4"/>
  <c r="I32" i="4"/>
  <c r="H32" i="4"/>
  <c r="G32" i="4"/>
  <c r="F32" i="4"/>
  <c r="E32" i="4"/>
  <c r="D32" i="4"/>
  <c r="C32" i="4"/>
  <c r="B32" i="4"/>
  <c r="AC102" i="2"/>
  <c r="AC154" i="2" s="1"/>
  <c r="AB102" i="2"/>
  <c r="AB154" i="2" s="1"/>
  <c r="AA102" i="2"/>
  <c r="AA154" i="2" s="1"/>
  <c r="Z79" i="4" s="1"/>
  <c r="Z102" i="2"/>
  <c r="Z154" i="2" s="1"/>
  <c r="Y79" i="4" s="1"/>
  <c r="Y102" i="2"/>
  <c r="Y154" i="2" s="1"/>
  <c r="X79" i="4" s="1"/>
  <c r="X102" i="2"/>
  <c r="X154" i="2" s="1"/>
  <c r="W79" i="4" s="1"/>
  <c r="W102" i="2"/>
  <c r="W154" i="2" s="1"/>
  <c r="V102" i="2"/>
  <c r="S102" i="2"/>
  <c r="S154" i="2" s="1"/>
  <c r="R102" i="2"/>
  <c r="P102" i="2"/>
  <c r="P154" i="2" s="1"/>
  <c r="O102" i="2"/>
  <c r="O154" i="2" s="1"/>
  <c r="N102" i="2"/>
  <c r="N154" i="2" s="1"/>
  <c r="M79" i="4" s="1"/>
  <c r="M102" i="2"/>
  <c r="K102" i="2"/>
  <c r="K154" i="2" s="1"/>
  <c r="J79" i="4" s="1"/>
  <c r="J102" i="2"/>
  <c r="J154" i="2" s="1"/>
  <c r="I79" i="4" s="1"/>
  <c r="I102" i="2"/>
  <c r="F102" i="2"/>
  <c r="F154" i="2" s="1"/>
  <c r="E102" i="2"/>
  <c r="E154" i="2" s="1"/>
  <c r="D102" i="2"/>
  <c r="AC101" i="2"/>
  <c r="AC153" i="2" s="1"/>
  <c r="AB101" i="2"/>
  <c r="AB153" i="2" s="1"/>
  <c r="AA101" i="2"/>
  <c r="AA153" i="2" s="1"/>
  <c r="Z78" i="4" s="1"/>
  <c r="Z101" i="2"/>
  <c r="Z153" i="2" s="1"/>
  <c r="Y78" i="4" s="1"/>
  <c r="Y101" i="2"/>
  <c r="Y153" i="2" s="1"/>
  <c r="X78" i="4" s="1"/>
  <c r="X101" i="2"/>
  <c r="X153" i="2" s="1"/>
  <c r="W78" i="4" s="1"/>
  <c r="W101" i="2"/>
  <c r="W153" i="2" s="1"/>
  <c r="V101" i="2"/>
  <c r="S101" i="2"/>
  <c r="S153" i="2" s="1"/>
  <c r="R101" i="2"/>
  <c r="P101" i="2"/>
  <c r="P153" i="2" s="1"/>
  <c r="O101" i="2"/>
  <c r="O153" i="2" s="1"/>
  <c r="N101" i="2"/>
  <c r="N153" i="2" s="1"/>
  <c r="M78" i="4" s="1"/>
  <c r="M101" i="2"/>
  <c r="K101" i="2"/>
  <c r="K153" i="2" s="1"/>
  <c r="J78" i="4" s="1"/>
  <c r="J101" i="2"/>
  <c r="J153" i="2" s="1"/>
  <c r="I78" i="4" s="1"/>
  <c r="I101" i="2"/>
  <c r="F101" i="2"/>
  <c r="F153" i="2" s="1"/>
  <c r="AC100" i="2"/>
  <c r="AC152" i="2" s="1"/>
  <c r="AB100" i="2"/>
  <c r="AB152" i="2" s="1"/>
  <c r="AA100" i="2"/>
  <c r="AA152" i="2" s="1"/>
  <c r="Z77" i="4" s="1"/>
  <c r="Z100" i="2"/>
  <c r="Z152" i="2" s="1"/>
  <c r="Y77" i="4" s="1"/>
  <c r="Y100" i="2"/>
  <c r="Y152" i="2" s="1"/>
  <c r="X77" i="4" s="1"/>
  <c r="X100" i="2"/>
  <c r="X152" i="2" s="1"/>
  <c r="W77" i="4" s="1"/>
  <c r="W100" i="2"/>
  <c r="W152" i="2" s="1"/>
  <c r="V100" i="2"/>
  <c r="S100" i="2"/>
  <c r="S152" i="2" s="1"/>
  <c r="R100" i="2"/>
  <c r="P100" i="2"/>
  <c r="P152" i="2" s="1"/>
  <c r="O100" i="2"/>
  <c r="O152" i="2" s="1"/>
  <c r="N100" i="2"/>
  <c r="N152" i="2" s="1"/>
  <c r="M77" i="4" s="1"/>
  <c r="M100" i="2"/>
  <c r="K100" i="2"/>
  <c r="K152" i="2" s="1"/>
  <c r="J77" i="4" s="1"/>
  <c r="J100" i="2"/>
  <c r="J152" i="2" s="1"/>
  <c r="I77" i="4" s="1"/>
  <c r="I100" i="2"/>
  <c r="F100" i="2"/>
  <c r="F152" i="2" s="1"/>
  <c r="D100" i="2"/>
  <c r="AC99" i="2"/>
  <c r="AC151" i="2" s="1"/>
  <c r="AB99" i="2"/>
  <c r="AB151" i="2" s="1"/>
  <c r="AA99" i="2"/>
  <c r="AA151" i="2" s="1"/>
  <c r="Z76" i="4" s="1"/>
  <c r="Z99" i="2"/>
  <c r="Z151" i="2" s="1"/>
  <c r="Y76" i="4" s="1"/>
  <c r="Y99" i="2"/>
  <c r="Y151" i="2" s="1"/>
  <c r="X76" i="4" s="1"/>
  <c r="X99" i="2"/>
  <c r="X151" i="2" s="1"/>
  <c r="W76" i="4" s="1"/>
  <c r="W99" i="2"/>
  <c r="W151" i="2" s="1"/>
  <c r="V99" i="2"/>
  <c r="R99" i="2"/>
  <c r="P99" i="2"/>
  <c r="P151" i="2" s="1"/>
  <c r="O99" i="2"/>
  <c r="O151" i="2" s="1"/>
  <c r="N99" i="2"/>
  <c r="N151" i="2" s="1"/>
  <c r="M76" i="4" s="1"/>
  <c r="M99" i="2"/>
  <c r="K99" i="2"/>
  <c r="K151" i="2" s="1"/>
  <c r="J76" i="4" s="1"/>
  <c r="J99" i="2"/>
  <c r="J151" i="2" s="1"/>
  <c r="I76" i="4" s="1"/>
  <c r="I99" i="2"/>
  <c r="AC98" i="2"/>
  <c r="AC150" i="2" s="1"/>
  <c r="AB75" i="4" s="1"/>
  <c r="AB98" i="2"/>
  <c r="AB150" i="2" s="1"/>
  <c r="AA75" i="4" s="1"/>
  <c r="AA98" i="2"/>
  <c r="AA150" i="2" s="1"/>
  <c r="Z75" i="4" s="1"/>
  <c r="Z98" i="2"/>
  <c r="Z150" i="2" s="1"/>
  <c r="Y75" i="4" s="1"/>
  <c r="Y98" i="2"/>
  <c r="Y150" i="2" s="1"/>
  <c r="X75" i="4" s="1"/>
  <c r="X98" i="2"/>
  <c r="X150" i="2" s="1"/>
  <c r="W75" i="4" s="1"/>
  <c r="W98" i="2"/>
  <c r="W150" i="2" s="1"/>
  <c r="V75" i="4" s="1"/>
  <c r="V98" i="2"/>
  <c r="S98" i="2"/>
  <c r="S150" i="2" s="1"/>
  <c r="R75" i="4" s="1"/>
  <c r="R98" i="2"/>
  <c r="P98" i="2"/>
  <c r="P150" i="2" s="1"/>
  <c r="O75" i="4" s="1"/>
  <c r="O98" i="2"/>
  <c r="O150" i="2" s="1"/>
  <c r="N75" i="4" s="1"/>
  <c r="N98" i="2"/>
  <c r="N150" i="2" s="1"/>
  <c r="M75" i="4" s="1"/>
  <c r="M98" i="2"/>
  <c r="K98" i="2"/>
  <c r="K150" i="2" s="1"/>
  <c r="J75" i="4" s="1"/>
  <c r="J98" i="2"/>
  <c r="J150" i="2" s="1"/>
  <c r="I75" i="4" s="1"/>
  <c r="I98" i="2"/>
  <c r="E98" i="2"/>
  <c r="E150" i="2" s="1"/>
  <c r="D75" i="4" s="1"/>
  <c r="AC97" i="2"/>
  <c r="AC149" i="2" s="1"/>
  <c r="AB97" i="2"/>
  <c r="AB149" i="2" s="1"/>
  <c r="AA97" i="2"/>
  <c r="AA149" i="2" s="1"/>
  <c r="Z74" i="4" s="1"/>
  <c r="Z97" i="2"/>
  <c r="Z149" i="2" s="1"/>
  <c r="Y74" i="4" s="1"/>
  <c r="Y97" i="2"/>
  <c r="Y149" i="2" s="1"/>
  <c r="X74" i="4" s="1"/>
  <c r="X97" i="2"/>
  <c r="X149" i="2" s="1"/>
  <c r="W74" i="4" s="1"/>
  <c r="W97" i="2"/>
  <c r="W149" i="2" s="1"/>
  <c r="V97" i="2"/>
  <c r="S97" i="2"/>
  <c r="S149" i="2" s="1"/>
  <c r="R97" i="2"/>
  <c r="P97" i="2"/>
  <c r="P149" i="2" s="1"/>
  <c r="O97" i="2"/>
  <c r="O149" i="2" s="1"/>
  <c r="N97" i="2"/>
  <c r="N149" i="2" s="1"/>
  <c r="M74" i="4" s="1"/>
  <c r="M97" i="2"/>
  <c r="K97" i="2"/>
  <c r="K149" i="2" s="1"/>
  <c r="J74" i="4" s="1"/>
  <c r="J97" i="2"/>
  <c r="J149" i="2" s="1"/>
  <c r="I74" i="4" s="1"/>
  <c r="I97" i="2"/>
  <c r="F97" i="2"/>
  <c r="F149" i="2" s="1"/>
  <c r="E97" i="2"/>
  <c r="E149" i="2" s="1"/>
  <c r="D97" i="2"/>
  <c r="AC96" i="2"/>
  <c r="AC148" i="2" s="1"/>
  <c r="AB96" i="2"/>
  <c r="AB148" i="2" s="1"/>
  <c r="AA96" i="2"/>
  <c r="AA148" i="2" s="1"/>
  <c r="Z73" i="4" s="1"/>
  <c r="Z96" i="2"/>
  <c r="Z148" i="2" s="1"/>
  <c r="Y73" i="4" s="1"/>
  <c r="Y96" i="2"/>
  <c r="Y148" i="2" s="1"/>
  <c r="X73" i="4" s="1"/>
  <c r="X96" i="2"/>
  <c r="X148" i="2" s="1"/>
  <c r="W73" i="4" s="1"/>
  <c r="W96" i="2"/>
  <c r="W148" i="2" s="1"/>
  <c r="V96" i="2"/>
  <c r="S96" i="2"/>
  <c r="S148" i="2" s="1"/>
  <c r="R96" i="2"/>
  <c r="P96" i="2"/>
  <c r="P148" i="2" s="1"/>
  <c r="O96" i="2"/>
  <c r="O148" i="2" s="1"/>
  <c r="N96" i="2"/>
  <c r="N148" i="2" s="1"/>
  <c r="M73" i="4" s="1"/>
  <c r="M96" i="2"/>
  <c r="K96" i="2"/>
  <c r="K148" i="2" s="1"/>
  <c r="J73" i="4" s="1"/>
  <c r="J96" i="2"/>
  <c r="J148" i="2" s="1"/>
  <c r="I73" i="4" s="1"/>
  <c r="I96" i="2"/>
  <c r="F96" i="2"/>
  <c r="F148" i="2" s="1"/>
  <c r="E96" i="2"/>
  <c r="E148" i="2" s="1"/>
  <c r="D96" i="2"/>
  <c r="AC95" i="2"/>
  <c r="AC147" i="2" s="1"/>
  <c r="AB95" i="2"/>
  <c r="AB147" i="2" s="1"/>
  <c r="AA95" i="2"/>
  <c r="AA147" i="2" s="1"/>
  <c r="Z72" i="4" s="1"/>
  <c r="Z95" i="2"/>
  <c r="Z147" i="2" s="1"/>
  <c r="Y72" i="4" s="1"/>
  <c r="Y95" i="2"/>
  <c r="Y147" i="2" s="1"/>
  <c r="X72" i="4" s="1"/>
  <c r="X95" i="2"/>
  <c r="X147" i="2" s="1"/>
  <c r="W72" i="4" s="1"/>
  <c r="W95" i="2"/>
  <c r="W147" i="2" s="1"/>
  <c r="V95" i="2"/>
  <c r="S95" i="2"/>
  <c r="S147" i="2" s="1"/>
  <c r="R95" i="2"/>
  <c r="P95" i="2"/>
  <c r="P147" i="2" s="1"/>
  <c r="O95" i="2"/>
  <c r="O147" i="2" s="1"/>
  <c r="N95" i="2"/>
  <c r="N147" i="2" s="1"/>
  <c r="M72" i="4" s="1"/>
  <c r="M95" i="2"/>
  <c r="K95" i="2"/>
  <c r="K147" i="2" s="1"/>
  <c r="J72" i="4" s="1"/>
  <c r="J95" i="2"/>
  <c r="J147" i="2" s="1"/>
  <c r="I72" i="4" s="1"/>
  <c r="I95" i="2"/>
  <c r="F95" i="2"/>
  <c r="F147" i="2" s="1"/>
  <c r="E95" i="2"/>
  <c r="E147" i="2" s="1"/>
  <c r="D95" i="2"/>
  <c r="AC94" i="2"/>
  <c r="AC146" i="2" s="1"/>
  <c r="AB94" i="2"/>
  <c r="AB146" i="2" s="1"/>
  <c r="AA94" i="2"/>
  <c r="AA146" i="2" s="1"/>
  <c r="Z71" i="4" s="1"/>
  <c r="Z94" i="2"/>
  <c r="Z146" i="2" s="1"/>
  <c r="Y71" i="4" s="1"/>
  <c r="Y94" i="2"/>
  <c r="Y146" i="2" s="1"/>
  <c r="X71" i="4" s="1"/>
  <c r="X94" i="2"/>
  <c r="X146" i="2" s="1"/>
  <c r="W71" i="4" s="1"/>
  <c r="W94" i="2"/>
  <c r="W146" i="2" s="1"/>
  <c r="V94" i="2"/>
  <c r="S94" i="2"/>
  <c r="S146" i="2" s="1"/>
  <c r="R94" i="2"/>
  <c r="P94" i="2"/>
  <c r="P146" i="2" s="1"/>
  <c r="O94" i="2"/>
  <c r="O146" i="2" s="1"/>
  <c r="N94" i="2"/>
  <c r="N146" i="2" s="1"/>
  <c r="M71" i="4" s="1"/>
  <c r="M94" i="2"/>
  <c r="K94" i="2"/>
  <c r="K146" i="2" s="1"/>
  <c r="J71" i="4" s="1"/>
  <c r="J94" i="2"/>
  <c r="J146" i="2" s="1"/>
  <c r="I71" i="4" s="1"/>
  <c r="I94" i="2"/>
  <c r="F94" i="2"/>
  <c r="F146" i="2" s="1"/>
  <c r="E94" i="2"/>
  <c r="E146" i="2" s="1"/>
  <c r="D94" i="2"/>
  <c r="AC93" i="2"/>
  <c r="AC145" i="2" s="1"/>
  <c r="AB93" i="2"/>
  <c r="AB145" i="2" s="1"/>
  <c r="AA93" i="2"/>
  <c r="AA145" i="2" s="1"/>
  <c r="Z70" i="4" s="1"/>
  <c r="Z93" i="2"/>
  <c r="Z145" i="2" s="1"/>
  <c r="Y70" i="4" s="1"/>
  <c r="Y93" i="2"/>
  <c r="Y145" i="2" s="1"/>
  <c r="X70" i="4" s="1"/>
  <c r="X93" i="2"/>
  <c r="X145" i="2" s="1"/>
  <c r="W70" i="4" s="1"/>
  <c r="W93" i="2"/>
  <c r="W145" i="2" s="1"/>
  <c r="V93" i="2"/>
  <c r="S93" i="2"/>
  <c r="S145" i="2" s="1"/>
  <c r="R93" i="2"/>
  <c r="P93" i="2"/>
  <c r="P145" i="2" s="1"/>
  <c r="O93" i="2"/>
  <c r="O145" i="2" s="1"/>
  <c r="N93" i="2"/>
  <c r="N145" i="2" s="1"/>
  <c r="M70" i="4" s="1"/>
  <c r="M93" i="2"/>
  <c r="K93" i="2"/>
  <c r="K145" i="2" s="1"/>
  <c r="J70" i="4" s="1"/>
  <c r="J93" i="2"/>
  <c r="J145" i="2" s="1"/>
  <c r="I70" i="4" s="1"/>
  <c r="I93" i="2"/>
  <c r="F93" i="2"/>
  <c r="F145" i="2" s="1"/>
  <c r="E93" i="2"/>
  <c r="E145" i="2" s="1"/>
  <c r="D93" i="2"/>
  <c r="AC92" i="2"/>
  <c r="AC144" i="2" s="1"/>
  <c r="AB92" i="2"/>
  <c r="AB144" i="2" s="1"/>
  <c r="AA92" i="2"/>
  <c r="AA144" i="2" s="1"/>
  <c r="Z69" i="4" s="1"/>
  <c r="Z92" i="2"/>
  <c r="Z144" i="2" s="1"/>
  <c r="Y69" i="4" s="1"/>
  <c r="Y92" i="2"/>
  <c r="Y144" i="2" s="1"/>
  <c r="X69" i="4" s="1"/>
  <c r="X92" i="2"/>
  <c r="X144" i="2" s="1"/>
  <c r="W69" i="4" s="1"/>
  <c r="W92" i="2"/>
  <c r="W144" i="2" s="1"/>
  <c r="V92" i="2"/>
  <c r="S92" i="2"/>
  <c r="S144" i="2" s="1"/>
  <c r="R92" i="2"/>
  <c r="P92" i="2"/>
  <c r="P144" i="2" s="1"/>
  <c r="O92" i="2"/>
  <c r="O144" i="2" s="1"/>
  <c r="N92" i="2"/>
  <c r="N144" i="2" s="1"/>
  <c r="M69" i="4" s="1"/>
  <c r="M92" i="2"/>
  <c r="K92" i="2"/>
  <c r="K144" i="2" s="1"/>
  <c r="J69" i="4" s="1"/>
  <c r="J92" i="2"/>
  <c r="J144" i="2" s="1"/>
  <c r="I69" i="4" s="1"/>
  <c r="I92" i="2"/>
  <c r="F92" i="2"/>
  <c r="F144" i="2" s="1"/>
  <c r="E92" i="2"/>
  <c r="E144" i="2" s="1"/>
  <c r="D92" i="2"/>
  <c r="AC91" i="2"/>
  <c r="AC143" i="2" s="1"/>
  <c r="AB91" i="2"/>
  <c r="AB143" i="2" s="1"/>
  <c r="AA91" i="2"/>
  <c r="AA143" i="2" s="1"/>
  <c r="Z68" i="4" s="1"/>
  <c r="Z91" i="2"/>
  <c r="Z143" i="2" s="1"/>
  <c r="Y68" i="4" s="1"/>
  <c r="Y91" i="2"/>
  <c r="Y143" i="2" s="1"/>
  <c r="X68" i="4" s="1"/>
  <c r="X91" i="2"/>
  <c r="X143" i="2" s="1"/>
  <c r="W68" i="4" s="1"/>
  <c r="W91" i="2"/>
  <c r="W143" i="2" s="1"/>
  <c r="V91" i="2"/>
  <c r="S91" i="2"/>
  <c r="S143" i="2" s="1"/>
  <c r="R91" i="2"/>
  <c r="P91" i="2"/>
  <c r="P143" i="2" s="1"/>
  <c r="O91" i="2"/>
  <c r="O143" i="2" s="1"/>
  <c r="N91" i="2"/>
  <c r="N143" i="2" s="1"/>
  <c r="M68" i="4" s="1"/>
  <c r="M91" i="2"/>
  <c r="K91" i="2"/>
  <c r="K143" i="2" s="1"/>
  <c r="J68" i="4" s="1"/>
  <c r="J91" i="2"/>
  <c r="J143" i="2" s="1"/>
  <c r="I68" i="4" s="1"/>
  <c r="I91" i="2"/>
  <c r="F91" i="2"/>
  <c r="F143" i="2" s="1"/>
  <c r="E91" i="2"/>
  <c r="E143" i="2" s="1"/>
  <c r="D91" i="2"/>
  <c r="AC90" i="2"/>
  <c r="AC142" i="2" s="1"/>
  <c r="AB90" i="2"/>
  <c r="AB142" i="2" s="1"/>
  <c r="AA90" i="2"/>
  <c r="AA142" i="2" s="1"/>
  <c r="Z67" i="4" s="1"/>
  <c r="Z90" i="2"/>
  <c r="Z142" i="2" s="1"/>
  <c r="Y67" i="4" s="1"/>
  <c r="Y90" i="2"/>
  <c r="Y142" i="2" s="1"/>
  <c r="X67" i="4" s="1"/>
  <c r="X90" i="2"/>
  <c r="X142" i="2" s="1"/>
  <c r="W67" i="4" s="1"/>
  <c r="W90" i="2"/>
  <c r="W142" i="2" s="1"/>
  <c r="V90" i="2"/>
  <c r="S90" i="2"/>
  <c r="S142" i="2" s="1"/>
  <c r="R90" i="2"/>
  <c r="P90" i="2"/>
  <c r="P142" i="2" s="1"/>
  <c r="O90" i="2"/>
  <c r="O142" i="2" s="1"/>
  <c r="N90" i="2"/>
  <c r="N142" i="2" s="1"/>
  <c r="M67" i="4" s="1"/>
  <c r="M90" i="2"/>
  <c r="K90" i="2"/>
  <c r="K142" i="2" s="1"/>
  <c r="J67" i="4" s="1"/>
  <c r="J90" i="2"/>
  <c r="J142" i="2" s="1"/>
  <c r="I67" i="4" s="1"/>
  <c r="I90" i="2"/>
  <c r="F90" i="2"/>
  <c r="F142" i="2" s="1"/>
  <c r="E90" i="2"/>
  <c r="E142" i="2" s="1"/>
  <c r="D90" i="2"/>
  <c r="AC89" i="2"/>
  <c r="AC141" i="2" s="1"/>
  <c r="AB89" i="2"/>
  <c r="AB141" i="2" s="1"/>
  <c r="AA89" i="2"/>
  <c r="AA141" i="2" s="1"/>
  <c r="Z66" i="4" s="1"/>
  <c r="Z89" i="2"/>
  <c r="Z141" i="2" s="1"/>
  <c r="Y66" i="4" s="1"/>
  <c r="Y89" i="2"/>
  <c r="Y141" i="2" s="1"/>
  <c r="X66" i="4" s="1"/>
  <c r="X89" i="2"/>
  <c r="X141" i="2" s="1"/>
  <c r="W66" i="4" s="1"/>
  <c r="W89" i="2"/>
  <c r="W141" i="2" s="1"/>
  <c r="V89" i="2"/>
  <c r="S89" i="2"/>
  <c r="S141" i="2" s="1"/>
  <c r="R89" i="2"/>
  <c r="P89" i="2"/>
  <c r="P141" i="2" s="1"/>
  <c r="O89" i="2"/>
  <c r="O141" i="2" s="1"/>
  <c r="N89" i="2"/>
  <c r="N141" i="2" s="1"/>
  <c r="M66" i="4" s="1"/>
  <c r="M89" i="2"/>
  <c r="K89" i="2"/>
  <c r="K141" i="2" s="1"/>
  <c r="J66" i="4" s="1"/>
  <c r="J89" i="2"/>
  <c r="J141" i="2" s="1"/>
  <c r="I66" i="4" s="1"/>
  <c r="I89" i="2"/>
  <c r="F89" i="2"/>
  <c r="F141" i="2" s="1"/>
  <c r="E89" i="2"/>
  <c r="E141" i="2" s="1"/>
  <c r="D89" i="2"/>
  <c r="AC88" i="2"/>
  <c r="AC140" i="2" s="1"/>
  <c r="AB88" i="2"/>
  <c r="AB140" i="2" s="1"/>
  <c r="AA88" i="2"/>
  <c r="AA140" i="2" s="1"/>
  <c r="Z65" i="4" s="1"/>
  <c r="Z88" i="2"/>
  <c r="Z140" i="2" s="1"/>
  <c r="Y65" i="4" s="1"/>
  <c r="Y88" i="2"/>
  <c r="Y140" i="2" s="1"/>
  <c r="X65" i="4" s="1"/>
  <c r="X88" i="2"/>
  <c r="X140" i="2" s="1"/>
  <c r="W65" i="4" s="1"/>
  <c r="W88" i="2"/>
  <c r="W140" i="2" s="1"/>
  <c r="V88" i="2"/>
  <c r="S88" i="2"/>
  <c r="S140" i="2" s="1"/>
  <c r="R88" i="2"/>
  <c r="P88" i="2"/>
  <c r="P140" i="2" s="1"/>
  <c r="O88" i="2"/>
  <c r="O140" i="2" s="1"/>
  <c r="N88" i="2"/>
  <c r="N140" i="2" s="1"/>
  <c r="M65" i="4" s="1"/>
  <c r="M88" i="2"/>
  <c r="K88" i="2"/>
  <c r="K140" i="2" s="1"/>
  <c r="J65" i="4" s="1"/>
  <c r="J88" i="2"/>
  <c r="J140" i="2" s="1"/>
  <c r="I65" i="4" s="1"/>
  <c r="I88" i="2"/>
  <c r="F88" i="2"/>
  <c r="F140" i="2" s="1"/>
  <c r="E88" i="2"/>
  <c r="E140" i="2" s="1"/>
  <c r="D88" i="2"/>
  <c r="AC87" i="2"/>
  <c r="AB87" i="2"/>
  <c r="AA87" i="2"/>
  <c r="Z87" i="2"/>
  <c r="Y87" i="2"/>
  <c r="X87" i="2"/>
  <c r="W87" i="2"/>
  <c r="V87" i="2"/>
  <c r="S87" i="2"/>
  <c r="R87" i="2"/>
  <c r="P87" i="2"/>
  <c r="O87" i="2"/>
  <c r="N87" i="2"/>
  <c r="M87" i="2"/>
  <c r="K87" i="2"/>
  <c r="J87" i="2"/>
  <c r="I87" i="2"/>
  <c r="F87" i="2"/>
  <c r="E87" i="2"/>
  <c r="D87" i="2"/>
  <c r="AC85" i="2"/>
  <c r="AC137" i="2" s="1"/>
  <c r="AB85" i="2"/>
  <c r="AB137" i="2" s="1"/>
  <c r="AA85" i="2"/>
  <c r="AA137" i="2" s="1"/>
  <c r="Z62" i="4" s="1"/>
  <c r="Z85" i="2"/>
  <c r="Z137" i="2" s="1"/>
  <c r="Y62" i="4" s="1"/>
  <c r="Y85" i="2"/>
  <c r="Y137" i="2" s="1"/>
  <c r="X62" i="4" s="1"/>
  <c r="X85" i="2"/>
  <c r="X137" i="2" s="1"/>
  <c r="W62" i="4" s="1"/>
  <c r="W85" i="2"/>
  <c r="W137" i="2" s="1"/>
  <c r="V85" i="2"/>
  <c r="S85" i="2"/>
  <c r="S137" i="2" s="1"/>
  <c r="R85" i="2"/>
  <c r="P85" i="2"/>
  <c r="P137" i="2" s="1"/>
  <c r="O85" i="2"/>
  <c r="O137" i="2" s="1"/>
  <c r="N85" i="2"/>
  <c r="N137" i="2" s="1"/>
  <c r="M62" i="4" s="1"/>
  <c r="M85" i="2"/>
  <c r="K85" i="2"/>
  <c r="K137" i="2" s="1"/>
  <c r="J62" i="4" s="1"/>
  <c r="J85" i="2"/>
  <c r="J137" i="2" s="1"/>
  <c r="I62" i="4" s="1"/>
  <c r="I85" i="2"/>
  <c r="F85" i="2"/>
  <c r="F137" i="2" s="1"/>
  <c r="E85" i="2"/>
  <c r="E137" i="2" s="1"/>
  <c r="D85" i="2"/>
  <c r="AC84" i="2"/>
  <c r="AC136" i="2" s="1"/>
  <c r="AB84" i="2"/>
  <c r="AB136" i="2" s="1"/>
  <c r="AA84" i="2"/>
  <c r="AA136" i="2" s="1"/>
  <c r="Z61" i="4" s="1"/>
  <c r="Z84" i="2"/>
  <c r="Z136" i="2" s="1"/>
  <c r="Y61" i="4" s="1"/>
  <c r="Y84" i="2"/>
  <c r="Y136" i="2" s="1"/>
  <c r="X61" i="4" s="1"/>
  <c r="X84" i="2"/>
  <c r="X136" i="2" s="1"/>
  <c r="W61" i="4" s="1"/>
  <c r="W84" i="2"/>
  <c r="W136" i="2" s="1"/>
  <c r="V84" i="2"/>
  <c r="S84" i="2"/>
  <c r="S136" i="2" s="1"/>
  <c r="R84" i="2"/>
  <c r="P84" i="2"/>
  <c r="P136" i="2" s="1"/>
  <c r="O84" i="2"/>
  <c r="O136" i="2" s="1"/>
  <c r="N84" i="2"/>
  <c r="N136" i="2" s="1"/>
  <c r="M61" i="4" s="1"/>
  <c r="M84" i="2"/>
  <c r="K84" i="2"/>
  <c r="K136" i="2" s="1"/>
  <c r="J61" i="4" s="1"/>
  <c r="J84" i="2"/>
  <c r="J136" i="2" s="1"/>
  <c r="I61" i="4" s="1"/>
  <c r="I84" i="2"/>
  <c r="F84" i="2"/>
  <c r="F136" i="2" s="1"/>
  <c r="E84" i="2"/>
  <c r="E136" i="2" s="1"/>
  <c r="D84" i="2"/>
  <c r="AC83" i="2"/>
  <c r="AC135" i="2" s="1"/>
  <c r="AB60" i="4" s="1"/>
  <c r="AB83" i="2"/>
  <c r="AB135" i="2" s="1"/>
  <c r="AA60" i="4" s="1"/>
  <c r="AA83" i="2"/>
  <c r="AA135" i="2" s="1"/>
  <c r="Z60" i="4" s="1"/>
  <c r="Z83" i="2"/>
  <c r="Z135" i="2" s="1"/>
  <c r="Y60" i="4" s="1"/>
  <c r="Y83" i="2"/>
  <c r="Y135" i="2" s="1"/>
  <c r="X60" i="4" s="1"/>
  <c r="X83" i="2"/>
  <c r="X135" i="2" s="1"/>
  <c r="W60" i="4" s="1"/>
  <c r="W83" i="2"/>
  <c r="W135" i="2" s="1"/>
  <c r="V60" i="4" s="1"/>
  <c r="V83" i="2"/>
  <c r="S83" i="2"/>
  <c r="S135" i="2" s="1"/>
  <c r="R60" i="4" s="1"/>
  <c r="R83" i="2"/>
  <c r="P83" i="2"/>
  <c r="P135" i="2" s="1"/>
  <c r="O60" i="4" s="1"/>
  <c r="O83" i="2"/>
  <c r="O135" i="2" s="1"/>
  <c r="N83" i="2"/>
  <c r="N135" i="2" s="1"/>
  <c r="M60" i="4" s="1"/>
  <c r="M83" i="2"/>
  <c r="K83" i="2"/>
  <c r="K135" i="2" s="1"/>
  <c r="J60" i="4" s="1"/>
  <c r="J83" i="2"/>
  <c r="J135" i="2" s="1"/>
  <c r="I60" i="4" s="1"/>
  <c r="I83" i="2"/>
  <c r="F83" i="2"/>
  <c r="F135" i="2" s="1"/>
  <c r="E60" i="4" s="1"/>
  <c r="E83" i="2"/>
  <c r="E135" i="2" s="1"/>
  <c r="D83" i="2"/>
  <c r="AC82" i="2"/>
  <c r="AC134" i="2" s="1"/>
  <c r="AB82" i="2"/>
  <c r="AB134" i="2" s="1"/>
  <c r="AA82" i="2"/>
  <c r="AA134" i="2" s="1"/>
  <c r="Z59" i="4" s="1"/>
  <c r="Z82" i="2"/>
  <c r="Z134" i="2" s="1"/>
  <c r="Y59" i="4" s="1"/>
  <c r="Y82" i="2"/>
  <c r="Y134" i="2" s="1"/>
  <c r="X59" i="4" s="1"/>
  <c r="X82" i="2"/>
  <c r="X134" i="2" s="1"/>
  <c r="W59" i="4" s="1"/>
  <c r="W82" i="2"/>
  <c r="W134" i="2" s="1"/>
  <c r="V82" i="2"/>
  <c r="S82" i="2"/>
  <c r="S134" i="2" s="1"/>
  <c r="R82" i="2"/>
  <c r="P82" i="2"/>
  <c r="P134" i="2" s="1"/>
  <c r="O82" i="2"/>
  <c r="O134" i="2" s="1"/>
  <c r="N82" i="2"/>
  <c r="N134" i="2" s="1"/>
  <c r="M59" i="4" s="1"/>
  <c r="M82" i="2"/>
  <c r="K82" i="2"/>
  <c r="K134" i="2" s="1"/>
  <c r="J59" i="4" s="1"/>
  <c r="J82" i="2"/>
  <c r="J134" i="2" s="1"/>
  <c r="I59" i="4" s="1"/>
  <c r="I82" i="2"/>
  <c r="F82" i="2"/>
  <c r="F134" i="2" s="1"/>
  <c r="E82" i="2"/>
  <c r="E134" i="2" s="1"/>
  <c r="D82" i="2"/>
  <c r="AC81" i="2"/>
  <c r="AC133" i="2" s="1"/>
  <c r="AB81" i="2"/>
  <c r="AB133" i="2" s="1"/>
  <c r="AA81" i="2"/>
  <c r="AA133" i="2" s="1"/>
  <c r="Z58" i="4" s="1"/>
  <c r="Z81" i="2"/>
  <c r="Z133" i="2" s="1"/>
  <c r="Y58" i="4" s="1"/>
  <c r="Y81" i="2"/>
  <c r="Y133" i="2" s="1"/>
  <c r="X58" i="4" s="1"/>
  <c r="X81" i="2"/>
  <c r="X133" i="2" s="1"/>
  <c r="W58" i="4" s="1"/>
  <c r="W81" i="2"/>
  <c r="W133" i="2" s="1"/>
  <c r="V81" i="2"/>
  <c r="S81" i="2"/>
  <c r="S133" i="2" s="1"/>
  <c r="R81" i="2"/>
  <c r="P81" i="2"/>
  <c r="P133" i="2" s="1"/>
  <c r="O81" i="2"/>
  <c r="O133" i="2" s="1"/>
  <c r="N81" i="2"/>
  <c r="N133" i="2" s="1"/>
  <c r="M58" i="4" s="1"/>
  <c r="M81" i="2"/>
  <c r="K81" i="2"/>
  <c r="K133" i="2" s="1"/>
  <c r="J58" i="4" s="1"/>
  <c r="J81" i="2"/>
  <c r="J133" i="2" s="1"/>
  <c r="I58" i="4" s="1"/>
  <c r="I81" i="2"/>
  <c r="F81" i="2"/>
  <c r="F133" i="2" s="1"/>
  <c r="E81" i="2"/>
  <c r="E133" i="2" s="1"/>
  <c r="D81" i="2"/>
  <c r="AC80" i="2"/>
  <c r="AC132" i="2" s="1"/>
  <c r="AB80" i="2"/>
  <c r="AB132" i="2" s="1"/>
  <c r="AA80" i="2"/>
  <c r="AA132" i="2" s="1"/>
  <c r="Z57" i="4" s="1"/>
  <c r="Z80" i="2"/>
  <c r="Z132" i="2" s="1"/>
  <c r="Y57" i="4" s="1"/>
  <c r="Y80" i="2"/>
  <c r="Y132" i="2" s="1"/>
  <c r="X57" i="4" s="1"/>
  <c r="X80" i="2"/>
  <c r="X132" i="2" s="1"/>
  <c r="W57" i="4" s="1"/>
  <c r="W80" i="2"/>
  <c r="W132" i="2" s="1"/>
  <c r="V80" i="2"/>
  <c r="S80" i="2"/>
  <c r="S132" i="2" s="1"/>
  <c r="R80" i="2"/>
  <c r="P80" i="2"/>
  <c r="P132" i="2" s="1"/>
  <c r="O80" i="2"/>
  <c r="O132" i="2" s="1"/>
  <c r="N80" i="2"/>
  <c r="N132" i="2" s="1"/>
  <c r="M57" i="4" s="1"/>
  <c r="M80" i="2"/>
  <c r="K80" i="2"/>
  <c r="K132" i="2" s="1"/>
  <c r="J57" i="4" s="1"/>
  <c r="J80" i="2"/>
  <c r="J132" i="2" s="1"/>
  <c r="I57" i="4" s="1"/>
  <c r="I80" i="2"/>
  <c r="F80" i="2"/>
  <c r="F132" i="2" s="1"/>
  <c r="E80" i="2"/>
  <c r="E132" i="2" s="1"/>
  <c r="D80" i="2"/>
  <c r="AC79" i="2"/>
  <c r="AC131" i="2" s="1"/>
  <c r="AB79" i="2"/>
  <c r="AB131" i="2" s="1"/>
  <c r="AA79" i="2"/>
  <c r="AA131" i="2" s="1"/>
  <c r="Z56" i="4" s="1"/>
  <c r="Z79" i="2"/>
  <c r="Z131" i="2" s="1"/>
  <c r="Y56" i="4" s="1"/>
  <c r="Y79" i="2"/>
  <c r="Y131" i="2" s="1"/>
  <c r="X56" i="4" s="1"/>
  <c r="X79" i="2"/>
  <c r="X131" i="2" s="1"/>
  <c r="W56" i="4" s="1"/>
  <c r="W79" i="2"/>
  <c r="W131" i="2" s="1"/>
  <c r="V79" i="2"/>
  <c r="S79" i="2"/>
  <c r="S131" i="2" s="1"/>
  <c r="R79" i="2"/>
  <c r="P79" i="2"/>
  <c r="P131" i="2" s="1"/>
  <c r="O79" i="2"/>
  <c r="O131" i="2" s="1"/>
  <c r="N79" i="2"/>
  <c r="N131" i="2" s="1"/>
  <c r="M56" i="4" s="1"/>
  <c r="M79" i="2"/>
  <c r="K79" i="2"/>
  <c r="K131" i="2" s="1"/>
  <c r="J56" i="4" s="1"/>
  <c r="J79" i="2"/>
  <c r="J131" i="2" s="1"/>
  <c r="I56" i="4" s="1"/>
  <c r="I79" i="2"/>
  <c r="F79" i="2"/>
  <c r="F131" i="2" s="1"/>
  <c r="E79" i="2"/>
  <c r="E131" i="2" s="1"/>
  <c r="D79" i="2"/>
  <c r="AC78" i="2"/>
  <c r="AC130" i="2" s="1"/>
  <c r="AB78" i="2"/>
  <c r="AB130" i="2" s="1"/>
  <c r="AA78" i="2"/>
  <c r="AA130" i="2" s="1"/>
  <c r="Z55" i="4" s="1"/>
  <c r="Z78" i="2"/>
  <c r="Z130" i="2" s="1"/>
  <c r="Y55" i="4" s="1"/>
  <c r="Y78" i="2"/>
  <c r="Y130" i="2" s="1"/>
  <c r="X55" i="4" s="1"/>
  <c r="X78" i="2"/>
  <c r="X130" i="2" s="1"/>
  <c r="W55" i="4" s="1"/>
  <c r="W78" i="2"/>
  <c r="W130" i="2" s="1"/>
  <c r="V78" i="2"/>
  <c r="S78" i="2"/>
  <c r="S130" i="2" s="1"/>
  <c r="R78" i="2"/>
  <c r="P78" i="2"/>
  <c r="P130" i="2" s="1"/>
  <c r="O78" i="2"/>
  <c r="O130" i="2" s="1"/>
  <c r="N78" i="2"/>
  <c r="N130" i="2" s="1"/>
  <c r="M55" i="4" s="1"/>
  <c r="M78" i="2"/>
  <c r="K78" i="2"/>
  <c r="K130" i="2" s="1"/>
  <c r="J55" i="4" s="1"/>
  <c r="J78" i="2"/>
  <c r="J130" i="2" s="1"/>
  <c r="I55" i="4" s="1"/>
  <c r="I78" i="2"/>
  <c r="E78" i="2"/>
  <c r="E130" i="2" s="1"/>
  <c r="AC77" i="2"/>
  <c r="AC129" i="2" s="1"/>
  <c r="AB77" i="2"/>
  <c r="AB129" i="2" s="1"/>
  <c r="AA77" i="2"/>
  <c r="AA129" i="2" s="1"/>
  <c r="Z54" i="4" s="1"/>
  <c r="Z77" i="2"/>
  <c r="Z129" i="2" s="1"/>
  <c r="Y54" i="4" s="1"/>
  <c r="Y77" i="2"/>
  <c r="Y129" i="2" s="1"/>
  <c r="X54" i="4" s="1"/>
  <c r="X77" i="2"/>
  <c r="X129" i="2" s="1"/>
  <c r="W54" i="4" s="1"/>
  <c r="W77" i="2"/>
  <c r="W129" i="2" s="1"/>
  <c r="V77" i="2"/>
  <c r="S77" i="2"/>
  <c r="S129" i="2" s="1"/>
  <c r="R77" i="2"/>
  <c r="P77" i="2"/>
  <c r="P129" i="2" s="1"/>
  <c r="O77" i="2"/>
  <c r="O129" i="2" s="1"/>
  <c r="N77" i="2"/>
  <c r="N129" i="2" s="1"/>
  <c r="M54" i="4" s="1"/>
  <c r="M77" i="2"/>
  <c r="K77" i="2"/>
  <c r="K129" i="2" s="1"/>
  <c r="J54" i="4" s="1"/>
  <c r="J77" i="2"/>
  <c r="J129" i="2" s="1"/>
  <c r="I54" i="4" s="1"/>
  <c r="I77" i="2"/>
  <c r="F77" i="2"/>
  <c r="F129" i="2" s="1"/>
  <c r="E77" i="2"/>
  <c r="E129" i="2" s="1"/>
  <c r="D77" i="2"/>
  <c r="AC76" i="2"/>
  <c r="AC128" i="2" s="1"/>
  <c r="AB76" i="2"/>
  <c r="AB128" i="2" s="1"/>
  <c r="AA76" i="2"/>
  <c r="AA128" i="2" s="1"/>
  <c r="Z53" i="4" s="1"/>
  <c r="Z76" i="2"/>
  <c r="Z128" i="2" s="1"/>
  <c r="Y53" i="4" s="1"/>
  <c r="Y76" i="2"/>
  <c r="Y128" i="2" s="1"/>
  <c r="X53" i="4" s="1"/>
  <c r="X76" i="2"/>
  <c r="X128" i="2" s="1"/>
  <c r="W53" i="4" s="1"/>
  <c r="W76" i="2"/>
  <c r="W128" i="2" s="1"/>
  <c r="V76" i="2"/>
  <c r="S76" i="2"/>
  <c r="S128" i="2" s="1"/>
  <c r="R76" i="2"/>
  <c r="P76" i="2"/>
  <c r="P128" i="2" s="1"/>
  <c r="O76" i="2"/>
  <c r="O128" i="2" s="1"/>
  <c r="N76" i="2"/>
  <c r="N128" i="2" s="1"/>
  <c r="M53" i="4" s="1"/>
  <c r="M76" i="2"/>
  <c r="K76" i="2"/>
  <c r="K128" i="2" s="1"/>
  <c r="J53" i="4" s="1"/>
  <c r="J76" i="2"/>
  <c r="J128" i="2" s="1"/>
  <c r="I53" i="4" s="1"/>
  <c r="I76" i="2"/>
  <c r="F76" i="2"/>
  <c r="F128" i="2" s="1"/>
  <c r="E76" i="2"/>
  <c r="E128" i="2" s="1"/>
  <c r="D76" i="2"/>
  <c r="AC75" i="2"/>
  <c r="AC127" i="2" s="1"/>
  <c r="AB75" i="2"/>
  <c r="AB127" i="2" s="1"/>
  <c r="AA75" i="2"/>
  <c r="AA127" i="2" s="1"/>
  <c r="Z52" i="4" s="1"/>
  <c r="Z75" i="2"/>
  <c r="Z127" i="2" s="1"/>
  <c r="Y52" i="4" s="1"/>
  <c r="Y75" i="2"/>
  <c r="Y127" i="2" s="1"/>
  <c r="X52" i="4" s="1"/>
  <c r="X75" i="2"/>
  <c r="X127" i="2" s="1"/>
  <c r="W52" i="4" s="1"/>
  <c r="W75" i="2"/>
  <c r="W127" i="2" s="1"/>
  <c r="V75" i="2"/>
  <c r="S75" i="2"/>
  <c r="S127" i="2" s="1"/>
  <c r="R75" i="2"/>
  <c r="P75" i="2"/>
  <c r="P127" i="2" s="1"/>
  <c r="O75" i="2"/>
  <c r="O127" i="2" s="1"/>
  <c r="N75" i="2"/>
  <c r="N127" i="2" s="1"/>
  <c r="M52" i="4" s="1"/>
  <c r="M75" i="2"/>
  <c r="K75" i="2"/>
  <c r="K127" i="2" s="1"/>
  <c r="J52" i="4" s="1"/>
  <c r="J75" i="2"/>
  <c r="J127" i="2" s="1"/>
  <c r="I52" i="4" s="1"/>
  <c r="I75" i="2"/>
  <c r="F75" i="2"/>
  <c r="F127" i="2" s="1"/>
  <c r="E75" i="2"/>
  <c r="E127" i="2" s="1"/>
  <c r="D75" i="2"/>
  <c r="AC74" i="2"/>
  <c r="AC126" i="2" s="1"/>
  <c r="AB74" i="2"/>
  <c r="AB126" i="2" s="1"/>
  <c r="Z74" i="2"/>
  <c r="Z126" i="2" s="1"/>
  <c r="Y51" i="4" s="1"/>
  <c r="Y74" i="2"/>
  <c r="Y126" i="2" s="1"/>
  <c r="X51" i="4" s="1"/>
  <c r="X74" i="2"/>
  <c r="X126" i="2" s="1"/>
  <c r="W51" i="4" s="1"/>
  <c r="W74" i="2"/>
  <c r="W126" i="2" s="1"/>
  <c r="V74" i="2"/>
  <c r="S74" i="2"/>
  <c r="S126" i="2" s="1"/>
  <c r="R74" i="2"/>
  <c r="P74" i="2"/>
  <c r="P126" i="2" s="1"/>
  <c r="O74" i="2"/>
  <c r="O126" i="2" s="1"/>
  <c r="N74" i="2"/>
  <c r="N126" i="2" s="1"/>
  <c r="M51" i="4" s="1"/>
  <c r="M74" i="2"/>
  <c r="K74" i="2"/>
  <c r="K126" i="2" s="1"/>
  <c r="J51" i="4" s="1"/>
  <c r="J74" i="2"/>
  <c r="J126" i="2" s="1"/>
  <c r="I51" i="4" s="1"/>
  <c r="I74" i="2"/>
  <c r="F74" i="2"/>
  <c r="F126" i="2" s="1"/>
  <c r="E74" i="2"/>
  <c r="E126" i="2" s="1"/>
  <c r="AC73" i="2"/>
  <c r="AB73" i="2"/>
  <c r="Z73" i="2"/>
  <c r="Y73" i="2"/>
  <c r="X73" i="2"/>
  <c r="W73" i="2"/>
  <c r="V73" i="2"/>
  <c r="S73" i="2"/>
  <c r="R73" i="2"/>
  <c r="P73" i="2"/>
  <c r="O73" i="2"/>
  <c r="N73" i="2"/>
  <c r="M73" i="2"/>
  <c r="K73" i="2"/>
  <c r="J73" i="2"/>
  <c r="I73" i="2"/>
  <c r="F73" i="2"/>
  <c r="D73" i="2"/>
  <c r="AC71" i="2"/>
  <c r="AC123" i="2" s="1"/>
  <c r="AB71" i="2"/>
  <c r="AB123" i="2" s="1"/>
  <c r="AA71" i="2"/>
  <c r="AA123" i="2" s="1"/>
  <c r="Z48" i="4" s="1"/>
  <c r="Z71" i="2"/>
  <c r="Z123" i="2" s="1"/>
  <c r="Y48" i="4" s="1"/>
  <c r="Y71" i="2"/>
  <c r="Y123" i="2" s="1"/>
  <c r="X48" i="4" s="1"/>
  <c r="X71" i="2"/>
  <c r="X123" i="2" s="1"/>
  <c r="W48" i="4" s="1"/>
  <c r="W71" i="2"/>
  <c r="W123" i="2" s="1"/>
  <c r="V71" i="2"/>
  <c r="S71" i="2"/>
  <c r="S123" i="2" s="1"/>
  <c r="R71" i="2"/>
  <c r="P71" i="2"/>
  <c r="P123" i="2" s="1"/>
  <c r="O71" i="2"/>
  <c r="O123" i="2" s="1"/>
  <c r="N71" i="2"/>
  <c r="N123" i="2" s="1"/>
  <c r="M48" i="4" s="1"/>
  <c r="M71" i="2"/>
  <c r="K71" i="2"/>
  <c r="K123" i="2" s="1"/>
  <c r="J48" i="4" s="1"/>
  <c r="J71" i="2"/>
  <c r="J123" i="2" s="1"/>
  <c r="I48" i="4" s="1"/>
  <c r="I71" i="2"/>
  <c r="F71" i="2"/>
  <c r="F123" i="2" s="1"/>
  <c r="E71" i="2"/>
  <c r="E123" i="2" s="1"/>
  <c r="D71" i="2"/>
  <c r="AC70" i="2"/>
  <c r="AC122" i="2" s="1"/>
  <c r="AB70" i="2"/>
  <c r="AB122" i="2" s="1"/>
  <c r="AA70" i="2"/>
  <c r="AA122" i="2" s="1"/>
  <c r="Z47" i="4" s="1"/>
  <c r="Z70" i="2"/>
  <c r="Z122" i="2" s="1"/>
  <c r="Y47" i="4" s="1"/>
  <c r="Y70" i="2"/>
  <c r="Y122" i="2" s="1"/>
  <c r="X47" i="4" s="1"/>
  <c r="X70" i="2"/>
  <c r="X122" i="2" s="1"/>
  <c r="W47" i="4" s="1"/>
  <c r="W70" i="2"/>
  <c r="W122" i="2" s="1"/>
  <c r="V70" i="2"/>
  <c r="S70" i="2"/>
  <c r="S122" i="2" s="1"/>
  <c r="R70" i="2"/>
  <c r="P70" i="2"/>
  <c r="P122" i="2" s="1"/>
  <c r="O70" i="2"/>
  <c r="O122" i="2" s="1"/>
  <c r="N70" i="2"/>
  <c r="N122" i="2" s="1"/>
  <c r="M47" i="4" s="1"/>
  <c r="M70" i="2"/>
  <c r="K70" i="2"/>
  <c r="K122" i="2" s="1"/>
  <c r="J47" i="4" s="1"/>
  <c r="J70" i="2"/>
  <c r="J122" i="2" s="1"/>
  <c r="I47" i="4" s="1"/>
  <c r="I70" i="2"/>
  <c r="F70" i="2"/>
  <c r="F122" i="2" s="1"/>
  <c r="E70" i="2"/>
  <c r="E122" i="2" s="1"/>
  <c r="D70" i="2"/>
  <c r="AC68" i="2"/>
  <c r="AB68" i="2"/>
  <c r="AB120" i="2" s="1"/>
  <c r="AA68" i="2"/>
  <c r="AA120" i="2" s="1"/>
  <c r="Z45" i="4" s="1"/>
  <c r="Z68" i="2"/>
  <c r="Z120" i="2" s="1"/>
  <c r="Y45" i="4" s="1"/>
  <c r="Y68" i="2"/>
  <c r="X68" i="2"/>
  <c r="X120" i="2" s="1"/>
  <c r="W45" i="4" s="1"/>
  <c r="W68" i="2"/>
  <c r="W120" i="2" s="1"/>
  <c r="V68" i="2"/>
  <c r="S68" i="2"/>
  <c r="S120" i="2" s="1"/>
  <c r="R68" i="2"/>
  <c r="P68" i="2"/>
  <c r="P120" i="2" s="1"/>
  <c r="O68" i="2"/>
  <c r="O120" i="2" s="1"/>
  <c r="N68" i="2"/>
  <c r="N120" i="2" s="1"/>
  <c r="M45" i="4" s="1"/>
  <c r="M68" i="2"/>
  <c r="K68" i="2"/>
  <c r="K120" i="2" s="1"/>
  <c r="J45" i="4" s="1"/>
  <c r="J68" i="2"/>
  <c r="J120" i="2" s="1"/>
  <c r="I45" i="4" s="1"/>
  <c r="I68" i="2"/>
  <c r="AC67" i="2"/>
  <c r="AB67" i="2"/>
  <c r="AA67" i="2"/>
  <c r="Z67" i="2"/>
  <c r="Y67" i="2"/>
  <c r="X67" i="2"/>
  <c r="W67" i="2"/>
  <c r="V67" i="2"/>
  <c r="S67" i="2"/>
  <c r="R67" i="2"/>
  <c r="P67" i="2"/>
  <c r="O67" i="2"/>
  <c r="N67" i="2"/>
  <c r="M67" i="2"/>
  <c r="J67" i="2"/>
  <c r="I67" i="2"/>
  <c r="F67" i="2"/>
  <c r="E67" i="2"/>
  <c r="AC65" i="2"/>
  <c r="AC117" i="2" s="1"/>
  <c r="AB65" i="2"/>
  <c r="AB117" i="2" s="1"/>
  <c r="AA65" i="2"/>
  <c r="AA117" i="2" s="1"/>
  <c r="Z42" i="4" s="1"/>
  <c r="Z65" i="2"/>
  <c r="Z117" i="2" s="1"/>
  <c r="Y42" i="4" s="1"/>
  <c r="Y65" i="2"/>
  <c r="Y117" i="2" s="1"/>
  <c r="X42" i="4" s="1"/>
  <c r="X65" i="2"/>
  <c r="X117" i="2" s="1"/>
  <c r="W42" i="4" s="1"/>
  <c r="W65" i="2"/>
  <c r="W117" i="2" s="1"/>
  <c r="V65" i="2"/>
  <c r="S65" i="2"/>
  <c r="S117" i="2" s="1"/>
  <c r="R65" i="2"/>
  <c r="P65" i="2"/>
  <c r="P117" i="2" s="1"/>
  <c r="O65" i="2"/>
  <c r="O117" i="2" s="1"/>
  <c r="N65" i="2"/>
  <c r="N117" i="2" s="1"/>
  <c r="M42" i="4" s="1"/>
  <c r="M65" i="2"/>
  <c r="K65" i="2"/>
  <c r="K117" i="2" s="1"/>
  <c r="J42" i="4" s="1"/>
  <c r="J65" i="2"/>
  <c r="J117" i="2" s="1"/>
  <c r="I42" i="4" s="1"/>
  <c r="I65" i="2"/>
  <c r="F65" i="2"/>
  <c r="F117" i="2" s="1"/>
  <c r="E65" i="2"/>
  <c r="E117" i="2" s="1"/>
  <c r="D65" i="2"/>
  <c r="AC64" i="2"/>
  <c r="AC116" i="2" s="1"/>
  <c r="AB64" i="2"/>
  <c r="AB116" i="2" s="1"/>
  <c r="AA64" i="2"/>
  <c r="AA116" i="2" s="1"/>
  <c r="Z41" i="4" s="1"/>
  <c r="Z64" i="2"/>
  <c r="Z116" i="2" s="1"/>
  <c r="Y41" i="4" s="1"/>
  <c r="Y64" i="2"/>
  <c r="Y116" i="2" s="1"/>
  <c r="X41" i="4" s="1"/>
  <c r="X64" i="2"/>
  <c r="X116" i="2" s="1"/>
  <c r="W41" i="4" s="1"/>
  <c r="W64" i="2"/>
  <c r="W116" i="2" s="1"/>
  <c r="V64" i="2"/>
  <c r="S64" i="2"/>
  <c r="S116" i="2" s="1"/>
  <c r="R64" i="2"/>
  <c r="P64" i="2"/>
  <c r="P116" i="2" s="1"/>
  <c r="O64" i="2"/>
  <c r="O116" i="2" s="1"/>
  <c r="N64" i="2"/>
  <c r="N116" i="2" s="1"/>
  <c r="M41" i="4" s="1"/>
  <c r="M64" i="2"/>
  <c r="K64" i="2"/>
  <c r="K116" i="2" s="1"/>
  <c r="J41" i="4" s="1"/>
  <c r="J64" i="2"/>
  <c r="J116" i="2" s="1"/>
  <c r="I41" i="4" s="1"/>
  <c r="I64" i="2"/>
  <c r="F64" i="2"/>
  <c r="F116" i="2" s="1"/>
  <c r="E64" i="2"/>
  <c r="E116" i="2" s="1"/>
  <c r="D64" i="2"/>
  <c r="AC63" i="2"/>
  <c r="AC115" i="2" s="1"/>
  <c r="AB63" i="2"/>
  <c r="AB115" i="2" s="1"/>
  <c r="AA63" i="2"/>
  <c r="AA115" i="2" s="1"/>
  <c r="Z40" i="4" s="1"/>
  <c r="Z63" i="2"/>
  <c r="Z115" i="2" s="1"/>
  <c r="Y40" i="4" s="1"/>
  <c r="Y63" i="2"/>
  <c r="Y115" i="2" s="1"/>
  <c r="X40" i="4" s="1"/>
  <c r="X63" i="2"/>
  <c r="X115" i="2" s="1"/>
  <c r="W40" i="4" s="1"/>
  <c r="W63" i="2"/>
  <c r="W115" i="2" s="1"/>
  <c r="V63" i="2"/>
  <c r="S63" i="2"/>
  <c r="S115" i="2" s="1"/>
  <c r="R63" i="2"/>
  <c r="P63" i="2"/>
  <c r="P115" i="2" s="1"/>
  <c r="O63" i="2"/>
  <c r="O115" i="2" s="1"/>
  <c r="N63" i="2"/>
  <c r="N115" i="2" s="1"/>
  <c r="M40" i="4" s="1"/>
  <c r="M63" i="2"/>
  <c r="K63" i="2"/>
  <c r="K115" i="2" s="1"/>
  <c r="J40" i="4" s="1"/>
  <c r="J63" i="2"/>
  <c r="J115" i="2" s="1"/>
  <c r="I40" i="4" s="1"/>
  <c r="I63" i="2"/>
  <c r="F63" i="2"/>
  <c r="F115" i="2" s="1"/>
  <c r="E63" i="2"/>
  <c r="E115" i="2" s="1"/>
  <c r="D63" i="2"/>
  <c r="AC62" i="2"/>
  <c r="AC114" i="2" s="1"/>
  <c r="AB62" i="2"/>
  <c r="AB114" i="2" s="1"/>
  <c r="AA62" i="2"/>
  <c r="AA114" i="2" s="1"/>
  <c r="Z39" i="4" s="1"/>
  <c r="Z62" i="2"/>
  <c r="Z114" i="2" s="1"/>
  <c r="Y39" i="4" s="1"/>
  <c r="Y62" i="2"/>
  <c r="Y114" i="2" s="1"/>
  <c r="X39" i="4" s="1"/>
  <c r="X62" i="2"/>
  <c r="X114" i="2" s="1"/>
  <c r="W39" i="4" s="1"/>
  <c r="W62" i="2"/>
  <c r="W114" i="2" s="1"/>
  <c r="V62" i="2"/>
  <c r="S62" i="2"/>
  <c r="S114" i="2" s="1"/>
  <c r="R62" i="2"/>
  <c r="P62" i="2"/>
  <c r="P114" i="2" s="1"/>
  <c r="O62" i="2"/>
  <c r="O114" i="2" s="1"/>
  <c r="N62" i="2"/>
  <c r="N114" i="2" s="1"/>
  <c r="M39" i="4" s="1"/>
  <c r="M62" i="2"/>
  <c r="K62" i="2"/>
  <c r="K114" i="2" s="1"/>
  <c r="J39" i="4" s="1"/>
  <c r="J62" i="2"/>
  <c r="J114" i="2" s="1"/>
  <c r="I39" i="4" s="1"/>
  <c r="I62" i="2"/>
  <c r="F62" i="2"/>
  <c r="F114" i="2" s="1"/>
  <c r="E62" i="2"/>
  <c r="E114" i="2" s="1"/>
  <c r="D62" i="2"/>
  <c r="AC61" i="2"/>
  <c r="AC113" i="2" s="1"/>
  <c r="AB61" i="2"/>
  <c r="AB113" i="2" s="1"/>
  <c r="AA61" i="2"/>
  <c r="AA113" i="2" s="1"/>
  <c r="Z38" i="4" s="1"/>
  <c r="Z61" i="2"/>
  <c r="Z113" i="2" s="1"/>
  <c r="Y38" i="4" s="1"/>
  <c r="Y61" i="2"/>
  <c r="Y113" i="2" s="1"/>
  <c r="X38" i="4" s="1"/>
  <c r="X61" i="2"/>
  <c r="X113" i="2" s="1"/>
  <c r="W38" i="4" s="1"/>
  <c r="W61" i="2"/>
  <c r="W113" i="2" s="1"/>
  <c r="V61" i="2"/>
  <c r="S61" i="2"/>
  <c r="S113" i="2" s="1"/>
  <c r="R61" i="2"/>
  <c r="P61" i="2"/>
  <c r="P113" i="2" s="1"/>
  <c r="O61" i="2"/>
  <c r="O113" i="2" s="1"/>
  <c r="N61" i="2"/>
  <c r="N113" i="2" s="1"/>
  <c r="M38" i="4" s="1"/>
  <c r="M61" i="2"/>
  <c r="K61" i="2"/>
  <c r="K113" i="2" s="1"/>
  <c r="J38" i="4" s="1"/>
  <c r="J61" i="2"/>
  <c r="J113" i="2" s="1"/>
  <c r="I38" i="4" s="1"/>
  <c r="I61" i="2"/>
  <c r="F61" i="2"/>
  <c r="F113" i="2" s="1"/>
  <c r="E61" i="2"/>
  <c r="E113" i="2" s="1"/>
  <c r="D61" i="2"/>
  <c r="AC60" i="2"/>
  <c r="AC112" i="2" s="1"/>
  <c r="AB60" i="2"/>
  <c r="AB112" i="2" s="1"/>
  <c r="Z60" i="2"/>
  <c r="Z112" i="2" s="1"/>
  <c r="Y37" i="4" s="1"/>
  <c r="Y60" i="2"/>
  <c r="Y112" i="2" s="1"/>
  <c r="X37" i="4" s="1"/>
  <c r="X60" i="2"/>
  <c r="X112" i="2" s="1"/>
  <c r="W37" i="4" s="1"/>
  <c r="W60" i="2"/>
  <c r="W112" i="2" s="1"/>
  <c r="V60" i="2"/>
  <c r="S60" i="2"/>
  <c r="S112" i="2" s="1"/>
  <c r="R60" i="2"/>
  <c r="P60" i="2"/>
  <c r="P112" i="2" s="1"/>
  <c r="O60" i="2"/>
  <c r="O112" i="2" s="1"/>
  <c r="N60" i="2"/>
  <c r="N112" i="2" s="1"/>
  <c r="M37" i="4" s="1"/>
  <c r="M60" i="2"/>
  <c r="K60" i="2"/>
  <c r="K112" i="2" s="1"/>
  <c r="J37" i="4" s="1"/>
  <c r="J60" i="2"/>
  <c r="J112" i="2" s="1"/>
  <c r="I37" i="4" s="1"/>
  <c r="I60" i="2"/>
  <c r="F60" i="2"/>
  <c r="F112" i="2" s="1"/>
  <c r="E60" i="2"/>
  <c r="E112" i="2" s="1"/>
  <c r="D60" i="2"/>
  <c r="AC59" i="2"/>
  <c r="AC111" i="2" s="1"/>
  <c r="AB59" i="2"/>
  <c r="AB111" i="2" s="1"/>
  <c r="Z59" i="2"/>
  <c r="Z111" i="2" s="1"/>
  <c r="Y36" i="4" s="1"/>
  <c r="Y59" i="2"/>
  <c r="Y111" i="2" s="1"/>
  <c r="X36" i="4" s="1"/>
  <c r="X59" i="2"/>
  <c r="X111" i="2" s="1"/>
  <c r="W36" i="4" s="1"/>
  <c r="W59" i="2"/>
  <c r="W111" i="2" s="1"/>
  <c r="V59" i="2"/>
  <c r="S59" i="2"/>
  <c r="S111" i="2" s="1"/>
  <c r="R59" i="2"/>
  <c r="P59" i="2"/>
  <c r="P111" i="2" s="1"/>
  <c r="O59" i="2"/>
  <c r="O111" i="2" s="1"/>
  <c r="N59" i="2"/>
  <c r="N111" i="2" s="1"/>
  <c r="M36" i="4" s="1"/>
  <c r="M59" i="2"/>
  <c r="K59" i="2"/>
  <c r="K111" i="2" s="1"/>
  <c r="J36" i="4" s="1"/>
  <c r="J59" i="2"/>
  <c r="J111" i="2" s="1"/>
  <c r="I36" i="4" s="1"/>
  <c r="I59" i="2"/>
  <c r="F59" i="2"/>
  <c r="F111" i="2" s="1"/>
  <c r="E59" i="2"/>
  <c r="E111" i="2" s="1"/>
  <c r="D59" i="2"/>
  <c r="AC58" i="2"/>
  <c r="AC110" i="2" s="1"/>
  <c r="AB58" i="2"/>
  <c r="AB110" i="2" s="1"/>
  <c r="AA58" i="2"/>
  <c r="AA110" i="2" s="1"/>
  <c r="Z35" i="4" s="1"/>
  <c r="Z58" i="2"/>
  <c r="Z110" i="2" s="1"/>
  <c r="Y35" i="4" s="1"/>
  <c r="Y58" i="2"/>
  <c r="Y110" i="2" s="1"/>
  <c r="X35" i="4" s="1"/>
  <c r="X58" i="2"/>
  <c r="X110" i="2" s="1"/>
  <c r="W35" i="4" s="1"/>
  <c r="W58" i="2"/>
  <c r="W110" i="2" s="1"/>
  <c r="V58" i="2"/>
  <c r="S58" i="2"/>
  <c r="S110" i="2" s="1"/>
  <c r="R58" i="2"/>
  <c r="P58" i="2"/>
  <c r="P110" i="2" s="1"/>
  <c r="O58" i="2"/>
  <c r="O110" i="2" s="1"/>
  <c r="N58" i="2"/>
  <c r="N110" i="2" s="1"/>
  <c r="M35" i="4" s="1"/>
  <c r="M58" i="2"/>
  <c r="K58" i="2"/>
  <c r="K110" i="2" s="1"/>
  <c r="J35" i="4" s="1"/>
  <c r="J58" i="2"/>
  <c r="J110" i="2" s="1"/>
  <c r="I35" i="4" s="1"/>
  <c r="I58" i="2"/>
  <c r="F58" i="2"/>
  <c r="F110" i="2" s="1"/>
  <c r="E58" i="2"/>
  <c r="E110" i="2" s="1"/>
  <c r="D58" i="2"/>
  <c r="AC57" i="2"/>
  <c r="AC109" i="2" s="1"/>
  <c r="AB57" i="2"/>
  <c r="AB109" i="2" s="1"/>
  <c r="AA57" i="2"/>
  <c r="AA109" i="2" s="1"/>
  <c r="Z34" i="4" s="1"/>
  <c r="Z57" i="2"/>
  <c r="Z109" i="2" s="1"/>
  <c r="Y34" i="4" s="1"/>
  <c r="Y57" i="2"/>
  <c r="Y109" i="2" s="1"/>
  <c r="X34" i="4" s="1"/>
  <c r="X57" i="2"/>
  <c r="X109" i="2" s="1"/>
  <c r="W34" i="4" s="1"/>
  <c r="W57" i="2"/>
  <c r="W109" i="2" s="1"/>
  <c r="V57" i="2"/>
  <c r="S57" i="2"/>
  <c r="S109" i="2" s="1"/>
  <c r="R57" i="2"/>
  <c r="P57" i="2"/>
  <c r="P109" i="2" s="1"/>
  <c r="O57" i="2"/>
  <c r="N57" i="2"/>
  <c r="N109" i="2" s="1"/>
  <c r="M34" i="4" s="1"/>
  <c r="M57" i="2"/>
  <c r="K57" i="2"/>
  <c r="K109" i="2" s="1"/>
  <c r="J34" i="4" s="1"/>
  <c r="J57" i="2"/>
  <c r="J109" i="2" s="1"/>
  <c r="I34" i="4" s="1"/>
  <c r="I57" i="2"/>
  <c r="F57" i="2"/>
  <c r="F109" i="2" s="1"/>
  <c r="E57" i="2"/>
  <c r="E109" i="2" s="1"/>
  <c r="D57" i="2"/>
  <c r="AC56" i="2"/>
  <c r="AB56" i="2"/>
  <c r="Z56" i="2"/>
  <c r="Y56" i="2"/>
  <c r="X56" i="2"/>
  <c r="V56" i="2"/>
  <c r="S56" i="2"/>
  <c r="R56" i="2"/>
  <c r="P56" i="2"/>
  <c r="N56" i="2"/>
  <c r="M56" i="2"/>
  <c r="K56" i="2"/>
  <c r="J56" i="2"/>
  <c r="I56" i="2"/>
  <c r="F56" i="2"/>
  <c r="E56" i="2"/>
  <c r="D56" i="2"/>
  <c r="AC104" i="1"/>
  <c r="X104" i="1"/>
  <c r="V104" i="1"/>
  <c r="R104" i="1"/>
  <c r="AC103" i="1"/>
  <c r="X103" i="1"/>
  <c r="V103" i="1"/>
  <c r="R103" i="1"/>
  <c r="AC102" i="1"/>
  <c r="X102" i="1"/>
  <c r="V102" i="1"/>
  <c r="R102" i="1"/>
  <c r="AC101" i="1"/>
  <c r="X101" i="1"/>
  <c r="V101" i="1"/>
  <c r="R101" i="1"/>
  <c r="AC100" i="1"/>
  <c r="X100" i="1"/>
  <c r="V100" i="1"/>
  <c r="R100" i="1"/>
  <c r="AC99" i="1"/>
  <c r="X99" i="1"/>
  <c r="V99" i="1"/>
  <c r="R99" i="1"/>
  <c r="AC98" i="1"/>
  <c r="X98" i="1"/>
  <c r="V98" i="1"/>
  <c r="R98" i="1"/>
  <c r="AC97" i="1"/>
  <c r="X97" i="1"/>
  <c r="V97" i="1"/>
  <c r="R97" i="1"/>
  <c r="AC96" i="1"/>
  <c r="X96" i="1"/>
  <c r="V96" i="1"/>
  <c r="R96" i="1"/>
  <c r="AC59" i="1"/>
  <c r="AC89" i="1" s="1"/>
  <c r="AB59" i="1"/>
  <c r="AB89" i="1" s="1"/>
  <c r="AA59" i="1"/>
  <c r="AA89" i="1" s="1"/>
  <c r="Z59" i="1"/>
  <c r="Z89" i="1" s="1"/>
  <c r="Y59" i="1"/>
  <c r="Y89" i="1" s="1"/>
  <c r="X59" i="1"/>
  <c r="X89" i="1" s="1"/>
  <c r="W59" i="1"/>
  <c r="W89" i="1" s="1"/>
  <c r="V59" i="1"/>
  <c r="V89" i="1" s="1"/>
  <c r="U59" i="1"/>
  <c r="S59" i="1"/>
  <c r="S89" i="1" s="1"/>
  <c r="R59" i="1"/>
  <c r="R89" i="1" s="1"/>
  <c r="Q59" i="1"/>
  <c r="O59" i="1"/>
  <c r="O89" i="1" s="1"/>
  <c r="M59" i="1"/>
  <c r="M89" i="1" s="1"/>
  <c r="L59" i="1"/>
  <c r="I59" i="1"/>
  <c r="I89" i="1" s="1"/>
  <c r="H59" i="1"/>
  <c r="F59" i="1"/>
  <c r="E59" i="1"/>
  <c r="E89" i="1" s="1"/>
  <c r="D59" i="1"/>
  <c r="D89" i="1" s="1"/>
  <c r="AC57" i="1"/>
  <c r="AC87" i="1" s="1"/>
  <c r="AB57" i="1"/>
  <c r="AB87" i="1" s="1"/>
  <c r="AA57" i="1"/>
  <c r="AA87" i="1" s="1"/>
  <c r="Z57" i="1"/>
  <c r="Z87" i="1" s="1"/>
  <c r="Y57" i="1"/>
  <c r="Y87" i="1" s="1"/>
  <c r="X57" i="1"/>
  <c r="X87" i="1" s="1"/>
  <c r="W57" i="1"/>
  <c r="W87" i="1" s="1"/>
  <c r="V57" i="1"/>
  <c r="V87" i="1" s="1"/>
  <c r="U57" i="1"/>
  <c r="S57" i="1"/>
  <c r="S87" i="1" s="1"/>
  <c r="R57" i="1"/>
  <c r="R87" i="1" s="1"/>
  <c r="Q57" i="1"/>
  <c r="O57" i="1"/>
  <c r="O87" i="1" s="1"/>
  <c r="M57" i="1"/>
  <c r="M87" i="1" s="1"/>
  <c r="L57" i="1"/>
  <c r="I57" i="1"/>
  <c r="I87" i="1" s="1"/>
  <c r="H57" i="1"/>
  <c r="F57" i="1"/>
  <c r="F87" i="1" s="1"/>
  <c r="E57" i="1"/>
  <c r="E87" i="1" s="1"/>
  <c r="D57" i="1"/>
  <c r="D87" i="1" s="1"/>
  <c r="C57" i="1"/>
  <c r="C87" i="1" s="1"/>
  <c r="AC56" i="1"/>
  <c r="AC86" i="1" s="1"/>
  <c r="AB56" i="1"/>
  <c r="AB86" i="1" s="1"/>
  <c r="AA56" i="1"/>
  <c r="AA86" i="1" s="1"/>
  <c r="Z56" i="1"/>
  <c r="Z86" i="1" s="1"/>
  <c r="Y56" i="1"/>
  <c r="Y86" i="1" s="1"/>
  <c r="X56" i="1"/>
  <c r="X86" i="1" s="1"/>
  <c r="W56" i="1"/>
  <c r="W86" i="1" s="1"/>
  <c r="V56" i="1"/>
  <c r="V86" i="1" s="1"/>
  <c r="U56" i="1"/>
  <c r="S56" i="1"/>
  <c r="S86" i="1" s="1"/>
  <c r="R56" i="1"/>
  <c r="R86" i="1" s="1"/>
  <c r="Q56" i="1"/>
  <c r="O56" i="1"/>
  <c r="O86" i="1" s="1"/>
  <c r="M56" i="1"/>
  <c r="M86" i="1" s="1"/>
  <c r="L56" i="1"/>
  <c r="I56" i="1"/>
  <c r="I86" i="1" s="1"/>
  <c r="H56" i="1"/>
  <c r="F56" i="1"/>
  <c r="E56" i="1"/>
  <c r="E86" i="1" s="1"/>
  <c r="D56" i="1"/>
  <c r="D86" i="1" s="1"/>
  <c r="C56" i="1"/>
  <c r="C86" i="1" s="1"/>
  <c r="AC54" i="1"/>
  <c r="AC84" i="1" s="1"/>
  <c r="AB54" i="1"/>
  <c r="AB84" i="1" s="1"/>
  <c r="AA54" i="1"/>
  <c r="AA84" i="1" s="1"/>
  <c r="Z54" i="1"/>
  <c r="Z84" i="1" s="1"/>
  <c r="Y54" i="1"/>
  <c r="Y84" i="1" s="1"/>
  <c r="X54" i="1"/>
  <c r="X84" i="1" s="1"/>
  <c r="W54" i="1"/>
  <c r="W84" i="1" s="1"/>
  <c r="V54" i="1"/>
  <c r="V84" i="1" s="1"/>
  <c r="U54" i="1"/>
  <c r="S54" i="1"/>
  <c r="S84" i="1" s="1"/>
  <c r="R54" i="1"/>
  <c r="R84" i="1" s="1"/>
  <c r="Q54" i="1"/>
  <c r="O54" i="1"/>
  <c r="O84" i="1" s="1"/>
  <c r="M54" i="1"/>
  <c r="M84" i="1" s="1"/>
  <c r="L54" i="1"/>
  <c r="I54" i="1"/>
  <c r="I84" i="1" s="1"/>
  <c r="H54" i="1"/>
  <c r="F54" i="1"/>
  <c r="F84" i="1" s="1"/>
  <c r="E54" i="1"/>
  <c r="E84" i="1" s="1"/>
  <c r="D54" i="1"/>
  <c r="D84" i="1" s="1"/>
  <c r="AC53" i="1"/>
  <c r="AC83" i="1" s="1"/>
  <c r="AB53" i="1"/>
  <c r="AB83" i="1" s="1"/>
  <c r="AA53" i="1"/>
  <c r="AA83" i="1" s="1"/>
  <c r="Z53" i="1"/>
  <c r="Z83" i="1" s="1"/>
  <c r="Y53" i="1"/>
  <c r="Y83" i="1" s="1"/>
  <c r="X53" i="1"/>
  <c r="X83" i="1" s="1"/>
  <c r="W53" i="1"/>
  <c r="W83" i="1" s="1"/>
  <c r="V53" i="1"/>
  <c r="V83" i="1" s="1"/>
  <c r="U53" i="1"/>
  <c r="S53" i="1"/>
  <c r="S83" i="1" s="1"/>
  <c r="R53" i="1"/>
  <c r="R83" i="1" s="1"/>
  <c r="Q53" i="1"/>
  <c r="O53" i="1"/>
  <c r="O83" i="1" s="1"/>
  <c r="M53" i="1"/>
  <c r="M83" i="1" s="1"/>
  <c r="L53" i="1"/>
  <c r="I53" i="1"/>
  <c r="I83" i="1" s="1"/>
  <c r="H53" i="1"/>
  <c r="F53" i="1"/>
  <c r="F83" i="1" s="1"/>
  <c r="E53" i="1"/>
  <c r="E83" i="1" s="1"/>
  <c r="D53" i="1"/>
  <c r="D83" i="1" s="1"/>
  <c r="C53" i="1"/>
  <c r="C83" i="1" s="1"/>
  <c r="AC47" i="1"/>
  <c r="AC77" i="1" s="1"/>
  <c r="AB47" i="1"/>
  <c r="AB77" i="1" s="1"/>
  <c r="AA47" i="1"/>
  <c r="AA77" i="1" s="1"/>
  <c r="Z47" i="1"/>
  <c r="Z77" i="1" s="1"/>
  <c r="Y47" i="1"/>
  <c r="Y77" i="1" s="1"/>
  <c r="X47" i="1"/>
  <c r="X77" i="1" s="1"/>
  <c r="W47" i="1"/>
  <c r="W77" i="1" s="1"/>
  <c r="V47" i="1"/>
  <c r="V77" i="1" s="1"/>
  <c r="U47" i="1"/>
  <c r="S47" i="1"/>
  <c r="S77" i="1" s="1"/>
  <c r="R77" i="1"/>
  <c r="Q47" i="1"/>
  <c r="O47" i="1"/>
  <c r="O77" i="1" s="1"/>
  <c r="M47" i="1"/>
  <c r="M77" i="1" s="1"/>
  <c r="L47" i="1"/>
  <c r="I47" i="1"/>
  <c r="I77" i="1" s="1"/>
  <c r="H47" i="1"/>
  <c r="F47" i="1"/>
  <c r="E47" i="1"/>
  <c r="E77" i="1" s="1"/>
  <c r="AC46" i="1"/>
  <c r="AC76" i="1" s="1"/>
  <c r="AB46" i="1"/>
  <c r="AB76" i="1" s="1"/>
  <c r="AA46" i="1"/>
  <c r="AA76" i="1" s="1"/>
  <c r="Z46" i="1"/>
  <c r="Z76" i="1" s="1"/>
  <c r="Y46" i="1"/>
  <c r="Y76" i="1" s="1"/>
  <c r="X46" i="1"/>
  <c r="X76" i="1" s="1"/>
  <c r="W46" i="1"/>
  <c r="W76" i="1" s="1"/>
  <c r="V46" i="1"/>
  <c r="V76" i="1" s="1"/>
  <c r="U46" i="1"/>
  <c r="S46" i="1"/>
  <c r="S76" i="1" s="1"/>
  <c r="R76" i="1"/>
  <c r="Q46" i="1"/>
  <c r="O46" i="1"/>
  <c r="O76" i="1" s="1"/>
  <c r="M46" i="1"/>
  <c r="M76" i="1" s="1"/>
  <c r="L46" i="1"/>
  <c r="I46" i="1"/>
  <c r="I76" i="1" s="1"/>
  <c r="H46" i="1"/>
  <c r="F46" i="1"/>
  <c r="E46" i="1"/>
  <c r="E76" i="1" s="1"/>
  <c r="D46" i="1"/>
  <c r="D76" i="1" s="1"/>
  <c r="C46" i="1"/>
  <c r="C76" i="1" s="1"/>
  <c r="AC45" i="1"/>
  <c r="AC75" i="1" s="1"/>
  <c r="AB45" i="1"/>
  <c r="AB75" i="1" s="1"/>
  <c r="AA45" i="1"/>
  <c r="AA75" i="1" s="1"/>
  <c r="Z45" i="1"/>
  <c r="Z75" i="1" s="1"/>
  <c r="Y45" i="1"/>
  <c r="Y75" i="1" s="1"/>
  <c r="X45" i="1"/>
  <c r="X75" i="1" s="1"/>
  <c r="V45" i="1"/>
  <c r="V75" i="1" s="1"/>
  <c r="S45" i="1"/>
  <c r="S75" i="1" s="1"/>
  <c r="Q45" i="1"/>
  <c r="M45" i="1"/>
  <c r="M75" i="1" s="1"/>
  <c r="D45" i="1"/>
  <c r="D75" i="1" s="1"/>
  <c r="AC44" i="1"/>
  <c r="AC74" i="1" s="1"/>
  <c r="AB44" i="1"/>
  <c r="AB74" i="1" s="1"/>
  <c r="AA44" i="1"/>
  <c r="AA74" i="1" s="1"/>
  <c r="Z44" i="1"/>
  <c r="Z74" i="1" s="1"/>
  <c r="Y44" i="1"/>
  <c r="Y74" i="1" s="1"/>
  <c r="X44" i="1"/>
  <c r="X74" i="1" s="1"/>
  <c r="W44" i="1"/>
  <c r="W74" i="1" s="1"/>
  <c r="V44" i="1"/>
  <c r="V74" i="1" s="1"/>
  <c r="U44" i="1"/>
  <c r="S44" i="1"/>
  <c r="S74" i="1" s="1"/>
  <c r="R74" i="1"/>
  <c r="Q44" i="1"/>
  <c r="O44" i="1"/>
  <c r="O74" i="1" s="1"/>
  <c r="M44" i="1"/>
  <c r="M74" i="1" s="1"/>
  <c r="L44" i="1"/>
  <c r="I44" i="1"/>
  <c r="I74" i="1" s="1"/>
  <c r="H44" i="1"/>
  <c r="F44" i="1"/>
  <c r="E44" i="1"/>
  <c r="E74" i="1" s="1"/>
  <c r="D44" i="1"/>
  <c r="D74" i="1" s="1"/>
  <c r="C44" i="1"/>
  <c r="C74" i="1" s="1"/>
  <c r="AC43" i="1"/>
  <c r="AC73" i="1" s="1"/>
  <c r="AB43" i="1"/>
  <c r="AB73" i="1" s="1"/>
  <c r="AA43" i="1"/>
  <c r="AA73" i="1" s="1"/>
  <c r="Z43" i="1"/>
  <c r="Z73" i="1" s="1"/>
  <c r="Y43" i="1"/>
  <c r="Y73" i="1" s="1"/>
  <c r="X43" i="1"/>
  <c r="X73" i="1" s="1"/>
  <c r="V43" i="1"/>
  <c r="V73" i="1" s="1"/>
  <c r="S43" i="1"/>
  <c r="S73" i="1" s="1"/>
  <c r="O43" i="1"/>
  <c r="O73" i="1" s="1"/>
  <c r="H43" i="1"/>
  <c r="F43" i="1"/>
  <c r="AC42" i="1"/>
  <c r="AC72" i="1" s="1"/>
  <c r="AB42" i="1"/>
  <c r="AB72" i="1" s="1"/>
  <c r="AA42" i="1"/>
  <c r="AA72" i="1" s="1"/>
  <c r="Z42" i="1"/>
  <c r="Z72" i="1" s="1"/>
  <c r="Y42" i="1"/>
  <c r="Y72" i="1" s="1"/>
  <c r="X42" i="1"/>
  <c r="X72" i="1" s="1"/>
  <c r="W42" i="1"/>
  <c r="W72" i="1" s="1"/>
  <c r="V42" i="1"/>
  <c r="V72" i="1" s="1"/>
  <c r="U42" i="1"/>
  <c r="S42" i="1"/>
  <c r="S72" i="1" s="1"/>
  <c r="R72" i="1"/>
  <c r="Q42" i="1"/>
  <c r="O42" i="1"/>
  <c r="O72" i="1" s="1"/>
  <c r="M42" i="1"/>
  <c r="M72" i="1" s="1"/>
  <c r="L42" i="1"/>
  <c r="H42" i="1"/>
  <c r="G8" i="4"/>
  <c r="E42" i="1"/>
  <c r="E72" i="1" s="1"/>
  <c r="C42" i="1"/>
  <c r="AC41" i="1"/>
  <c r="AC71" i="1" s="1"/>
  <c r="AB41" i="1"/>
  <c r="AB71" i="1" s="1"/>
  <c r="AA41" i="1"/>
  <c r="AA71" i="1" s="1"/>
  <c r="Z41" i="1"/>
  <c r="Z71" i="1" s="1"/>
  <c r="Y41" i="1"/>
  <c r="Y71" i="1" s="1"/>
  <c r="X41" i="1"/>
  <c r="X71" i="1" s="1"/>
  <c r="W41" i="1"/>
  <c r="W71" i="1" s="1"/>
  <c r="S41" i="1"/>
  <c r="S71" i="1" s="1"/>
  <c r="R71" i="1"/>
  <c r="Q41" i="1"/>
  <c r="M41" i="1"/>
  <c r="M71" i="1" s="1"/>
  <c r="L41" i="1"/>
  <c r="I41" i="1"/>
  <c r="I71" i="1" s="1"/>
  <c r="D41" i="1"/>
  <c r="D71" i="1" s="1"/>
  <c r="AC40" i="1"/>
  <c r="AC70" i="1" s="1"/>
  <c r="AB40" i="1"/>
  <c r="AB70" i="1" s="1"/>
  <c r="AA40" i="1"/>
  <c r="AA70" i="1" s="1"/>
  <c r="Z40" i="1"/>
  <c r="Z70" i="1" s="1"/>
  <c r="Y40" i="1"/>
  <c r="Y70" i="1" s="1"/>
  <c r="X40" i="1"/>
  <c r="X70" i="1" s="1"/>
  <c r="W40" i="1"/>
  <c r="W70" i="1" s="1"/>
  <c r="U40" i="1"/>
  <c r="S40" i="1"/>
  <c r="S70" i="1" s="1"/>
  <c r="R70" i="1"/>
  <c r="Q40" i="1"/>
  <c r="O40" i="1"/>
  <c r="O70" i="1" s="1"/>
  <c r="L40" i="1"/>
  <c r="I40" i="1"/>
  <c r="I70" i="1" s="1"/>
  <c r="H40" i="1"/>
  <c r="F40" i="1"/>
  <c r="D40" i="1"/>
  <c r="D70" i="1" s="1"/>
  <c r="AC39" i="1"/>
  <c r="AC69" i="1" s="1"/>
  <c r="AB39" i="1"/>
  <c r="AB69" i="1" s="1"/>
  <c r="AA39" i="1"/>
  <c r="AA69" i="1" s="1"/>
  <c r="Z39" i="1"/>
  <c r="Z69" i="1" s="1"/>
  <c r="Y39" i="1"/>
  <c r="Y69" i="1" s="1"/>
  <c r="X39" i="1"/>
  <c r="X69" i="1" s="1"/>
  <c r="W39" i="1"/>
  <c r="W69" i="1" s="1"/>
  <c r="V39" i="1"/>
  <c r="V69" i="1" s="1"/>
  <c r="U39" i="1"/>
  <c r="S39" i="1"/>
  <c r="S69" i="1" s="1"/>
  <c r="R69" i="1"/>
  <c r="Q39" i="1"/>
  <c r="O39" i="1"/>
  <c r="O69" i="1" s="1"/>
  <c r="L39" i="1"/>
  <c r="H39" i="1"/>
  <c r="F39" i="1"/>
  <c r="D39" i="1"/>
  <c r="D69" i="1" s="1"/>
  <c r="C39" i="1"/>
  <c r="C69" i="1" s="1"/>
  <c r="E36" i="1"/>
  <c r="E66" i="1" s="1"/>
  <c r="D36" i="1"/>
  <c r="D66" i="1" s="1"/>
  <c r="C36" i="1"/>
  <c r="C66" i="1" s="1"/>
  <c r="B36" i="1"/>
  <c r="B66" i="1" s="1"/>
  <c r="W45" i="1" l="1"/>
  <c r="W75" i="1" s="1"/>
  <c r="W43" i="1"/>
  <c r="W73" i="1" s="1"/>
  <c r="V9" i="4" s="1"/>
  <c r="N61" i="1"/>
  <c r="C378" i="3"/>
  <c r="C396" i="3" s="1"/>
  <c r="R37" i="1"/>
  <c r="AD69" i="2"/>
  <c r="N52" i="1"/>
  <c r="N82" i="1" s="1"/>
  <c r="G69" i="2"/>
  <c r="G72" i="2" s="1"/>
  <c r="G104" i="2" s="1"/>
  <c r="T69" i="2"/>
  <c r="T72" i="2" s="1"/>
  <c r="T104" i="2" s="1"/>
  <c r="J52" i="1"/>
  <c r="J82" i="1" s="1"/>
  <c r="N51" i="1"/>
  <c r="J51" i="1"/>
  <c r="N71" i="1"/>
  <c r="N38" i="1"/>
  <c r="N68" i="1" s="1"/>
  <c r="F45" i="1"/>
  <c r="F75" i="1" s="1"/>
  <c r="G11" i="4" s="1"/>
  <c r="N45" i="1"/>
  <c r="J75" i="1"/>
  <c r="J67" i="1" s="1"/>
  <c r="J37" i="1"/>
  <c r="K46" i="1"/>
  <c r="K76" i="1" s="1"/>
  <c r="H84" i="2"/>
  <c r="H136" i="2" s="1"/>
  <c r="G61" i="4" s="1"/>
  <c r="K66" i="2"/>
  <c r="L60" i="2"/>
  <c r="L112" i="2" s="1"/>
  <c r="X103" i="2"/>
  <c r="Q69" i="1"/>
  <c r="P5" i="4" s="1"/>
  <c r="P39" i="1"/>
  <c r="P69" i="1" s="1"/>
  <c r="U76" i="1"/>
  <c r="T76" i="1" s="1"/>
  <c r="T46" i="1"/>
  <c r="H77" i="1"/>
  <c r="I13" i="4" s="1"/>
  <c r="G47" i="1"/>
  <c r="G77" i="1" s="1"/>
  <c r="H13" i="4" s="1"/>
  <c r="U83" i="1"/>
  <c r="T83" i="1" s="1"/>
  <c r="T53" i="1"/>
  <c r="H86" i="1"/>
  <c r="G56" i="1"/>
  <c r="G86" i="1" s="1"/>
  <c r="U87" i="1"/>
  <c r="T87" i="1" s="1"/>
  <c r="T57" i="1"/>
  <c r="E108" i="2"/>
  <c r="E118" i="2" s="1"/>
  <c r="D43" i="4" s="1"/>
  <c r="E66" i="2"/>
  <c r="V108" i="2"/>
  <c r="U33" i="4" s="1"/>
  <c r="V66" i="2"/>
  <c r="AB108" i="2"/>
  <c r="AA33" i="4" s="1"/>
  <c r="AB66" i="2"/>
  <c r="M110" i="2"/>
  <c r="L35" i="4" s="1"/>
  <c r="L58" i="2"/>
  <c r="V110" i="2"/>
  <c r="U4" i="6" s="1"/>
  <c r="S62" i="6" s="1"/>
  <c r="U58" i="2"/>
  <c r="U110" i="2" s="1"/>
  <c r="T35" i="4" s="1"/>
  <c r="D111" i="2"/>
  <c r="C36" i="4" s="1"/>
  <c r="V112" i="2"/>
  <c r="U37" i="4" s="1"/>
  <c r="M115" i="2"/>
  <c r="J8" i="6" s="1"/>
  <c r="J66" i="6" s="1"/>
  <c r="L63" i="2"/>
  <c r="L115" i="2" s="1"/>
  <c r="V115" i="2"/>
  <c r="U40" i="4" s="1"/>
  <c r="U63" i="2"/>
  <c r="U115" i="2" s="1"/>
  <c r="T40" i="4" s="1"/>
  <c r="D116" i="2"/>
  <c r="C41" i="4" s="1"/>
  <c r="I116" i="2"/>
  <c r="H41" i="4" s="1"/>
  <c r="H64" i="2"/>
  <c r="H116" i="2" s="1"/>
  <c r="G41" i="4" s="1"/>
  <c r="R116" i="2"/>
  <c r="Q41" i="4" s="1"/>
  <c r="Q64" i="2"/>
  <c r="Q116" i="2" s="1"/>
  <c r="P41" i="4" s="1"/>
  <c r="J119" i="2"/>
  <c r="I44" i="4" s="1"/>
  <c r="P119" i="2"/>
  <c r="L12" i="6" s="1"/>
  <c r="Y119" i="2"/>
  <c r="X44" i="4" s="1"/>
  <c r="AC119" i="2"/>
  <c r="AB44" i="4" s="1"/>
  <c r="V120" i="2"/>
  <c r="U13" i="6" s="1"/>
  <c r="S71" i="6" s="1"/>
  <c r="U68" i="2"/>
  <c r="U120" i="2" s="1"/>
  <c r="T45" i="4" s="1"/>
  <c r="D122" i="2"/>
  <c r="E37" i="6" s="1"/>
  <c r="E95" i="6" s="1"/>
  <c r="I122" i="2"/>
  <c r="H47" i="4" s="1"/>
  <c r="H70" i="2"/>
  <c r="H122" i="2" s="1"/>
  <c r="G47" i="4" s="1"/>
  <c r="R122" i="2"/>
  <c r="N37" i="6" s="1"/>
  <c r="L95" i="6" s="1"/>
  <c r="Q70" i="2"/>
  <c r="Q122" i="2" s="1"/>
  <c r="K37" i="6" s="1"/>
  <c r="I125" i="2"/>
  <c r="H50" i="4" s="1"/>
  <c r="I86" i="2"/>
  <c r="H73" i="2"/>
  <c r="N125" i="2"/>
  <c r="N138" i="2" s="1"/>
  <c r="M63" i="4" s="1"/>
  <c r="N86" i="2"/>
  <c r="R86" i="2"/>
  <c r="Q73" i="2"/>
  <c r="W125" i="2"/>
  <c r="V17" i="6" s="1"/>
  <c r="W86" i="2"/>
  <c r="AB125" i="2"/>
  <c r="AB138" i="2" s="1"/>
  <c r="AA63" i="4" s="1"/>
  <c r="AB86" i="2"/>
  <c r="M126" i="2"/>
  <c r="J18" i="6" s="1"/>
  <c r="J76" i="6" s="1"/>
  <c r="L74" i="2"/>
  <c r="V126" i="2"/>
  <c r="U18" i="6" s="1"/>
  <c r="S76" i="6" s="1"/>
  <c r="U74" i="2"/>
  <c r="U126" i="2" s="1"/>
  <c r="S18" i="6" s="1"/>
  <c r="Q76" i="6" s="1"/>
  <c r="V128" i="2"/>
  <c r="U22" i="6" s="1"/>
  <c r="S80" i="6" s="1"/>
  <c r="U76" i="2"/>
  <c r="D129" i="2"/>
  <c r="E25" i="6" s="1"/>
  <c r="E83" i="6" s="1"/>
  <c r="I129" i="2"/>
  <c r="H54" i="4" s="1"/>
  <c r="H77" i="2"/>
  <c r="H129" i="2" s="1"/>
  <c r="G54" i="4" s="1"/>
  <c r="R129" i="2"/>
  <c r="N25" i="6" s="1"/>
  <c r="L83" i="6" s="1"/>
  <c r="Q77" i="2"/>
  <c r="Q129" i="2" s="1"/>
  <c r="P54" i="4" s="1"/>
  <c r="I130" i="2"/>
  <c r="H55" i="4" s="1"/>
  <c r="H78" i="2"/>
  <c r="H130" i="2" s="1"/>
  <c r="G55" i="4" s="1"/>
  <c r="R130" i="2"/>
  <c r="N27" i="6" s="1"/>
  <c r="L85" i="6" s="1"/>
  <c r="Q78" i="2"/>
  <c r="Q130" i="2" s="1"/>
  <c r="K27" i="6" s="1"/>
  <c r="V132" i="2"/>
  <c r="U30" i="6" s="1"/>
  <c r="S88" i="6" s="1"/>
  <c r="U80" i="2"/>
  <c r="U132" i="2" s="1"/>
  <c r="D133" i="2"/>
  <c r="E34" i="6" s="1"/>
  <c r="E92" i="6" s="1"/>
  <c r="I133" i="2"/>
  <c r="H58" i="4" s="1"/>
  <c r="H81" i="2"/>
  <c r="H133" i="2" s="1"/>
  <c r="G58" i="4" s="1"/>
  <c r="R133" i="2"/>
  <c r="N34" i="6" s="1"/>
  <c r="L92" i="6" s="1"/>
  <c r="Q81" i="2"/>
  <c r="Q133" i="2" s="1"/>
  <c r="P58" i="4" s="1"/>
  <c r="M135" i="2"/>
  <c r="J31" i="6" s="1"/>
  <c r="J89" i="6" s="1"/>
  <c r="L83" i="2"/>
  <c r="L135" i="2" s="1"/>
  <c r="K60" i="4" s="1"/>
  <c r="V135" i="2"/>
  <c r="U60" i="4" s="1"/>
  <c r="U83" i="2"/>
  <c r="U135" i="2" s="1"/>
  <c r="T60" i="4" s="1"/>
  <c r="D136" i="2"/>
  <c r="E26" i="6" s="1"/>
  <c r="E84" i="6" s="1"/>
  <c r="R136" i="2"/>
  <c r="Q61" i="4" s="1"/>
  <c r="Q84" i="2"/>
  <c r="Q136" i="2" s="1"/>
  <c r="P61" i="4" s="1"/>
  <c r="F139" i="2"/>
  <c r="F155" i="2" s="1"/>
  <c r="F103" i="2"/>
  <c r="M103" i="2"/>
  <c r="L87" i="2"/>
  <c r="L139" i="2" s="1"/>
  <c r="R139" i="2"/>
  <c r="Q64" i="4" s="1"/>
  <c r="R103" i="2"/>
  <c r="Q87" i="2"/>
  <c r="Q139" i="2" s="1"/>
  <c r="AB139" i="2"/>
  <c r="AB155" i="2" s="1"/>
  <c r="AB103" i="2"/>
  <c r="M141" i="2"/>
  <c r="L66" i="4" s="1"/>
  <c r="L89" i="2"/>
  <c r="V141" i="2"/>
  <c r="U24" i="6" s="1"/>
  <c r="S82" i="6" s="1"/>
  <c r="U89" i="2"/>
  <c r="U141" i="2" s="1"/>
  <c r="D142" i="2"/>
  <c r="E28" i="6" s="1"/>
  <c r="E86" i="6" s="1"/>
  <c r="I142" i="2"/>
  <c r="H67" i="4" s="1"/>
  <c r="H90" i="2"/>
  <c r="H142" i="2" s="1"/>
  <c r="G67" i="4" s="1"/>
  <c r="R142" i="2"/>
  <c r="N28" i="6" s="1"/>
  <c r="L86" i="6" s="1"/>
  <c r="Q90" i="2"/>
  <c r="Q142" i="2" s="1"/>
  <c r="K28" i="6" s="1"/>
  <c r="V144" i="2"/>
  <c r="U33" i="6" s="1"/>
  <c r="S91" i="6" s="1"/>
  <c r="U92" i="2"/>
  <c r="D145" i="2"/>
  <c r="C70" i="4" s="1"/>
  <c r="I145" i="2"/>
  <c r="H70" i="4" s="1"/>
  <c r="H93" i="2"/>
  <c r="H145" i="2" s="1"/>
  <c r="G70" i="4" s="1"/>
  <c r="R145" i="2"/>
  <c r="N36" i="6" s="1"/>
  <c r="L94" i="6" s="1"/>
  <c r="Q93" i="2"/>
  <c r="Q145" i="2" s="1"/>
  <c r="P70" i="4" s="1"/>
  <c r="M148" i="2"/>
  <c r="J42" i="6" s="1"/>
  <c r="L96" i="2"/>
  <c r="I150" i="2"/>
  <c r="H75" i="4" s="1"/>
  <c r="H98" i="2"/>
  <c r="H150" i="2" s="1"/>
  <c r="G75" i="4" s="1"/>
  <c r="R150" i="2"/>
  <c r="Q75" i="4" s="1"/>
  <c r="Q98" i="2"/>
  <c r="Q150" i="2" s="1"/>
  <c r="P75" i="4" s="1"/>
  <c r="H100" i="2"/>
  <c r="H152" i="2" s="1"/>
  <c r="G77" i="4" s="1"/>
  <c r="R152" i="2"/>
  <c r="N46" i="6" s="1"/>
  <c r="L104" i="6" s="1"/>
  <c r="Q100" i="2"/>
  <c r="Q152" i="2" s="1"/>
  <c r="P77" i="4" s="1"/>
  <c r="M153" i="2"/>
  <c r="L78" i="4" s="1"/>
  <c r="L101" i="2"/>
  <c r="V153" i="2"/>
  <c r="U47" i="6" s="1"/>
  <c r="S105" i="6" s="1"/>
  <c r="U101" i="2"/>
  <c r="U153" i="2" s="1"/>
  <c r="S47" i="6" s="1"/>
  <c r="Q105" i="6" s="1"/>
  <c r="D154" i="2"/>
  <c r="I154" i="2"/>
  <c r="H79" i="4" s="1"/>
  <c r="H102" i="2"/>
  <c r="H154" i="2" s="1"/>
  <c r="G79" i="4" s="1"/>
  <c r="R154" i="2"/>
  <c r="Q79" i="4" s="1"/>
  <c r="Q102" i="2"/>
  <c r="Q154" i="2" s="1"/>
  <c r="P79" i="4" s="1"/>
  <c r="U73" i="1"/>
  <c r="T9" i="4" s="1"/>
  <c r="AA125" i="2"/>
  <c r="Z50" i="4" s="1"/>
  <c r="AA86" i="2"/>
  <c r="W108" i="2"/>
  <c r="V33" i="4" s="1"/>
  <c r="W66" i="2"/>
  <c r="H69" i="1"/>
  <c r="I5" i="4" s="1"/>
  <c r="G39" i="1"/>
  <c r="G69" i="1" s="1"/>
  <c r="H5" i="4" s="1"/>
  <c r="L74" i="1"/>
  <c r="L10" i="4" s="1"/>
  <c r="K44" i="1"/>
  <c r="Q76" i="1"/>
  <c r="P12" i="4" s="1"/>
  <c r="P46" i="1"/>
  <c r="P76" i="1" s="1"/>
  <c r="O12" i="4" s="1"/>
  <c r="U77" i="1"/>
  <c r="T77" i="1" s="1"/>
  <c r="T47" i="1"/>
  <c r="L83" i="1"/>
  <c r="K53" i="1"/>
  <c r="Q83" i="1"/>
  <c r="P53" i="1"/>
  <c r="P83" i="1" s="1"/>
  <c r="H84" i="1"/>
  <c r="I20" i="4" s="1"/>
  <c r="G54" i="1"/>
  <c r="G84" i="1" s="1"/>
  <c r="H20" i="4" s="1"/>
  <c r="U86" i="1"/>
  <c r="T86" i="1" s="1"/>
  <c r="T56" i="1"/>
  <c r="L87" i="1"/>
  <c r="K57" i="1"/>
  <c r="Q87" i="1"/>
  <c r="P23" i="4" s="1"/>
  <c r="P57" i="1"/>
  <c r="P87" i="1" s="1"/>
  <c r="O23" i="4" s="1"/>
  <c r="H89" i="1"/>
  <c r="I25" i="4" s="1"/>
  <c r="G59" i="1"/>
  <c r="G89" i="1" s="1"/>
  <c r="H25" i="4" s="1"/>
  <c r="F108" i="2"/>
  <c r="E33" i="4" s="1"/>
  <c r="F66" i="2"/>
  <c r="M66" i="2"/>
  <c r="L56" i="2"/>
  <c r="R108" i="2"/>
  <c r="R66" i="2"/>
  <c r="Q56" i="2"/>
  <c r="X108" i="2"/>
  <c r="W33" i="4" s="1"/>
  <c r="X66" i="2"/>
  <c r="AC66" i="2"/>
  <c r="L57" i="2"/>
  <c r="L109" i="2" s="1"/>
  <c r="V109" i="2"/>
  <c r="U34" i="4" s="1"/>
  <c r="U57" i="2"/>
  <c r="U109" i="2" s="1"/>
  <c r="T34" i="4" s="1"/>
  <c r="D110" i="2"/>
  <c r="C35" i="4" s="1"/>
  <c r="I110" i="2"/>
  <c r="H35" i="4" s="1"/>
  <c r="H58" i="2"/>
  <c r="H110" i="2" s="1"/>
  <c r="G35" i="4" s="1"/>
  <c r="R110" i="2"/>
  <c r="Q35" i="4" s="1"/>
  <c r="Q58" i="2"/>
  <c r="Q110" i="2" s="1"/>
  <c r="K4" i="6" s="1"/>
  <c r="D112" i="2"/>
  <c r="C37" i="4" s="1"/>
  <c r="I112" i="2"/>
  <c r="H37" i="4" s="1"/>
  <c r="H60" i="2"/>
  <c r="H112" i="2" s="1"/>
  <c r="G37" i="4" s="1"/>
  <c r="R112" i="2"/>
  <c r="N5" i="6" s="1"/>
  <c r="L63" i="6" s="1"/>
  <c r="Q60" i="2"/>
  <c r="Q112" i="2" s="1"/>
  <c r="P37" i="4" s="1"/>
  <c r="M114" i="2"/>
  <c r="L39" i="4" s="1"/>
  <c r="L62" i="2"/>
  <c r="V114" i="2"/>
  <c r="U39" i="4" s="1"/>
  <c r="U62" i="2"/>
  <c r="U114" i="2" s="1"/>
  <c r="S7" i="6" s="1"/>
  <c r="Q65" i="6" s="1"/>
  <c r="D115" i="2"/>
  <c r="E8" i="6" s="1"/>
  <c r="E66" i="6" s="1"/>
  <c r="I115" i="2"/>
  <c r="H40" i="4" s="1"/>
  <c r="H63" i="2"/>
  <c r="H115" i="2" s="1"/>
  <c r="G40" i="4" s="1"/>
  <c r="R115" i="2"/>
  <c r="N8" i="6" s="1"/>
  <c r="L66" i="6" s="1"/>
  <c r="Q63" i="2"/>
  <c r="Q115" i="2" s="1"/>
  <c r="K8" i="6" s="1"/>
  <c r="M117" i="2"/>
  <c r="L42" i="4" s="1"/>
  <c r="L65" i="2"/>
  <c r="V117" i="2"/>
  <c r="U42" i="4" s="1"/>
  <c r="U65" i="2"/>
  <c r="U117" i="2" s="1"/>
  <c r="T42" i="4" s="1"/>
  <c r="E119" i="2"/>
  <c r="F12" i="6" s="1"/>
  <c r="M119" i="2"/>
  <c r="L44" i="4" s="1"/>
  <c r="L67" i="2"/>
  <c r="L119" i="2" s="1"/>
  <c r="I12" i="6" s="1"/>
  <c r="V119" i="2"/>
  <c r="U44" i="4" s="1"/>
  <c r="U67" i="2"/>
  <c r="Z119" i="2"/>
  <c r="Y44" i="4" s="1"/>
  <c r="L68" i="2"/>
  <c r="L120" i="2" s="1"/>
  <c r="M123" i="2"/>
  <c r="J15" i="6" s="1"/>
  <c r="J73" i="6" s="1"/>
  <c r="L71" i="2"/>
  <c r="L123" i="2" s="1"/>
  <c r="V123" i="2"/>
  <c r="U15" i="6" s="1"/>
  <c r="S73" i="6" s="1"/>
  <c r="U71" i="2"/>
  <c r="U123" i="2" s="1"/>
  <c r="T48" i="4" s="1"/>
  <c r="D125" i="2"/>
  <c r="E17" i="6" s="1"/>
  <c r="J125" i="2"/>
  <c r="J138" i="2" s="1"/>
  <c r="I63" i="4" s="1"/>
  <c r="J86" i="2"/>
  <c r="O125" i="2"/>
  <c r="N50" i="4" s="1"/>
  <c r="O86" i="2"/>
  <c r="S125" i="2"/>
  <c r="P17" i="6" s="1"/>
  <c r="S86" i="2"/>
  <c r="X125" i="2"/>
  <c r="X138" i="2" s="1"/>
  <c r="W63" i="4" s="1"/>
  <c r="X86" i="2"/>
  <c r="AC125" i="2"/>
  <c r="AA17" i="6" s="1"/>
  <c r="AC86" i="2"/>
  <c r="I126" i="2"/>
  <c r="H51" i="4" s="1"/>
  <c r="H74" i="2"/>
  <c r="H126" i="2" s="1"/>
  <c r="G51" i="4" s="1"/>
  <c r="R126" i="2"/>
  <c r="N18" i="6" s="1"/>
  <c r="L76" i="6" s="1"/>
  <c r="Q74" i="2"/>
  <c r="Q126" i="2" s="1"/>
  <c r="K18" i="6" s="1"/>
  <c r="M128" i="2"/>
  <c r="J22" i="6" s="1"/>
  <c r="J80" i="6" s="1"/>
  <c r="L76" i="2"/>
  <c r="M132" i="2"/>
  <c r="L57" i="4" s="1"/>
  <c r="L80" i="2"/>
  <c r="I135" i="2"/>
  <c r="H60" i="4" s="1"/>
  <c r="H83" i="2"/>
  <c r="H135" i="2" s="1"/>
  <c r="G60" i="4" s="1"/>
  <c r="R135" i="2"/>
  <c r="Q60" i="4" s="1"/>
  <c r="Q83" i="2"/>
  <c r="Q135" i="2" s="1"/>
  <c r="K31" i="6" s="1"/>
  <c r="I103" i="2"/>
  <c r="H87" i="2"/>
  <c r="H139" i="2" s="1"/>
  <c r="N139" i="2"/>
  <c r="N155" i="2" s="1"/>
  <c r="N103" i="2"/>
  <c r="S139" i="2"/>
  <c r="P19" i="6" s="1"/>
  <c r="Y103" i="2"/>
  <c r="AC103" i="2"/>
  <c r="L88" i="2"/>
  <c r="L140" i="2" s="1"/>
  <c r="V140" i="2"/>
  <c r="U20" i="6" s="1"/>
  <c r="S78" i="6" s="1"/>
  <c r="U88" i="2"/>
  <c r="U140" i="2" s="1"/>
  <c r="S20" i="6" s="1"/>
  <c r="Q78" i="6" s="1"/>
  <c r="D141" i="2"/>
  <c r="E24" i="6" s="1"/>
  <c r="E82" i="6" s="1"/>
  <c r="I141" i="2"/>
  <c r="H66" i="4" s="1"/>
  <c r="H89" i="2"/>
  <c r="H141" i="2" s="1"/>
  <c r="G66" i="4" s="1"/>
  <c r="R141" i="2"/>
  <c r="Q66" i="4" s="1"/>
  <c r="Q89" i="2"/>
  <c r="Q141" i="2" s="1"/>
  <c r="K24" i="6" s="1"/>
  <c r="M144" i="2"/>
  <c r="L69" i="4" s="1"/>
  <c r="L92" i="2"/>
  <c r="M147" i="2"/>
  <c r="J39" i="6" s="1"/>
  <c r="J97" i="6" s="1"/>
  <c r="L95" i="2"/>
  <c r="L147" i="2" s="1"/>
  <c r="I39" i="6" s="1"/>
  <c r="I97" i="6" s="1"/>
  <c r="V147" i="2"/>
  <c r="U72" i="4" s="1"/>
  <c r="U95" i="2"/>
  <c r="U147" i="2" s="1"/>
  <c r="T72" i="4" s="1"/>
  <c r="D148" i="2"/>
  <c r="E42" i="6" s="1"/>
  <c r="I148" i="2"/>
  <c r="H73" i="4" s="1"/>
  <c r="H96" i="2"/>
  <c r="H148" i="2" s="1"/>
  <c r="G73" i="4" s="1"/>
  <c r="R148" i="2"/>
  <c r="N42" i="6" s="1"/>
  <c r="Q96" i="2"/>
  <c r="Q148" i="2" s="1"/>
  <c r="K42" i="6" s="1"/>
  <c r="V151" i="2"/>
  <c r="U45" i="6" s="1"/>
  <c r="S103" i="6" s="1"/>
  <c r="U99" i="2"/>
  <c r="U151" i="2" s="1"/>
  <c r="S45" i="6" s="1"/>
  <c r="Q103" i="6" s="1"/>
  <c r="D152" i="2"/>
  <c r="E46" i="6" s="1"/>
  <c r="E104" i="6" s="1"/>
  <c r="I153" i="2"/>
  <c r="H78" i="4" s="1"/>
  <c r="H101" i="2"/>
  <c r="H153" i="2" s="1"/>
  <c r="G78" i="4" s="1"/>
  <c r="R153" i="2"/>
  <c r="N47" i="6" s="1"/>
  <c r="L105" i="6" s="1"/>
  <c r="Q101" i="2"/>
  <c r="Q153" i="2" s="1"/>
  <c r="P78" i="4" s="1"/>
  <c r="D150" i="2"/>
  <c r="C75" i="4" s="1"/>
  <c r="D153" i="2"/>
  <c r="E47" i="6" s="1"/>
  <c r="E105" i="6" s="1"/>
  <c r="Q74" i="1"/>
  <c r="P10" i="4" s="1"/>
  <c r="P44" i="1"/>
  <c r="P74" i="1" s="1"/>
  <c r="O10" i="4" s="1"/>
  <c r="L69" i="1"/>
  <c r="L5" i="4" s="1"/>
  <c r="H72" i="1"/>
  <c r="I8" i="4" s="1"/>
  <c r="G42" i="1"/>
  <c r="G72" i="1" s="1"/>
  <c r="U72" i="1"/>
  <c r="T72" i="1" s="1"/>
  <c r="T42" i="1"/>
  <c r="H73" i="1"/>
  <c r="I9" i="4" s="1"/>
  <c r="G43" i="1"/>
  <c r="G73" i="1" s="1"/>
  <c r="H9" i="4" s="1"/>
  <c r="Q73" i="1"/>
  <c r="P9" i="4" s="1"/>
  <c r="P43" i="1"/>
  <c r="P73" i="1" s="1"/>
  <c r="O9" i="4" s="1"/>
  <c r="H74" i="1"/>
  <c r="I10" i="4" s="1"/>
  <c r="G44" i="1"/>
  <c r="G74" i="1" s="1"/>
  <c r="H10" i="4" s="1"/>
  <c r="L77" i="1"/>
  <c r="L13" i="4" s="1"/>
  <c r="K47" i="1"/>
  <c r="Q77" i="1"/>
  <c r="P13" i="4" s="1"/>
  <c r="P47" i="1"/>
  <c r="P77" i="1" s="1"/>
  <c r="O13" i="4" s="1"/>
  <c r="U84" i="1"/>
  <c r="T84" i="1" s="1"/>
  <c r="T54" i="1"/>
  <c r="L86" i="1"/>
  <c r="K56" i="1"/>
  <c r="Q86" i="1"/>
  <c r="P56" i="1"/>
  <c r="P86" i="1" s="1"/>
  <c r="U89" i="1"/>
  <c r="T89" i="1" s="1"/>
  <c r="T59" i="1"/>
  <c r="I108" i="2"/>
  <c r="H33" i="4" s="1"/>
  <c r="I66" i="2"/>
  <c r="H56" i="2"/>
  <c r="H108" i="2" s="1"/>
  <c r="N108" i="2"/>
  <c r="N118" i="2" s="1"/>
  <c r="M43" i="4" s="1"/>
  <c r="N66" i="2"/>
  <c r="S108" i="2"/>
  <c r="S118" i="2" s="1"/>
  <c r="R43" i="4" s="1"/>
  <c r="S66" i="2"/>
  <c r="Y108" i="2"/>
  <c r="X33" i="4" s="1"/>
  <c r="Y66" i="2"/>
  <c r="D109" i="2"/>
  <c r="E3" i="6" s="1"/>
  <c r="E61" i="6" s="1"/>
  <c r="I109" i="2"/>
  <c r="H34" i="4" s="1"/>
  <c r="H57" i="2"/>
  <c r="H109" i="2" s="1"/>
  <c r="G34" i="4" s="1"/>
  <c r="R109" i="2"/>
  <c r="Q34" i="4" s="1"/>
  <c r="Q57" i="2"/>
  <c r="Q109" i="2" s="1"/>
  <c r="K3" i="6" s="1"/>
  <c r="M111" i="2"/>
  <c r="L36" i="4" s="1"/>
  <c r="L59" i="2"/>
  <c r="L111" i="2" s="1"/>
  <c r="V111" i="2"/>
  <c r="U23" i="6" s="1"/>
  <c r="S81" i="6" s="1"/>
  <c r="U59" i="2"/>
  <c r="U111" i="2" s="1"/>
  <c r="S23" i="6" s="1"/>
  <c r="Q81" i="6" s="1"/>
  <c r="M113" i="2"/>
  <c r="L38" i="4" s="1"/>
  <c r="L61" i="2"/>
  <c r="V113" i="2"/>
  <c r="U6" i="6" s="1"/>
  <c r="S64" i="6" s="1"/>
  <c r="U61" i="2"/>
  <c r="U113" i="2" s="1"/>
  <c r="S6" i="6" s="1"/>
  <c r="Q64" i="6" s="1"/>
  <c r="D114" i="2"/>
  <c r="E7" i="6" s="1"/>
  <c r="E65" i="6" s="1"/>
  <c r="I114" i="2"/>
  <c r="H39" i="4" s="1"/>
  <c r="H62" i="2"/>
  <c r="H114" i="2" s="1"/>
  <c r="G39" i="4" s="1"/>
  <c r="R114" i="2"/>
  <c r="N7" i="6" s="1"/>
  <c r="L65" i="6" s="1"/>
  <c r="Q62" i="2"/>
  <c r="Q114" i="2" s="1"/>
  <c r="P39" i="4" s="1"/>
  <c r="V116" i="2"/>
  <c r="U41" i="4" s="1"/>
  <c r="U64" i="2"/>
  <c r="U116" i="2" s="1"/>
  <c r="D117" i="2"/>
  <c r="C42" i="4" s="1"/>
  <c r="I117" i="2"/>
  <c r="H42" i="4" s="1"/>
  <c r="H65" i="2"/>
  <c r="H117" i="2" s="1"/>
  <c r="G42" i="4" s="1"/>
  <c r="R117" i="2"/>
  <c r="N10" i="6" s="1"/>
  <c r="L68" i="6" s="1"/>
  <c r="Q65" i="2"/>
  <c r="Q117" i="2" s="1"/>
  <c r="P42" i="4" s="1"/>
  <c r="F119" i="2"/>
  <c r="E44" i="4" s="1"/>
  <c r="N119" i="2"/>
  <c r="M44" i="4" s="1"/>
  <c r="R119" i="2"/>
  <c r="Q44" i="4" s="1"/>
  <c r="Q67" i="2"/>
  <c r="W119" i="2"/>
  <c r="V12" i="6" s="1"/>
  <c r="AA119" i="2"/>
  <c r="Z44" i="4" s="1"/>
  <c r="I120" i="2"/>
  <c r="H45" i="4" s="1"/>
  <c r="H68" i="2"/>
  <c r="H120" i="2" s="1"/>
  <c r="G45" i="4" s="1"/>
  <c r="R120" i="2"/>
  <c r="N13" i="6" s="1"/>
  <c r="L71" i="6" s="1"/>
  <c r="Q68" i="2"/>
  <c r="Q120" i="2" s="1"/>
  <c r="K13" i="6" s="1"/>
  <c r="I123" i="2"/>
  <c r="H48" i="4" s="1"/>
  <c r="H71" i="2"/>
  <c r="H123" i="2" s="1"/>
  <c r="G48" i="4" s="1"/>
  <c r="R123" i="2"/>
  <c r="N15" i="6" s="1"/>
  <c r="L73" i="6" s="1"/>
  <c r="Q71" i="2"/>
  <c r="Q123" i="2" s="1"/>
  <c r="K15" i="6" s="1"/>
  <c r="F86" i="2"/>
  <c r="K125" i="2"/>
  <c r="J50" i="4" s="1"/>
  <c r="K86" i="2"/>
  <c r="P125" i="2"/>
  <c r="L17" i="6" s="1"/>
  <c r="P86" i="2"/>
  <c r="Y125" i="2"/>
  <c r="Y138" i="2" s="1"/>
  <c r="X63" i="4" s="1"/>
  <c r="Y86" i="2"/>
  <c r="M127" i="2"/>
  <c r="L52" i="4" s="1"/>
  <c r="L75" i="2"/>
  <c r="L127" i="2" s="1"/>
  <c r="V127" i="2"/>
  <c r="U52" i="4" s="1"/>
  <c r="U75" i="2"/>
  <c r="U127" i="2" s="1"/>
  <c r="S21" i="6" s="1"/>
  <c r="Q79" i="6" s="1"/>
  <c r="D128" i="2"/>
  <c r="I128" i="2"/>
  <c r="H53" i="4" s="1"/>
  <c r="H76" i="2"/>
  <c r="H128" i="2" s="1"/>
  <c r="G53" i="4" s="1"/>
  <c r="R128" i="2"/>
  <c r="N22" i="6" s="1"/>
  <c r="L80" i="6" s="1"/>
  <c r="Q76" i="2"/>
  <c r="Q128" i="2" s="1"/>
  <c r="K22" i="6" s="1"/>
  <c r="M131" i="2"/>
  <c r="J29" i="6" s="1"/>
  <c r="J87" i="6" s="1"/>
  <c r="L79" i="2"/>
  <c r="L131" i="2" s="1"/>
  <c r="K56" i="4" s="1"/>
  <c r="V131" i="2"/>
  <c r="U29" i="6" s="1"/>
  <c r="S87" i="6" s="1"/>
  <c r="U79" i="2"/>
  <c r="U131" i="2" s="1"/>
  <c r="T56" i="4" s="1"/>
  <c r="D132" i="2"/>
  <c r="E30" i="6" s="1"/>
  <c r="E88" i="6" s="1"/>
  <c r="I132" i="2"/>
  <c r="H57" i="4" s="1"/>
  <c r="H80" i="2"/>
  <c r="H132" i="2" s="1"/>
  <c r="G57" i="4" s="1"/>
  <c r="R132" i="2"/>
  <c r="N30" i="6" s="1"/>
  <c r="L88" i="6" s="1"/>
  <c r="Q80" i="2"/>
  <c r="Q132" i="2" s="1"/>
  <c r="P57" i="4" s="1"/>
  <c r="M134" i="2"/>
  <c r="L59" i="4" s="1"/>
  <c r="L82" i="2"/>
  <c r="V134" i="2"/>
  <c r="U82" i="2"/>
  <c r="U134" i="2" s="1"/>
  <c r="T59" i="4" s="1"/>
  <c r="D135" i="2"/>
  <c r="C60" i="4" s="1"/>
  <c r="M137" i="2"/>
  <c r="L62" i="4" s="1"/>
  <c r="L85" i="2"/>
  <c r="V137" i="2"/>
  <c r="U40" i="6" s="1"/>
  <c r="S98" i="6" s="1"/>
  <c r="U85" i="2"/>
  <c r="U137" i="2" s="1"/>
  <c r="S40" i="6" s="1"/>
  <c r="Q98" i="6" s="1"/>
  <c r="D139" i="2"/>
  <c r="C64" i="4" s="1"/>
  <c r="J139" i="2"/>
  <c r="I64" i="4" s="1"/>
  <c r="J103" i="2"/>
  <c r="O139" i="2"/>
  <c r="O155" i="2" s="1"/>
  <c r="O103" i="2"/>
  <c r="V139" i="2"/>
  <c r="U64" i="4" s="1"/>
  <c r="V103" i="2"/>
  <c r="U87" i="2"/>
  <c r="U139" i="2" s="1"/>
  <c r="Z139" i="2"/>
  <c r="Y64" i="4" s="1"/>
  <c r="Z103" i="2"/>
  <c r="D140" i="2"/>
  <c r="E20" i="6" s="1"/>
  <c r="E78" i="6" s="1"/>
  <c r="I140" i="2"/>
  <c r="H65" i="4" s="1"/>
  <c r="H88" i="2"/>
  <c r="H140" i="2" s="1"/>
  <c r="G65" i="4" s="1"/>
  <c r="R140" i="2"/>
  <c r="Q65" i="4" s="1"/>
  <c r="Q88" i="2"/>
  <c r="Q140" i="2" s="1"/>
  <c r="K20" i="6" s="1"/>
  <c r="M143" i="2"/>
  <c r="J32" i="6" s="1"/>
  <c r="J90" i="6" s="1"/>
  <c r="L91" i="2"/>
  <c r="L143" i="2" s="1"/>
  <c r="V143" i="2"/>
  <c r="U68" i="4" s="1"/>
  <c r="U91" i="2"/>
  <c r="U143" i="2" s="1"/>
  <c r="S32" i="6" s="1"/>
  <c r="Q90" i="6" s="1"/>
  <c r="D144" i="2"/>
  <c r="C69" i="4" s="1"/>
  <c r="I144" i="2"/>
  <c r="H69" i="4" s="1"/>
  <c r="H92" i="2"/>
  <c r="H144" i="2" s="1"/>
  <c r="G69" i="4" s="1"/>
  <c r="R144" i="2"/>
  <c r="N33" i="6" s="1"/>
  <c r="L91" i="6" s="1"/>
  <c r="Q92" i="2"/>
  <c r="Q144" i="2" s="1"/>
  <c r="K33" i="6" s="1"/>
  <c r="M146" i="2"/>
  <c r="J38" i="6" s="1"/>
  <c r="J96" i="6" s="1"/>
  <c r="L94" i="2"/>
  <c r="V146" i="2"/>
  <c r="U38" i="6" s="1"/>
  <c r="S96" i="6" s="1"/>
  <c r="U94" i="2"/>
  <c r="U146" i="2" s="1"/>
  <c r="S38" i="6" s="1"/>
  <c r="Q96" i="6" s="1"/>
  <c r="D147" i="2"/>
  <c r="E39" i="6" s="1"/>
  <c r="E97" i="6" s="1"/>
  <c r="I147" i="2"/>
  <c r="H72" i="4" s="1"/>
  <c r="H95" i="2"/>
  <c r="H147" i="2" s="1"/>
  <c r="G72" i="4" s="1"/>
  <c r="R147" i="2"/>
  <c r="Q72" i="4" s="1"/>
  <c r="Q95" i="2"/>
  <c r="Q147" i="2" s="1"/>
  <c r="P72" i="4" s="1"/>
  <c r="M149" i="2"/>
  <c r="J43" i="6" s="1"/>
  <c r="J101" i="6" s="1"/>
  <c r="L97" i="2"/>
  <c r="V149" i="2"/>
  <c r="U43" i="6" s="1"/>
  <c r="S101" i="6" s="1"/>
  <c r="U97" i="2"/>
  <c r="U149" i="2" s="1"/>
  <c r="S43" i="6" s="1"/>
  <c r="Q101" i="6" s="1"/>
  <c r="M151" i="2"/>
  <c r="J45" i="6" s="1"/>
  <c r="J103" i="6" s="1"/>
  <c r="L99" i="2"/>
  <c r="D130" i="2"/>
  <c r="E27" i="6" s="1"/>
  <c r="E85" i="6" s="1"/>
  <c r="Q70" i="1"/>
  <c r="P6" i="4" s="1"/>
  <c r="P40" i="1"/>
  <c r="P70" i="1" s="1"/>
  <c r="Q71" i="1"/>
  <c r="P7" i="4" s="1"/>
  <c r="P41" i="1"/>
  <c r="P71" i="1" s="1"/>
  <c r="O7" i="4" s="1"/>
  <c r="L70" i="1"/>
  <c r="L71" i="1"/>
  <c r="L7" i="4" s="1"/>
  <c r="T39" i="1"/>
  <c r="H70" i="1"/>
  <c r="I6" i="4" s="1"/>
  <c r="G40" i="1"/>
  <c r="G70" i="1" s="1"/>
  <c r="H6" i="4" s="1"/>
  <c r="U70" i="1"/>
  <c r="T70" i="1" s="1"/>
  <c r="T40" i="1"/>
  <c r="C72" i="1"/>
  <c r="C8" i="4" s="1"/>
  <c r="L72" i="1"/>
  <c r="L8" i="4" s="1"/>
  <c r="K42" i="1"/>
  <c r="K72" i="1" s="1"/>
  <c r="Q72" i="1"/>
  <c r="P8" i="4" s="1"/>
  <c r="P42" i="1"/>
  <c r="P72" i="1" s="1"/>
  <c r="O8" i="4" s="1"/>
  <c r="U74" i="1"/>
  <c r="T10" i="4" s="1"/>
  <c r="T44" i="1"/>
  <c r="Q75" i="1"/>
  <c r="P11" i="4" s="1"/>
  <c r="P45" i="1"/>
  <c r="P75" i="1" s="1"/>
  <c r="O11" i="4" s="1"/>
  <c r="H76" i="1"/>
  <c r="I12" i="4" s="1"/>
  <c r="G46" i="1"/>
  <c r="G76" i="1" s="1"/>
  <c r="H12" i="4" s="1"/>
  <c r="H83" i="1"/>
  <c r="G53" i="1"/>
  <c r="G83" i="1" s="1"/>
  <c r="L84" i="1"/>
  <c r="L20" i="4" s="1"/>
  <c r="K54" i="1"/>
  <c r="Q84" i="1"/>
  <c r="P20" i="4" s="1"/>
  <c r="P54" i="1"/>
  <c r="P84" i="1" s="1"/>
  <c r="O20" i="4" s="1"/>
  <c r="H87" i="1"/>
  <c r="I23" i="4" s="1"/>
  <c r="G57" i="1"/>
  <c r="G87" i="1" s="1"/>
  <c r="H23" i="4" s="1"/>
  <c r="K59" i="1"/>
  <c r="K89" i="1" s="1"/>
  <c r="Q89" i="1"/>
  <c r="P25" i="4" s="1"/>
  <c r="P59" i="1"/>
  <c r="P89" i="1" s="1"/>
  <c r="O25" i="4" s="1"/>
  <c r="D108" i="2"/>
  <c r="C33" i="4" s="1"/>
  <c r="J108" i="2"/>
  <c r="I33" i="4" s="1"/>
  <c r="J66" i="2"/>
  <c r="P108" i="2"/>
  <c r="P118" i="2" s="1"/>
  <c r="O43" i="4" s="1"/>
  <c r="P66" i="2"/>
  <c r="Z108" i="2"/>
  <c r="Y33" i="4" s="1"/>
  <c r="Z66" i="2"/>
  <c r="O109" i="2"/>
  <c r="N34" i="4" s="1"/>
  <c r="O66" i="2"/>
  <c r="I111" i="2"/>
  <c r="H36" i="4" s="1"/>
  <c r="H59" i="2"/>
  <c r="H111" i="2" s="1"/>
  <c r="G36" i="4" s="1"/>
  <c r="R111" i="2"/>
  <c r="N23" i="6" s="1"/>
  <c r="L81" i="6" s="1"/>
  <c r="Q59" i="2"/>
  <c r="Q111" i="2" s="1"/>
  <c r="K23" i="6" s="1"/>
  <c r="D113" i="2"/>
  <c r="E6" i="6" s="1"/>
  <c r="E64" i="6" s="1"/>
  <c r="I113" i="2"/>
  <c r="H38" i="4" s="1"/>
  <c r="H61" i="2"/>
  <c r="H113" i="2" s="1"/>
  <c r="G38" i="4" s="1"/>
  <c r="R113" i="2"/>
  <c r="N6" i="6" s="1"/>
  <c r="L64" i="6" s="1"/>
  <c r="Q61" i="2"/>
  <c r="Q113" i="2" s="1"/>
  <c r="K6" i="6" s="1"/>
  <c r="M116" i="2"/>
  <c r="L41" i="4" s="1"/>
  <c r="L64" i="2"/>
  <c r="I119" i="2"/>
  <c r="H44" i="4" s="1"/>
  <c r="O119" i="2"/>
  <c r="N44" i="4" s="1"/>
  <c r="S119" i="2"/>
  <c r="R44" i="4" s="1"/>
  <c r="AB119" i="2"/>
  <c r="W12" i="6" s="1"/>
  <c r="M122" i="2"/>
  <c r="J37" i="6" s="1"/>
  <c r="J95" i="6" s="1"/>
  <c r="L70" i="2"/>
  <c r="V122" i="2"/>
  <c r="U47" i="4" s="1"/>
  <c r="U70" i="2"/>
  <c r="U122" i="2" s="1"/>
  <c r="S37" i="6" s="1"/>
  <c r="Q95" i="6" s="1"/>
  <c r="D123" i="2"/>
  <c r="E15" i="6" s="1"/>
  <c r="E73" i="6" s="1"/>
  <c r="M125" i="2"/>
  <c r="L50" i="4" s="1"/>
  <c r="M86" i="2"/>
  <c r="L73" i="2"/>
  <c r="V86" i="2"/>
  <c r="U73" i="2"/>
  <c r="Z125" i="2"/>
  <c r="Y50" i="4" s="1"/>
  <c r="Z86" i="2"/>
  <c r="D127" i="2"/>
  <c r="C52" i="4" s="1"/>
  <c r="I127" i="2"/>
  <c r="H52" i="4" s="1"/>
  <c r="H75" i="2"/>
  <c r="H127" i="2" s="1"/>
  <c r="G52" i="4" s="1"/>
  <c r="R127" i="2"/>
  <c r="N21" i="6" s="1"/>
  <c r="L79" i="6" s="1"/>
  <c r="Q75" i="2"/>
  <c r="Q127" i="2" s="1"/>
  <c r="K21" i="6" s="1"/>
  <c r="M129" i="2"/>
  <c r="L54" i="4" s="1"/>
  <c r="L77" i="2"/>
  <c r="U77" i="2"/>
  <c r="U129" i="2" s="1"/>
  <c r="T54" i="4" s="1"/>
  <c r="M130" i="2"/>
  <c r="J27" i="6" s="1"/>
  <c r="J85" i="6" s="1"/>
  <c r="L78" i="2"/>
  <c r="V130" i="2"/>
  <c r="U55" i="4" s="1"/>
  <c r="U78" i="2"/>
  <c r="U130" i="2" s="1"/>
  <c r="S27" i="6" s="1"/>
  <c r="Q85" i="6" s="1"/>
  <c r="D131" i="2"/>
  <c r="C56" i="4" s="1"/>
  <c r="I131" i="2"/>
  <c r="H56" i="4" s="1"/>
  <c r="H79" i="2"/>
  <c r="H131" i="2" s="1"/>
  <c r="G56" i="4" s="1"/>
  <c r="R131" i="2"/>
  <c r="Q56" i="4" s="1"/>
  <c r="Q79" i="2"/>
  <c r="Q131" i="2" s="1"/>
  <c r="K29" i="6" s="1"/>
  <c r="M133" i="2"/>
  <c r="L58" i="4" s="1"/>
  <c r="L81" i="2"/>
  <c r="V133" i="2"/>
  <c r="U34" i="6" s="1"/>
  <c r="S92" i="6" s="1"/>
  <c r="U81" i="2"/>
  <c r="U133" i="2" s="1"/>
  <c r="S34" i="6" s="1"/>
  <c r="Q92" i="6" s="1"/>
  <c r="D134" i="2"/>
  <c r="E35" i="6" s="1"/>
  <c r="E93" i="6" s="1"/>
  <c r="I134" i="2"/>
  <c r="H59" i="4" s="1"/>
  <c r="H82" i="2"/>
  <c r="H134" i="2" s="1"/>
  <c r="G59" i="4" s="1"/>
  <c r="R134" i="2"/>
  <c r="N35" i="6" s="1"/>
  <c r="L93" i="6" s="1"/>
  <c r="Q82" i="2"/>
  <c r="Q134" i="2" s="1"/>
  <c r="P59" i="4" s="1"/>
  <c r="L84" i="2"/>
  <c r="L136" i="2" s="1"/>
  <c r="V136" i="2"/>
  <c r="U61" i="4" s="1"/>
  <c r="U84" i="2"/>
  <c r="U136" i="2" s="1"/>
  <c r="S26" i="6" s="1"/>
  <c r="Q84" i="6" s="1"/>
  <c r="D137" i="2"/>
  <c r="C62" i="4" s="1"/>
  <c r="I137" i="2"/>
  <c r="H62" i="4" s="1"/>
  <c r="H85" i="2"/>
  <c r="H137" i="2" s="1"/>
  <c r="G62" i="4" s="1"/>
  <c r="R137" i="2"/>
  <c r="Q62" i="4" s="1"/>
  <c r="Q85" i="2"/>
  <c r="Q137" i="2" s="1"/>
  <c r="P62" i="4" s="1"/>
  <c r="K139" i="2"/>
  <c r="K155" i="2" s="1"/>
  <c r="K103" i="2"/>
  <c r="P139" i="2"/>
  <c r="O64" i="4" s="1"/>
  <c r="P103" i="2"/>
  <c r="W139" i="2"/>
  <c r="V19" i="6" s="1"/>
  <c r="T77" i="6" s="1"/>
  <c r="W103" i="2"/>
  <c r="AA139" i="2"/>
  <c r="Z64" i="4" s="1"/>
  <c r="AA103" i="2"/>
  <c r="M142" i="2"/>
  <c r="J28" i="6" s="1"/>
  <c r="J86" i="6" s="1"/>
  <c r="L90" i="2"/>
  <c r="V142" i="2"/>
  <c r="U67" i="4" s="1"/>
  <c r="U90" i="2"/>
  <c r="U142" i="2" s="1"/>
  <c r="S28" i="6" s="1"/>
  <c r="Q86" i="6" s="1"/>
  <c r="D143" i="2"/>
  <c r="E32" i="6" s="1"/>
  <c r="E90" i="6" s="1"/>
  <c r="I143" i="2"/>
  <c r="H68" i="4" s="1"/>
  <c r="H91" i="2"/>
  <c r="H143" i="2" s="1"/>
  <c r="G68" i="4" s="1"/>
  <c r="R143" i="2"/>
  <c r="N32" i="6" s="1"/>
  <c r="L90" i="6" s="1"/>
  <c r="Q91" i="2"/>
  <c r="Q143" i="2" s="1"/>
  <c r="K32" i="6" s="1"/>
  <c r="M145" i="2"/>
  <c r="J36" i="6" s="1"/>
  <c r="J94" i="6" s="1"/>
  <c r="L93" i="2"/>
  <c r="U93" i="2"/>
  <c r="U145" i="2" s="1"/>
  <c r="T70" i="4" s="1"/>
  <c r="D146" i="2"/>
  <c r="E38" i="6" s="1"/>
  <c r="E96" i="6" s="1"/>
  <c r="I146" i="2"/>
  <c r="H71" i="4" s="1"/>
  <c r="H94" i="2"/>
  <c r="H146" i="2" s="1"/>
  <c r="G71" i="4" s="1"/>
  <c r="R146" i="2"/>
  <c r="N38" i="6" s="1"/>
  <c r="L96" i="6" s="1"/>
  <c r="Q94" i="2"/>
  <c r="Q146" i="2" s="1"/>
  <c r="K38" i="6" s="1"/>
  <c r="V148" i="2"/>
  <c r="U42" i="6" s="1"/>
  <c r="U96" i="2"/>
  <c r="U148" i="2" s="1"/>
  <c r="D149" i="2"/>
  <c r="E43" i="6" s="1"/>
  <c r="E101" i="6" s="1"/>
  <c r="I149" i="2"/>
  <c r="H74" i="4" s="1"/>
  <c r="H97" i="2"/>
  <c r="H149" i="2" s="1"/>
  <c r="G74" i="4" s="1"/>
  <c r="R149" i="2"/>
  <c r="N43" i="6" s="1"/>
  <c r="L101" i="6" s="1"/>
  <c r="Q97" i="2"/>
  <c r="Q149" i="2" s="1"/>
  <c r="K43" i="6" s="1"/>
  <c r="M150" i="2"/>
  <c r="L75" i="4" s="1"/>
  <c r="L98" i="2"/>
  <c r="V150" i="2"/>
  <c r="U75" i="4" s="1"/>
  <c r="U98" i="2"/>
  <c r="U150" i="2" s="1"/>
  <c r="T75" i="4" s="1"/>
  <c r="I151" i="2"/>
  <c r="H76" i="4" s="1"/>
  <c r="H99" i="2"/>
  <c r="H151" i="2" s="1"/>
  <c r="G76" i="4" s="1"/>
  <c r="R151" i="2"/>
  <c r="N45" i="6" s="1"/>
  <c r="L103" i="6" s="1"/>
  <c r="L100" i="2"/>
  <c r="L152" i="2" s="1"/>
  <c r="V152" i="2"/>
  <c r="U46" i="6" s="1"/>
  <c r="S104" i="6" s="1"/>
  <c r="U100" i="2"/>
  <c r="U152" i="2" s="1"/>
  <c r="S46" i="6" s="1"/>
  <c r="Q104" i="6" s="1"/>
  <c r="M154" i="2"/>
  <c r="L102" i="2"/>
  <c r="V154" i="2"/>
  <c r="U79" i="4" s="1"/>
  <c r="U102" i="2"/>
  <c r="U154" i="2" s="1"/>
  <c r="U75" i="1"/>
  <c r="T75" i="1" s="1"/>
  <c r="T45" i="1"/>
  <c r="D126" i="2"/>
  <c r="E18" i="6" s="1"/>
  <c r="E76" i="6" s="1"/>
  <c r="D42" i="1"/>
  <c r="D72" i="1" s="1"/>
  <c r="D8" i="4" s="1"/>
  <c r="F77" i="1"/>
  <c r="F86" i="1"/>
  <c r="U69" i="1"/>
  <c r="T69" i="1" s="1"/>
  <c r="F70" i="1"/>
  <c r="F89" i="1"/>
  <c r="L89" i="1"/>
  <c r="F73" i="1"/>
  <c r="F69" i="1"/>
  <c r="G5" i="4" s="1"/>
  <c r="F74" i="1"/>
  <c r="F76" i="1"/>
  <c r="L76" i="1"/>
  <c r="L12" i="4" s="1"/>
  <c r="D10" i="4"/>
  <c r="N10" i="4"/>
  <c r="R10" i="4"/>
  <c r="W10" i="4"/>
  <c r="AA10" i="4"/>
  <c r="E10" i="4"/>
  <c r="J10" i="4"/>
  <c r="X10" i="4"/>
  <c r="AB10" i="4"/>
  <c r="U10" i="4"/>
  <c r="Y10" i="4"/>
  <c r="M10" i="4"/>
  <c r="Q10" i="4"/>
  <c r="V10" i="4"/>
  <c r="Z10" i="4"/>
  <c r="X6" i="4"/>
  <c r="X7" i="4"/>
  <c r="N9" i="4"/>
  <c r="W13" i="4"/>
  <c r="U20" i="4"/>
  <c r="Y20" i="4"/>
  <c r="U23" i="4"/>
  <c r="U25" i="4"/>
  <c r="Y23" i="4"/>
  <c r="Y25" i="4"/>
  <c r="N6" i="4"/>
  <c r="M7" i="4"/>
  <c r="X9" i="4"/>
  <c r="AB12" i="4"/>
  <c r="X5" i="4"/>
  <c r="Y6" i="4"/>
  <c r="Y7" i="4"/>
  <c r="AB8" i="4"/>
  <c r="Y9" i="4"/>
  <c r="J11" i="4"/>
  <c r="X11" i="4"/>
  <c r="AB11" i="4"/>
  <c r="U12" i="4"/>
  <c r="Y12" i="4"/>
  <c r="J13" i="4"/>
  <c r="X13" i="4"/>
  <c r="AB13" i="4"/>
  <c r="M20" i="4"/>
  <c r="V20" i="4"/>
  <c r="Z20" i="4"/>
  <c r="D20" i="4"/>
  <c r="M23" i="4"/>
  <c r="M25" i="4"/>
  <c r="Q100" i="1"/>
  <c r="V23" i="4"/>
  <c r="V25" i="4"/>
  <c r="Z23" i="4"/>
  <c r="Z25" i="4"/>
  <c r="J8" i="4"/>
  <c r="N8" i="4"/>
  <c r="AB9" i="4"/>
  <c r="W11" i="4"/>
  <c r="J12" i="4"/>
  <c r="X12" i="4"/>
  <c r="N13" i="4"/>
  <c r="AB5" i="4"/>
  <c r="X8" i="4"/>
  <c r="U9" i="4"/>
  <c r="U5" i="4"/>
  <c r="Y5" i="4"/>
  <c r="J6" i="4"/>
  <c r="V6" i="4"/>
  <c r="Z6" i="4"/>
  <c r="J7" i="4"/>
  <c r="V7" i="4"/>
  <c r="Z7" i="4"/>
  <c r="U8" i="4"/>
  <c r="Y8" i="4"/>
  <c r="J9" i="4"/>
  <c r="Z9" i="4"/>
  <c r="M11" i="4"/>
  <c r="U11" i="4"/>
  <c r="Y11" i="4"/>
  <c r="M12" i="4"/>
  <c r="V12" i="4"/>
  <c r="Z12" i="4"/>
  <c r="U13" i="4"/>
  <c r="Y13" i="4"/>
  <c r="N20" i="4"/>
  <c r="R20" i="4"/>
  <c r="W20" i="4"/>
  <c r="D25" i="4"/>
  <c r="N23" i="4"/>
  <c r="N25" i="4"/>
  <c r="R25" i="4"/>
  <c r="W23" i="4"/>
  <c r="W25" i="4"/>
  <c r="AA23" i="4"/>
  <c r="W100" i="1"/>
  <c r="J5" i="4"/>
  <c r="U6" i="4"/>
  <c r="AB6" i="4"/>
  <c r="AB7" i="4"/>
  <c r="W8" i="4"/>
  <c r="V5" i="4"/>
  <c r="Z5" i="4"/>
  <c r="W6" i="4"/>
  <c r="W7" i="4"/>
  <c r="M8" i="4"/>
  <c r="V8" i="4"/>
  <c r="W9" i="4"/>
  <c r="V11" i="4"/>
  <c r="Z11" i="4"/>
  <c r="N12" i="4"/>
  <c r="W12" i="4"/>
  <c r="M13" i="4"/>
  <c r="V13" i="4"/>
  <c r="Z13" i="4"/>
  <c r="J20" i="4"/>
  <c r="X20" i="4"/>
  <c r="AB20" i="4"/>
  <c r="G20" i="4"/>
  <c r="J23" i="4"/>
  <c r="J25" i="4"/>
  <c r="X23" i="4"/>
  <c r="X25" i="4"/>
  <c r="AB23" i="4"/>
  <c r="AB25" i="4"/>
  <c r="C10" i="4"/>
  <c r="Y69" i="2"/>
  <c r="Y121" i="2" s="1"/>
  <c r="X46" i="4" s="1"/>
  <c r="O52" i="1"/>
  <c r="O82" i="1" s="1"/>
  <c r="L43" i="1"/>
  <c r="C41" i="1"/>
  <c r="L45" i="1"/>
  <c r="C43" i="1"/>
  <c r="AA56" i="2"/>
  <c r="H41" i="1"/>
  <c r="C47" i="1"/>
  <c r="C77" i="1" s="1"/>
  <c r="R51" i="1"/>
  <c r="R81" i="1" s="1"/>
  <c r="S99" i="2"/>
  <c r="S151" i="2" s="1"/>
  <c r="E67" i="6"/>
  <c r="C52" i="1"/>
  <c r="C82" i="1" s="1"/>
  <c r="C18" i="4" s="1"/>
  <c r="D99" i="2"/>
  <c r="C51" i="1"/>
  <c r="C81" i="1" s="1"/>
  <c r="N5" i="4"/>
  <c r="D38" i="1"/>
  <c r="D68" i="1" s="1"/>
  <c r="E40" i="1"/>
  <c r="E70" i="1" s="1"/>
  <c r="Q51" i="1"/>
  <c r="E73" i="2"/>
  <c r="E68" i="2"/>
  <c r="E120" i="2" s="1"/>
  <c r="D45" i="4" s="1"/>
  <c r="AC69" i="2"/>
  <c r="AC121" i="2" s="1"/>
  <c r="AB46" i="4" s="1"/>
  <c r="X51" i="1"/>
  <c r="X81" i="1" s="1"/>
  <c r="Z52" i="1"/>
  <c r="Z82" i="1" s="1"/>
  <c r="J69" i="2"/>
  <c r="J121" i="2" s="1"/>
  <c r="I46" i="4" s="1"/>
  <c r="AB51" i="1"/>
  <c r="AB81" i="1" s="1"/>
  <c r="S69" i="2"/>
  <c r="S121" i="2" s="1"/>
  <c r="R46" i="4" s="1"/>
  <c r="C45" i="1"/>
  <c r="C75" i="1" s="1"/>
  <c r="O41" i="1"/>
  <c r="O71" i="1" s="1"/>
  <c r="AA60" i="2"/>
  <c r="AA112" i="2" s="1"/>
  <c r="Z37" i="4" s="1"/>
  <c r="U52" i="1"/>
  <c r="AA51" i="1"/>
  <c r="AA81" i="1" s="1"/>
  <c r="AB69" i="2"/>
  <c r="AB121" i="2" s="1"/>
  <c r="W14" i="6" s="1"/>
  <c r="U72" i="6" s="1"/>
  <c r="S51" i="1"/>
  <c r="S81" i="1" s="1"/>
  <c r="Y51" i="1"/>
  <c r="Y81" i="1" s="1"/>
  <c r="AC51" i="1"/>
  <c r="AC81" i="1" s="1"/>
  <c r="W52" i="1"/>
  <c r="W82" i="1" s="1"/>
  <c r="AA52" i="1"/>
  <c r="AA82" i="1" s="1"/>
  <c r="F68" i="2"/>
  <c r="F120" i="2" s="1"/>
  <c r="E45" i="4" s="1"/>
  <c r="O69" i="2"/>
  <c r="O121" i="2" s="1"/>
  <c r="Z69" i="2"/>
  <c r="Z121" i="2" s="1"/>
  <c r="Y46" i="4" s="1"/>
  <c r="O51" i="1"/>
  <c r="O81" i="1" s="1"/>
  <c r="U51" i="1"/>
  <c r="Z51" i="1"/>
  <c r="Z81" i="1" s="1"/>
  <c r="Q52" i="1"/>
  <c r="X52" i="1"/>
  <c r="X82" i="1" s="1"/>
  <c r="AB52" i="1"/>
  <c r="AB82" i="1" s="1"/>
  <c r="P69" i="2"/>
  <c r="P121" i="2" s="1"/>
  <c r="W69" i="2"/>
  <c r="W121" i="2" s="1"/>
  <c r="AA69" i="2"/>
  <c r="AA121" i="2" s="1"/>
  <c r="Z46" i="4" s="1"/>
  <c r="W51" i="1"/>
  <c r="W81" i="1" s="1"/>
  <c r="H52" i="1"/>
  <c r="S52" i="1"/>
  <c r="S82" i="1" s="1"/>
  <c r="Y52" i="1"/>
  <c r="Y82" i="1" s="1"/>
  <c r="AC52" i="1"/>
  <c r="AC82" i="1" s="1"/>
  <c r="K67" i="2"/>
  <c r="I69" i="2"/>
  <c r="I72" i="2" s="1"/>
  <c r="X69" i="2"/>
  <c r="X121" i="2" s="1"/>
  <c r="W46" i="4" s="1"/>
  <c r="E106" i="6"/>
  <c r="O152" i="6"/>
  <c r="D68" i="2"/>
  <c r="D67" i="2"/>
  <c r="T11" i="6"/>
  <c r="R69" i="6" s="1"/>
  <c r="I51" i="1"/>
  <c r="I81" i="1" s="1"/>
  <c r="X16" i="6"/>
  <c r="V74" i="6" s="1"/>
  <c r="E77" i="3"/>
  <c r="U41" i="1" s="1"/>
  <c r="U71" i="1" s="1"/>
  <c r="T7" i="4" s="1"/>
  <c r="E100" i="2"/>
  <c r="E152" i="2" s="1"/>
  <c r="D77" i="4" s="1"/>
  <c r="Y16" i="6"/>
  <c r="W74" i="6" s="1"/>
  <c r="E68" i="3"/>
  <c r="D43" i="1" s="1"/>
  <c r="D73" i="1" s="1"/>
  <c r="E89" i="3"/>
  <c r="Q11" i="6"/>
  <c r="O69" i="6" s="1"/>
  <c r="E101" i="2"/>
  <c r="E153" i="2" s="1"/>
  <c r="D78" i="4" s="1"/>
  <c r="K106" i="6"/>
  <c r="X38" i="1"/>
  <c r="X68" i="1" s="1"/>
  <c r="X67" i="1" s="1"/>
  <c r="AB38" i="1"/>
  <c r="AB68" i="1" s="1"/>
  <c r="AB67" i="1" s="1"/>
  <c r="L38" i="1"/>
  <c r="R68" i="1"/>
  <c r="R67" i="1" s="1"/>
  <c r="Q38" i="1"/>
  <c r="X49" i="6"/>
  <c r="V107" i="6" s="1"/>
  <c r="Z49" i="6"/>
  <c r="X107" i="6" s="1"/>
  <c r="Y11" i="6"/>
  <c r="W69" i="6" s="1"/>
  <c r="AB49" i="6"/>
  <c r="Z107" i="6" s="1"/>
  <c r="Q16" i="6"/>
  <c r="O74" i="6" s="1"/>
  <c r="Z41" i="6"/>
  <c r="X99" i="6" s="1"/>
  <c r="T49" i="6"/>
  <c r="R107" i="6" s="1"/>
  <c r="R52" i="1"/>
  <c r="R82" i="1" s="1"/>
  <c r="R69" i="2"/>
  <c r="M69" i="2"/>
  <c r="M72" i="2" s="1"/>
  <c r="I52" i="1"/>
  <c r="I82" i="1" s="1"/>
  <c r="K69" i="2"/>
  <c r="K121" i="2" s="1"/>
  <c r="J46" i="4" s="1"/>
  <c r="G23" i="4"/>
  <c r="G123" i="2"/>
  <c r="H15" i="6" s="1"/>
  <c r="H73" i="6" s="1"/>
  <c r="G136" i="2"/>
  <c r="F61" i="4" s="1"/>
  <c r="G152" i="2"/>
  <c r="H46" i="6" s="1"/>
  <c r="H104" i="6" s="1"/>
  <c r="E73" i="3"/>
  <c r="E87" i="3"/>
  <c r="Z38" i="1"/>
  <c r="Z68" i="1" s="1"/>
  <c r="Z67" i="1" s="1"/>
  <c r="U38" i="1"/>
  <c r="G126" i="2"/>
  <c r="F51" i="4" s="1"/>
  <c r="T127" i="2"/>
  <c r="R21" i="6" s="1"/>
  <c r="P79" i="6" s="1"/>
  <c r="O174" i="6" s="1"/>
  <c r="T128" i="2"/>
  <c r="R22" i="6" s="1"/>
  <c r="P80" i="6" s="1"/>
  <c r="O175" i="6" s="1"/>
  <c r="T129" i="2"/>
  <c r="S54" i="4" s="1"/>
  <c r="G142" i="2"/>
  <c r="F67" i="4" s="1"/>
  <c r="T143" i="2"/>
  <c r="S68" i="4" s="1"/>
  <c r="T144" i="2"/>
  <c r="R33" i="6" s="1"/>
  <c r="P91" i="6" s="1"/>
  <c r="T145" i="2"/>
  <c r="S70" i="4" s="1"/>
  <c r="E121" i="3"/>
  <c r="M40" i="1" s="1"/>
  <c r="M70" i="1" s="1"/>
  <c r="T123" i="2"/>
  <c r="R15" i="6" s="1"/>
  <c r="P73" i="6" s="1"/>
  <c r="O168" i="6" s="1"/>
  <c r="G108" i="2"/>
  <c r="T119" i="2"/>
  <c r="T139" i="2"/>
  <c r="S64" i="4" s="1"/>
  <c r="G154" i="2"/>
  <c r="F79" i="4" s="1"/>
  <c r="G122" i="2"/>
  <c r="F47" i="4" s="1"/>
  <c r="G114" i="2"/>
  <c r="H7" i="6" s="1"/>
  <c r="H65" i="6" s="1"/>
  <c r="T115" i="2"/>
  <c r="R8" i="6" s="1"/>
  <c r="P66" i="6" s="1"/>
  <c r="O161" i="6" s="1"/>
  <c r="T116" i="2"/>
  <c r="S41" i="4" s="1"/>
  <c r="G134" i="2"/>
  <c r="H35" i="6" s="1"/>
  <c r="H93" i="6" s="1"/>
  <c r="G135" i="2"/>
  <c r="F60" i="4" s="1"/>
  <c r="T135" i="2"/>
  <c r="S60" i="4" s="1"/>
  <c r="G150" i="2"/>
  <c r="F75" i="4" s="1"/>
  <c r="G151" i="2"/>
  <c r="F76" i="4" s="1"/>
  <c r="T151" i="2"/>
  <c r="R45" i="6" s="1"/>
  <c r="P103" i="6" s="1"/>
  <c r="G110" i="2"/>
  <c r="F35" i="4" s="1"/>
  <c r="G111" i="2"/>
  <c r="F36" i="4" s="1"/>
  <c r="T111" i="2"/>
  <c r="S36" i="4" s="1"/>
  <c r="G130" i="2"/>
  <c r="H27" i="6" s="1"/>
  <c r="H85" i="6" s="1"/>
  <c r="T131" i="2"/>
  <c r="S56" i="4" s="1"/>
  <c r="T132" i="2"/>
  <c r="S57" i="4" s="1"/>
  <c r="G146" i="2"/>
  <c r="F71" i="4" s="1"/>
  <c r="T147" i="2"/>
  <c r="S72" i="4" s="1"/>
  <c r="T148" i="2"/>
  <c r="R42" i="6" s="1"/>
  <c r="R5" i="4"/>
  <c r="R6" i="4"/>
  <c r="AA6" i="4"/>
  <c r="Q8" i="4"/>
  <c r="R9" i="4"/>
  <c r="AA9" i="4"/>
  <c r="D11" i="4"/>
  <c r="C20" i="4"/>
  <c r="Q20" i="4"/>
  <c r="D23" i="4"/>
  <c r="D98" i="1"/>
  <c r="R23" i="4"/>
  <c r="S98" i="1"/>
  <c r="P35" i="4"/>
  <c r="D39" i="4"/>
  <c r="F7" i="6"/>
  <c r="F65" i="6" s="1"/>
  <c r="V7" i="6"/>
  <c r="T65" i="6" s="1"/>
  <c r="V39" i="4"/>
  <c r="V41" i="4"/>
  <c r="W10" i="6"/>
  <c r="U68" i="6" s="1"/>
  <c r="AA42" i="4"/>
  <c r="L15" i="6"/>
  <c r="O48" i="4"/>
  <c r="W15" i="6"/>
  <c r="U73" i="6" s="1"/>
  <c r="AA48" i="4"/>
  <c r="L21" i="6"/>
  <c r="O52" i="4"/>
  <c r="W21" i="6"/>
  <c r="U79" i="6" s="1"/>
  <c r="AA52" i="4"/>
  <c r="AA22" i="6"/>
  <c r="Y80" i="6" s="1"/>
  <c r="AB53" i="4"/>
  <c r="J30" i="6"/>
  <c r="J88" i="6" s="1"/>
  <c r="V35" i="6"/>
  <c r="T93" i="6" s="1"/>
  <c r="V59" i="4"/>
  <c r="F20" i="6"/>
  <c r="F78" i="6" s="1"/>
  <c r="D65" i="4"/>
  <c r="G24" i="6"/>
  <c r="G82" i="6" s="1"/>
  <c r="E66" i="4"/>
  <c r="O68" i="4"/>
  <c r="L32" i="6"/>
  <c r="AA68" i="4"/>
  <c r="W32" i="6"/>
  <c r="U90" i="6" s="1"/>
  <c r="AA33" i="6"/>
  <c r="Y91" i="6" s="1"/>
  <c r="AB69" i="4"/>
  <c r="M44" i="6"/>
  <c r="N79" i="4"/>
  <c r="P44" i="6"/>
  <c r="R79" i="4"/>
  <c r="Q5" i="4"/>
  <c r="O6" i="4"/>
  <c r="Q7" i="4"/>
  <c r="R8" i="4"/>
  <c r="AA8" i="4"/>
  <c r="E9" i="4"/>
  <c r="E11" i="4"/>
  <c r="C12" i="4"/>
  <c r="Q12" i="4"/>
  <c r="D13" i="4"/>
  <c r="Q13" i="4"/>
  <c r="AA20" i="4"/>
  <c r="E23" i="4"/>
  <c r="E98" i="1"/>
  <c r="S100" i="1"/>
  <c r="F4" i="6"/>
  <c r="F62" i="6" s="1"/>
  <c r="D35" i="4"/>
  <c r="V4" i="6"/>
  <c r="T62" i="6" s="1"/>
  <c r="V35" i="4"/>
  <c r="V5" i="6"/>
  <c r="T63" i="6" s="1"/>
  <c r="V37" i="4"/>
  <c r="F6" i="6"/>
  <c r="F64" i="6" s="1"/>
  <c r="D38" i="4"/>
  <c r="W6" i="6"/>
  <c r="U64" i="6" s="1"/>
  <c r="AA38" i="4"/>
  <c r="G7" i="6"/>
  <c r="G65" i="6" s="1"/>
  <c r="E39" i="4"/>
  <c r="M7" i="6"/>
  <c r="N39" i="4"/>
  <c r="P7" i="6"/>
  <c r="N65" i="6" s="1"/>
  <c r="R39" i="4"/>
  <c r="G8" i="6"/>
  <c r="G66" i="6" s="1"/>
  <c r="E40" i="4"/>
  <c r="N40" i="4"/>
  <c r="M8" i="6"/>
  <c r="P8" i="6"/>
  <c r="N66" i="6" s="1"/>
  <c r="R40" i="4"/>
  <c r="V40" i="4"/>
  <c r="V8" i="6"/>
  <c r="T66" i="6" s="1"/>
  <c r="D41" i="4"/>
  <c r="N41" i="4"/>
  <c r="R41" i="4"/>
  <c r="W2" i="6"/>
  <c r="AA41" i="4"/>
  <c r="G10" i="6"/>
  <c r="G68" i="6" s="1"/>
  <c r="E42" i="4"/>
  <c r="L10" i="6"/>
  <c r="O42" i="4"/>
  <c r="P53" i="4"/>
  <c r="V27" i="6"/>
  <c r="T85" i="6" s="1"/>
  <c r="V55" i="4"/>
  <c r="M35" i="6"/>
  <c r="N59" i="4"/>
  <c r="P35" i="6"/>
  <c r="R59" i="4"/>
  <c r="F26" i="6"/>
  <c r="F84" i="6" s="1"/>
  <c r="D61" i="4"/>
  <c r="G40" i="6"/>
  <c r="G98" i="6" s="1"/>
  <c r="E62" i="4"/>
  <c r="AA20" i="6"/>
  <c r="Y78" i="6" s="1"/>
  <c r="AB65" i="4"/>
  <c r="J33" i="6"/>
  <c r="J91" i="6" s="1"/>
  <c r="V38" i="6"/>
  <c r="T96" i="6" s="1"/>
  <c r="V71" i="4"/>
  <c r="G47" i="6"/>
  <c r="G105" i="6" s="1"/>
  <c r="E78" i="4"/>
  <c r="R7" i="4"/>
  <c r="AA7" i="4"/>
  <c r="E8" i="4"/>
  <c r="Q11" i="4"/>
  <c r="D12" i="4"/>
  <c r="R12" i="4"/>
  <c r="AA12" i="4"/>
  <c r="E13" i="4"/>
  <c r="R13" i="4"/>
  <c r="AA13" i="4"/>
  <c r="E20" i="4"/>
  <c r="F3" i="6"/>
  <c r="F61" i="6" s="1"/>
  <c r="D34" i="4"/>
  <c r="W3" i="6"/>
  <c r="U61" i="6" s="1"/>
  <c r="AA34" i="4"/>
  <c r="G4" i="6"/>
  <c r="G62" i="6" s="1"/>
  <c r="E35" i="4"/>
  <c r="M4" i="6"/>
  <c r="N35" i="4"/>
  <c r="P4" i="6"/>
  <c r="N62" i="6" s="1"/>
  <c r="R35" i="4"/>
  <c r="G23" i="6"/>
  <c r="G81" i="6" s="1"/>
  <c r="E36" i="4"/>
  <c r="M23" i="6"/>
  <c r="N36" i="4"/>
  <c r="P23" i="6"/>
  <c r="R36" i="4"/>
  <c r="V23" i="6"/>
  <c r="T81" i="6" s="1"/>
  <c r="V36" i="4"/>
  <c r="F5" i="6"/>
  <c r="F63" i="6" s="1"/>
  <c r="D37" i="4"/>
  <c r="M5" i="6"/>
  <c r="N37" i="4"/>
  <c r="P5" i="6"/>
  <c r="N63" i="6" s="1"/>
  <c r="R37" i="4"/>
  <c r="W5" i="6"/>
  <c r="U63" i="6" s="1"/>
  <c r="AA37" i="4"/>
  <c r="G6" i="6"/>
  <c r="G64" i="6" s="1"/>
  <c r="E38" i="4"/>
  <c r="L6" i="6"/>
  <c r="O38" i="4"/>
  <c r="AA6" i="6"/>
  <c r="Y64" i="6" s="1"/>
  <c r="AB38" i="4"/>
  <c r="AA7" i="6"/>
  <c r="Y65" i="6" s="1"/>
  <c r="AB39" i="4"/>
  <c r="L8" i="6"/>
  <c r="O40" i="4"/>
  <c r="W8" i="6"/>
  <c r="U66" i="6" s="1"/>
  <c r="AA40" i="4"/>
  <c r="O41" i="4"/>
  <c r="AB41" i="4"/>
  <c r="V37" i="6"/>
  <c r="T95" i="6" s="1"/>
  <c r="V47" i="4"/>
  <c r="V51" i="4"/>
  <c r="V18" i="6"/>
  <c r="T76" i="6" s="1"/>
  <c r="M27" i="6"/>
  <c r="N55" i="4"/>
  <c r="P27" i="6"/>
  <c r="R55" i="4"/>
  <c r="F30" i="6"/>
  <c r="F88" i="6" s="1"/>
  <c r="D57" i="4"/>
  <c r="G34" i="6"/>
  <c r="G92" i="6" s="1"/>
  <c r="E58" i="4"/>
  <c r="AA26" i="6"/>
  <c r="Y84" i="6" s="1"/>
  <c r="AB61" i="4"/>
  <c r="V28" i="6"/>
  <c r="T86" i="6" s="1"/>
  <c r="V67" i="4"/>
  <c r="M38" i="6"/>
  <c r="N71" i="4"/>
  <c r="P38" i="6"/>
  <c r="R71" i="4"/>
  <c r="F42" i="6"/>
  <c r="D73" i="4"/>
  <c r="G43" i="6"/>
  <c r="G101" i="6" s="1"/>
  <c r="E74" i="4"/>
  <c r="L45" i="6"/>
  <c r="O76" i="4"/>
  <c r="W45" i="6"/>
  <c r="U103" i="6" s="1"/>
  <c r="AA76" i="4"/>
  <c r="AA46" i="6"/>
  <c r="Y104" i="6" s="1"/>
  <c r="AB77" i="4"/>
  <c r="Q6" i="4"/>
  <c r="D7" i="4"/>
  <c r="Q9" i="4"/>
  <c r="R11" i="4"/>
  <c r="AA11" i="4"/>
  <c r="E12" i="4"/>
  <c r="Q23" i="4"/>
  <c r="Q98" i="1"/>
  <c r="D33" i="4"/>
  <c r="G3" i="6"/>
  <c r="G61" i="6" s="1"/>
  <c r="E34" i="4"/>
  <c r="L3" i="6"/>
  <c r="O34" i="4"/>
  <c r="AA3" i="6"/>
  <c r="Y61" i="6" s="1"/>
  <c r="AB34" i="4"/>
  <c r="AA4" i="6"/>
  <c r="Y62" i="6" s="1"/>
  <c r="AB35" i="4"/>
  <c r="L23" i="6"/>
  <c r="O36" i="4"/>
  <c r="W23" i="6"/>
  <c r="U81" i="6" s="1"/>
  <c r="AA36" i="4"/>
  <c r="L5" i="6"/>
  <c r="O37" i="4"/>
  <c r="AB37" i="4"/>
  <c r="AA5" i="6"/>
  <c r="Y63" i="6" s="1"/>
  <c r="U7" i="6"/>
  <c r="S65" i="6" s="1"/>
  <c r="M37" i="6"/>
  <c r="N47" i="4"/>
  <c r="P37" i="6"/>
  <c r="R47" i="4"/>
  <c r="M18" i="6"/>
  <c r="N51" i="4"/>
  <c r="P18" i="6"/>
  <c r="R51" i="4"/>
  <c r="F22" i="6"/>
  <c r="F80" i="6" s="1"/>
  <c r="D53" i="4"/>
  <c r="G25" i="6"/>
  <c r="G83" i="6" s="1"/>
  <c r="E54" i="4"/>
  <c r="L29" i="6"/>
  <c r="O56" i="4"/>
  <c r="W29" i="6"/>
  <c r="U87" i="6" s="1"/>
  <c r="AA56" i="4"/>
  <c r="AA30" i="6"/>
  <c r="Y88" i="6" s="1"/>
  <c r="AB57" i="4"/>
  <c r="M28" i="6"/>
  <c r="N67" i="4"/>
  <c r="P28" i="6"/>
  <c r="R67" i="4"/>
  <c r="F33" i="6"/>
  <c r="F91" i="6" s="1"/>
  <c r="D69" i="4"/>
  <c r="G36" i="6"/>
  <c r="G94" i="6" s="1"/>
  <c r="E70" i="4"/>
  <c r="O72" i="4"/>
  <c r="L39" i="6"/>
  <c r="AA72" i="4"/>
  <c r="W39" i="6"/>
  <c r="U97" i="6" s="1"/>
  <c r="AA42" i="6"/>
  <c r="AB73" i="4"/>
  <c r="Q78" i="4"/>
  <c r="V44" i="6"/>
  <c r="T102" i="6" s="1"/>
  <c r="V79" i="4"/>
  <c r="W5" i="4"/>
  <c r="M33" i="4"/>
  <c r="G109" i="2"/>
  <c r="P3" i="6"/>
  <c r="N61" i="6" s="1"/>
  <c r="R34" i="4"/>
  <c r="V3" i="6"/>
  <c r="T61" i="6" s="1"/>
  <c r="V34" i="4"/>
  <c r="E4" i="6"/>
  <c r="E62" i="6" s="1"/>
  <c r="L4" i="6"/>
  <c r="O35" i="4"/>
  <c r="T110" i="2"/>
  <c r="W4" i="6"/>
  <c r="U62" i="6" s="1"/>
  <c r="AA35" i="4"/>
  <c r="F23" i="6"/>
  <c r="F81" i="6" s="1"/>
  <c r="D36" i="4"/>
  <c r="AA23" i="6"/>
  <c r="Y81" i="6" s="1"/>
  <c r="AB36" i="4"/>
  <c r="G5" i="6"/>
  <c r="G63" i="6" s="1"/>
  <c r="E37" i="4"/>
  <c r="G113" i="2"/>
  <c r="M6" i="6"/>
  <c r="N38" i="4"/>
  <c r="P6" i="6"/>
  <c r="N64" i="6" s="1"/>
  <c r="R38" i="4"/>
  <c r="V38" i="4"/>
  <c r="V6" i="6"/>
  <c r="T64" i="6" s="1"/>
  <c r="L7" i="6"/>
  <c r="O39" i="4"/>
  <c r="T114" i="2"/>
  <c r="W7" i="6"/>
  <c r="U65" i="6" s="1"/>
  <c r="AA39" i="4"/>
  <c r="F8" i="6"/>
  <c r="F66" i="6" s="1"/>
  <c r="D40" i="4"/>
  <c r="AA8" i="6"/>
  <c r="Y66" i="6" s="1"/>
  <c r="AB40" i="4"/>
  <c r="E41" i="4"/>
  <c r="G117" i="2"/>
  <c r="M10" i="6"/>
  <c r="N42" i="4"/>
  <c r="P10" i="6"/>
  <c r="N68" i="6" s="1"/>
  <c r="R42" i="4"/>
  <c r="V10" i="6"/>
  <c r="T68" i="6" s="1"/>
  <c r="V42" i="4"/>
  <c r="D66" i="2"/>
  <c r="D44" i="4"/>
  <c r="J12" i="6"/>
  <c r="L37" i="6"/>
  <c r="O47" i="4"/>
  <c r="T122" i="2"/>
  <c r="W37" i="6"/>
  <c r="U95" i="6" s="1"/>
  <c r="AA47" i="4"/>
  <c r="F15" i="6"/>
  <c r="F73" i="6" s="1"/>
  <c r="D48" i="4"/>
  <c r="P48" i="4"/>
  <c r="AA15" i="6"/>
  <c r="Y73" i="6" s="1"/>
  <c r="AB48" i="4"/>
  <c r="L18" i="6"/>
  <c r="O51" i="4"/>
  <c r="T126" i="2"/>
  <c r="W18" i="6"/>
  <c r="U76" i="6" s="1"/>
  <c r="AA51" i="4"/>
  <c r="F21" i="6"/>
  <c r="F79" i="6" s="1"/>
  <c r="D52" i="4"/>
  <c r="J21" i="6"/>
  <c r="J79" i="6" s="1"/>
  <c r="AB52" i="4"/>
  <c r="AA21" i="6"/>
  <c r="Y79" i="6" s="1"/>
  <c r="G22" i="6"/>
  <c r="G80" i="6" s="1"/>
  <c r="E53" i="4"/>
  <c r="G129" i="2"/>
  <c r="M25" i="6"/>
  <c r="N54" i="4"/>
  <c r="P25" i="6"/>
  <c r="R54" i="4"/>
  <c r="V25" i="6"/>
  <c r="T83" i="6" s="1"/>
  <c r="V54" i="4"/>
  <c r="L27" i="6"/>
  <c r="O55" i="4"/>
  <c r="T130" i="2"/>
  <c r="W27" i="6"/>
  <c r="U85" i="6" s="1"/>
  <c r="AA55" i="4"/>
  <c r="F29" i="6"/>
  <c r="F87" i="6" s="1"/>
  <c r="D56" i="4"/>
  <c r="S29" i="6"/>
  <c r="Q87" i="6" s="1"/>
  <c r="AB56" i="4"/>
  <c r="AA29" i="6"/>
  <c r="Y87" i="6" s="1"/>
  <c r="G30" i="6"/>
  <c r="G88" i="6" s="1"/>
  <c r="E57" i="4"/>
  <c r="G133" i="2"/>
  <c r="M34" i="6"/>
  <c r="N58" i="4"/>
  <c r="P34" i="6"/>
  <c r="R58" i="4"/>
  <c r="V34" i="6"/>
  <c r="T92" i="6" s="1"/>
  <c r="V58" i="4"/>
  <c r="L35" i="6"/>
  <c r="O59" i="4"/>
  <c r="T134" i="2"/>
  <c r="W35" i="6"/>
  <c r="U93" i="6" s="1"/>
  <c r="AA59" i="4"/>
  <c r="D60" i="4"/>
  <c r="F31" i="6"/>
  <c r="F89" i="6" s="1"/>
  <c r="E61" i="4"/>
  <c r="G26" i="6"/>
  <c r="G84" i="6" s="1"/>
  <c r="G137" i="2"/>
  <c r="N62" i="4"/>
  <c r="M40" i="6"/>
  <c r="P40" i="6"/>
  <c r="R62" i="4"/>
  <c r="V40" i="6"/>
  <c r="T98" i="6" s="1"/>
  <c r="V62" i="4"/>
  <c r="D86" i="2"/>
  <c r="E139" i="2"/>
  <c r="I139" i="2"/>
  <c r="M139" i="2"/>
  <c r="Y139" i="2"/>
  <c r="AC139" i="2"/>
  <c r="E65" i="4"/>
  <c r="G20" i="6"/>
  <c r="G78" i="6" s="1"/>
  <c r="N20" i="6"/>
  <c r="L78" i="6" s="1"/>
  <c r="G141" i="2"/>
  <c r="N66" i="4"/>
  <c r="M24" i="6"/>
  <c r="P24" i="6"/>
  <c r="R66" i="4"/>
  <c r="V24" i="6"/>
  <c r="T82" i="6" s="1"/>
  <c r="V66" i="4"/>
  <c r="L28" i="6"/>
  <c r="O67" i="4"/>
  <c r="T142" i="2"/>
  <c r="W28" i="6"/>
  <c r="U86" i="6" s="1"/>
  <c r="AA67" i="4"/>
  <c r="F32" i="6"/>
  <c r="F90" i="6" s="1"/>
  <c r="D68" i="4"/>
  <c r="AA32" i="6"/>
  <c r="Y90" i="6" s="1"/>
  <c r="AB68" i="4"/>
  <c r="E69" i="4"/>
  <c r="G33" i="6"/>
  <c r="G91" i="6" s="1"/>
  <c r="G145" i="2"/>
  <c r="M36" i="6"/>
  <c r="N70" i="4"/>
  <c r="P36" i="6"/>
  <c r="R70" i="4"/>
  <c r="V36" i="6"/>
  <c r="T94" i="6" s="1"/>
  <c r="V70" i="4"/>
  <c r="L38" i="6"/>
  <c r="O71" i="4"/>
  <c r="T146" i="2"/>
  <c r="W38" i="6"/>
  <c r="U96" i="6" s="1"/>
  <c r="AA71" i="4"/>
  <c r="F39" i="6"/>
  <c r="F97" i="6" s="1"/>
  <c r="D72" i="4"/>
  <c r="AA39" i="6"/>
  <c r="Y97" i="6" s="1"/>
  <c r="AB72" i="4"/>
  <c r="G42" i="6"/>
  <c r="E73" i="4"/>
  <c r="G149" i="2"/>
  <c r="M43" i="6"/>
  <c r="N74" i="4"/>
  <c r="P43" i="6"/>
  <c r="R74" i="4"/>
  <c r="V43" i="6"/>
  <c r="T101" i="6" s="1"/>
  <c r="V74" i="4"/>
  <c r="T150" i="2"/>
  <c r="S75" i="4" s="1"/>
  <c r="F45" i="6"/>
  <c r="F103" i="6" s="1"/>
  <c r="D76" i="4"/>
  <c r="L76" i="4"/>
  <c r="AA45" i="6"/>
  <c r="Y103" i="6" s="1"/>
  <c r="AB76" i="4"/>
  <c r="G46" i="6"/>
  <c r="G104" i="6" s="1"/>
  <c r="E77" i="4"/>
  <c r="Q77" i="4"/>
  <c r="G153" i="2"/>
  <c r="M47" i="6"/>
  <c r="N78" i="4"/>
  <c r="P47" i="6"/>
  <c r="R78" i="4"/>
  <c r="V47" i="6"/>
  <c r="T105" i="6" s="1"/>
  <c r="V78" i="4"/>
  <c r="L44" i="6"/>
  <c r="O79" i="4"/>
  <c r="T154" i="2"/>
  <c r="W44" i="6"/>
  <c r="U102" i="6" s="1"/>
  <c r="AA79" i="4"/>
  <c r="M108" i="2"/>
  <c r="AC108" i="2"/>
  <c r="M109" i="2"/>
  <c r="Y120" i="2"/>
  <c r="X45" i="4" s="1"/>
  <c r="R125" i="2"/>
  <c r="V129" i="2"/>
  <c r="I136" i="2"/>
  <c r="H61" i="4" s="1"/>
  <c r="X139" i="2"/>
  <c r="M140" i="2"/>
  <c r="V145" i="2"/>
  <c r="I152" i="2"/>
  <c r="H77" i="4" s="1"/>
  <c r="I38" i="1"/>
  <c r="I68" i="1" s="1"/>
  <c r="I67" i="1" s="1"/>
  <c r="S38" i="1"/>
  <c r="S68" i="1" s="1"/>
  <c r="S67" i="1" s="1"/>
  <c r="W38" i="1"/>
  <c r="W68" i="1" s="1"/>
  <c r="AA38" i="1"/>
  <c r="AA68" i="1" s="1"/>
  <c r="AA67" i="1" s="1"/>
  <c r="D100" i="1"/>
  <c r="T109" i="2"/>
  <c r="G112" i="2"/>
  <c r="T113" i="2"/>
  <c r="G116" i="2"/>
  <c r="T117" i="2"/>
  <c r="G120" i="2"/>
  <c r="M13" i="6"/>
  <c r="N45" i="4"/>
  <c r="P13" i="6"/>
  <c r="N71" i="6" s="1"/>
  <c r="R45" i="4"/>
  <c r="V13" i="6"/>
  <c r="T71" i="6" s="1"/>
  <c r="V45" i="4"/>
  <c r="F37" i="6"/>
  <c r="F95" i="6" s="1"/>
  <c r="D47" i="4"/>
  <c r="AA37" i="6"/>
  <c r="Y95" i="6" s="1"/>
  <c r="AB47" i="4"/>
  <c r="G15" i="6"/>
  <c r="G73" i="6" s="1"/>
  <c r="E48" i="4"/>
  <c r="F18" i="6"/>
  <c r="F76" i="6" s="1"/>
  <c r="D51" i="4"/>
  <c r="P51" i="4"/>
  <c r="AA18" i="6"/>
  <c r="Y76" i="6" s="1"/>
  <c r="AB51" i="4"/>
  <c r="G21" i="6"/>
  <c r="G79" i="6" s="1"/>
  <c r="E52" i="4"/>
  <c r="G128" i="2"/>
  <c r="M22" i="6"/>
  <c r="N53" i="4"/>
  <c r="P22" i="6"/>
  <c r="R53" i="4"/>
  <c r="V53" i="4"/>
  <c r="V22" i="6"/>
  <c r="T80" i="6" s="1"/>
  <c r="L25" i="6"/>
  <c r="O54" i="4"/>
  <c r="W25" i="6"/>
  <c r="U83" i="6" s="1"/>
  <c r="AA54" i="4"/>
  <c r="F27" i="6"/>
  <c r="F85" i="6" s="1"/>
  <c r="D55" i="4"/>
  <c r="AA27" i="6"/>
  <c r="Y85" i="6" s="1"/>
  <c r="AB55" i="4"/>
  <c r="G29" i="6"/>
  <c r="G87" i="6" s="1"/>
  <c r="E56" i="4"/>
  <c r="G132" i="2"/>
  <c r="M30" i="6"/>
  <c r="N57" i="4"/>
  <c r="P30" i="6"/>
  <c r="R57" i="4"/>
  <c r="V57" i="4"/>
  <c r="V30" i="6"/>
  <c r="T88" i="6" s="1"/>
  <c r="C58" i="4"/>
  <c r="L34" i="6"/>
  <c r="O58" i="4"/>
  <c r="T133" i="2"/>
  <c r="W34" i="6"/>
  <c r="U92" i="6" s="1"/>
  <c r="AA58" i="4"/>
  <c r="F35" i="6"/>
  <c r="F93" i="6" s="1"/>
  <c r="D59" i="4"/>
  <c r="AA35" i="6"/>
  <c r="Y93" i="6" s="1"/>
  <c r="AB59" i="4"/>
  <c r="M26" i="6"/>
  <c r="N61" i="4"/>
  <c r="P26" i="6"/>
  <c r="R61" i="4"/>
  <c r="V26" i="6"/>
  <c r="T84" i="6" s="1"/>
  <c r="V61" i="4"/>
  <c r="L40" i="6"/>
  <c r="O62" i="4"/>
  <c r="T137" i="2"/>
  <c r="AA62" i="4"/>
  <c r="W40" i="6"/>
  <c r="U98" i="6" s="1"/>
  <c r="E64" i="4"/>
  <c r="U19" i="6"/>
  <c r="S77" i="6" s="1"/>
  <c r="G140" i="2"/>
  <c r="N65" i="4"/>
  <c r="M20" i="6"/>
  <c r="P20" i="6"/>
  <c r="R65" i="4"/>
  <c r="V20" i="6"/>
  <c r="T78" i="6" s="1"/>
  <c r="V65" i="4"/>
  <c r="O66" i="4"/>
  <c r="L24" i="6"/>
  <c r="T141" i="2"/>
  <c r="AA66" i="4"/>
  <c r="W24" i="6"/>
  <c r="U82" i="6" s="1"/>
  <c r="F28" i="6"/>
  <c r="F86" i="6" s="1"/>
  <c r="D67" i="4"/>
  <c r="L67" i="4"/>
  <c r="AA28" i="6"/>
  <c r="Y86" i="6" s="1"/>
  <c r="AB67" i="4"/>
  <c r="G32" i="6"/>
  <c r="G90" i="6" s="1"/>
  <c r="E68" i="4"/>
  <c r="U32" i="6"/>
  <c r="S90" i="6" s="1"/>
  <c r="G144" i="2"/>
  <c r="M33" i="6"/>
  <c r="N69" i="4"/>
  <c r="P33" i="6"/>
  <c r="R69" i="4"/>
  <c r="V33" i="6"/>
  <c r="T91" i="6" s="1"/>
  <c r="V69" i="4"/>
  <c r="O70" i="4"/>
  <c r="L36" i="6"/>
  <c r="AA70" i="4"/>
  <c r="W36" i="6"/>
  <c r="U94" i="6" s="1"/>
  <c r="F38" i="6"/>
  <c r="F96" i="6" s="1"/>
  <c r="D71" i="4"/>
  <c r="P71" i="4"/>
  <c r="AA38" i="6"/>
  <c r="Y96" i="6" s="1"/>
  <c r="AB71" i="4"/>
  <c r="G39" i="6"/>
  <c r="G97" i="6" s="1"/>
  <c r="E72" i="4"/>
  <c r="U39" i="6"/>
  <c r="S97" i="6" s="1"/>
  <c r="G148" i="2"/>
  <c r="M42" i="6"/>
  <c r="N73" i="4"/>
  <c r="P42" i="6"/>
  <c r="R73" i="4"/>
  <c r="V42" i="6"/>
  <c r="V73" i="4"/>
  <c r="C74" i="4"/>
  <c r="O74" i="4"/>
  <c r="L43" i="6"/>
  <c r="T149" i="2"/>
  <c r="W43" i="6"/>
  <c r="U101" i="6" s="1"/>
  <c r="AA74" i="4"/>
  <c r="AF75" i="4"/>
  <c r="G45" i="6"/>
  <c r="G103" i="6" s="1"/>
  <c r="E76" i="4"/>
  <c r="M46" i="6"/>
  <c r="N77" i="4"/>
  <c r="P46" i="6"/>
  <c r="R77" i="4"/>
  <c r="V46" i="6"/>
  <c r="T104" i="6" s="1"/>
  <c r="V77" i="4"/>
  <c r="O78" i="4"/>
  <c r="L47" i="6"/>
  <c r="T153" i="2"/>
  <c r="W47" i="6"/>
  <c r="U105" i="6" s="1"/>
  <c r="AA78" i="4"/>
  <c r="F44" i="6"/>
  <c r="F102" i="6" s="1"/>
  <c r="D79" i="4"/>
  <c r="AA44" i="6"/>
  <c r="Y102" i="6" s="1"/>
  <c r="AB79" i="4"/>
  <c r="M112" i="2"/>
  <c r="X119" i="2"/>
  <c r="M120" i="2"/>
  <c r="AC120" i="2"/>
  <c r="F125" i="2"/>
  <c r="V125" i="2"/>
  <c r="U128" i="2"/>
  <c r="M136" i="2"/>
  <c r="U144" i="2"/>
  <c r="M152" i="2"/>
  <c r="Y38" i="1"/>
  <c r="Y68" i="1" s="1"/>
  <c r="Y67" i="1" s="1"/>
  <c r="AC38" i="1"/>
  <c r="AC68" i="1" s="1"/>
  <c r="AC67" i="1" s="1"/>
  <c r="G115" i="2"/>
  <c r="F10" i="6"/>
  <c r="F68" i="6" s="1"/>
  <c r="D42" i="4"/>
  <c r="S10" i="6"/>
  <c r="Q68" i="6" s="1"/>
  <c r="AA10" i="6"/>
  <c r="Y68" i="6" s="1"/>
  <c r="AB42" i="4"/>
  <c r="M12" i="6"/>
  <c r="P12" i="6"/>
  <c r="L13" i="6"/>
  <c r="O45" i="4"/>
  <c r="T120" i="2"/>
  <c r="W13" i="6"/>
  <c r="U71" i="6" s="1"/>
  <c r="AA45" i="4"/>
  <c r="G37" i="6"/>
  <c r="G95" i="6" s="1"/>
  <c r="E47" i="4"/>
  <c r="U37" i="6"/>
  <c r="S95" i="6" s="1"/>
  <c r="M15" i="6"/>
  <c r="N48" i="4"/>
  <c r="P15" i="6"/>
  <c r="N73" i="6" s="1"/>
  <c r="R48" i="4"/>
  <c r="V15" i="6"/>
  <c r="T73" i="6" s="1"/>
  <c r="V48" i="4"/>
  <c r="G18" i="6"/>
  <c r="G76" i="6" s="1"/>
  <c r="E51" i="4"/>
  <c r="G127" i="2"/>
  <c r="M21" i="6"/>
  <c r="N52" i="4"/>
  <c r="P21" i="6"/>
  <c r="R52" i="4"/>
  <c r="V21" i="6"/>
  <c r="T79" i="6" s="1"/>
  <c r="V52" i="4"/>
  <c r="E22" i="6"/>
  <c r="E80" i="6" s="1"/>
  <c r="C53" i="4"/>
  <c r="L22" i="6"/>
  <c r="O53" i="4"/>
  <c r="W22" i="6"/>
  <c r="U80" i="6" s="1"/>
  <c r="AA53" i="4"/>
  <c r="F25" i="6"/>
  <c r="F83" i="6" s="1"/>
  <c r="D54" i="4"/>
  <c r="K25" i="6"/>
  <c r="S25" i="6"/>
  <c r="Q83" i="6" s="1"/>
  <c r="AB54" i="4"/>
  <c r="AA25" i="6"/>
  <c r="Y83" i="6" s="1"/>
  <c r="G27" i="6"/>
  <c r="G85" i="6" s="1"/>
  <c r="E55" i="4"/>
  <c r="G131" i="2"/>
  <c r="M29" i="6"/>
  <c r="N56" i="4"/>
  <c r="P29" i="6"/>
  <c r="R56" i="4"/>
  <c r="V29" i="6"/>
  <c r="T87" i="6" s="1"/>
  <c r="V56" i="4"/>
  <c r="L30" i="6"/>
  <c r="O57" i="4"/>
  <c r="W30" i="6"/>
  <c r="U88" i="6" s="1"/>
  <c r="AA57" i="4"/>
  <c r="F34" i="6"/>
  <c r="F92" i="6" s="1"/>
  <c r="D58" i="4"/>
  <c r="K34" i="6"/>
  <c r="AA34" i="6"/>
  <c r="Y92" i="6" s="1"/>
  <c r="AB58" i="4"/>
  <c r="G35" i="6"/>
  <c r="G93" i="6" s="1"/>
  <c r="E59" i="4"/>
  <c r="U35" i="6"/>
  <c r="S93" i="6" s="1"/>
  <c r="U59" i="4"/>
  <c r="M31" i="6"/>
  <c r="N60" i="4"/>
  <c r="L26" i="6"/>
  <c r="O61" i="4"/>
  <c r="T136" i="2"/>
  <c r="W26" i="6"/>
  <c r="U84" i="6" s="1"/>
  <c r="AA61" i="4"/>
  <c r="F40" i="6"/>
  <c r="F98" i="6" s="1"/>
  <c r="D62" i="4"/>
  <c r="AA40" i="6"/>
  <c r="Y98" i="6" s="1"/>
  <c r="AB62" i="4"/>
  <c r="V64" i="4"/>
  <c r="L20" i="6"/>
  <c r="O65" i="4"/>
  <c r="T140" i="2"/>
  <c r="W20" i="6"/>
  <c r="U78" i="6" s="1"/>
  <c r="AA65" i="4"/>
  <c r="F24" i="6"/>
  <c r="F82" i="6" s="1"/>
  <c r="D66" i="4"/>
  <c r="S24" i="6"/>
  <c r="Q82" i="6" s="1"/>
  <c r="T66" i="4"/>
  <c r="AA24" i="6"/>
  <c r="Y82" i="6" s="1"/>
  <c r="AB66" i="4"/>
  <c r="E67" i="4"/>
  <c r="G28" i="6"/>
  <c r="G86" i="6" s="1"/>
  <c r="G143" i="2"/>
  <c r="M32" i="6"/>
  <c r="N68" i="4"/>
  <c r="P32" i="6"/>
  <c r="R68" i="4"/>
  <c r="V32" i="6"/>
  <c r="T90" i="6" s="1"/>
  <c r="V68" i="4"/>
  <c r="L33" i="6"/>
  <c r="O69" i="4"/>
  <c r="W33" i="6"/>
  <c r="U91" i="6" s="1"/>
  <c r="AA69" i="4"/>
  <c r="F36" i="6"/>
  <c r="F94" i="6" s="1"/>
  <c r="D70" i="4"/>
  <c r="L70" i="4"/>
  <c r="K36" i="6"/>
  <c r="AA36" i="6"/>
  <c r="Y94" i="6" s="1"/>
  <c r="AB70" i="4"/>
  <c r="E71" i="4"/>
  <c r="G38" i="6"/>
  <c r="G96" i="6" s="1"/>
  <c r="G147" i="2"/>
  <c r="M39" i="6"/>
  <c r="N72" i="4"/>
  <c r="P39" i="6"/>
  <c r="R72" i="4"/>
  <c r="V39" i="6"/>
  <c r="T97" i="6" s="1"/>
  <c r="V72" i="4"/>
  <c r="L42" i="6"/>
  <c r="O73" i="4"/>
  <c r="W42" i="6"/>
  <c r="AA73" i="4"/>
  <c r="F43" i="6"/>
  <c r="F101" i="6" s="1"/>
  <c r="D74" i="4"/>
  <c r="AA43" i="6"/>
  <c r="Y101" i="6" s="1"/>
  <c r="AB74" i="4"/>
  <c r="M45" i="6"/>
  <c r="N76" i="4"/>
  <c r="V45" i="6"/>
  <c r="T103" i="6" s="1"/>
  <c r="V76" i="4"/>
  <c r="L46" i="6"/>
  <c r="O77" i="4"/>
  <c r="T152" i="2"/>
  <c r="W46" i="6"/>
  <c r="U104" i="6" s="1"/>
  <c r="AA77" i="4"/>
  <c r="J47" i="6"/>
  <c r="J105" i="6" s="1"/>
  <c r="AA47" i="6"/>
  <c r="Y105" i="6" s="1"/>
  <c r="AB78" i="4"/>
  <c r="G44" i="6"/>
  <c r="G102" i="6" s="1"/>
  <c r="E79" i="4"/>
  <c r="K108" i="2"/>
  <c r="W98" i="1"/>
  <c r="E120" i="3"/>
  <c r="E86" i="3"/>
  <c r="E88" i="3"/>
  <c r="E384" i="3"/>
  <c r="E388" i="3"/>
  <c r="H45" i="1" s="1"/>
  <c r="V60" i="6"/>
  <c r="X11" i="6"/>
  <c r="D67" i="6"/>
  <c r="H67" i="6"/>
  <c r="L67" i="6"/>
  <c r="P67" i="6"/>
  <c r="T67" i="6"/>
  <c r="V31" i="6"/>
  <c r="T89" i="6" s="1"/>
  <c r="X67" i="6"/>
  <c r="Z31" i="6"/>
  <c r="X89" i="6" s="1"/>
  <c r="O11" i="6"/>
  <c r="Z60" i="6"/>
  <c r="AB11" i="6"/>
  <c r="Z70" i="6"/>
  <c r="AB16" i="6"/>
  <c r="Z74" i="6" s="1"/>
  <c r="M75" i="6"/>
  <c r="O41" i="6"/>
  <c r="M99" i="6" s="1"/>
  <c r="G67" i="6"/>
  <c r="G31" i="6"/>
  <c r="G89" i="6" s="1"/>
  <c r="K67" i="6"/>
  <c r="L31" i="6"/>
  <c r="O67" i="6"/>
  <c r="Q31" i="6"/>
  <c r="O89" i="6" s="1"/>
  <c r="S67" i="6"/>
  <c r="W67" i="6"/>
  <c r="Y31" i="6"/>
  <c r="W89" i="6" s="1"/>
  <c r="R75" i="6"/>
  <c r="T41" i="6"/>
  <c r="R99" i="6" s="1"/>
  <c r="X60" i="6"/>
  <c r="Z11" i="6"/>
  <c r="Z71" i="6"/>
  <c r="E71" i="6"/>
  <c r="M67" i="6"/>
  <c r="O31" i="6"/>
  <c r="M89" i="6" s="1"/>
  <c r="Q67" i="6"/>
  <c r="S31" i="6"/>
  <c r="Q89" i="6" s="1"/>
  <c r="U67" i="6"/>
  <c r="W31" i="6"/>
  <c r="U89" i="6" s="1"/>
  <c r="Y67" i="6"/>
  <c r="AA31" i="6"/>
  <c r="Y89" i="6" s="1"/>
  <c r="T16" i="6"/>
  <c r="R74" i="6" s="1"/>
  <c r="V75" i="6"/>
  <c r="X41" i="6"/>
  <c r="V99" i="6" s="1"/>
  <c r="Z75" i="6"/>
  <c r="AB41" i="6"/>
  <c r="Z99" i="6" s="1"/>
  <c r="M70" i="6"/>
  <c r="O16" i="6"/>
  <c r="M74" i="6" s="1"/>
  <c r="W100" i="6"/>
  <c r="Y49" i="6"/>
  <c r="W107" i="6" s="1"/>
  <c r="P31" i="6"/>
  <c r="T31" i="6"/>
  <c r="R89" i="6" s="1"/>
  <c r="X31" i="6"/>
  <c r="V89" i="6" s="1"/>
  <c r="AB31" i="6"/>
  <c r="Z89" i="6" s="1"/>
  <c r="Z16" i="6"/>
  <c r="X74" i="6" s="1"/>
  <c r="O75" i="6"/>
  <c r="Q41" i="6"/>
  <c r="O99" i="6" s="1"/>
  <c r="W75" i="6"/>
  <c r="Y41" i="6"/>
  <c r="W99" i="6" s="1"/>
  <c r="M100" i="6"/>
  <c r="O49" i="6"/>
  <c r="M107" i="6" s="1"/>
  <c r="O100" i="6"/>
  <c r="Q49" i="6"/>
  <c r="O107" i="6" s="1"/>
  <c r="O143" i="6"/>
  <c r="N106" i="6"/>
  <c r="W67" i="1" l="1"/>
  <c r="J7" i="6"/>
  <c r="J65" i="6" s="1"/>
  <c r="L68" i="4"/>
  <c r="Q39" i="4"/>
  <c r="U3" i="6"/>
  <c r="S61" i="6" s="1"/>
  <c r="N2" i="6"/>
  <c r="T43" i="1"/>
  <c r="F41" i="1"/>
  <c r="F38" i="1" s="1"/>
  <c r="N64" i="4"/>
  <c r="U27" i="6"/>
  <c r="S85" i="6" s="1"/>
  <c r="X50" i="4"/>
  <c r="U12" i="6"/>
  <c r="S70" i="6" s="1"/>
  <c r="T36" i="4"/>
  <c r="N24" i="6"/>
  <c r="L82" i="6" s="1"/>
  <c r="E31" i="6"/>
  <c r="E89" i="6" s="1"/>
  <c r="AA138" i="2"/>
  <c r="Z63" i="4" s="1"/>
  <c r="C73" i="4"/>
  <c r="Q71" i="4"/>
  <c r="M19" i="6"/>
  <c r="T62" i="4"/>
  <c r="N39" i="6"/>
  <c r="L97" i="6" s="1"/>
  <c r="J35" i="6"/>
  <c r="J93" i="6" s="1"/>
  <c r="J2" i="6"/>
  <c r="J60" i="6" s="1"/>
  <c r="C51" i="4"/>
  <c r="L48" i="4"/>
  <c r="C40" i="4"/>
  <c r="R33" i="4"/>
  <c r="K10" i="6"/>
  <c r="K68" i="6" s="1"/>
  <c r="E33" i="6"/>
  <c r="E91" i="6" s="1"/>
  <c r="J64" i="4"/>
  <c r="K44" i="6"/>
  <c r="K102" i="6" s="1"/>
  <c r="T71" i="4"/>
  <c r="T67" i="4"/>
  <c r="U21" i="6"/>
  <c r="S79" i="6" s="1"/>
  <c r="C50" i="4"/>
  <c r="U77" i="4"/>
  <c r="C71" i="4"/>
  <c r="P68" i="4"/>
  <c r="Z118" i="2"/>
  <c r="Y43" i="4" s="1"/>
  <c r="S4" i="6"/>
  <c r="Q62" i="6" s="1"/>
  <c r="T65" i="4"/>
  <c r="P73" i="4"/>
  <c r="Z138" i="2"/>
  <c r="Y63" i="4" s="1"/>
  <c r="K138" i="2"/>
  <c r="J63" i="4" s="1"/>
  <c r="P66" i="4"/>
  <c r="J10" i="6"/>
  <c r="J68" i="6" s="1"/>
  <c r="U53" i="4"/>
  <c r="M50" i="4"/>
  <c r="U66" i="4"/>
  <c r="W19" i="6"/>
  <c r="U77" i="6" s="1"/>
  <c r="N4" i="6"/>
  <c r="L62" i="6" s="1"/>
  <c r="J40" i="6"/>
  <c r="J98" i="6" s="1"/>
  <c r="K26" i="6"/>
  <c r="K84" i="6" s="1"/>
  <c r="U73" i="4"/>
  <c r="AC138" i="2"/>
  <c r="AB63" i="4" s="1"/>
  <c r="U56" i="4"/>
  <c r="V50" i="4"/>
  <c r="J23" i="6"/>
  <c r="J81" i="6" s="1"/>
  <c r="N91" i="1"/>
  <c r="N33" i="1"/>
  <c r="K61" i="1"/>
  <c r="C78" i="4"/>
  <c r="L71" i="4"/>
  <c r="C66" i="4"/>
  <c r="Z155" i="2"/>
  <c r="Y80" i="4" s="1"/>
  <c r="G2" i="6"/>
  <c r="Q33" i="4"/>
  <c r="I50" i="4"/>
  <c r="K7" i="6"/>
  <c r="K65" i="6" s="1"/>
  <c r="T13" i="4"/>
  <c r="Q58" i="4"/>
  <c r="G12" i="6"/>
  <c r="G70" i="6" s="1"/>
  <c r="Q51" i="4"/>
  <c r="AB50" i="4"/>
  <c r="V44" i="4"/>
  <c r="M64" i="4"/>
  <c r="N29" i="6"/>
  <c r="L87" i="6" s="1"/>
  <c r="L51" i="4"/>
  <c r="Q48" i="4"/>
  <c r="K39" i="6"/>
  <c r="K97" i="6" s="1"/>
  <c r="Q53" i="4"/>
  <c r="R50" i="4"/>
  <c r="C47" i="4"/>
  <c r="F118" i="2"/>
  <c r="E43" i="4" s="1"/>
  <c r="T73" i="1"/>
  <c r="S9" i="4" s="1"/>
  <c r="T74" i="4"/>
  <c r="U76" i="4"/>
  <c r="P47" i="4"/>
  <c r="T52" i="4"/>
  <c r="Q45" i="4"/>
  <c r="S8" i="6"/>
  <c r="Q66" i="6" s="1"/>
  <c r="C39" i="4"/>
  <c r="U5" i="6"/>
  <c r="S63" i="6" s="1"/>
  <c r="O33" i="4"/>
  <c r="P74" i="4"/>
  <c r="J25" i="6"/>
  <c r="J83" i="6" s="1"/>
  <c r="C67" i="4"/>
  <c r="C38" i="4"/>
  <c r="S36" i="6"/>
  <c r="Q94" i="6" s="1"/>
  <c r="E40" i="6"/>
  <c r="E98" i="6" s="1"/>
  <c r="P55" i="4"/>
  <c r="AA50" i="4"/>
  <c r="K46" i="6"/>
  <c r="K104" i="6" s="1"/>
  <c r="K40" i="6"/>
  <c r="K98" i="6" s="1"/>
  <c r="C54" i="4"/>
  <c r="N44" i="6"/>
  <c r="L102" i="6" s="1"/>
  <c r="J34" i="6"/>
  <c r="J92" i="6" s="1"/>
  <c r="J17" i="6"/>
  <c r="J75" i="6" s="1"/>
  <c r="Q68" i="4"/>
  <c r="K35" i="6"/>
  <c r="K93" i="6" s="1"/>
  <c r="L60" i="4"/>
  <c r="C59" i="4"/>
  <c r="J118" i="2"/>
  <c r="I43" i="4" s="1"/>
  <c r="J81" i="1"/>
  <c r="J50" i="1"/>
  <c r="J80" i="1" s="1"/>
  <c r="N50" i="1"/>
  <c r="N80" i="1" s="1"/>
  <c r="N81" i="1"/>
  <c r="AD121" i="2"/>
  <c r="AC46" i="4" s="1"/>
  <c r="AD72" i="2"/>
  <c r="C55" i="4"/>
  <c r="U74" i="4"/>
  <c r="E10" i="6"/>
  <c r="E68" i="6" s="1"/>
  <c r="X118" i="2"/>
  <c r="W43" i="4" s="1"/>
  <c r="P34" i="4"/>
  <c r="O124" i="2"/>
  <c r="N49" i="4" s="1"/>
  <c r="L72" i="4"/>
  <c r="P40" i="4"/>
  <c r="P38" i="4"/>
  <c r="T38" i="4"/>
  <c r="P69" i="4"/>
  <c r="P2" i="6"/>
  <c r="P11" i="6" s="1"/>
  <c r="C34" i="4"/>
  <c r="S44" i="6"/>
  <c r="Q102" i="6" s="1"/>
  <c r="N75" i="1"/>
  <c r="N67" i="1" s="1"/>
  <c r="N37" i="1"/>
  <c r="O45" i="1"/>
  <c r="O75" i="1" s="1"/>
  <c r="N11" i="4" s="1"/>
  <c r="T78" i="4"/>
  <c r="W17" i="6"/>
  <c r="W41" i="6" s="1"/>
  <c r="U99" i="6" s="1"/>
  <c r="T5" i="4"/>
  <c r="K30" i="6"/>
  <c r="K88" i="6" s="1"/>
  <c r="O138" i="2"/>
  <c r="N63" i="4" s="1"/>
  <c r="J24" i="6"/>
  <c r="J82" i="6" s="1"/>
  <c r="U51" i="4"/>
  <c r="P67" i="4"/>
  <c r="U45" i="4"/>
  <c r="C48" i="4"/>
  <c r="L73" i="4"/>
  <c r="C61" i="4"/>
  <c r="Q69" i="4"/>
  <c r="T58" i="4"/>
  <c r="W155" i="2"/>
  <c r="V80" i="4" s="1"/>
  <c r="S138" i="2"/>
  <c r="R63" i="4" s="1"/>
  <c r="J6" i="6"/>
  <c r="J64" i="6" s="1"/>
  <c r="S3" i="6"/>
  <c r="Q61" i="6" s="1"/>
  <c r="P100" i="1"/>
  <c r="C68" i="4"/>
  <c r="AA64" i="4"/>
  <c r="C72" i="4"/>
  <c r="V2" i="6"/>
  <c r="T60" i="6" s="1"/>
  <c r="U31" i="6"/>
  <c r="S89" i="6" s="1"/>
  <c r="N31" i="6"/>
  <c r="L89" i="6" s="1"/>
  <c r="W138" i="2"/>
  <c r="V63" i="4" s="1"/>
  <c r="E19" i="6"/>
  <c r="E77" i="6" s="1"/>
  <c r="W118" i="2"/>
  <c r="V43" i="4" s="1"/>
  <c r="Q70" i="4"/>
  <c r="W124" i="2"/>
  <c r="V49" i="4" s="1"/>
  <c r="Q67" i="4"/>
  <c r="Q55" i="4"/>
  <c r="T79" i="4"/>
  <c r="N19" i="6"/>
  <c r="L77" i="6" s="1"/>
  <c r="G19" i="6"/>
  <c r="G77" i="6" s="1"/>
  <c r="T55" i="4"/>
  <c r="P138" i="2"/>
  <c r="O63" i="4" s="1"/>
  <c r="U26" i="6"/>
  <c r="S84" i="6" s="1"/>
  <c r="P60" i="4"/>
  <c r="Q57" i="4"/>
  <c r="AA12" i="6"/>
  <c r="Y70" i="6" s="1"/>
  <c r="M3" i="6"/>
  <c r="P98" i="1"/>
  <c r="AB118" i="2"/>
  <c r="AA43" i="4" s="1"/>
  <c r="U78" i="4"/>
  <c r="T77" i="4"/>
  <c r="P45" i="4"/>
  <c r="L2" i="6"/>
  <c r="L11" i="6" s="1"/>
  <c r="AA44" i="4"/>
  <c r="F2" i="6"/>
  <c r="F11" i="6" s="1"/>
  <c r="L74" i="4"/>
  <c r="J155" i="2"/>
  <c r="I80" i="4" s="1"/>
  <c r="E36" i="6"/>
  <c r="E94" i="6" s="1"/>
  <c r="Q52" i="4"/>
  <c r="O50" i="4"/>
  <c r="U48" i="4"/>
  <c r="T47" i="4"/>
  <c r="T76" i="4"/>
  <c r="L40" i="4"/>
  <c r="Q37" i="4"/>
  <c r="U58" i="4"/>
  <c r="Q54" i="4"/>
  <c r="Q36" i="4"/>
  <c r="U35" i="4"/>
  <c r="Y118" i="2"/>
  <c r="X43" i="4" s="1"/>
  <c r="E44" i="6"/>
  <c r="E102" i="6" s="1"/>
  <c r="U44" i="6"/>
  <c r="S102" i="6" s="1"/>
  <c r="C77" i="4"/>
  <c r="U71" i="4"/>
  <c r="U28" i="6"/>
  <c r="S86" i="6" s="1"/>
  <c r="C65" i="4"/>
  <c r="Q47" i="4"/>
  <c r="Q76" i="4"/>
  <c r="S15" i="6"/>
  <c r="Q73" i="6" s="1"/>
  <c r="R118" i="2"/>
  <c r="Q43" i="4" s="1"/>
  <c r="E5" i="6"/>
  <c r="E63" i="6" s="1"/>
  <c r="E23" i="6"/>
  <c r="E81" i="6" s="1"/>
  <c r="K47" i="6"/>
  <c r="C57" i="4"/>
  <c r="S35" i="6"/>
  <c r="Q93" i="6" s="1"/>
  <c r="C79" i="4"/>
  <c r="S39" i="6"/>
  <c r="Q97" i="6" s="1"/>
  <c r="M17" i="6"/>
  <c r="U38" i="4"/>
  <c r="U10" i="6"/>
  <c r="S68" i="6" s="1"/>
  <c r="N3" i="6"/>
  <c r="L61" i="6" s="1"/>
  <c r="E29" i="6"/>
  <c r="E87" i="6" s="1"/>
  <c r="N12" i="6"/>
  <c r="L70" i="6" s="1"/>
  <c r="U65" i="4"/>
  <c r="P56" i="4"/>
  <c r="P36" i="4"/>
  <c r="N40" i="6"/>
  <c r="L98" i="6" s="1"/>
  <c r="T12" i="4"/>
  <c r="I118" i="2"/>
  <c r="H43" i="4" s="1"/>
  <c r="T8" i="4"/>
  <c r="U8" i="6"/>
  <c r="S66" i="6" s="1"/>
  <c r="T20" i="4"/>
  <c r="T100" i="1"/>
  <c r="J44" i="6"/>
  <c r="J102" i="6" s="1"/>
  <c r="D138" i="2"/>
  <c r="C63" i="4" s="1"/>
  <c r="AA155" i="2"/>
  <c r="Z80" i="4" s="1"/>
  <c r="M138" i="2"/>
  <c r="L63" i="4" s="1"/>
  <c r="L79" i="4"/>
  <c r="L55" i="4"/>
  <c r="W50" i="4"/>
  <c r="L47" i="4"/>
  <c r="Q73" i="4"/>
  <c r="U69" i="4"/>
  <c r="T68" i="4"/>
  <c r="U2" i="6"/>
  <c r="P65" i="4"/>
  <c r="U62" i="4"/>
  <c r="T61" i="4"/>
  <c r="P155" i="2"/>
  <c r="O80" i="4" s="1"/>
  <c r="E21" i="6"/>
  <c r="E79" i="6" s="1"/>
  <c r="U36" i="4"/>
  <c r="Q74" i="4"/>
  <c r="Q40" i="4"/>
  <c r="Q38" i="4"/>
  <c r="K5" i="6"/>
  <c r="K63" i="6" s="1"/>
  <c r="J4" i="6"/>
  <c r="J62" i="6" s="1"/>
  <c r="P124" i="2"/>
  <c r="O49" i="4" s="1"/>
  <c r="R64" i="4"/>
  <c r="Q59" i="4"/>
  <c r="R155" i="2"/>
  <c r="Q80" i="4" s="1"/>
  <c r="T51" i="4"/>
  <c r="N26" i="6"/>
  <c r="L84" i="6" s="1"/>
  <c r="U57" i="4"/>
  <c r="L56" i="4"/>
  <c r="P52" i="4"/>
  <c r="V118" i="2"/>
  <c r="U43" i="4" s="1"/>
  <c r="Q42" i="4"/>
  <c r="T39" i="4"/>
  <c r="D118" i="2"/>
  <c r="C43" i="4" s="1"/>
  <c r="L19" i="6"/>
  <c r="L41" i="6" s="1"/>
  <c r="L53" i="4"/>
  <c r="S13" i="6"/>
  <c r="Q71" i="6" s="1"/>
  <c r="O44" i="4"/>
  <c r="E2" i="6"/>
  <c r="E60" i="6" s="1"/>
  <c r="V155" i="2"/>
  <c r="U80" i="4" s="1"/>
  <c r="S155" i="2"/>
  <c r="R80" i="4" s="1"/>
  <c r="T74" i="1"/>
  <c r="S10" i="4" s="1"/>
  <c r="C84" i="2"/>
  <c r="C136" i="2" s="1"/>
  <c r="C59" i="2"/>
  <c r="C111" i="2" s="1"/>
  <c r="C78" i="2"/>
  <c r="C130" i="2" s="1"/>
  <c r="B76" i="1"/>
  <c r="C71" i="2"/>
  <c r="C123" i="2" s="1"/>
  <c r="C83" i="2"/>
  <c r="C135" i="2" s="1"/>
  <c r="C74" i="2"/>
  <c r="C126" i="2" s="1"/>
  <c r="C98" i="2"/>
  <c r="C150" i="2" s="1"/>
  <c r="H75" i="1"/>
  <c r="I11" i="4" s="1"/>
  <c r="G45" i="1"/>
  <c r="G75" i="1" s="1"/>
  <c r="H11" i="4" s="1"/>
  <c r="U82" i="1"/>
  <c r="T18" i="4" s="1"/>
  <c r="Q81" i="1"/>
  <c r="P17" i="4" s="1"/>
  <c r="P51" i="1"/>
  <c r="P81" i="1" s="1"/>
  <c r="O17" i="4" s="1"/>
  <c r="C17" i="4"/>
  <c r="H71" i="1"/>
  <c r="I7" i="4" s="1"/>
  <c r="G41" i="1"/>
  <c r="G71" i="1" s="1"/>
  <c r="H7" i="4" s="1"/>
  <c r="L75" i="1"/>
  <c r="L11" i="4" s="1"/>
  <c r="E103" i="2"/>
  <c r="C79" i="2"/>
  <c r="C131" i="2" s="1"/>
  <c r="AB72" i="2"/>
  <c r="AB104" i="2" s="1"/>
  <c r="C61" i="2"/>
  <c r="C113" i="2" s="1"/>
  <c r="B54" i="1"/>
  <c r="K84" i="1"/>
  <c r="B84" i="1" s="1"/>
  <c r="C95" i="2"/>
  <c r="C147" i="2" s="1"/>
  <c r="C88" i="2"/>
  <c r="C140" i="2" s="1"/>
  <c r="U103" i="2"/>
  <c r="C87" i="2"/>
  <c r="C139" i="2" s="1"/>
  <c r="C80" i="2"/>
  <c r="C132" i="2" s="1"/>
  <c r="Q119" i="2"/>
  <c r="C57" i="2"/>
  <c r="C109" i="2" s="1"/>
  <c r="H66" i="2"/>
  <c r="B56" i="1"/>
  <c r="K86" i="1"/>
  <c r="B86" i="1" s="1"/>
  <c r="C101" i="2"/>
  <c r="C153" i="2" s="1"/>
  <c r="C100" i="2"/>
  <c r="C152" i="2" s="1"/>
  <c r="C96" i="2"/>
  <c r="C148" i="2" s="1"/>
  <c r="C89" i="2"/>
  <c r="C141" i="2" s="1"/>
  <c r="C63" i="2"/>
  <c r="C115" i="2" s="1"/>
  <c r="C58" i="2"/>
  <c r="C110" i="2" s="1"/>
  <c r="Q66" i="2"/>
  <c r="Q108" i="2"/>
  <c r="M104" i="2"/>
  <c r="B53" i="1"/>
  <c r="K83" i="1"/>
  <c r="B83" i="1" s="1"/>
  <c r="C102" i="2"/>
  <c r="C154" i="2" s="1"/>
  <c r="Y72" i="2"/>
  <c r="Y104" i="2" s="1"/>
  <c r="J72" i="2"/>
  <c r="U60" i="2"/>
  <c r="U112" i="2" s="1"/>
  <c r="U68" i="1"/>
  <c r="U67" i="1" s="1"/>
  <c r="M121" i="2"/>
  <c r="J14" i="6" s="1"/>
  <c r="J72" i="6" s="1"/>
  <c r="I121" i="2"/>
  <c r="H46" i="4" s="1"/>
  <c r="H69" i="2"/>
  <c r="H121" i="2" s="1"/>
  <c r="G46" i="4" s="1"/>
  <c r="U81" i="1"/>
  <c r="T17" i="4" s="1"/>
  <c r="D151" i="2"/>
  <c r="E45" i="6" s="1"/>
  <c r="E103" i="6" s="1"/>
  <c r="AA108" i="2"/>
  <c r="Z33" i="4" s="1"/>
  <c r="AA66" i="2"/>
  <c r="C71" i="1"/>
  <c r="C7" i="4" s="1"/>
  <c r="Q99" i="2"/>
  <c r="Q151" i="2" s="1"/>
  <c r="Q155" i="2" s="1"/>
  <c r="C97" i="2"/>
  <c r="C149" i="2" s="1"/>
  <c r="C94" i="2"/>
  <c r="C146" i="2" s="1"/>
  <c r="C85" i="2"/>
  <c r="C137" i="2" s="1"/>
  <c r="C75" i="2"/>
  <c r="C127" i="2" s="1"/>
  <c r="U86" i="2"/>
  <c r="U125" i="2"/>
  <c r="U138" i="2" s="1"/>
  <c r="T63" i="4" s="1"/>
  <c r="O72" i="2"/>
  <c r="O104" i="2" s="1"/>
  <c r="K40" i="1"/>
  <c r="J104" i="2"/>
  <c r="W72" i="2"/>
  <c r="W104" i="2" s="1"/>
  <c r="I104" i="2"/>
  <c r="U119" i="2"/>
  <c r="B44" i="1"/>
  <c r="K74" i="1"/>
  <c r="R121" i="2"/>
  <c r="R124" i="2" s="1"/>
  <c r="Q49" i="4" s="1"/>
  <c r="Q69" i="2"/>
  <c r="Q121" i="2" s="1"/>
  <c r="P46" i="4" s="1"/>
  <c r="D119" i="2"/>
  <c r="C44" i="4" s="1"/>
  <c r="K119" i="2"/>
  <c r="J44" i="4" s="1"/>
  <c r="K72" i="2"/>
  <c r="K104" i="2" s="1"/>
  <c r="H82" i="1"/>
  <c r="I18" i="4" s="1"/>
  <c r="G52" i="1"/>
  <c r="G82" i="1" s="1"/>
  <c r="H18" i="4" s="1"/>
  <c r="Q82" i="1"/>
  <c r="P18" i="4" s="1"/>
  <c r="P52" i="1"/>
  <c r="P82" i="1" s="1"/>
  <c r="O18" i="4" s="1"/>
  <c r="C91" i="2"/>
  <c r="C143" i="2" s="1"/>
  <c r="C82" i="2"/>
  <c r="C134" i="2" s="1"/>
  <c r="X72" i="2"/>
  <c r="X104" i="2" s="1"/>
  <c r="B42" i="1"/>
  <c r="C92" i="2"/>
  <c r="C144" i="2" s="1"/>
  <c r="C76" i="2"/>
  <c r="C128" i="2" s="1"/>
  <c r="C65" i="2"/>
  <c r="C117" i="2" s="1"/>
  <c r="C62" i="2"/>
  <c r="C114" i="2" s="1"/>
  <c r="Z72" i="2"/>
  <c r="Z104" i="2" s="1"/>
  <c r="C70" i="2"/>
  <c r="C122" i="2" s="1"/>
  <c r="AC72" i="2"/>
  <c r="AC104" i="2" s="1"/>
  <c r="P72" i="2"/>
  <c r="P104" i="2" s="1"/>
  <c r="C64" i="2"/>
  <c r="C116" i="2" s="1"/>
  <c r="U56" i="2"/>
  <c r="Q68" i="1"/>
  <c r="Q67" i="1" s="1"/>
  <c r="P38" i="1"/>
  <c r="P68" i="1" s="1"/>
  <c r="P67" i="1" s="1"/>
  <c r="L68" i="1"/>
  <c r="D120" i="2"/>
  <c r="C45" i="4" s="1"/>
  <c r="C68" i="2"/>
  <c r="C120" i="2" s="1"/>
  <c r="E125" i="2"/>
  <c r="E138" i="2" s="1"/>
  <c r="D63" i="4" s="1"/>
  <c r="E86" i="2"/>
  <c r="C73" i="1"/>
  <c r="C9" i="4" s="1"/>
  <c r="L86" i="2"/>
  <c r="S72" i="2"/>
  <c r="H67" i="2"/>
  <c r="C67" i="2" s="1"/>
  <c r="C119" i="2" s="1"/>
  <c r="B72" i="1"/>
  <c r="K41" i="1"/>
  <c r="K71" i="1" s="1"/>
  <c r="D103" i="2"/>
  <c r="AA72" i="2"/>
  <c r="R72" i="2"/>
  <c r="R104" i="2" s="1"/>
  <c r="B47" i="1"/>
  <c r="K77" i="1"/>
  <c r="B77" i="1" s="1"/>
  <c r="S103" i="2"/>
  <c r="H103" i="2"/>
  <c r="C73" i="2"/>
  <c r="C125" i="2" s="1"/>
  <c r="L108" i="2"/>
  <c r="K33" i="4" s="1"/>
  <c r="L66" i="2"/>
  <c r="B57" i="1"/>
  <c r="K87" i="1"/>
  <c r="B87" i="1" s="1"/>
  <c r="B46" i="1"/>
  <c r="C93" i="2"/>
  <c r="C145" i="2" s="1"/>
  <c r="C90" i="2"/>
  <c r="C142" i="2" s="1"/>
  <c r="L103" i="2"/>
  <c r="C81" i="2"/>
  <c r="C133" i="2" s="1"/>
  <c r="C77" i="2"/>
  <c r="C129" i="2" s="1"/>
  <c r="Q86" i="2"/>
  <c r="Q125" i="2"/>
  <c r="H86" i="2"/>
  <c r="H125" i="2"/>
  <c r="G50" i="4" s="1"/>
  <c r="P45" i="6"/>
  <c r="O140" i="6" s="1"/>
  <c r="M39" i="1"/>
  <c r="M38" i="1" s="1"/>
  <c r="M68" i="1" s="1"/>
  <c r="M43" i="1"/>
  <c r="M73" i="1" s="1"/>
  <c r="M9" i="4" s="1"/>
  <c r="AA14" i="6"/>
  <c r="Y72" i="6" s="1"/>
  <c r="T112" i="2"/>
  <c r="R5" i="6" s="1"/>
  <c r="P63" i="6" s="1"/>
  <c r="O158" i="6" s="1"/>
  <c r="AC124" i="2"/>
  <c r="AB49" i="4" s="1"/>
  <c r="R76" i="4"/>
  <c r="N46" i="4"/>
  <c r="M14" i="6"/>
  <c r="M16" i="6" s="1"/>
  <c r="L151" i="2"/>
  <c r="K76" i="4" s="1"/>
  <c r="G25" i="4"/>
  <c r="G6" i="4"/>
  <c r="G13" i="4"/>
  <c r="G12" i="4"/>
  <c r="G10" i="4"/>
  <c r="D67" i="1"/>
  <c r="H8" i="4"/>
  <c r="L73" i="1"/>
  <c r="G9" i="4"/>
  <c r="L25" i="4"/>
  <c r="J18" i="4"/>
  <c r="R18" i="4"/>
  <c r="K10" i="4"/>
  <c r="N18" i="4"/>
  <c r="F10" i="4"/>
  <c r="AA18" i="4"/>
  <c r="R17" i="4"/>
  <c r="Q17" i="4"/>
  <c r="Q25" i="4"/>
  <c r="U100" i="1"/>
  <c r="AA25" i="4"/>
  <c r="M100" i="1"/>
  <c r="T25" i="4"/>
  <c r="AA37" i="1"/>
  <c r="Q18" i="4"/>
  <c r="Q37" i="1"/>
  <c r="P37" i="1" s="1"/>
  <c r="F20" i="4"/>
  <c r="X37" i="1"/>
  <c r="AB18" i="4"/>
  <c r="V15" i="4"/>
  <c r="V17" i="4"/>
  <c r="Z18" i="4"/>
  <c r="X15" i="4"/>
  <c r="X17" i="4"/>
  <c r="Z15" i="4"/>
  <c r="Z17" i="4"/>
  <c r="C11" i="4"/>
  <c r="Y18" i="4"/>
  <c r="P15" i="4"/>
  <c r="W37" i="1"/>
  <c r="U37" i="1"/>
  <c r="D9" i="4"/>
  <c r="X18" i="4"/>
  <c r="Y15" i="4"/>
  <c r="Y17" i="4"/>
  <c r="V18" i="4"/>
  <c r="W15" i="4"/>
  <c r="W17" i="4"/>
  <c r="E6" i="4"/>
  <c r="AC37" i="1"/>
  <c r="S37" i="1"/>
  <c r="S11" i="4"/>
  <c r="S20" i="4"/>
  <c r="L37" i="1"/>
  <c r="W18" i="4"/>
  <c r="H15" i="4"/>
  <c r="AA15" i="4"/>
  <c r="AA17" i="4"/>
  <c r="D37" i="1"/>
  <c r="S8" i="4"/>
  <c r="Y37" i="1"/>
  <c r="S5" i="4"/>
  <c r="I37" i="1"/>
  <c r="S13" i="4"/>
  <c r="S23" i="4"/>
  <c r="Z37" i="1"/>
  <c r="F98" i="1"/>
  <c r="F100" i="1"/>
  <c r="AB37" i="1"/>
  <c r="J15" i="4"/>
  <c r="J17" i="4"/>
  <c r="N15" i="4"/>
  <c r="N17" i="4"/>
  <c r="AB15" i="4"/>
  <c r="AB17" i="4"/>
  <c r="N7" i="4"/>
  <c r="S6" i="4"/>
  <c r="E25" i="4"/>
  <c r="E100" i="1"/>
  <c r="Z8" i="4"/>
  <c r="G13" i="6"/>
  <c r="G71" i="6" s="1"/>
  <c r="D5" i="4"/>
  <c r="C13" i="4"/>
  <c r="H38" i="1"/>
  <c r="L52" i="1"/>
  <c r="F46" i="6"/>
  <c r="F104" i="6" s="1"/>
  <c r="L14" i="6"/>
  <c r="E5" i="4"/>
  <c r="V41" i="1"/>
  <c r="Z124" i="2"/>
  <c r="Y49" i="4" s="1"/>
  <c r="Q50" i="1"/>
  <c r="AC50" i="1"/>
  <c r="AC80" i="1" s="1"/>
  <c r="J124" i="2"/>
  <c r="I49" i="4" s="1"/>
  <c r="F52" i="1"/>
  <c r="O46" i="4"/>
  <c r="AB124" i="2"/>
  <c r="AA49" i="4" s="1"/>
  <c r="F13" i="6"/>
  <c r="F71" i="6" s="1"/>
  <c r="AA46" i="4"/>
  <c r="P14" i="6"/>
  <c r="N72" i="6" s="1"/>
  <c r="S124" i="2"/>
  <c r="R49" i="4" s="1"/>
  <c r="V46" i="4"/>
  <c r="V14" i="6"/>
  <c r="T72" i="6" s="1"/>
  <c r="E69" i="2"/>
  <c r="E121" i="2" s="1"/>
  <c r="D46" i="4" s="1"/>
  <c r="R15" i="4"/>
  <c r="U50" i="1"/>
  <c r="D52" i="1"/>
  <c r="D82" i="1" s="1"/>
  <c r="Q15" i="4"/>
  <c r="Y50" i="1"/>
  <c r="Y80" i="1" s="1"/>
  <c r="O15" i="4"/>
  <c r="AA50" i="1"/>
  <c r="AA80" i="1" s="1"/>
  <c r="O38" i="1"/>
  <c r="O68" i="1" s="1"/>
  <c r="C40" i="1"/>
  <c r="C70" i="1" s="1"/>
  <c r="X50" i="1"/>
  <c r="X80" i="1" s="1"/>
  <c r="I50" i="1"/>
  <c r="I80" i="1" s="1"/>
  <c r="C15" i="4"/>
  <c r="O162" i="6"/>
  <c r="R31" i="6"/>
  <c r="P89" i="6" s="1"/>
  <c r="O184" i="6" s="1"/>
  <c r="AA124" i="2"/>
  <c r="Z49" i="4" s="1"/>
  <c r="S50" i="1"/>
  <c r="S80" i="1" s="1"/>
  <c r="Z50" i="1"/>
  <c r="Z80" i="1" s="1"/>
  <c r="AB50" i="1"/>
  <c r="AB80" i="1" s="1"/>
  <c r="O50" i="1"/>
  <c r="O80" i="1" s="1"/>
  <c r="W50" i="1"/>
  <c r="W80" i="1" s="1"/>
  <c r="E378" i="3"/>
  <c r="K73" i="6"/>
  <c r="F13" i="4"/>
  <c r="K44" i="4"/>
  <c r="I31" i="6"/>
  <c r="I89" i="6" s="1"/>
  <c r="H45" i="6"/>
  <c r="H103" i="6" s="1"/>
  <c r="F39" i="4"/>
  <c r="H31" i="6"/>
  <c r="H89" i="6" s="1"/>
  <c r="R39" i="6"/>
  <c r="P97" i="6" s="1"/>
  <c r="F47" i="6"/>
  <c r="F105" i="6" s="1"/>
  <c r="R30" i="6"/>
  <c r="P88" i="6" s="1"/>
  <c r="O183" i="6" s="1"/>
  <c r="H4" i="6"/>
  <c r="H62" i="6" s="1"/>
  <c r="H18" i="6"/>
  <c r="H76" i="6" s="1"/>
  <c r="S73" i="4"/>
  <c r="F23" i="4"/>
  <c r="R25" i="6"/>
  <c r="P83" i="6" s="1"/>
  <c r="O178" i="6" s="1"/>
  <c r="H26" i="6"/>
  <c r="H84" i="6" s="1"/>
  <c r="F55" i="4"/>
  <c r="R19" i="6"/>
  <c r="P77" i="6" s="1"/>
  <c r="O172" i="6" s="1"/>
  <c r="S69" i="4"/>
  <c r="S48" i="4"/>
  <c r="H38" i="6"/>
  <c r="H96" i="6" s="1"/>
  <c r="I29" i="6"/>
  <c r="I87" i="6" s="1"/>
  <c r="H23" i="6"/>
  <c r="H81" i="6" s="1"/>
  <c r="K96" i="6"/>
  <c r="F77" i="4"/>
  <c r="H28" i="6"/>
  <c r="H86" i="6" s="1"/>
  <c r="K82" i="6"/>
  <c r="AF68" i="4"/>
  <c r="AF59" i="4"/>
  <c r="R29" i="6"/>
  <c r="P87" i="6" s="1"/>
  <c r="O182" i="6" s="1"/>
  <c r="AF66" i="4"/>
  <c r="AF78" i="4"/>
  <c r="K101" i="6"/>
  <c r="AF55" i="4"/>
  <c r="AF72" i="4"/>
  <c r="K94" i="6"/>
  <c r="AF58" i="4"/>
  <c r="S40" i="4"/>
  <c r="R23" i="6"/>
  <c r="P81" i="6" s="1"/>
  <c r="O176" i="6" s="1"/>
  <c r="K92" i="6"/>
  <c r="K76" i="6"/>
  <c r="AF40" i="4"/>
  <c r="R36" i="6"/>
  <c r="P94" i="6" s="1"/>
  <c r="K72" i="4"/>
  <c r="S76" i="4"/>
  <c r="F59" i="4"/>
  <c r="R50" i="1"/>
  <c r="R80" i="1" s="1"/>
  <c r="H44" i="6"/>
  <c r="H102" i="6" s="1"/>
  <c r="AF37" i="4"/>
  <c r="F48" i="4"/>
  <c r="K95" i="6"/>
  <c r="K81" i="6"/>
  <c r="AF34" i="4"/>
  <c r="R32" i="6"/>
  <c r="P90" i="6" s="1"/>
  <c r="S53" i="4"/>
  <c r="S52" i="4"/>
  <c r="K64" i="6"/>
  <c r="H37" i="6"/>
  <c r="H95" i="6" s="1"/>
  <c r="K71" i="6"/>
  <c r="K105" i="6"/>
  <c r="AF47" i="4"/>
  <c r="K87" i="6"/>
  <c r="K86" i="6"/>
  <c r="K85" i="6"/>
  <c r="K66" i="6"/>
  <c r="AF54" i="4"/>
  <c r="AF57" i="4"/>
  <c r="AF41" i="4"/>
  <c r="AF38" i="4"/>
  <c r="AF62" i="4"/>
  <c r="AF79" i="4"/>
  <c r="AF71" i="4"/>
  <c r="AF51" i="4"/>
  <c r="AF60" i="4"/>
  <c r="AF69" i="4"/>
  <c r="T155" i="2"/>
  <c r="S80" i="4" s="1"/>
  <c r="E41" i="1"/>
  <c r="E71" i="1" s="1"/>
  <c r="H51" i="1"/>
  <c r="M6" i="4"/>
  <c r="I138" i="2"/>
  <c r="H63" i="4" s="1"/>
  <c r="Y124" i="2"/>
  <c r="X49" i="4" s="1"/>
  <c r="X4" i="4"/>
  <c r="S33" i="6"/>
  <c r="Q91" i="6" s="1"/>
  <c r="T69" i="4"/>
  <c r="W44" i="4"/>
  <c r="X124" i="2"/>
  <c r="W49" i="4" s="1"/>
  <c r="N33" i="4"/>
  <c r="O118" i="2"/>
  <c r="N43" i="4" s="1"/>
  <c r="L153" i="2"/>
  <c r="O115" i="6"/>
  <c r="N78" i="6"/>
  <c r="L125" i="2"/>
  <c r="L113" i="2"/>
  <c r="H43" i="6"/>
  <c r="H101" i="6" s="1"/>
  <c r="F74" i="4"/>
  <c r="K19" i="6"/>
  <c r="P64" i="4"/>
  <c r="L130" i="2"/>
  <c r="R18" i="6"/>
  <c r="P76" i="6" s="1"/>
  <c r="O171" i="6" s="1"/>
  <c r="S51" i="4"/>
  <c r="G125" i="2"/>
  <c r="I46" i="6"/>
  <c r="I104" i="6" s="1"/>
  <c r="K77" i="4"/>
  <c r="O113" i="6"/>
  <c r="N76" i="6"/>
  <c r="U70" i="6"/>
  <c r="W16" i="6"/>
  <c r="U74" i="6" s="1"/>
  <c r="I70" i="6"/>
  <c r="O126" i="6"/>
  <c r="N89" i="6"/>
  <c r="Q50" i="6"/>
  <c r="O108" i="6" s="1"/>
  <c r="Y50" i="6"/>
  <c r="W108" i="6" s="1"/>
  <c r="M69" i="6"/>
  <c r="O50" i="6"/>
  <c r="M108" i="6" s="1"/>
  <c r="V51" i="1"/>
  <c r="V81" i="1" s="1"/>
  <c r="D51" i="1"/>
  <c r="D81" i="1" s="1"/>
  <c r="L51" i="1"/>
  <c r="J33" i="4"/>
  <c r="K118" i="2"/>
  <c r="J43" i="4" s="1"/>
  <c r="U100" i="6"/>
  <c r="W49" i="6"/>
  <c r="U107" i="6" s="1"/>
  <c r="H39" i="6"/>
  <c r="H97" i="6" s="1"/>
  <c r="F72" i="4"/>
  <c r="AF70" i="4"/>
  <c r="O127" i="6"/>
  <c r="N90" i="6"/>
  <c r="G139" i="2"/>
  <c r="R26" i="6"/>
  <c r="P84" i="6" s="1"/>
  <c r="O179" i="6" s="1"/>
  <c r="S61" i="4"/>
  <c r="L132" i="2"/>
  <c r="F52" i="4"/>
  <c r="H21" i="6"/>
  <c r="H79" i="6" s="1"/>
  <c r="Y75" i="6"/>
  <c r="L116" i="2"/>
  <c r="K64" i="4"/>
  <c r="I19" i="6"/>
  <c r="I77" i="6" s="1"/>
  <c r="S22" i="6"/>
  <c r="Q80" i="6" s="1"/>
  <c r="T53" i="4"/>
  <c r="I15" i="6"/>
  <c r="I73" i="6" s="1"/>
  <c r="K48" i="4"/>
  <c r="K40" i="4"/>
  <c r="I8" i="6"/>
  <c r="I66" i="6" s="1"/>
  <c r="R47" i="6"/>
  <c r="P105" i="6" s="1"/>
  <c r="S78" i="4"/>
  <c r="L149" i="2"/>
  <c r="T100" i="6"/>
  <c r="V49" i="6"/>
  <c r="T107" i="6" s="1"/>
  <c r="M49" i="6"/>
  <c r="O128" i="6"/>
  <c r="N91" i="6"/>
  <c r="O121" i="6"/>
  <c r="N84" i="6"/>
  <c r="N88" i="6"/>
  <c r="O125" i="6"/>
  <c r="L129" i="2"/>
  <c r="E75" i="6"/>
  <c r="L117" i="2"/>
  <c r="H5" i="6"/>
  <c r="H63" i="6" s="1"/>
  <c r="F37" i="4"/>
  <c r="J4" i="4"/>
  <c r="F9" i="4"/>
  <c r="U36" i="6"/>
  <c r="S94" i="6" s="1"/>
  <c r="U70" i="4"/>
  <c r="G64" i="4"/>
  <c r="H155" i="2"/>
  <c r="U25" i="6"/>
  <c r="S83" i="6" s="1"/>
  <c r="U54" i="4"/>
  <c r="AB33" i="4"/>
  <c r="AC118" i="2"/>
  <c r="AB43" i="4" s="1"/>
  <c r="L150" i="2"/>
  <c r="O138" i="6"/>
  <c r="N101" i="6"/>
  <c r="L142" i="2"/>
  <c r="L134" i="2"/>
  <c r="R27" i="6"/>
  <c r="P85" i="6" s="1"/>
  <c r="O180" i="6" s="1"/>
  <c r="S55" i="4"/>
  <c r="H25" i="6"/>
  <c r="H83" i="6" s="1"/>
  <c r="F54" i="4"/>
  <c r="AF52" i="4"/>
  <c r="K79" i="6"/>
  <c r="O112" i="6"/>
  <c r="N75" i="6"/>
  <c r="P41" i="6"/>
  <c r="J70" i="6"/>
  <c r="G60" i="6"/>
  <c r="G11" i="6"/>
  <c r="L114" i="2"/>
  <c r="AF36" i="4"/>
  <c r="R4" i="6"/>
  <c r="P62" i="6" s="1"/>
  <c r="O157" i="6" s="1"/>
  <c r="S35" i="4"/>
  <c r="H3" i="6"/>
  <c r="H61" i="6" s="1"/>
  <c r="F34" i="4"/>
  <c r="T23" i="4"/>
  <c r="U98" i="1"/>
  <c r="T98" i="1"/>
  <c r="T6" i="4"/>
  <c r="D6" i="4"/>
  <c r="S25" i="4"/>
  <c r="AF73" i="4"/>
  <c r="O123" i="6"/>
  <c r="N86" i="6"/>
  <c r="I26" i="6"/>
  <c r="I84" i="6" s="1"/>
  <c r="K61" i="4"/>
  <c r="AF77" i="4"/>
  <c r="O133" i="6"/>
  <c r="N96" i="6"/>
  <c r="K78" i="6"/>
  <c r="AF61" i="4"/>
  <c r="AA2" i="6"/>
  <c r="AF39" i="4"/>
  <c r="O139" i="6"/>
  <c r="N102" i="6"/>
  <c r="K100" i="6"/>
  <c r="K62" i="6"/>
  <c r="I3" i="6"/>
  <c r="I61" i="6" s="1"/>
  <c r="K34" i="4"/>
  <c r="L148" i="2"/>
  <c r="N80" i="4"/>
  <c r="S42" i="6"/>
  <c r="T73" i="4"/>
  <c r="W64" i="4"/>
  <c r="X155" i="2"/>
  <c r="S30" i="6"/>
  <c r="Q88" i="6" s="1"/>
  <c r="T57" i="4"/>
  <c r="R12" i="6"/>
  <c r="S44" i="4"/>
  <c r="J3" i="6"/>
  <c r="J61" i="6" s="1"/>
  <c r="L34" i="4"/>
  <c r="L100" i="6"/>
  <c r="N49" i="6"/>
  <c r="L107" i="6" s="1"/>
  <c r="K23" i="4"/>
  <c r="K98" i="1"/>
  <c r="X50" i="6"/>
  <c r="V108" i="6" s="1"/>
  <c r="V69" i="6"/>
  <c r="V69" i="2"/>
  <c r="V52" i="1"/>
  <c r="V82" i="1" s="1"/>
  <c r="R46" i="6"/>
  <c r="P104" i="6" s="1"/>
  <c r="S77" i="4"/>
  <c r="AF74" i="4"/>
  <c r="E100" i="6"/>
  <c r="O134" i="6"/>
  <c r="N97" i="6"/>
  <c r="H29" i="6"/>
  <c r="H87" i="6" s="1"/>
  <c r="F56" i="4"/>
  <c r="O116" i="6"/>
  <c r="N79" i="6"/>
  <c r="T70" i="6"/>
  <c r="F40" i="4"/>
  <c r="H8" i="6"/>
  <c r="H66" i="6" s="1"/>
  <c r="F6" i="4"/>
  <c r="J46" i="6"/>
  <c r="J104" i="6" s="1"/>
  <c r="L77" i="4"/>
  <c r="U17" i="6"/>
  <c r="U50" i="4"/>
  <c r="V138" i="2"/>
  <c r="U63" i="4" s="1"/>
  <c r="AA13" i="6"/>
  <c r="Y71" i="6" s="1"/>
  <c r="AB45" i="4"/>
  <c r="AF45" i="4" s="1"/>
  <c r="J5" i="6"/>
  <c r="J63" i="6" s="1"/>
  <c r="L37" i="4"/>
  <c r="O141" i="6"/>
  <c r="N104" i="6"/>
  <c r="R43" i="6"/>
  <c r="P101" i="6" s="1"/>
  <c r="S74" i="4"/>
  <c r="H42" i="6"/>
  <c r="F73" i="4"/>
  <c r="L141" i="2"/>
  <c r="H22" i="6"/>
  <c r="H80" i="6" s="1"/>
  <c r="F53" i="4"/>
  <c r="F41" i="4"/>
  <c r="H2" i="6"/>
  <c r="S34" i="4"/>
  <c r="R3" i="6"/>
  <c r="P61" i="6" s="1"/>
  <c r="O156" i="6" s="1"/>
  <c r="V4" i="4"/>
  <c r="K68" i="4"/>
  <c r="I32" i="6"/>
  <c r="I90" i="6" s="1"/>
  <c r="I21" i="6"/>
  <c r="I79" i="6" s="1"/>
  <c r="K52" i="4"/>
  <c r="T41" i="4"/>
  <c r="L33" i="4"/>
  <c r="M118" i="2"/>
  <c r="L43" i="4" s="1"/>
  <c r="L154" i="2"/>
  <c r="AF76" i="4"/>
  <c r="S100" i="6"/>
  <c r="G100" i="6"/>
  <c r="G49" i="6"/>
  <c r="G107" i="6" s="1"/>
  <c r="L146" i="2"/>
  <c r="R28" i="6"/>
  <c r="P86" i="6" s="1"/>
  <c r="O181" i="6" s="1"/>
  <c r="S67" i="4"/>
  <c r="H24" i="6"/>
  <c r="H82" i="6" s="1"/>
  <c r="F66" i="4"/>
  <c r="AA19" i="6"/>
  <c r="Y77" i="6" s="1"/>
  <c r="AB64" i="4"/>
  <c r="AC155" i="2"/>
  <c r="S19" i="6"/>
  <c r="Q77" i="6" s="1"/>
  <c r="T64" i="4"/>
  <c r="U155" i="2"/>
  <c r="J19" i="6"/>
  <c r="J77" i="6" s="1"/>
  <c r="L64" i="4"/>
  <c r="M155" i="2"/>
  <c r="F19" i="6"/>
  <c r="F77" i="6" s="1"/>
  <c r="D64" i="4"/>
  <c r="E155" i="2"/>
  <c r="H40" i="6"/>
  <c r="H98" i="6" s="1"/>
  <c r="F62" i="4"/>
  <c r="R35" i="6"/>
  <c r="P93" i="6" s="1"/>
  <c r="S59" i="4"/>
  <c r="H34" i="6"/>
  <c r="H92" i="6" s="1"/>
  <c r="F58" i="4"/>
  <c r="AF56" i="4"/>
  <c r="O120" i="6"/>
  <c r="N83" i="6"/>
  <c r="L122" i="2"/>
  <c r="F70" i="6"/>
  <c r="R7" i="6"/>
  <c r="P65" i="6" s="1"/>
  <c r="O160" i="6" s="1"/>
  <c r="S39" i="4"/>
  <c r="H6" i="6"/>
  <c r="H64" i="6" s="1"/>
  <c r="F38" i="4"/>
  <c r="L23" i="4"/>
  <c r="M98" i="1"/>
  <c r="T15" i="4"/>
  <c r="AA5" i="4"/>
  <c r="C5" i="4"/>
  <c r="Y100" i="6"/>
  <c r="AA49" i="6"/>
  <c r="Y107" i="6" s="1"/>
  <c r="O132" i="6"/>
  <c r="N95" i="6"/>
  <c r="AF35" i="4"/>
  <c r="K20" i="4"/>
  <c r="O122" i="6"/>
  <c r="N85" i="6"/>
  <c r="I13" i="6"/>
  <c r="I71" i="6" s="1"/>
  <c r="K45" i="4"/>
  <c r="O118" i="6"/>
  <c r="N81" i="6"/>
  <c r="AF65" i="4"/>
  <c r="AA80" i="4"/>
  <c r="U60" i="6"/>
  <c r="W11" i="6"/>
  <c r="M2" i="6"/>
  <c r="I5" i="6"/>
  <c r="I63" i="6" s="1"/>
  <c r="K37" i="4"/>
  <c r="T50" i="6"/>
  <c r="R108" i="6" s="1"/>
  <c r="F51" i="1"/>
  <c r="H32" i="6"/>
  <c r="H90" i="6" s="1"/>
  <c r="F68" i="4"/>
  <c r="L128" i="2"/>
  <c r="N70" i="6"/>
  <c r="H33" i="6"/>
  <c r="H91" i="6" s="1"/>
  <c r="F69" i="4"/>
  <c r="M80" i="4"/>
  <c r="E80" i="4"/>
  <c r="S62" i="4"/>
  <c r="R40" i="6"/>
  <c r="P98" i="6" s="1"/>
  <c r="R34" i="6"/>
  <c r="P92" i="6" s="1"/>
  <c r="S58" i="4"/>
  <c r="H30" i="6"/>
  <c r="H88" i="6" s="1"/>
  <c r="F57" i="4"/>
  <c r="T125" i="2"/>
  <c r="R10" i="6"/>
  <c r="P68" i="6" s="1"/>
  <c r="O163" i="6" s="1"/>
  <c r="S42" i="4"/>
  <c r="O142" i="6"/>
  <c r="N105" i="6"/>
  <c r="N94" i="6"/>
  <c r="O131" i="6"/>
  <c r="X64" i="4"/>
  <c r="Y155" i="2"/>
  <c r="H64" i="4"/>
  <c r="I155" i="2"/>
  <c r="L110" i="2"/>
  <c r="O5" i="4"/>
  <c r="P100" i="6"/>
  <c r="Z50" i="6"/>
  <c r="X108" i="6" s="1"/>
  <c r="X69" i="6"/>
  <c r="Z69" i="6"/>
  <c r="AB50" i="6"/>
  <c r="Z108" i="6" s="1"/>
  <c r="F69" i="2"/>
  <c r="F72" i="2" s="1"/>
  <c r="F104" i="2" s="1"/>
  <c r="E52" i="1"/>
  <c r="E82" i="1" s="1"/>
  <c r="L49" i="6"/>
  <c r="L144" i="2"/>
  <c r="R20" i="6"/>
  <c r="P78" i="6" s="1"/>
  <c r="O173" i="6" s="1"/>
  <c r="S65" i="4"/>
  <c r="O114" i="6"/>
  <c r="N77" i="6"/>
  <c r="J80" i="4"/>
  <c r="O124" i="6"/>
  <c r="N87" i="6"/>
  <c r="K83" i="6"/>
  <c r="R13" i="6"/>
  <c r="P71" i="6" s="1"/>
  <c r="O166" i="6" s="1"/>
  <c r="S45" i="4"/>
  <c r="AF42" i="4"/>
  <c r="J26" i="6"/>
  <c r="J84" i="6" s="1"/>
  <c r="L61" i="4"/>
  <c r="G17" i="6"/>
  <c r="E50" i="4"/>
  <c r="F138" i="2"/>
  <c r="E63" i="4" s="1"/>
  <c r="J13" i="6"/>
  <c r="J71" i="6" s="1"/>
  <c r="L45" i="4"/>
  <c r="N100" i="6"/>
  <c r="O137" i="6"/>
  <c r="L145" i="2"/>
  <c r="AF67" i="4"/>
  <c r="R24" i="6"/>
  <c r="P82" i="6" s="1"/>
  <c r="O177" i="6" s="1"/>
  <c r="S66" i="4"/>
  <c r="H20" i="6"/>
  <c r="H78" i="6" s="1"/>
  <c r="F65" i="4"/>
  <c r="L137" i="2"/>
  <c r="L133" i="2"/>
  <c r="O117" i="6"/>
  <c r="N80" i="6"/>
  <c r="H13" i="6"/>
  <c r="H71" i="6" s="1"/>
  <c r="F45" i="4"/>
  <c r="R6" i="6"/>
  <c r="P64" i="6" s="1"/>
  <c r="O159" i="6" s="1"/>
  <c r="S38" i="4"/>
  <c r="J20" i="6"/>
  <c r="J78" i="6" s="1"/>
  <c r="L65" i="4"/>
  <c r="N17" i="6"/>
  <c r="Q50" i="4"/>
  <c r="R138" i="2"/>
  <c r="Q63" i="4" s="1"/>
  <c r="I23" i="6"/>
  <c r="I81" i="6" s="1"/>
  <c r="K36" i="4"/>
  <c r="G33" i="4"/>
  <c r="H118" i="2"/>
  <c r="G43" i="4" s="1"/>
  <c r="R44" i="6"/>
  <c r="P102" i="6" s="1"/>
  <c r="S79" i="4"/>
  <c r="H47" i="6"/>
  <c r="H105" i="6" s="1"/>
  <c r="F78" i="4"/>
  <c r="R38" i="6"/>
  <c r="P96" i="6" s="1"/>
  <c r="S71" i="4"/>
  <c r="H36" i="6"/>
  <c r="H94" i="6" s="1"/>
  <c r="F70" i="4"/>
  <c r="K90" i="6"/>
  <c r="O119" i="6"/>
  <c r="N82" i="6"/>
  <c r="N98" i="6"/>
  <c r="O135" i="6"/>
  <c r="K89" i="6"/>
  <c r="O129" i="6"/>
  <c r="N92" i="6"/>
  <c r="L126" i="2"/>
  <c r="T75" i="6"/>
  <c r="V41" i="6"/>
  <c r="T99" i="6" s="1"/>
  <c r="AF48" i="4"/>
  <c r="R37" i="6"/>
  <c r="P95" i="6" s="1"/>
  <c r="S47" i="4"/>
  <c r="H10" i="6"/>
  <c r="H68" i="6" s="1"/>
  <c r="F42" i="4"/>
  <c r="L60" i="6"/>
  <c r="T11" i="4"/>
  <c r="L6" i="4"/>
  <c r="F12" i="4"/>
  <c r="F100" i="6"/>
  <c r="I20" i="6"/>
  <c r="I78" i="6" s="1"/>
  <c r="K65" i="4"/>
  <c r="K91" i="6"/>
  <c r="O130" i="6"/>
  <c r="N93" i="6"/>
  <c r="K80" i="6"/>
  <c r="F33" i="4"/>
  <c r="G118" i="2"/>
  <c r="F43" i="4" s="1"/>
  <c r="J100" i="6"/>
  <c r="AF53" i="4"/>
  <c r="K61" i="6"/>
  <c r="F71" i="1" l="1"/>
  <c r="M41" i="6"/>
  <c r="N60" i="6"/>
  <c r="V11" i="6"/>
  <c r="K45" i="1"/>
  <c r="K33" i="1"/>
  <c r="B61" i="1"/>
  <c r="B33" i="1" s="1"/>
  <c r="K91" i="1"/>
  <c r="B91" i="1" s="1"/>
  <c r="N55" i="1"/>
  <c r="N85" i="1" s="1"/>
  <c r="O67" i="1"/>
  <c r="P156" i="2"/>
  <c r="P158" i="2" s="1"/>
  <c r="J55" i="1"/>
  <c r="AD124" i="2"/>
  <c r="AC49" i="4" s="1"/>
  <c r="AD104" i="2"/>
  <c r="AD156" i="2" s="1"/>
  <c r="N11" i="6"/>
  <c r="L69" i="6" s="1"/>
  <c r="W156" i="2"/>
  <c r="W158" i="2" s="1"/>
  <c r="U49" i="6"/>
  <c r="S107" i="6" s="1"/>
  <c r="M11" i="6"/>
  <c r="M50" i="6" s="1"/>
  <c r="E11" i="6"/>
  <c r="E69" i="6" s="1"/>
  <c r="U75" i="6"/>
  <c r="F60" i="6"/>
  <c r="T81" i="1"/>
  <c r="M67" i="1"/>
  <c r="K14" i="6"/>
  <c r="K72" i="6" s="1"/>
  <c r="E41" i="6"/>
  <c r="E99" i="6" s="1"/>
  <c r="K77" i="6"/>
  <c r="K124" i="2"/>
  <c r="J49" i="4" s="1"/>
  <c r="U11" i="6"/>
  <c r="S69" i="6" s="1"/>
  <c r="S60" i="6"/>
  <c r="I124" i="2"/>
  <c r="H49" i="4" s="1"/>
  <c r="B74" i="1"/>
  <c r="B10" i="4" s="1"/>
  <c r="AA118" i="2"/>
  <c r="Z43" i="4" s="1"/>
  <c r="O4" i="4"/>
  <c r="D50" i="4"/>
  <c r="AF50" i="4" s="1"/>
  <c r="S104" i="2"/>
  <c r="C60" i="2"/>
  <c r="C112" i="2" s="1"/>
  <c r="B37" i="4" s="1"/>
  <c r="F17" i="6"/>
  <c r="F75" i="6" s="1"/>
  <c r="P49" i="6"/>
  <c r="N107" i="6" s="1"/>
  <c r="N103" i="6"/>
  <c r="C86" i="2"/>
  <c r="C138" i="2" s="1"/>
  <c r="N14" i="6"/>
  <c r="L72" i="6" s="1"/>
  <c r="Q46" i="4"/>
  <c r="M124" i="2"/>
  <c r="L49" i="4" s="1"/>
  <c r="Q124" i="2"/>
  <c r="P49" i="4" s="1"/>
  <c r="H138" i="2"/>
  <c r="G63" i="4" s="1"/>
  <c r="AF63" i="4" s="1"/>
  <c r="E12" i="6"/>
  <c r="E70" i="6" s="1"/>
  <c r="E49" i="6"/>
  <c r="E107" i="6" s="1"/>
  <c r="C76" i="4"/>
  <c r="L46" i="4"/>
  <c r="D155" i="2"/>
  <c r="C80" i="4" s="1"/>
  <c r="L81" i="1"/>
  <c r="L17" i="4" s="1"/>
  <c r="U80" i="1"/>
  <c r="T16" i="4" s="1"/>
  <c r="V71" i="1"/>
  <c r="T71" i="1" s="1"/>
  <c r="B71" i="1" s="1"/>
  <c r="T41" i="1"/>
  <c r="B41" i="1" s="1"/>
  <c r="S12" i="6"/>
  <c r="Q70" i="6" s="1"/>
  <c r="T44" i="4"/>
  <c r="C99" i="2"/>
  <c r="C151" i="2" s="1"/>
  <c r="D45" i="6" s="1"/>
  <c r="D103" i="6" s="1"/>
  <c r="Q72" i="2"/>
  <c r="U69" i="2"/>
  <c r="V72" i="2"/>
  <c r="V104" i="2" s="1"/>
  <c r="K43" i="1"/>
  <c r="K38" i="1"/>
  <c r="U66" i="2"/>
  <c r="C66" i="2" s="1"/>
  <c r="C118" i="2" s="1"/>
  <c r="U108" i="2"/>
  <c r="C56" i="2"/>
  <c r="C108" i="2" s="1"/>
  <c r="T50" i="4"/>
  <c r="S17" i="6"/>
  <c r="Q75" i="6" s="1"/>
  <c r="Q103" i="2"/>
  <c r="C103" i="2" s="1"/>
  <c r="C155" i="2" s="1"/>
  <c r="B45" i="1"/>
  <c r="T52" i="1"/>
  <c r="H81" i="1"/>
  <c r="I17" i="4" s="1"/>
  <c r="G51" i="1"/>
  <c r="G81" i="1" s="1"/>
  <c r="H17" i="4" s="1"/>
  <c r="Q80" i="1"/>
  <c r="P16" i="4" s="1"/>
  <c r="P50" i="1"/>
  <c r="P80" i="1" s="1"/>
  <c r="O16" i="4" s="1"/>
  <c r="L82" i="1"/>
  <c r="L18" i="4" s="1"/>
  <c r="M69" i="1"/>
  <c r="M5" i="4" s="1"/>
  <c r="K39" i="1"/>
  <c r="P50" i="4"/>
  <c r="Q138" i="2"/>
  <c r="P63" i="4" s="1"/>
  <c r="K17" i="6"/>
  <c r="K75" i="6" s="1"/>
  <c r="H72" i="2"/>
  <c r="H104" i="2" s="1"/>
  <c r="H119" i="2"/>
  <c r="G44" i="4" s="1"/>
  <c r="AF44" i="4" s="1"/>
  <c r="L67" i="1"/>
  <c r="AA104" i="2"/>
  <c r="T51" i="1"/>
  <c r="T37" i="4"/>
  <c r="S5" i="6"/>
  <c r="Q63" i="6" s="1"/>
  <c r="P33" i="4"/>
  <c r="K2" i="6"/>
  <c r="Q118" i="2"/>
  <c r="P43" i="4" s="1"/>
  <c r="T82" i="1"/>
  <c r="H68" i="1"/>
  <c r="H67" i="1" s="1"/>
  <c r="I3" i="4" s="1"/>
  <c r="G38" i="1"/>
  <c r="G68" i="1" s="1"/>
  <c r="E72" i="2"/>
  <c r="E104" i="2" s="1"/>
  <c r="B40" i="1"/>
  <c r="K70" i="1"/>
  <c r="B70" i="1" s="1"/>
  <c r="B6" i="4" s="1"/>
  <c r="P76" i="4"/>
  <c r="K45" i="6"/>
  <c r="P44" i="4"/>
  <c r="K12" i="6"/>
  <c r="K70" i="6" s="1"/>
  <c r="S37" i="4"/>
  <c r="I45" i="6"/>
  <c r="I103" i="6" s="1"/>
  <c r="G7" i="4"/>
  <c r="F82" i="1"/>
  <c r="G18" i="4" s="1"/>
  <c r="F68" i="1"/>
  <c r="F81" i="1"/>
  <c r="L9" i="4"/>
  <c r="Q16" i="4"/>
  <c r="N16" i="4"/>
  <c r="R16" i="4"/>
  <c r="D18" i="4"/>
  <c r="E18" i="4"/>
  <c r="D17" i="4"/>
  <c r="U17" i="4"/>
  <c r="AA16" i="4"/>
  <c r="W4" i="4"/>
  <c r="Z4" i="4"/>
  <c r="B13" i="4"/>
  <c r="D3" i="4"/>
  <c r="Q4" i="4"/>
  <c r="F25" i="4"/>
  <c r="S12" i="4"/>
  <c r="P4" i="4"/>
  <c r="B20" i="4"/>
  <c r="M37" i="1"/>
  <c r="V14" i="4"/>
  <c r="V16" i="4"/>
  <c r="O37" i="1"/>
  <c r="O55" i="1" s="1"/>
  <c r="O85" i="1" s="1"/>
  <c r="X14" i="4"/>
  <c r="X16" i="4"/>
  <c r="H14" i="4"/>
  <c r="AB4" i="4"/>
  <c r="T4" i="4"/>
  <c r="AA4" i="4"/>
  <c r="L4" i="4"/>
  <c r="J14" i="4"/>
  <c r="J16" i="4"/>
  <c r="Z14" i="4"/>
  <c r="Z16" i="4"/>
  <c r="AB14" i="4"/>
  <c r="AB16" i="4"/>
  <c r="U18" i="4"/>
  <c r="Y14" i="4"/>
  <c r="Y16" i="4"/>
  <c r="W14" i="4"/>
  <c r="W16" i="4"/>
  <c r="O14" i="4"/>
  <c r="Y4" i="4"/>
  <c r="F37" i="1"/>
  <c r="H37" i="1"/>
  <c r="G37" i="1" s="1"/>
  <c r="K100" i="1"/>
  <c r="K25" i="4"/>
  <c r="B8" i="4"/>
  <c r="F8" i="4"/>
  <c r="T108" i="2"/>
  <c r="S33" i="4" s="1"/>
  <c r="F7" i="4"/>
  <c r="N14" i="4"/>
  <c r="L16" i="6"/>
  <c r="L50" i="6" s="1"/>
  <c r="Q55" i="1"/>
  <c r="V38" i="1"/>
  <c r="Z156" i="2"/>
  <c r="S156" i="2"/>
  <c r="G121" i="2"/>
  <c r="F46" i="4" s="1"/>
  <c r="F14" i="6"/>
  <c r="F72" i="6" s="1"/>
  <c r="P16" i="6"/>
  <c r="N74" i="6" s="1"/>
  <c r="V16" i="6"/>
  <c r="T74" i="6" s="1"/>
  <c r="AF46" i="4"/>
  <c r="AB156" i="2"/>
  <c r="AB158" i="2" s="1"/>
  <c r="J156" i="2"/>
  <c r="J158" i="2" s="1"/>
  <c r="U55" i="1"/>
  <c r="E124" i="2"/>
  <c r="D49" i="4" s="1"/>
  <c r="X55" i="1"/>
  <c r="X85" i="1" s="1"/>
  <c r="AB55" i="1"/>
  <c r="AB85" i="1" s="1"/>
  <c r="C38" i="1"/>
  <c r="E38" i="1"/>
  <c r="AA14" i="4"/>
  <c r="E51" i="1"/>
  <c r="E81" i="1" s="1"/>
  <c r="G119" i="2"/>
  <c r="F44" i="4" s="1"/>
  <c r="Z55" i="1"/>
  <c r="Z85" i="1" s="1"/>
  <c r="R14" i="4"/>
  <c r="Q3" i="4"/>
  <c r="D4" i="4"/>
  <c r="F49" i="6"/>
  <c r="F107" i="6" s="1"/>
  <c r="Q14" i="4"/>
  <c r="P3" i="4"/>
  <c r="R55" i="1"/>
  <c r="R85" i="1" s="1"/>
  <c r="AF64" i="4"/>
  <c r="AA16" i="6"/>
  <c r="Y74" i="6" s="1"/>
  <c r="B60" i="4"/>
  <c r="D31" i="6"/>
  <c r="D89" i="6" s="1"/>
  <c r="J11" i="6"/>
  <c r="J69" i="6" s="1"/>
  <c r="AA41" i="6"/>
  <c r="Y99" i="6" s="1"/>
  <c r="J49" i="6"/>
  <c r="J107" i="6" s="1"/>
  <c r="I15" i="4"/>
  <c r="H50" i="1"/>
  <c r="O156" i="2"/>
  <c r="O158" i="2" s="1"/>
  <c r="L118" i="2"/>
  <c r="K43" i="4" s="1"/>
  <c r="U15" i="4"/>
  <c r="V50" i="1"/>
  <c r="V80" i="1" s="1"/>
  <c r="P14" i="4"/>
  <c r="R4" i="4"/>
  <c r="B12" i="4"/>
  <c r="I34" i="6"/>
  <c r="I92" i="6" s="1"/>
  <c r="K58" i="4"/>
  <c r="I33" i="6"/>
  <c r="I91" i="6" s="1"/>
  <c r="K69" i="4"/>
  <c r="X80" i="4"/>
  <c r="Y156" i="2"/>
  <c r="Y158" i="2" s="1"/>
  <c r="I22" i="6"/>
  <c r="I80" i="6" s="1"/>
  <c r="K53" i="4"/>
  <c r="L80" i="4"/>
  <c r="H60" i="6"/>
  <c r="H11" i="6"/>
  <c r="Q100" i="6"/>
  <c r="S49" i="6"/>
  <c r="Q107" i="6" s="1"/>
  <c r="D26" i="6"/>
  <c r="D84" i="6" s="1"/>
  <c r="B61" i="4"/>
  <c r="I7" i="6"/>
  <c r="I65" i="6" s="1"/>
  <c r="K39" i="4"/>
  <c r="AF33" i="4"/>
  <c r="I25" i="6"/>
  <c r="I83" i="6" s="1"/>
  <c r="K54" i="4"/>
  <c r="I2" i="6"/>
  <c r="K41" i="4"/>
  <c r="I30" i="6"/>
  <c r="I88" i="6" s="1"/>
  <c r="K57" i="4"/>
  <c r="H19" i="6"/>
  <c r="H77" i="6" s="1"/>
  <c r="F64" i="4"/>
  <c r="G155" i="2"/>
  <c r="F69" i="6"/>
  <c r="D46" i="6"/>
  <c r="D104" i="6" s="1"/>
  <c r="B77" i="4"/>
  <c r="H17" i="6"/>
  <c r="F50" i="4"/>
  <c r="G138" i="2"/>
  <c r="F63" i="4" s="1"/>
  <c r="I27" i="6"/>
  <c r="I85" i="6" s="1"/>
  <c r="K55" i="4"/>
  <c r="I17" i="6"/>
  <c r="K50" i="4"/>
  <c r="L138" i="2"/>
  <c r="K63" i="4" s="1"/>
  <c r="D39" i="6"/>
  <c r="D97" i="6" s="1"/>
  <c r="B72" i="4"/>
  <c r="D13" i="6"/>
  <c r="D71" i="6" s="1"/>
  <c r="B45" i="4"/>
  <c r="D29" i="6"/>
  <c r="D87" i="6" s="1"/>
  <c r="B56" i="4"/>
  <c r="T14" i="4"/>
  <c r="T80" i="4"/>
  <c r="D21" i="6"/>
  <c r="D79" i="6" s="1"/>
  <c r="B52" i="4"/>
  <c r="N69" i="6"/>
  <c r="I42" i="6"/>
  <c r="K73" i="4"/>
  <c r="D3" i="6"/>
  <c r="D61" i="6" s="1"/>
  <c r="B34" i="4"/>
  <c r="I35" i="6"/>
  <c r="I93" i="6" s="1"/>
  <c r="K59" i="4"/>
  <c r="AF43" i="4"/>
  <c r="I55" i="1"/>
  <c r="I85" i="1" s="1"/>
  <c r="D20" i="6"/>
  <c r="D78" i="6" s="1"/>
  <c r="B65" i="4"/>
  <c r="G15" i="4"/>
  <c r="F50" i="1"/>
  <c r="F80" i="1" s="1"/>
  <c r="T69" i="6"/>
  <c r="U69" i="6"/>
  <c r="W50" i="6"/>
  <c r="U108" i="6" s="1"/>
  <c r="K13" i="4"/>
  <c r="I44" i="6"/>
  <c r="I102" i="6" s="1"/>
  <c r="K79" i="4"/>
  <c r="V121" i="2"/>
  <c r="P70" i="6"/>
  <c r="O165" i="6" s="1"/>
  <c r="W80" i="4"/>
  <c r="X156" i="2"/>
  <c r="X158" i="2" s="1"/>
  <c r="Y60" i="6"/>
  <c r="AA11" i="6"/>
  <c r="G69" i="6"/>
  <c r="J16" i="6"/>
  <c r="J74" i="6" s="1"/>
  <c r="O136" i="6"/>
  <c r="N99" i="6"/>
  <c r="I28" i="6"/>
  <c r="I86" i="6" s="1"/>
  <c r="K67" i="4"/>
  <c r="K75" i="4"/>
  <c r="B75" i="4"/>
  <c r="G80" i="4"/>
  <c r="AA55" i="1"/>
  <c r="AA85" i="1" s="1"/>
  <c r="I10" i="6"/>
  <c r="I68" i="6" s="1"/>
  <c r="K42" i="4"/>
  <c r="D15" i="6"/>
  <c r="D73" i="6" s="1"/>
  <c r="B48" i="4"/>
  <c r="J41" i="6"/>
  <c r="J99" i="6" s="1"/>
  <c r="L50" i="1"/>
  <c r="P80" i="4"/>
  <c r="I6" i="6"/>
  <c r="I64" i="6" s="1"/>
  <c r="K38" i="4"/>
  <c r="Y55" i="1"/>
  <c r="Y85" i="1" s="1"/>
  <c r="N69" i="2"/>
  <c r="M52" i="1"/>
  <c r="M82" i="1" s="1"/>
  <c r="I37" i="6"/>
  <c r="I95" i="6" s="1"/>
  <c r="K47" i="4"/>
  <c r="K8" i="4"/>
  <c r="H100" i="6"/>
  <c r="H49" i="6"/>
  <c r="H107" i="6" s="1"/>
  <c r="S75" i="6"/>
  <c r="U41" i="6"/>
  <c r="S99" i="6" s="1"/>
  <c r="M51" i="1"/>
  <c r="M81" i="1" s="1"/>
  <c r="E7" i="4"/>
  <c r="D19" i="6"/>
  <c r="D77" i="6" s="1"/>
  <c r="B64" i="4"/>
  <c r="D23" i="6"/>
  <c r="D81" i="6" s="1"/>
  <c r="B36" i="4"/>
  <c r="S55" i="1"/>
  <c r="S85" i="1" s="1"/>
  <c r="K12" i="4"/>
  <c r="K70" i="4"/>
  <c r="I36" i="6"/>
  <c r="I94" i="6" s="1"/>
  <c r="AC55" i="1"/>
  <c r="AC85" i="1" s="1"/>
  <c r="F121" i="2"/>
  <c r="I4" i="6"/>
  <c r="I62" i="6" s="1"/>
  <c r="K35" i="4"/>
  <c r="R17" i="6"/>
  <c r="S50" i="4"/>
  <c r="T138" i="2"/>
  <c r="D80" i="4"/>
  <c r="W55" i="1"/>
  <c r="W85" i="1" s="1"/>
  <c r="K66" i="4"/>
  <c r="I24" i="6"/>
  <c r="I82" i="6" s="1"/>
  <c r="W3" i="4"/>
  <c r="I18" i="6"/>
  <c r="I76" i="6" s="1"/>
  <c r="K51" i="4"/>
  <c r="L75" i="6"/>
  <c r="N41" i="6"/>
  <c r="L99" i="6" s="1"/>
  <c r="K62" i="4"/>
  <c r="I40" i="6"/>
  <c r="I98" i="6" s="1"/>
  <c r="G75" i="6"/>
  <c r="G41" i="6"/>
  <c r="G99" i="6" s="1"/>
  <c r="R49" i="6"/>
  <c r="P107" i="6" s="1"/>
  <c r="H80" i="4"/>
  <c r="D5" i="6"/>
  <c r="D63" i="6" s="1"/>
  <c r="AB80" i="4"/>
  <c r="AC156" i="2"/>
  <c r="AC158" i="2" s="1"/>
  <c r="I38" i="6"/>
  <c r="I96" i="6" s="1"/>
  <c r="K71" i="4"/>
  <c r="D32" i="6"/>
  <c r="D90" i="6" s="1"/>
  <c r="B68" i="4"/>
  <c r="K6" i="4"/>
  <c r="D69" i="2"/>
  <c r="O3" i="4"/>
  <c r="F5" i="4"/>
  <c r="AA3" i="4"/>
  <c r="R156" i="2"/>
  <c r="R158" i="2" s="1"/>
  <c r="I43" i="6"/>
  <c r="I101" i="6" s="1"/>
  <c r="K74" i="4"/>
  <c r="D8" i="6"/>
  <c r="D66" i="6" s="1"/>
  <c r="B40" i="4"/>
  <c r="L155" i="2"/>
  <c r="K7" i="4"/>
  <c r="D50" i="1"/>
  <c r="D80" i="1" s="1"/>
  <c r="I47" i="6"/>
  <c r="I105" i="6" s="1"/>
  <c r="K78" i="4"/>
  <c r="K75" i="1" l="1"/>
  <c r="B75" i="1" s="1"/>
  <c r="N58" i="1"/>
  <c r="N60" i="1" s="1"/>
  <c r="I156" i="2"/>
  <c r="I158" i="2" s="1"/>
  <c r="V81" i="4"/>
  <c r="O81" i="4"/>
  <c r="C59" i="1"/>
  <c r="B59" i="1" s="1"/>
  <c r="M156" i="2"/>
  <c r="M158" i="2" s="1"/>
  <c r="K156" i="2"/>
  <c r="J81" i="4" s="1"/>
  <c r="J85" i="1"/>
  <c r="J58" i="1"/>
  <c r="AC81" i="4"/>
  <c r="AD158" i="2"/>
  <c r="AA156" i="2"/>
  <c r="AA158" i="2" s="1"/>
  <c r="L3" i="4"/>
  <c r="F41" i="6"/>
  <c r="F99" i="6" s="1"/>
  <c r="O144" i="6"/>
  <c r="N16" i="6"/>
  <c r="L74" i="6" s="1"/>
  <c r="U7" i="4"/>
  <c r="Q104" i="2"/>
  <c r="K41" i="6"/>
  <c r="K99" i="6" s="1"/>
  <c r="H124" i="2"/>
  <c r="G49" i="4" s="1"/>
  <c r="AF49" i="4" s="1"/>
  <c r="Q156" i="2"/>
  <c r="Q158" i="2" s="1"/>
  <c r="T80" i="1"/>
  <c r="U85" i="1"/>
  <c r="K11" i="6"/>
  <c r="K69" i="6" s="1"/>
  <c r="K60" i="6"/>
  <c r="K16" i="6"/>
  <c r="K74" i="6" s="1"/>
  <c r="K73" i="1"/>
  <c r="B73" i="1" s="1"/>
  <c r="B9" i="4" s="1"/>
  <c r="B43" i="1"/>
  <c r="N72" i="2"/>
  <c r="N104" i="2" s="1"/>
  <c r="L69" i="2"/>
  <c r="L72" i="2" s="1"/>
  <c r="L104" i="2" s="1"/>
  <c r="E68" i="1"/>
  <c r="E67" i="1" s="1"/>
  <c r="E37" i="1"/>
  <c r="V68" i="1"/>
  <c r="V67" i="1" s="1"/>
  <c r="T67" i="1" s="1"/>
  <c r="T38" i="1"/>
  <c r="B38" i="1" s="1"/>
  <c r="K103" i="6"/>
  <c r="K49" i="6"/>
  <c r="K107" i="6" s="1"/>
  <c r="T33" i="4"/>
  <c r="U118" i="2"/>
  <c r="S2" i="6"/>
  <c r="T50" i="1"/>
  <c r="H80" i="1"/>
  <c r="I16" i="4" s="1"/>
  <c r="G50" i="1"/>
  <c r="G80" i="1" s="1"/>
  <c r="H16" i="4" s="1"/>
  <c r="Q85" i="1"/>
  <c r="P21" i="4" s="1"/>
  <c r="P55" i="1"/>
  <c r="P85" i="1" s="1"/>
  <c r="K52" i="1"/>
  <c r="U121" i="2"/>
  <c r="U72" i="2"/>
  <c r="U104" i="2" s="1"/>
  <c r="K37" i="1"/>
  <c r="L80" i="1"/>
  <c r="L16" i="4" s="1"/>
  <c r="S41" i="6"/>
  <c r="Q99" i="6" s="1"/>
  <c r="G67" i="1"/>
  <c r="H3" i="4" s="1"/>
  <c r="H4" i="4"/>
  <c r="B39" i="1"/>
  <c r="K69" i="1"/>
  <c r="B69" i="1" s="1"/>
  <c r="B5" i="4" s="1"/>
  <c r="K68" i="1"/>
  <c r="K51" i="1"/>
  <c r="B76" i="4"/>
  <c r="Y81" i="4"/>
  <c r="Z158" i="2"/>
  <c r="R81" i="4"/>
  <c r="S158" i="2"/>
  <c r="K9" i="4"/>
  <c r="G17" i="4"/>
  <c r="F67" i="1"/>
  <c r="R2" i="6"/>
  <c r="P60" i="6" s="1"/>
  <c r="O155" i="6" s="1"/>
  <c r="C68" i="1"/>
  <c r="C37" i="1"/>
  <c r="F18" i="4"/>
  <c r="S18" i="4"/>
  <c r="N21" i="4"/>
  <c r="F17" i="4"/>
  <c r="D16" i="4"/>
  <c r="V21" i="4"/>
  <c r="X21" i="4"/>
  <c r="G16" i="4"/>
  <c r="U16" i="4"/>
  <c r="E17" i="4"/>
  <c r="AB21" i="4"/>
  <c r="Z21" i="4"/>
  <c r="J21" i="4"/>
  <c r="B33" i="4"/>
  <c r="T118" i="2"/>
  <c r="S43" i="4" s="1"/>
  <c r="N4" i="4"/>
  <c r="M4" i="4"/>
  <c r="G4" i="4"/>
  <c r="F11" i="4"/>
  <c r="H14" i="6"/>
  <c r="H72" i="6" s="1"/>
  <c r="M18" i="4"/>
  <c r="S15" i="4"/>
  <c r="S17" i="4"/>
  <c r="V37" i="1"/>
  <c r="T37" i="1" s="1"/>
  <c r="I4" i="4"/>
  <c r="M17" i="4"/>
  <c r="U58" i="1"/>
  <c r="W19" i="4"/>
  <c r="W21" i="4"/>
  <c r="Q58" i="1"/>
  <c r="R58" i="1"/>
  <c r="R88" i="1" s="1"/>
  <c r="H19" i="4"/>
  <c r="S96" i="1"/>
  <c r="R21" i="4"/>
  <c r="AA21" i="4"/>
  <c r="W96" i="1"/>
  <c r="Y19" i="4"/>
  <c r="Y21" i="4"/>
  <c r="P19" i="4"/>
  <c r="I81" i="4"/>
  <c r="AA81" i="4"/>
  <c r="F16" i="6"/>
  <c r="F74" i="6" s="1"/>
  <c r="E156" i="2"/>
  <c r="P50" i="6"/>
  <c r="O145" i="6" s="1"/>
  <c r="V50" i="6"/>
  <c r="T108" i="6" s="1"/>
  <c r="K5" i="4"/>
  <c r="AB58" i="1"/>
  <c r="AB88" i="1" s="1"/>
  <c r="X58" i="1"/>
  <c r="X88" i="1" s="1"/>
  <c r="Z58" i="1"/>
  <c r="Z88" i="1" s="1"/>
  <c r="G124" i="2"/>
  <c r="F49" i="4" s="1"/>
  <c r="O19" i="4"/>
  <c r="D12" i="6"/>
  <c r="H12" i="6"/>
  <c r="C6" i="4"/>
  <c r="E50" i="1"/>
  <c r="E80" i="1" s="1"/>
  <c r="T3" i="4"/>
  <c r="Y3" i="4"/>
  <c r="Q19" i="4"/>
  <c r="N81" i="4"/>
  <c r="I14" i="4"/>
  <c r="H55" i="1"/>
  <c r="X19" i="4"/>
  <c r="Y58" i="1"/>
  <c r="Y88" i="1" s="1"/>
  <c r="D6" i="6"/>
  <c r="D64" i="6" s="1"/>
  <c r="B38" i="4"/>
  <c r="D28" i="6"/>
  <c r="D86" i="6" s="1"/>
  <c r="B67" i="4"/>
  <c r="N3" i="4"/>
  <c r="J3" i="4"/>
  <c r="H75" i="6"/>
  <c r="H41" i="6"/>
  <c r="H99" i="6" s="1"/>
  <c r="D121" i="2"/>
  <c r="D72" i="2"/>
  <c r="Z3" i="4"/>
  <c r="W81" i="4"/>
  <c r="T121" i="2"/>
  <c r="G14" i="4"/>
  <c r="F55" i="1"/>
  <c r="F85" i="1" s="1"/>
  <c r="J19" i="4"/>
  <c r="I58" i="1"/>
  <c r="I88" i="1" s="1"/>
  <c r="D35" i="6"/>
  <c r="D93" i="6" s="1"/>
  <c r="B59" i="4"/>
  <c r="D42" i="6"/>
  <c r="B73" i="4"/>
  <c r="B41" i="4"/>
  <c r="D34" i="6"/>
  <c r="D92" i="6" s="1"/>
  <c r="B58" i="4"/>
  <c r="E15" i="4"/>
  <c r="D55" i="1"/>
  <c r="D85" i="1" s="1"/>
  <c r="AB19" i="4"/>
  <c r="AC58" i="1"/>
  <c r="AC88" i="1" s="1"/>
  <c r="R3" i="4"/>
  <c r="D15" i="4"/>
  <c r="D43" i="6"/>
  <c r="D101" i="6" s="1"/>
  <c r="B74" i="4"/>
  <c r="P75" i="6"/>
  <c r="O170" i="6" s="1"/>
  <c r="R41" i="6"/>
  <c r="P99" i="6" s="1"/>
  <c r="AB3" i="4"/>
  <c r="M15" i="4"/>
  <c r="M50" i="1"/>
  <c r="M80" i="1" s="1"/>
  <c r="D37" i="6"/>
  <c r="D95" i="6" s="1"/>
  <c r="B47" i="4"/>
  <c r="N121" i="2"/>
  <c r="X3" i="4"/>
  <c r="L55" i="1"/>
  <c r="AA19" i="4"/>
  <c r="U14" i="6"/>
  <c r="U46" i="4"/>
  <c r="V124" i="2"/>
  <c r="I100" i="6"/>
  <c r="I49" i="6"/>
  <c r="I107" i="6" s="1"/>
  <c r="F80" i="4"/>
  <c r="D30" i="6"/>
  <c r="D88" i="6" s="1"/>
  <c r="B57" i="4"/>
  <c r="I60" i="6"/>
  <c r="I11" i="6"/>
  <c r="D25" i="6"/>
  <c r="D83" i="6" s="1"/>
  <c r="B54" i="4"/>
  <c r="P22" i="4"/>
  <c r="U14" i="4"/>
  <c r="D47" i="6"/>
  <c r="D105" i="6" s="1"/>
  <c r="B78" i="4"/>
  <c r="S63" i="4"/>
  <c r="S58" i="1"/>
  <c r="S88" i="1" s="1"/>
  <c r="D10" i="6"/>
  <c r="D68" i="6" s="1"/>
  <c r="B42" i="4"/>
  <c r="N19" i="4"/>
  <c r="O58" i="1"/>
  <c r="O88" i="1" s="1"/>
  <c r="F4" i="4"/>
  <c r="D17" i="6"/>
  <c r="B50" i="4"/>
  <c r="B63" i="4"/>
  <c r="D27" i="6"/>
  <c r="D85" i="6" s="1"/>
  <c r="B55" i="4"/>
  <c r="D7" i="6"/>
  <c r="D65" i="6" s="1"/>
  <c r="B39" i="4"/>
  <c r="Q81" i="4"/>
  <c r="D40" i="6"/>
  <c r="D98" i="6" s="1"/>
  <c r="B62" i="4"/>
  <c r="D18" i="6"/>
  <c r="D76" i="6" s="1"/>
  <c r="B51" i="4"/>
  <c r="AB81" i="4"/>
  <c r="V19" i="4"/>
  <c r="W58" i="1"/>
  <c r="W88" i="1" s="1"/>
  <c r="K80" i="4"/>
  <c r="C50" i="1"/>
  <c r="C80" i="1" s="1"/>
  <c r="D38" i="6"/>
  <c r="D96" i="6" s="1"/>
  <c r="B71" i="4"/>
  <c r="AF80" i="4"/>
  <c r="K11" i="4"/>
  <c r="D24" i="6"/>
  <c r="D82" i="6" s="1"/>
  <c r="B66" i="4"/>
  <c r="V3" i="4"/>
  <c r="D4" i="6"/>
  <c r="D62" i="6" s="1"/>
  <c r="B35" i="4"/>
  <c r="G14" i="6"/>
  <c r="E46" i="4"/>
  <c r="F124" i="2"/>
  <c r="D36" i="6"/>
  <c r="D94" i="6" s="1"/>
  <c r="B70" i="4"/>
  <c r="L15" i="4"/>
  <c r="Z19" i="4"/>
  <c r="AA58" i="1"/>
  <c r="AA88" i="1" s="1"/>
  <c r="Y69" i="6"/>
  <c r="AA50" i="6"/>
  <c r="Y108" i="6" s="1"/>
  <c r="D44" i="6"/>
  <c r="D102" i="6" s="1"/>
  <c r="B79" i="4"/>
  <c r="J50" i="6"/>
  <c r="J108" i="6" s="1"/>
  <c r="I75" i="6"/>
  <c r="I41" i="6"/>
  <c r="I99" i="6" s="1"/>
  <c r="H69" i="6"/>
  <c r="D22" i="6"/>
  <c r="D80" i="6" s="1"/>
  <c r="B53" i="4"/>
  <c r="X81" i="4"/>
  <c r="D33" i="6"/>
  <c r="D91" i="6" s="1"/>
  <c r="B69" i="4"/>
  <c r="K67" i="1" l="1"/>
  <c r="L81" i="4"/>
  <c r="H81" i="4"/>
  <c r="N88" i="1"/>
  <c r="N90" i="1"/>
  <c r="N62" i="1"/>
  <c r="N92" i="1" s="1"/>
  <c r="N94" i="1" s="1"/>
  <c r="K158" i="2"/>
  <c r="J88" i="1"/>
  <c r="J60" i="1"/>
  <c r="Z81" i="4"/>
  <c r="N50" i="6"/>
  <c r="L108" i="6" s="1"/>
  <c r="H156" i="2"/>
  <c r="H158" i="2" s="1"/>
  <c r="P81" i="4"/>
  <c r="K50" i="6"/>
  <c r="K108" i="6" s="1"/>
  <c r="C69" i="2"/>
  <c r="C121" i="2" s="1"/>
  <c r="K50" i="1"/>
  <c r="K80" i="1" s="1"/>
  <c r="B80" i="1" s="1"/>
  <c r="L85" i="1"/>
  <c r="L21" i="4" s="1"/>
  <c r="Q60" i="6"/>
  <c r="S11" i="6"/>
  <c r="B37" i="1"/>
  <c r="T68" i="1"/>
  <c r="B68" i="1" s="1"/>
  <c r="U124" i="2"/>
  <c r="T49" i="4" s="1"/>
  <c r="S14" i="6"/>
  <c r="T46" i="4"/>
  <c r="T43" i="4"/>
  <c r="U156" i="2"/>
  <c r="C72" i="2"/>
  <c r="C124" i="2" s="1"/>
  <c r="D104" i="2"/>
  <c r="C104" i="2" s="1"/>
  <c r="C156" i="2" s="1"/>
  <c r="H85" i="1"/>
  <c r="I21" i="4" s="1"/>
  <c r="G55" i="1"/>
  <c r="B51" i="1"/>
  <c r="K81" i="1"/>
  <c r="B81" i="1" s="1"/>
  <c r="B17" i="4" s="1"/>
  <c r="U88" i="1"/>
  <c r="C4" i="4"/>
  <c r="B52" i="1"/>
  <c r="K82" i="1"/>
  <c r="B82" i="1" s="1"/>
  <c r="Q88" i="1"/>
  <c r="P24" i="4" s="1"/>
  <c r="P58" i="1"/>
  <c r="P88" i="1" s="1"/>
  <c r="D81" i="4"/>
  <c r="E158" i="2"/>
  <c r="C89" i="1"/>
  <c r="B89" i="1" s="1"/>
  <c r="B25" i="4" s="1"/>
  <c r="D2" i="6"/>
  <c r="D60" i="6" s="1"/>
  <c r="G3" i="4"/>
  <c r="B43" i="4"/>
  <c r="R11" i="6"/>
  <c r="P69" i="6" s="1"/>
  <c r="O164" i="6" s="1"/>
  <c r="C67" i="1"/>
  <c r="E16" i="4"/>
  <c r="M16" i="4"/>
  <c r="K17" i="4"/>
  <c r="F16" i="4"/>
  <c r="G21" i="4"/>
  <c r="K4" i="4"/>
  <c r="Q60" i="1"/>
  <c r="Q62" i="1" s="1"/>
  <c r="Q92" i="1" s="1"/>
  <c r="Q94" i="1" s="1"/>
  <c r="U60" i="1"/>
  <c r="U62" i="1" s="1"/>
  <c r="U92" i="1" s="1"/>
  <c r="U94" i="1" s="1"/>
  <c r="U4" i="4"/>
  <c r="R60" i="1"/>
  <c r="H16" i="6"/>
  <c r="H74" i="6" s="1"/>
  <c r="S7" i="4"/>
  <c r="S14" i="4"/>
  <c r="S16" i="4"/>
  <c r="W22" i="4"/>
  <c r="Q96" i="1"/>
  <c r="Q21" i="4"/>
  <c r="O21" i="4"/>
  <c r="P96" i="1"/>
  <c r="U96" i="1"/>
  <c r="T96" i="1"/>
  <c r="T21" i="4"/>
  <c r="AB60" i="1"/>
  <c r="Y22" i="4"/>
  <c r="D96" i="1"/>
  <c r="D21" i="4"/>
  <c r="B7" i="4"/>
  <c r="V55" i="1"/>
  <c r="H22" i="4"/>
  <c r="E14" i="4"/>
  <c r="F50" i="6"/>
  <c r="F108" i="6" s="1"/>
  <c r="B98" i="1"/>
  <c r="B23" i="4"/>
  <c r="C23" i="4"/>
  <c r="C98" i="1"/>
  <c r="N108" i="6"/>
  <c r="W97" i="1"/>
  <c r="T19" i="4"/>
  <c r="Z60" i="1"/>
  <c r="X60" i="1"/>
  <c r="B44" i="4"/>
  <c r="G156" i="2"/>
  <c r="E55" i="1"/>
  <c r="E85" i="1" s="1"/>
  <c r="H70" i="6"/>
  <c r="E4" i="4"/>
  <c r="M3" i="4"/>
  <c r="I19" i="4"/>
  <c r="H58" i="1"/>
  <c r="H60" i="1" s="1"/>
  <c r="H62" i="1" s="1"/>
  <c r="H92" i="1" s="1"/>
  <c r="H94" i="1" s="1"/>
  <c r="C55" i="1"/>
  <c r="C85" i="1" s="1"/>
  <c r="S60" i="1"/>
  <c r="O22" i="4"/>
  <c r="P97" i="1"/>
  <c r="M46" i="4"/>
  <c r="N124" i="2"/>
  <c r="D58" i="1"/>
  <c r="D88" i="1" s="1"/>
  <c r="G19" i="4"/>
  <c r="F58" i="1"/>
  <c r="F88" i="1" s="1"/>
  <c r="Y60" i="1"/>
  <c r="X22" i="4"/>
  <c r="C14" i="4"/>
  <c r="V22" i="4"/>
  <c r="W60" i="1"/>
  <c r="N22" i="4"/>
  <c r="O60" i="1"/>
  <c r="B15" i="4"/>
  <c r="R19" i="4"/>
  <c r="U49" i="4"/>
  <c r="V156" i="2"/>
  <c r="V158" i="2" s="1"/>
  <c r="D14" i="4"/>
  <c r="K3" i="4"/>
  <c r="F3" i="4"/>
  <c r="F14" i="4"/>
  <c r="E49" i="4"/>
  <c r="F156" i="2"/>
  <c r="F158" i="2" s="1"/>
  <c r="D70" i="6"/>
  <c r="B11" i="4"/>
  <c r="D75" i="6"/>
  <c r="D41" i="6"/>
  <c r="D99" i="6" s="1"/>
  <c r="T22" i="4"/>
  <c r="T97" i="1"/>
  <c r="U97" i="1"/>
  <c r="Q22" i="4"/>
  <c r="Q97" i="1"/>
  <c r="L58" i="1"/>
  <c r="L121" i="2"/>
  <c r="AC60" i="1"/>
  <c r="AB22" i="4"/>
  <c r="J22" i="4"/>
  <c r="I60" i="1"/>
  <c r="G72" i="6"/>
  <c r="G16" i="6"/>
  <c r="C16" i="4"/>
  <c r="E3" i="4"/>
  <c r="F15" i="4"/>
  <c r="Z22" i="4"/>
  <c r="AA60" i="1"/>
  <c r="B80" i="4"/>
  <c r="K15" i="4"/>
  <c r="I69" i="6"/>
  <c r="S72" i="6"/>
  <c r="U16" i="6"/>
  <c r="L14" i="4"/>
  <c r="M14" i="4"/>
  <c r="M55" i="1"/>
  <c r="M85" i="1" s="1"/>
  <c r="D100" i="6"/>
  <c r="D49" i="6"/>
  <c r="D107" i="6" s="1"/>
  <c r="R14" i="6"/>
  <c r="S46" i="4"/>
  <c r="T124" i="2"/>
  <c r="E14" i="6"/>
  <c r="C46" i="4"/>
  <c r="D124" i="2"/>
  <c r="B67" i="1" l="1"/>
  <c r="B32" i="1" s="1"/>
  <c r="I90" i="1"/>
  <c r="I62" i="1"/>
  <c r="I92" i="1" s="1"/>
  <c r="I94" i="1" s="1"/>
  <c r="R90" i="1"/>
  <c r="Q101" i="1" s="1"/>
  <c r="R62" i="1"/>
  <c r="R92" i="1" s="1"/>
  <c r="R94" i="1" s="1"/>
  <c r="AA90" i="1"/>
  <c r="AA62" i="1"/>
  <c r="AA92" i="1" s="1"/>
  <c r="AA94" i="1" s="1"/>
  <c r="O90" i="1"/>
  <c r="O62" i="1"/>
  <c r="O92" i="1" s="1"/>
  <c r="O94" i="1" s="1"/>
  <c r="X90" i="1"/>
  <c r="W26" i="4" s="1"/>
  <c r="X62" i="1"/>
  <c r="X92" i="1" s="1"/>
  <c r="X94" i="1" s="1"/>
  <c r="Z90" i="1"/>
  <c r="Y26" i="4" s="1"/>
  <c r="Z62" i="1"/>
  <c r="Z92" i="1" s="1"/>
  <c r="Z94" i="1" s="1"/>
  <c r="AC90" i="1"/>
  <c r="AC62" i="1"/>
  <c r="AC92" i="1" s="1"/>
  <c r="AC94" i="1" s="1"/>
  <c r="W90" i="1"/>
  <c r="W62" i="1"/>
  <c r="W92" i="1" s="1"/>
  <c r="W94" i="1" s="1"/>
  <c r="Y90" i="1"/>
  <c r="Y62" i="1"/>
  <c r="Y92" i="1" s="1"/>
  <c r="Y94" i="1" s="1"/>
  <c r="S90" i="1"/>
  <c r="S62" i="1"/>
  <c r="S92" i="1" s="1"/>
  <c r="S94" i="1" s="1"/>
  <c r="AB90" i="1"/>
  <c r="AA26" i="4" s="1"/>
  <c r="AB62" i="1"/>
  <c r="AB92" i="1" s="1"/>
  <c r="AB94" i="1" s="1"/>
  <c r="J90" i="1"/>
  <c r="J62" i="1"/>
  <c r="J92" i="1" s="1"/>
  <c r="J94" i="1" s="1"/>
  <c r="M96" i="1"/>
  <c r="G81" i="4"/>
  <c r="AF81" i="4" s="1"/>
  <c r="B50" i="1"/>
  <c r="G85" i="1"/>
  <c r="H21" i="4" s="1"/>
  <c r="U158" i="2"/>
  <c r="T81" i="4"/>
  <c r="L88" i="1"/>
  <c r="K55" i="1"/>
  <c r="K85" i="1" s="1"/>
  <c r="H88" i="1"/>
  <c r="G58" i="1"/>
  <c r="Q90" i="1"/>
  <c r="P26" i="4" s="1"/>
  <c r="P60" i="1"/>
  <c r="V85" i="1"/>
  <c r="T85" i="1" s="1"/>
  <c r="T55" i="1"/>
  <c r="U90" i="1"/>
  <c r="Q72" i="6"/>
  <c r="S16" i="6"/>
  <c r="Q74" i="6" s="1"/>
  <c r="Q69" i="6"/>
  <c r="F81" i="4"/>
  <c r="G158" i="2"/>
  <c r="D11" i="6"/>
  <c r="D69" i="6" s="1"/>
  <c r="M21" i="4"/>
  <c r="C3" i="4"/>
  <c r="H50" i="6"/>
  <c r="H108" i="6" s="1"/>
  <c r="C100" i="1"/>
  <c r="S4" i="4"/>
  <c r="P28" i="4"/>
  <c r="B100" i="1"/>
  <c r="C25" i="4"/>
  <c r="K18" i="4"/>
  <c r="B18" i="4"/>
  <c r="P27" i="4"/>
  <c r="B16" i="4"/>
  <c r="U19" i="4"/>
  <c r="E21" i="4"/>
  <c r="E96" i="1"/>
  <c r="F21" i="4"/>
  <c r="F96" i="1"/>
  <c r="C21" i="4"/>
  <c r="C96" i="1"/>
  <c r="V58" i="1"/>
  <c r="U3" i="4"/>
  <c r="AA22" i="4"/>
  <c r="Y24" i="4"/>
  <c r="W24" i="4"/>
  <c r="E58" i="1"/>
  <c r="E88" i="1" s="1"/>
  <c r="C58" i="1"/>
  <c r="C88" i="1" s="1"/>
  <c r="I22" i="4"/>
  <c r="P72" i="6"/>
  <c r="O167" i="6" s="1"/>
  <c r="R16" i="6"/>
  <c r="Z24" i="4"/>
  <c r="K16" i="4"/>
  <c r="AB24" i="4"/>
  <c r="L60" i="1"/>
  <c r="L62" i="1" s="1"/>
  <c r="L92" i="1" s="1"/>
  <c r="L94" i="1" s="1"/>
  <c r="B14" i="4"/>
  <c r="V24" i="4"/>
  <c r="F60" i="1"/>
  <c r="G22" i="4"/>
  <c r="M49" i="4"/>
  <c r="N156" i="2"/>
  <c r="N158" i="2" s="1"/>
  <c r="E72" i="6"/>
  <c r="E16" i="6"/>
  <c r="S74" i="6"/>
  <c r="U50" i="6"/>
  <c r="S108" i="6" s="1"/>
  <c r="T24" i="4"/>
  <c r="U99" i="1"/>
  <c r="T99" i="1"/>
  <c r="E19" i="4"/>
  <c r="C19" i="4"/>
  <c r="G74" i="6"/>
  <c r="G50" i="6"/>
  <c r="G108" i="6" s="1"/>
  <c r="J24" i="4"/>
  <c r="L19" i="4"/>
  <c r="E81" i="4"/>
  <c r="AA24" i="4"/>
  <c r="W99" i="1"/>
  <c r="U81" i="4"/>
  <c r="R22" i="4"/>
  <c r="S97" i="1"/>
  <c r="S49" i="4"/>
  <c r="T156" i="2"/>
  <c r="T158" i="2" s="1"/>
  <c r="N24" i="4"/>
  <c r="D60" i="1"/>
  <c r="C49" i="4"/>
  <c r="D156" i="2"/>
  <c r="D158" i="2" s="1"/>
  <c r="M19" i="4"/>
  <c r="M58" i="1"/>
  <c r="M88" i="1" s="1"/>
  <c r="Q24" i="4"/>
  <c r="Q99" i="1"/>
  <c r="I14" i="6"/>
  <c r="K46" i="4"/>
  <c r="L124" i="2"/>
  <c r="K14" i="4"/>
  <c r="O24" i="4"/>
  <c r="P99" i="1"/>
  <c r="X24" i="4"/>
  <c r="K19" i="4"/>
  <c r="D19" i="4"/>
  <c r="Q26" i="4" l="1"/>
  <c r="B3" i="4"/>
  <c r="F90" i="1"/>
  <c r="F62" i="1"/>
  <c r="F92" i="1" s="1"/>
  <c r="F94" i="1" s="1"/>
  <c r="D90" i="1"/>
  <c r="D62" i="1"/>
  <c r="D92" i="1" s="1"/>
  <c r="D94" i="1" s="1"/>
  <c r="P90" i="1"/>
  <c r="O26" i="4" s="1"/>
  <c r="P62" i="1"/>
  <c r="P92" i="1" s="1"/>
  <c r="P94" i="1" s="1"/>
  <c r="U21" i="4"/>
  <c r="K58" i="1"/>
  <c r="K88" i="1" s="1"/>
  <c r="S50" i="6"/>
  <c r="Q108" i="6" s="1"/>
  <c r="L90" i="1"/>
  <c r="V88" i="1"/>
  <c r="T88" i="1" s="1"/>
  <c r="T58" i="1"/>
  <c r="B85" i="1"/>
  <c r="H90" i="1"/>
  <c r="G60" i="1"/>
  <c r="G88" i="1"/>
  <c r="H24" i="4" s="1"/>
  <c r="B55" i="1"/>
  <c r="B4" i="4"/>
  <c r="C60" i="1"/>
  <c r="C62" i="1" s="1"/>
  <c r="C92" i="1" s="1"/>
  <c r="C94" i="1" s="1"/>
  <c r="K21" i="4"/>
  <c r="S3" i="4"/>
  <c r="W101" i="1"/>
  <c r="Q102" i="1"/>
  <c r="P29" i="4"/>
  <c r="P103" i="1"/>
  <c r="AB27" i="4"/>
  <c r="O27" i="4"/>
  <c r="P102" i="1"/>
  <c r="Z27" i="4"/>
  <c r="X27" i="4"/>
  <c r="J28" i="4"/>
  <c r="N27" i="4"/>
  <c r="V27" i="4"/>
  <c r="H27" i="4"/>
  <c r="U102" i="1"/>
  <c r="T27" i="4"/>
  <c r="T102" i="1"/>
  <c r="W27" i="4"/>
  <c r="Y27" i="4"/>
  <c r="Q27" i="4"/>
  <c r="Y28" i="4"/>
  <c r="Y29" i="4" s="1"/>
  <c r="O28" i="4"/>
  <c r="J27" i="4"/>
  <c r="V60" i="1"/>
  <c r="V62" i="1" s="1"/>
  <c r="V92" i="1" s="1"/>
  <c r="S19" i="4"/>
  <c r="E60" i="1"/>
  <c r="K97" i="1"/>
  <c r="U22" i="4"/>
  <c r="E22" i="4"/>
  <c r="I24" i="4"/>
  <c r="M60" i="1"/>
  <c r="M22" i="4"/>
  <c r="B19" i="4"/>
  <c r="J26" i="4"/>
  <c r="E74" i="6"/>
  <c r="E50" i="6"/>
  <c r="E108" i="6" s="1"/>
  <c r="AB26" i="4"/>
  <c r="D14" i="6"/>
  <c r="B46" i="4"/>
  <c r="R26" i="4"/>
  <c r="S101" i="1"/>
  <c r="G24" i="4"/>
  <c r="V26" i="4"/>
  <c r="Z26" i="4"/>
  <c r="I72" i="6"/>
  <c r="I16" i="6"/>
  <c r="P74" i="6"/>
  <c r="O169" i="6" s="1"/>
  <c r="R50" i="6"/>
  <c r="P108" i="6" s="1"/>
  <c r="T26" i="4"/>
  <c r="T101" i="1"/>
  <c r="U101" i="1"/>
  <c r="F19" i="4"/>
  <c r="M81" i="4"/>
  <c r="C22" i="4"/>
  <c r="C97" i="1"/>
  <c r="X26" i="4"/>
  <c r="K49" i="4"/>
  <c r="L156" i="2"/>
  <c r="L158" i="2" s="1"/>
  <c r="C81" i="4"/>
  <c r="D22" i="4"/>
  <c r="D97" i="1"/>
  <c r="N26" i="4"/>
  <c r="S81" i="4"/>
  <c r="R24" i="4"/>
  <c r="S99" i="1"/>
  <c r="L22" i="4"/>
  <c r="M97" i="1"/>
  <c r="P101" i="1" l="1"/>
  <c r="O29" i="4"/>
  <c r="T92" i="1"/>
  <c r="T94" i="1" s="1"/>
  <c r="V94" i="1"/>
  <c r="M90" i="1"/>
  <c r="M62" i="1"/>
  <c r="M92" i="1" s="1"/>
  <c r="M94" i="1" s="1"/>
  <c r="E90" i="1"/>
  <c r="E26" i="4" s="1"/>
  <c r="E62" i="1"/>
  <c r="E92" i="1" s="1"/>
  <c r="E94" i="1" s="1"/>
  <c r="G90" i="1"/>
  <c r="H26" i="4" s="1"/>
  <c r="G62" i="1"/>
  <c r="G92" i="1" s="1"/>
  <c r="G94" i="1" s="1"/>
  <c r="B58" i="1"/>
  <c r="B88" i="1"/>
  <c r="K60" i="1"/>
  <c r="V90" i="1"/>
  <c r="T90" i="1" s="1"/>
  <c r="T60" i="1"/>
  <c r="T62" i="1" s="1"/>
  <c r="U24" i="4"/>
  <c r="C90" i="1"/>
  <c r="C26" i="4" s="1"/>
  <c r="K96" i="1"/>
  <c r="P104" i="1"/>
  <c r="J29" i="4"/>
  <c r="Q104" i="1"/>
  <c r="V28" i="4"/>
  <c r="V29" i="4" s="1"/>
  <c r="G27" i="4"/>
  <c r="I27" i="4"/>
  <c r="Z28" i="4"/>
  <c r="Z29" i="4" s="1"/>
  <c r="AA27" i="4"/>
  <c r="W102" i="1"/>
  <c r="W28" i="4"/>
  <c r="W29" i="4" s="1"/>
  <c r="X28" i="4"/>
  <c r="X29" i="4" s="1"/>
  <c r="AB28" i="4"/>
  <c r="AB29" i="4" s="1"/>
  <c r="S102" i="1"/>
  <c r="R27" i="4"/>
  <c r="Q103" i="1"/>
  <c r="Q28" i="4"/>
  <c r="Q29" i="4" s="1"/>
  <c r="T103" i="1"/>
  <c r="T28" i="4"/>
  <c r="T29" i="4" s="1"/>
  <c r="U103" i="1"/>
  <c r="H28" i="4"/>
  <c r="N28" i="4"/>
  <c r="N29" i="4" s="1"/>
  <c r="R28" i="4"/>
  <c r="R29" i="4" s="1"/>
  <c r="S103" i="1"/>
  <c r="S104" i="1"/>
  <c r="S22" i="4"/>
  <c r="S21" i="4"/>
  <c r="K22" i="4"/>
  <c r="B22" i="4"/>
  <c r="E97" i="1"/>
  <c r="C24" i="4"/>
  <c r="I26" i="4"/>
  <c r="G26" i="4"/>
  <c r="D26" i="4"/>
  <c r="D101" i="1"/>
  <c r="K24" i="4"/>
  <c r="K99" i="1"/>
  <c r="L26" i="4"/>
  <c r="M101" i="1"/>
  <c r="D24" i="4"/>
  <c r="D99" i="1"/>
  <c r="K81" i="4"/>
  <c r="L24" i="4"/>
  <c r="M99" i="1"/>
  <c r="B49" i="4"/>
  <c r="C158" i="2"/>
  <c r="U104" i="1"/>
  <c r="T104" i="1"/>
  <c r="I74" i="6"/>
  <c r="I50" i="6"/>
  <c r="I108" i="6" s="1"/>
  <c r="F22" i="4"/>
  <c r="F97" i="1"/>
  <c r="E24" i="4"/>
  <c r="E99" i="1"/>
  <c r="D72" i="6"/>
  <c r="D16" i="6"/>
  <c r="M24" i="4"/>
  <c r="H29" i="4" l="1"/>
  <c r="K90" i="1"/>
  <c r="B90" i="1" s="1"/>
  <c r="K62" i="1"/>
  <c r="K92" i="1" s="1"/>
  <c r="B60" i="1"/>
  <c r="B62" i="1" s="1"/>
  <c r="C101" i="1"/>
  <c r="E101" i="1"/>
  <c r="U28" i="4"/>
  <c r="AA28" i="4"/>
  <c r="AA29" i="4" s="1"/>
  <c r="W103" i="1"/>
  <c r="W104" i="1"/>
  <c r="D28" i="4"/>
  <c r="D29" i="4" s="1"/>
  <c r="D103" i="1"/>
  <c r="I28" i="4"/>
  <c r="I29" i="4" s="1"/>
  <c r="M27" i="4"/>
  <c r="D102" i="1"/>
  <c r="D27" i="4"/>
  <c r="U27" i="4"/>
  <c r="M102" i="1"/>
  <c r="L27" i="4"/>
  <c r="G28" i="4"/>
  <c r="G29" i="4" s="1"/>
  <c r="D104" i="1"/>
  <c r="B96" i="1"/>
  <c r="B21" i="4"/>
  <c r="S24" i="4"/>
  <c r="B97" i="1"/>
  <c r="C99" i="1"/>
  <c r="D74" i="6"/>
  <c r="D50" i="6"/>
  <c r="D108" i="6" s="1"/>
  <c r="F24" i="4"/>
  <c r="F99" i="1"/>
  <c r="F26" i="4"/>
  <c r="F101" i="1"/>
  <c r="K26" i="4"/>
  <c r="K101" i="1"/>
  <c r="B81" i="4"/>
  <c r="M26" i="4"/>
  <c r="U26" i="4"/>
  <c r="B24" i="4"/>
  <c r="B99" i="1"/>
  <c r="B92" i="1" l="1"/>
  <c r="B94" i="1" s="1"/>
  <c r="K94" i="1"/>
  <c r="U29" i="4"/>
  <c r="S27" i="4"/>
  <c r="S26" i="4"/>
  <c r="K104" i="1"/>
  <c r="L28" i="4"/>
  <c r="L29" i="4" s="1"/>
  <c r="M103" i="1"/>
  <c r="F27" i="4"/>
  <c r="F102" i="1"/>
  <c r="E27" i="4"/>
  <c r="E102" i="1"/>
  <c r="E28" i="4"/>
  <c r="E29" i="4" s="1"/>
  <c r="E103" i="1"/>
  <c r="K27" i="4"/>
  <c r="K102" i="1"/>
  <c r="E104" i="1"/>
  <c r="M104" i="1"/>
  <c r="M28" i="4"/>
  <c r="M29" i="4" s="1"/>
  <c r="C27" i="4"/>
  <c r="C102" i="1"/>
  <c r="C104" i="1" l="1"/>
  <c r="S28" i="4"/>
  <c r="S29" i="4" s="1"/>
  <c r="C28" i="4"/>
  <c r="C29" i="4" s="1"/>
  <c r="C103" i="1"/>
  <c r="F103" i="1"/>
  <c r="F28" i="4"/>
  <c r="F29" i="4" s="1"/>
  <c r="F104" i="1"/>
  <c r="K28" i="4"/>
  <c r="K29" i="4" s="1"/>
  <c r="K103" i="1"/>
  <c r="B101" i="1"/>
  <c r="B26" i="4"/>
  <c r="B102" i="1" l="1"/>
  <c r="B27" i="4"/>
  <c r="B104" i="1"/>
  <c r="B103" i="1" l="1"/>
  <c r="B28" i="4"/>
  <c r="B29" i="4" s="1"/>
</calcChain>
</file>

<file path=xl/comments1.xml><?xml version="1.0" encoding="utf-8"?>
<comments xmlns="http://schemas.openxmlformats.org/spreadsheetml/2006/main">
  <authors>
    <author>Administrator</author>
  </authors>
  <commentList>
    <comment ref="C3" authorId="0" shapeId="0">
      <text>
        <r>
          <rPr>
            <b/>
            <sz val="9"/>
            <rFont val="宋体"/>
            <family val="3"/>
            <charset val="134"/>
          </rPr>
          <t>Administrator:</t>
        </r>
        <r>
          <rPr>
            <sz val="9"/>
            <rFont val="宋体"/>
            <family val="3"/>
            <charset val="134"/>
          </rPr>
          <t xml:space="preserve">
总部交易</t>
        </r>
      </text>
    </comment>
    <comment ref="I3" authorId="0" shapeId="0">
      <text>
        <r>
          <rPr>
            <b/>
            <sz val="9"/>
            <rFont val="宋体"/>
            <family val="3"/>
            <charset val="134"/>
          </rPr>
          <t>Administrator:</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Administrator</author>
  </authors>
  <commentList>
    <comment ref="D3" authorId="0" shapeId="0">
      <text>
        <r>
          <rPr>
            <b/>
            <sz val="9"/>
            <rFont val="宋体"/>
            <family val="3"/>
            <charset val="134"/>
          </rPr>
          <t>Administrator:</t>
        </r>
        <r>
          <rPr>
            <sz val="9"/>
            <rFont val="宋体"/>
            <family val="3"/>
            <charset val="134"/>
          </rPr>
          <t xml:space="preserve">
总部交易</t>
        </r>
      </text>
    </comment>
    <comment ref="J3" authorId="0" shapeId="0">
      <text>
        <r>
          <rPr>
            <b/>
            <sz val="9"/>
            <rFont val="宋体"/>
            <family val="3"/>
            <charset val="134"/>
          </rPr>
          <t>Administrator:</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黄奕馨</author>
  </authors>
  <commentList>
    <comment ref="I49" authorId="0" shapeId="0">
      <text>
        <r>
          <rPr>
            <sz val="9"/>
            <rFont val="宋体"/>
            <family val="3"/>
            <charset val="134"/>
          </rPr>
          <t>黄奕馨:
注明流程号，如为纸质资料则注明，资料三方存档（调整方、被调整方、审核人）。</t>
        </r>
      </text>
    </comment>
    <comment ref="I51" authorId="0" shapeId="0">
      <text>
        <r>
          <rPr>
            <sz val="9"/>
            <rFont val="宋体"/>
            <family val="3"/>
            <charset val="134"/>
          </rPr>
          <t>黄奕馨:
流程号或纸质存档资料（三方存档）</t>
        </r>
      </text>
    </comment>
    <comment ref="I129" authorId="0" shapeId="0">
      <text>
        <r>
          <rPr>
            <sz val="9"/>
            <rFont val="宋体"/>
            <family val="3"/>
            <charset val="134"/>
          </rPr>
          <t>黄奕馨:
流程号或纸质存档资料（三方存档）</t>
        </r>
      </text>
    </comment>
    <comment ref="I207" authorId="0" shapeId="0">
      <text>
        <r>
          <rPr>
            <sz val="9"/>
            <rFont val="宋体"/>
            <family val="3"/>
            <charset val="134"/>
          </rPr>
          <t>黄奕馨:
流程号或纸质存档资料（三方存档）</t>
        </r>
      </text>
    </comment>
  </commentList>
</comments>
</file>

<file path=xl/comments4.xml><?xml version="1.0" encoding="utf-8"?>
<comments xmlns="http://schemas.openxmlformats.org/spreadsheetml/2006/main">
  <authors>
    <author>作者</author>
  </authors>
  <commentList>
    <comment ref="A43" authorId="0" shapeId="0">
      <text>
        <r>
          <rPr>
            <b/>
            <sz val="9"/>
            <color indexed="81"/>
            <rFont val="宋体"/>
            <family val="3"/>
            <charset val="134"/>
          </rPr>
          <t>作者:</t>
        </r>
        <r>
          <rPr>
            <sz val="9"/>
            <color indexed="81"/>
            <rFont val="宋体"/>
            <family val="3"/>
            <charset val="134"/>
          </rPr>
          <t xml:space="preserve">
投顾占一半</t>
        </r>
      </text>
    </comment>
  </commentList>
</comments>
</file>

<file path=xl/comments5.xml><?xml version="1.0" encoding="utf-8"?>
<comments xmlns="http://schemas.openxmlformats.org/spreadsheetml/2006/main">
  <authors>
    <author>作者</author>
  </authors>
  <commentList>
    <comment ref="M28" authorId="0" shapeId="0">
      <text>
        <r>
          <rPr>
            <sz val="9"/>
            <color indexed="81"/>
            <rFont val="宋体"/>
            <family val="3"/>
            <charset val="134"/>
          </rPr>
          <t xml:space="preserve">经协商不收取
</t>
        </r>
      </text>
    </comment>
    <comment ref="A37" authorId="0" shapeId="0">
      <text>
        <r>
          <rPr>
            <b/>
            <sz val="9"/>
            <color indexed="81"/>
            <rFont val="宋体"/>
            <family val="3"/>
            <charset val="134"/>
          </rPr>
          <t>作者:</t>
        </r>
        <r>
          <rPr>
            <sz val="9"/>
            <color indexed="81"/>
            <rFont val="宋体"/>
            <family val="3"/>
            <charset val="134"/>
          </rPr>
          <t xml:space="preserve">
投顾占一半</t>
        </r>
      </text>
    </comment>
  </commentList>
</comments>
</file>

<file path=xl/comments6.xml><?xml version="1.0" encoding="utf-8"?>
<comments xmlns="http://schemas.openxmlformats.org/spreadsheetml/2006/main">
  <authors>
    <author>tiantian</author>
  </authors>
  <commentList>
    <comment ref="E59" authorId="0" shapeId="0">
      <text>
        <r>
          <rPr>
            <b/>
            <sz val="9"/>
            <rFont val="宋体"/>
            <family val="3"/>
            <charset val="134"/>
          </rPr>
          <t>tiantian:</t>
        </r>
        <r>
          <rPr>
            <sz val="9"/>
            <rFont val="宋体"/>
            <family val="3"/>
            <charset val="134"/>
          </rPr>
          <t xml:space="preserve">
含广分
</t>
        </r>
      </text>
    </comment>
  </commentList>
</comments>
</file>

<file path=xl/sharedStrings.xml><?xml version="1.0" encoding="utf-8"?>
<sst xmlns="http://schemas.openxmlformats.org/spreadsheetml/2006/main" count="3476" uniqueCount="725">
  <si>
    <t>2017年1-10月利润调整表</t>
  </si>
  <si>
    <t>报表数据</t>
  </si>
  <si>
    <t>单位：元</t>
  </si>
  <si>
    <t>项目</t>
  </si>
  <si>
    <t>合计</t>
  </si>
  <si>
    <t>其他</t>
  </si>
  <si>
    <t>总部中后台</t>
  </si>
  <si>
    <t>经纪业务部</t>
  </si>
  <si>
    <t>资管业务</t>
  </si>
  <si>
    <t>资产管理部</t>
  </si>
  <si>
    <t>权益产品投资部</t>
  </si>
  <si>
    <t>固收产品投资部</t>
  </si>
  <si>
    <t>量化产品投资部</t>
  </si>
  <si>
    <t>深分公司合计</t>
  </si>
  <si>
    <t>固定收益投资部</t>
  </si>
  <si>
    <t>固定收益市场部</t>
  </si>
  <si>
    <t>投顾业务部</t>
  </si>
  <si>
    <t>证券投资部</t>
  </si>
  <si>
    <t>做市业务部</t>
  </si>
  <si>
    <t>金融衍生品部</t>
  </si>
  <si>
    <t>深圳管理总部</t>
  </si>
  <si>
    <t>投资银行合计</t>
  </si>
  <si>
    <t>投资银行三部</t>
  </si>
  <si>
    <t>投资银行一部</t>
  </si>
  <si>
    <t>投资银行二部</t>
  </si>
  <si>
    <t>投资银行四部</t>
  </si>
  <si>
    <t>投资银行北京一部</t>
  </si>
  <si>
    <t>投资银行北京二部</t>
  </si>
  <si>
    <t>投资银行深圳一部（筹）</t>
  </si>
  <si>
    <t>投资银行管理部</t>
  </si>
  <si>
    <t>运营支持部</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</si>
  <si>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</si>
  <si>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</si>
  <si>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</si>
  <si>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</si>
  <si>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</si>
  <si>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</si>
  <si>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</si>
  <si>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</si>
  <si>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</si>
  <si>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</si>
  <si>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</si>
  <si>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二、营业支出</t>
  </si>
  <si>
    <t xml:space="preserve">   1.营业税金及附加</t>
  </si>
  <si>
    <t xml:space="preserve">   2.业务及管理费</t>
  </si>
  <si>
    <t xml:space="preserve">   3.资产减值损失</t>
  </si>
  <si>
    <t xml:space="preserve">   4.其它业务成本</t>
  </si>
  <si>
    <t>三、营业利润</t>
  </si>
  <si>
    <t xml:space="preserve">   加：营业外收入</t>
  </si>
  <si>
    <t xml:space="preserve">   减：营业外支出</t>
  </si>
  <si>
    <t>四、利润总额</t>
  </si>
  <si>
    <t xml:space="preserve">  减：所得税费用</t>
  </si>
  <si>
    <t>五、净利润</t>
  </si>
  <si>
    <t>综合收益</t>
  </si>
  <si>
    <t>六、综合收益总额</t>
  </si>
  <si>
    <t>验证：</t>
  </si>
  <si>
    <t>考核调整数据</t>
  </si>
  <si>
    <t>运营管理部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</si>
  <si>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</si>
  <si>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</si>
  <si>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</si>
  <si>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</si>
  <si>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</si>
  <si>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</si>
  <si>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</si>
  <si>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</si>
  <si>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</si>
  <si>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</si>
  <si>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</si>
  <si>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r>
      <rPr>
        <sz val="10"/>
        <rFont val="Times New Roman"/>
        <family val="1"/>
      </rPr>
      <t xml:space="preserve">  </t>
    </r>
    <r>
      <rPr>
        <sz val="10"/>
        <rFont val="宋体"/>
        <family val="3"/>
        <charset val="134"/>
      </rPr>
      <t>减：所得税费用</t>
    </r>
  </si>
  <si>
    <t>资金成本</t>
  </si>
  <si>
    <t>考核利润表</t>
  </si>
  <si>
    <t>调整后</t>
  </si>
  <si>
    <t>部门考核利润</t>
  </si>
  <si>
    <t>固定收益部</t>
  </si>
  <si>
    <t>金融衍生品投资部</t>
  </si>
  <si>
    <t>风险管理部</t>
  </si>
  <si>
    <t>深圳管理部</t>
  </si>
  <si>
    <t>中小企业融资部</t>
  </si>
  <si>
    <t>债券融资部</t>
  </si>
  <si>
    <t>财务顾问部</t>
  </si>
  <si>
    <t>浙江分公司小计</t>
  </si>
  <si>
    <t>浙分总部</t>
  </si>
  <si>
    <t>2017年1-9月费用调整表</t>
  </si>
  <si>
    <t>调整前</t>
  </si>
  <si>
    <t>类别</t>
  </si>
  <si>
    <t>项  目</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</si>
  <si>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</si>
  <si>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</si>
  <si>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</si>
  <si>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</si>
  <si>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</si>
  <si>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</si>
  <si>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</si>
  <si>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</si>
  <si>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</si>
  <si>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</si>
  <si>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</si>
  <si>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</si>
  <si>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</si>
  <si>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</si>
  <si>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</si>
  <si>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</si>
  <si>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</si>
  <si>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</si>
  <si>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</si>
  <si>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</si>
  <si>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</si>
  <si>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</si>
  <si>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</si>
  <si>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</si>
  <si>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</si>
  <si>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</si>
  <si>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</si>
  <si>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</si>
  <si>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</si>
  <si>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</si>
  <si>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</si>
  <si>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</si>
  <si>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</si>
  <si>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</si>
  <si>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</si>
  <si>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</si>
  <si>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</si>
  <si>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</si>
  <si>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</si>
  <si>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</si>
  <si>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</si>
  <si>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</si>
  <si>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</si>
  <si>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</si>
  <si>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</si>
  <si>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</si>
  <si>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</si>
  <si>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</si>
  <si>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</si>
  <si>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</si>
  <si>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1</t>
  </si>
  <si>
    <t>自选福利</t>
  </si>
  <si>
    <t>中介费用</t>
  </si>
  <si>
    <t>综合业务部</t>
  </si>
  <si>
    <t>网络金融部</t>
  </si>
  <si>
    <t>广东分公司</t>
  </si>
  <si>
    <t>其它</t>
  </si>
  <si>
    <t>交易席位费摊销</t>
  </si>
  <si>
    <t>序号</t>
  </si>
  <si>
    <t>调整金额</t>
  </si>
  <si>
    <t>调整部门</t>
  </si>
  <si>
    <t>对应调整金额</t>
  </si>
  <si>
    <t>对应调整部门</t>
  </si>
  <si>
    <t>费用类别</t>
  </si>
  <si>
    <t>调整事项</t>
  </si>
  <si>
    <t>调整依据</t>
  </si>
  <si>
    <t>一、报表利润</t>
  </si>
  <si>
    <t>2</t>
  </si>
  <si>
    <t>3</t>
  </si>
  <si>
    <t>4</t>
  </si>
  <si>
    <t>5</t>
  </si>
  <si>
    <t>6</t>
  </si>
  <si>
    <t>7</t>
  </si>
  <si>
    <t>10</t>
  </si>
  <si>
    <t>11</t>
  </si>
  <si>
    <t>12</t>
  </si>
  <si>
    <t>13</t>
  </si>
  <si>
    <t>14</t>
  </si>
  <si>
    <t>15</t>
  </si>
  <si>
    <t>16</t>
  </si>
  <si>
    <t>17</t>
  </si>
  <si>
    <t>19</t>
  </si>
  <si>
    <t>20</t>
  </si>
  <si>
    <t>21</t>
  </si>
  <si>
    <t>22</t>
  </si>
  <si>
    <t>23</t>
  </si>
  <si>
    <t>24</t>
  </si>
  <si>
    <t>25</t>
  </si>
  <si>
    <t>26</t>
  </si>
  <si>
    <t>27</t>
  </si>
  <si>
    <t>18</t>
  </si>
  <si>
    <t>30</t>
  </si>
  <si>
    <t>31</t>
  </si>
  <si>
    <t>32</t>
  </si>
  <si>
    <t>34</t>
  </si>
  <si>
    <t>35</t>
  </si>
  <si>
    <t>36</t>
  </si>
  <si>
    <t>37</t>
  </si>
  <si>
    <t>38</t>
  </si>
  <si>
    <t>40</t>
  </si>
  <si>
    <t>41</t>
  </si>
  <si>
    <t>42</t>
  </si>
  <si>
    <t>43</t>
  </si>
  <si>
    <t>45</t>
  </si>
  <si>
    <t>46</t>
  </si>
  <si>
    <t>47</t>
  </si>
  <si>
    <t>48</t>
  </si>
  <si>
    <t>49</t>
  </si>
  <si>
    <t>50</t>
  </si>
  <si>
    <t>51</t>
  </si>
  <si>
    <t>55</t>
  </si>
  <si>
    <t>56</t>
  </si>
  <si>
    <t>58</t>
  </si>
  <si>
    <t>39</t>
  </si>
  <si>
    <t>8</t>
  </si>
  <si>
    <t>9</t>
  </si>
  <si>
    <t>28</t>
  </si>
  <si>
    <t>29</t>
  </si>
  <si>
    <t>33</t>
  </si>
  <si>
    <t>44</t>
  </si>
  <si>
    <t>52</t>
  </si>
  <si>
    <t>53</t>
  </si>
  <si>
    <t>54</t>
  </si>
  <si>
    <t>57</t>
  </si>
  <si>
    <t>59</t>
  </si>
  <si>
    <t>房屋印花税</t>
  </si>
  <si>
    <t>60</t>
  </si>
  <si>
    <t>61</t>
  </si>
  <si>
    <t>62</t>
  </si>
  <si>
    <t>63</t>
  </si>
  <si>
    <t>64</t>
  </si>
  <si>
    <t>投资银行总部</t>
  </si>
  <si>
    <t>综合收益调整表</t>
  </si>
  <si>
    <t>调整科目</t>
  </si>
  <si>
    <t>六、综合收益调整项</t>
  </si>
  <si>
    <t>注：1、无对应调整部门的填为"其他"，如综合收益与跨期调整事项(总部中后台为与总部帐套调整事项,总部代付或总部分摊等）</t>
  </si>
  <si>
    <t>序号 证券公司</t>
  </si>
  <si>
    <t>当 月 成 交</t>
  </si>
  <si>
    <t>量 市 场 份</t>
  </si>
  <si>
    <t>额%</t>
  </si>
  <si>
    <t>当年累计</t>
  </si>
  <si>
    <t>成交量市</t>
  </si>
  <si>
    <t>场份额%</t>
  </si>
  <si>
    <t>华宝证券</t>
  </si>
  <si>
    <t>华安证券</t>
  </si>
  <si>
    <t>华泰证券</t>
  </si>
  <si>
    <t>东海证券</t>
  </si>
  <si>
    <t>海通证券</t>
  </si>
  <si>
    <t>华鑫证券</t>
  </si>
  <si>
    <t>广发证券</t>
  </si>
  <si>
    <t>东吴证券</t>
  </si>
  <si>
    <t>国泰君安</t>
  </si>
  <si>
    <t>华龙证券</t>
  </si>
  <si>
    <t>国信证券</t>
  </si>
  <si>
    <t>财富证券</t>
  </si>
  <si>
    <t>中信证券</t>
  </si>
  <si>
    <t>渤海证券</t>
  </si>
  <si>
    <t>中信建投</t>
  </si>
  <si>
    <t>民族证券</t>
  </si>
  <si>
    <t>招商证券</t>
  </si>
  <si>
    <t>南京证券</t>
  </si>
  <si>
    <t>安信证券</t>
  </si>
  <si>
    <t>万联证券</t>
  </si>
  <si>
    <t>中泰证券</t>
  </si>
  <si>
    <t>国都证券</t>
  </si>
  <si>
    <t>银河证券</t>
  </si>
  <si>
    <t>广州证券</t>
  </si>
  <si>
    <t>湘财证券</t>
  </si>
  <si>
    <t>华西证券</t>
  </si>
  <si>
    <t>新时代</t>
  </si>
  <si>
    <t>中航证券</t>
  </si>
  <si>
    <t>光大证券</t>
  </si>
  <si>
    <t>宏信证券</t>
  </si>
  <si>
    <t>申万宏源</t>
  </si>
  <si>
    <t>天风证券</t>
  </si>
  <si>
    <t>长江证券</t>
  </si>
  <si>
    <t>联讯证券</t>
  </si>
  <si>
    <t>国元证券</t>
  </si>
  <si>
    <t>华林证券</t>
  </si>
  <si>
    <t>申宏西部</t>
  </si>
  <si>
    <t>太平洋</t>
  </si>
  <si>
    <t>信达证券</t>
  </si>
  <si>
    <t>上海证券</t>
  </si>
  <si>
    <t>浙商证券</t>
  </si>
  <si>
    <t>恒泰证券</t>
  </si>
  <si>
    <t>第一创业</t>
  </si>
  <si>
    <t>世纪证券</t>
  </si>
  <si>
    <t>东北证券</t>
  </si>
  <si>
    <t>民生证券</t>
  </si>
  <si>
    <t>方正证券</t>
  </si>
  <si>
    <t>财达证券</t>
  </si>
  <si>
    <t>东方证券</t>
  </si>
  <si>
    <t>大通证券</t>
  </si>
  <si>
    <t>中国中投</t>
  </si>
  <si>
    <t>中山证券</t>
  </si>
  <si>
    <t>财通证券</t>
  </si>
  <si>
    <t>西部证券</t>
  </si>
  <si>
    <t>华福证券</t>
  </si>
  <si>
    <t>中天证券</t>
  </si>
  <si>
    <t>国海证券</t>
  </si>
  <si>
    <t>五矿证券</t>
  </si>
  <si>
    <t>长城证券</t>
  </si>
  <si>
    <t>国融证券</t>
  </si>
  <si>
    <t>西南证券</t>
  </si>
  <si>
    <t>华融证券</t>
  </si>
  <si>
    <t>国联证券</t>
  </si>
  <si>
    <t>英大证券</t>
  </si>
  <si>
    <t>中金公司</t>
  </si>
  <si>
    <t>金元证券</t>
  </si>
  <si>
    <t>大同证券</t>
  </si>
  <si>
    <t>平安证券</t>
  </si>
  <si>
    <t>红塔证券</t>
  </si>
  <si>
    <t>东兴证券</t>
  </si>
  <si>
    <t>银泰证券</t>
  </si>
  <si>
    <t>东莞证券</t>
  </si>
  <si>
    <t>中银国际</t>
  </si>
  <si>
    <t>中原证券</t>
  </si>
  <si>
    <t>国盛证券</t>
  </si>
  <si>
    <t>中信山东</t>
  </si>
  <si>
    <t>开源证券</t>
  </si>
  <si>
    <t>川财证券</t>
  </si>
  <si>
    <t>山西证券</t>
  </si>
  <si>
    <t>华创证券</t>
  </si>
  <si>
    <t>西藏东财</t>
  </si>
  <si>
    <t>国金证券</t>
  </si>
  <si>
    <t>江海证券</t>
  </si>
  <si>
    <t>号</t>
  </si>
  <si>
    <t>证券公司</t>
  </si>
  <si>
    <t>当</t>
  </si>
  <si>
    <t>月</t>
  </si>
  <si>
    <t>新</t>
  </si>
  <si>
    <t>增</t>
  </si>
  <si>
    <t>客</t>
  </si>
  <si>
    <t>户</t>
  </si>
  <si>
    <t>市</t>
  </si>
  <si>
    <t>场</t>
  </si>
  <si>
    <t>份额%</t>
  </si>
  <si>
    <t>兴业证券</t>
  </si>
  <si>
    <t>累计开户</t>
  </si>
  <si>
    <t>份</t>
  </si>
  <si>
    <t>8月累计数</t>
  </si>
  <si>
    <t>母公司合并</t>
  </si>
  <si>
    <t>经纪业务</t>
  </si>
  <si>
    <t>投行汇总</t>
  </si>
  <si>
    <t>深圳分公司</t>
  </si>
  <si>
    <t>浙分汇总</t>
  </si>
  <si>
    <t>公司领导</t>
  </si>
  <si>
    <t>董事会办公室</t>
  </si>
  <si>
    <t>办公室</t>
  </si>
  <si>
    <t>财务管理部</t>
  </si>
  <si>
    <t>资金运营部</t>
  </si>
  <si>
    <t>人力资源部</t>
  </si>
  <si>
    <t>北京办事处</t>
  </si>
  <si>
    <t>党群办</t>
  </si>
  <si>
    <t>合规法务部</t>
  </si>
  <si>
    <t>稽核审计部</t>
  </si>
  <si>
    <t>研究发展中心</t>
  </si>
  <si>
    <t>结算管理部</t>
  </si>
  <si>
    <t>信息技术中心</t>
  </si>
  <si>
    <t>外派人员</t>
  </si>
  <si>
    <t>总部交易</t>
  </si>
  <si>
    <t>风险管理部（深）</t>
  </si>
  <si>
    <t>金融工程部</t>
  </si>
  <si>
    <t>投资银行管理总部</t>
  </si>
  <si>
    <t>股权融资部</t>
  </si>
  <si>
    <t>浙江管理总部</t>
  </si>
  <si>
    <t>经纪业务总部</t>
  </si>
  <si>
    <t>零售业务部</t>
  </si>
  <si>
    <t>信用业务部</t>
  </si>
  <si>
    <t>机构业务部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</si>
  <si>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</si>
  <si>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</si>
  <si>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</si>
  <si>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</si>
  <si>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</si>
  <si>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</si>
  <si>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</si>
  <si>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</si>
  <si>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</si>
  <si>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</si>
  <si>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</si>
  <si>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</si>
  <si>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深圳红桂营业部</t>
  </si>
  <si>
    <t>深圳深南营业部</t>
  </si>
  <si>
    <t>吉首营业部</t>
  </si>
  <si>
    <t>张家界营业部</t>
  </si>
  <si>
    <t>株洲营业部</t>
  </si>
  <si>
    <t>衡阳营业部</t>
  </si>
  <si>
    <t>怀化营业部</t>
  </si>
  <si>
    <t>娄底营业部</t>
  </si>
  <si>
    <t>常德营业部</t>
  </si>
  <si>
    <t>湘潭芙蓉营业部</t>
  </si>
  <si>
    <t>长沙银盆营业部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</si>
  <si>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</si>
  <si>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</si>
  <si>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</si>
  <si>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</si>
  <si>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</si>
  <si>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</si>
  <si>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</si>
  <si>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</si>
  <si>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</si>
  <si>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</si>
  <si>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</si>
  <si>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</si>
  <si>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</si>
  <si>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</si>
  <si>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</si>
  <si>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</si>
  <si>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</si>
  <si>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福州营业部</t>
  </si>
  <si>
    <t>南京营业部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</si>
  <si>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</si>
  <si>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</si>
  <si>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</si>
  <si>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</si>
  <si>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</si>
  <si>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</si>
  <si>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</si>
  <si>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</si>
  <si>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</si>
  <si>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</si>
  <si>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</si>
  <si>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</si>
  <si>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</si>
  <si>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</si>
  <si>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</si>
  <si>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</si>
  <si>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</si>
  <si>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</si>
  <si>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</si>
  <si>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</si>
  <si>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8月本月数</t>
  </si>
  <si>
    <t>中后台合计</t>
  </si>
  <si>
    <r>
      <rPr>
        <sz val="11"/>
        <color theme="1"/>
        <rFont val="宋体"/>
        <family val="3"/>
        <charset val="134"/>
      </rPr>
      <t>1</t>
    </r>
    <r>
      <rPr>
        <sz val="11"/>
        <color theme="1"/>
        <rFont val="宋体"/>
        <family val="3"/>
        <charset val="134"/>
      </rPr>
      <t>-7月</t>
    </r>
  </si>
  <si>
    <t>投资银行四部</t>
    <phoneticPr fontId="36" type="noConversion"/>
  </si>
  <si>
    <t>社保费</t>
    <phoneticPr fontId="36" type="noConversion"/>
  </si>
  <si>
    <t>深圳管理部</t>
    <phoneticPr fontId="36" type="noConversion"/>
  </si>
  <si>
    <t>2018年1月</t>
    <phoneticPr fontId="36" type="noConversion"/>
  </si>
  <si>
    <t>五、费用调整项</t>
    <phoneticPr fontId="36" type="noConversion"/>
  </si>
  <si>
    <t>四、投保调整项</t>
    <phoneticPr fontId="36" type="noConversion"/>
  </si>
  <si>
    <t>三、税金调整项</t>
    <phoneticPr fontId="36" type="noConversion"/>
  </si>
  <si>
    <t>三、收入调整项</t>
    <phoneticPr fontId="36" type="noConversion"/>
  </si>
  <si>
    <t xml:space="preserve">      2、跨部门调整的需提前与调整部门沟通确认，一增一减。务必填写调整依据：如流程号或纸质签字件</t>
    <phoneticPr fontId="36" type="noConversion"/>
  </si>
  <si>
    <t xml:space="preserve">      3、请勿随意改动部门名称</t>
    <phoneticPr fontId="36" type="noConversion"/>
  </si>
  <si>
    <t xml:space="preserve">      4、报表正常的综合收益调整与产品综合收益部门间调整请分开，并注明事项及依据</t>
    <phoneticPr fontId="36" type="noConversion"/>
  </si>
  <si>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</si>
  <si>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</si>
  <si>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</si>
  <si>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</si>
  <si>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</si>
  <si>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</si>
  <si>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</si>
  <si>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</si>
  <si>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</si>
  <si>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</si>
  <si>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</si>
  <si>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</si>
  <si>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r>
      <t>7.</t>
    </r>
    <r>
      <rPr>
        <b/>
        <sz val="10"/>
        <rFont val="宋体"/>
        <family val="3"/>
        <charset val="134"/>
      </rPr>
      <t>资产处置收益</t>
    </r>
    <phoneticPr fontId="36" type="noConversion"/>
  </si>
  <si>
    <r>
      <t>8.</t>
    </r>
    <r>
      <rPr>
        <b/>
        <sz val="10"/>
        <rFont val="宋体"/>
        <family val="3"/>
        <charset val="134"/>
      </rPr>
      <t>其他收益</t>
    </r>
    <phoneticPr fontId="36" type="noConversion"/>
  </si>
  <si>
    <t>7.资产处置收益</t>
  </si>
  <si>
    <t>8.其他收益</t>
  </si>
  <si>
    <t>投资银行一部</t>
    <phoneticPr fontId="36" type="noConversion"/>
  </si>
  <si>
    <t>投资银行二部</t>
    <phoneticPr fontId="36" type="noConversion"/>
  </si>
  <si>
    <t>投资银行三部</t>
    <phoneticPr fontId="36" type="noConversion"/>
  </si>
  <si>
    <t>深分投资小计</t>
    <phoneticPr fontId="36" type="noConversion"/>
  </si>
  <si>
    <t>固收投资小计</t>
    <phoneticPr fontId="36" type="noConversion"/>
  </si>
  <si>
    <t>权益投资小计</t>
    <phoneticPr fontId="36" type="noConversion"/>
  </si>
  <si>
    <t>累计</t>
    <phoneticPr fontId="36" type="noConversion"/>
  </si>
  <si>
    <t>财富证券分业务</t>
    <phoneticPr fontId="36" type="noConversion"/>
  </si>
  <si>
    <t>深圳分公司</t>
    <phoneticPr fontId="36" type="noConversion"/>
  </si>
  <si>
    <t>投资银行部</t>
    <phoneticPr fontId="36" type="noConversion"/>
  </si>
  <si>
    <t>浙江分公司</t>
    <phoneticPr fontId="36" type="noConversion"/>
  </si>
  <si>
    <t>经纪业务</t>
    <phoneticPr fontId="36" type="noConversion"/>
  </si>
  <si>
    <t>证券营业部</t>
    <phoneticPr fontId="36" type="noConversion"/>
  </si>
  <si>
    <t>财富合并</t>
  </si>
  <si>
    <t>德盛</t>
  </si>
  <si>
    <t>惠和</t>
  </si>
  <si>
    <t>惠和基金</t>
    <phoneticPr fontId="36" type="noConversion"/>
  </si>
  <si>
    <t>集合</t>
  </si>
  <si>
    <t>合并抵销</t>
  </si>
  <si>
    <t>财富证券总部</t>
  </si>
  <si>
    <t>结算托管部</t>
  </si>
  <si>
    <t>投资银行部</t>
    <phoneticPr fontId="36" type="noConversion"/>
  </si>
  <si>
    <t>资管业务</t>
    <phoneticPr fontId="36" type="noConversion"/>
  </si>
  <si>
    <t>浙江分公司</t>
  </si>
  <si>
    <t>母公司抵消</t>
    <phoneticPr fontId="36" type="noConversion"/>
  </si>
  <si>
    <t>运营支持部</t>
    <phoneticPr fontId="36" type="noConversion"/>
  </si>
  <si>
    <t>固定收益投资部</t>
    <phoneticPr fontId="36" type="noConversion"/>
  </si>
  <si>
    <t>固定收益市场部</t>
    <phoneticPr fontId="36" type="noConversion"/>
  </si>
  <si>
    <t>投资银行管理部</t>
    <phoneticPr fontId="36" type="noConversion"/>
  </si>
  <si>
    <t>投资银行一部</t>
    <phoneticPr fontId="36" type="noConversion"/>
  </si>
  <si>
    <t>投资银行二部</t>
    <phoneticPr fontId="36" type="noConversion"/>
  </si>
  <si>
    <t>投资银行三部</t>
    <phoneticPr fontId="36" type="noConversion"/>
  </si>
  <si>
    <t>投资银行深圳一部</t>
  </si>
  <si>
    <t>金融产品部</t>
    <phoneticPr fontId="36" type="noConversion"/>
  </si>
  <si>
    <t>证券营业部</t>
  </si>
  <si>
    <t>深圳宝安南路营业部</t>
  </si>
  <si>
    <t>长沙观沙路营业部</t>
  </si>
  <si>
    <t>东莞营业部</t>
  </si>
  <si>
    <t>台州三门营业部</t>
  </si>
  <si>
    <t>杭州绍兴路营业部</t>
  </si>
  <si>
    <t>浙江长兴营业部</t>
  </si>
  <si>
    <t>温州苍南营业部</t>
  </si>
  <si>
    <t>天津武清营业部</t>
  </si>
  <si>
    <t>深圳罗湖营业部</t>
  </si>
  <si>
    <t>福建莆田营业部</t>
  </si>
  <si>
    <t>手续费及佣金净收入</t>
  </si>
  <si>
    <t>利息净收入</t>
  </si>
  <si>
    <t>投资收益</t>
    <phoneticPr fontId="36" type="noConversion"/>
  </si>
  <si>
    <t xml:space="preserve">   对联营企业和合营企业的投资收益</t>
    <phoneticPr fontId="36" type="noConversion"/>
  </si>
  <si>
    <t>公允价值变动收益</t>
    <phoneticPr fontId="36" type="noConversion"/>
  </si>
  <si>
    <t>汇兑收益（损失以"-"号填列）</t>
  </si>
  <si>
    <t>其他业务收入</t>
  </si>
  <si>
    <t>资产处置收益（亏损以“-”号填列）</t>
  </si>
  <si>
    <t>其他收益</t>
  </si>
  <si>
    <t>所得税费用</t>
    <phoneticPr fontId="36" type="noConversion"/>
  </si>
  <si>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</si>
  <si>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</si>
  <si>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</si>
  <si>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</si>
  <si>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</si>
  <si>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</si>
  <si>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</si>
  <si>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</si>
  <si>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</si>
  <si>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</si>
  <si>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</si>
  <si>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</si>
  <si>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</si>
  <si>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</si>
  <si>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</si>
  <si>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</si>
  <si>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</si>
  <si>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</si>
  <si>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</si>
  <si>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</si>
  <si>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</si>
  <si>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</si>
  <si>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</si>
  <si>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</si>
  <si>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资金运营部2906账户回购利息</t>
  </si>
  <si>
    <t>固收期货</t>
  </si>
  <si>
    <t>金衍期货</t>
  </si>
  <si>
    <t>资金运营部委托现金管理收入</t>
  </si>
  <si>
    <t>固收代资金运营部购买基金收入</t>
  </si>
  <si>
    <t>珠江8号收入划投顾部</t>
  </si>
  <si>
    <t>珠江10号收入划投顾部</t>
  </si>
  <si>
    <t>珠江16号收入划投顾部</t>
  </si>
  <si>
    <t>惠丰稳健22号收入50%给投顾部</t>
  </si>
  <si>
    <t>珠江6号收入划至曙光营业部</t>
  </si>
  <si>
    <t>BGS0108-20160470.管理费50%、交易费50%、业绩报酬90%归资管，其余归曙光路营业部</t>
  </si>
  <si>
    <t>已开发票尚未到账预提收入</t>
    <phoneticPr fontId="36" type="noConversion"/>
  </si>
  <si>
    <t>累计数</t>
  </si>
  <si>
    <t>验算</t>
    <phoneticPr fontId="36" type="noConversion"/>
  </si>
  <si>
    <t>资产托管部</t>
  </si>
  <si>
    <t>培训学院</t>
  </si>
  <si>
    <t>监事会</t>
  </si>
  <si>
    <t>投资银行</t>
  </si>
  <si>
    <t>母公司抵消</t>
  </si>
  <si>
    <t>金融产品部</t>
  </si>
  <si>
    <t>小计</t>
    <phoneticPr fontId="36" type="noConversion"/>
  </si>
  <si>
    <t>综合</t>
  </si>
  <si>
    <t>本月数</t>
    <phoneticPr fontId="36" type="noConversion"/>
  </si>
  <si>
    <t>综合</t>
    <phoneticPr fontId="36" type="noConversion"/>
  </si>
  <si>
    <t>合计</t>
    <phoneticPr fontId="36" type="noConversion"/>
  </si>
  <si>
    <t>财富</t>
  </si>
  <si>
    <t>经纪</t>
  </si>
  <si>
    <t>营业部</t>
  </si>
  <si>
    <t>深分</t>
  </si>
  <si>
    <t>浙分</t>
  </si>
  <si>
    <t>投行</t>
  </si>
  <si>
    <t>资管</t>
  </si>
  <si>
    <t>资产管理部</t>
    <phoneticPr fontId="36" type="noConversion"/>
  </si>
  <si>
    <t>综合收益</t>
    <phoneticPr fontId="36" type="noConversion"/>
  </si>
  <si>
    <t>楚天科技浮动盈亏</t>
    <phoneticPr fontId="36" type="noConversion"/>
  </si>
  <si>
    <t>财富3号20171225-20180425销售费用划营业部（见签字件）</t>
    <phoneticPr fontId="36" type="noConversion"/>
  </si>
  <si>
    <t>财富1号2017年12期陆金所、京东销售费用</t>
    <phoneticPr fontId="36" type="noConversion"/>
  </si>
  <si>
    <t>大业创智17年考核调减6644万，1月账面已冲回17747772.03元</t>
    <phoneticPr fontId="36" type="noConversion"/>
  </si>
  <si>
    <t>部门</t>
  </si>
  <si>
    <t>日均值</t>
  </si>
  <si>
    <t>固收条线小计</t>
  </si>
  <si>
    <t>权益条线小计</t>
  </si>
  <si>
    <t>深分小计</t>
  </si>
  <si>
    <t>资金成本</t>
    <phoneticPr fontId="36" type="noConversion"/>
  </si>
  <si>
    <t>扣除资金成本后综合收益总额</t>
    <phoneticPr fontId="36" type="noConversion"/>
  </si>
  <si>
    <t>固定收益投资部</t>
    <phoneticPr fontId="36" type="noConversion"/>
  </si>
  <si>
    <t>固定收益市场部</t>
    <phoneticPr fontId="36" type="noConversion"/>
  </si>
  <si>
    <t>固收产品投资部</t>
    <phoneticPr fontId="36" type="noConversion"/>
  </si>
  <si>
    <t>投顾业务部</t>
    <phoneticPr fontId="36" type="noConversion"/>
  </si>
  <si>
    <t>证券投资部</t>
    <phoneticPr fontId="36" type="noConversion"/>
  </si>
  <si>
    <t>量化产品投资部</t>
    <phoneticPr fontId="36" type="noConversion"/>
  </si>
  <si>
    <t>权益产品投资部</t>
    <phoneticPr fontId="36" type="noConversion"/>
  </si>
  <si>
    <t>做市业务部</t>
    <phoneticPr fontId="36" type="noConversion"/>
  </si>
  <si>
    <t>金融衍生品部</t>
    <phoneticPr fontId="36" type="noConversion"/>
  </si>
  <si>
    <t>经纪业务部</t>
    <phoneticPr fontId="36" type="noConversion"/>
  </si>
  <si>
    <t>资金验证：</t>
    <phoneticPr fontId="36" type="noConversion"/>
  </si>
  <si>
    <t>综合收益验证</t>
    <phoneticPr fontId="36" type="noConversion"/>
  </si>
  <si>
    <t>转融通利息调整</t>
  </si>
  <si>
    <t>1-12月累计IB分成利润</t>
    <phoneticPr fontId="36" type="noConversion"/>
  </si>
  <si>
    <t>资管调财富3号销售服务费入营业部收入，不调整投保和税</t>
    <phoneticPr fontId="36" type="noConversion"/>
  </si>
  <si>
    <t>不调整投保和税金</t>
    <phoneticPr fontId="36" type="noConversion"/>
  </si>
  <si>
    <t>不调整投保和税金</t>
    <phoneticPr fontId="36" type="noConversion"/>
  </si>
  <si>
    <t>呼叫中心费用转运营管理部</t>
    <phoneticPr fontId="36" type="noConversion"/>
  </si>
  <si>
    <t>经总折旧费分摊</t>
    <phoneticPr fontId="36" type="noConversion"/>
  </si>
  <si>
    <t>牌照费</t>
    <phoneticPr fontId="36" type="noConversion"/>
  </si>
  <si>
    <t>权益类</t>
    <phoneticPr fontId="36" type="noConversion"/>
  </si>
  <si>
    <t>固收类</t>
    <phoneticPr fontId="36" type="noConversion"/>
  </si>
  <si>
    <t>量化类</t>
    <phoneticPr fontId="36" type="noConversion"/>
  </si>
  <si>
    <t>管理费</t>
    <phoneticPr fontId="36" type="noConversion"/>
  </si>
  <si>
    <t>交易费率</t>
    <phoneticPr fontId="36" type="noConversion"/>
  </si>
  <si>
    <t>月份</t>
    <phoneticPr fontId="36" type="noConversion"/>
  </si>
  <si>
    <t>产品名称</t>
    <phoneticPr fontId="36" type="noConversion"/>
  </si>
  <si>
    <t>产品类型</t>
    <phoneticPr fontId="36" type="noConversion"/>
  </si>
  <si>
    <t>管理费</t>
    <phoneticPr fontId="36" type="noConversion"/>
  </si>
  <si>
    <t>佣金</t>
    <phoneticPr fontId="36" type="noConversion"/>
  </si>
  <si>
    <t>合计</t>
    <phoneticPr fontId="36" type="noConversion"/>
  </si>
  <si>
    <t>管理费收入</t>
    <phoneticPr fontId="36" type="noConversion"/>
  </si>
  <si>
    <t>佣金收入</t>
    <phoneticPr fontId="36" type="noConversion"/>
  </si>
  <si>
    <t>营业部代销</t>
    <phoneticPr fontId="36" type="noConversion"/>
  </si>
  <si>
    <t>成立月份</t>
    <phoneticPr fontId="36" type="noConversion"/>
  </si>
  <si>
    <t>管理总规模(月均)</t>
    <phoneticPr fontId="36" type="noConversion"/>
  </si>
  <si>
    <t>管理费费率（%）</t>
    <phoneticPr fontId="36" type="noConversion"/>
  </si>
  <si>
    <t>交易量</t>
    <phoneticPr fontId="36" type="noConversion"/>
  </si>
  <si>
    <t>佣金率（%）</t>
    <phoneticPr fontId="36" type="noConversion"/>
  </si>
  <si>
    <t>销售规模</t>
    <phoneticPr fontId="36" type="noConversion"/>
  </si>
  <si>
    <t>月均销售规模</t>
    <phoneticPr fontId="36" type="noConversion"/>
  </si>
  <si>
    <t>销售费率</t>
    <phoneticPr fontId="36" type="noConversion"/>
  </si>
  <si>
    <t>佣金率</t>
    <phoneticPr fontId="36" type="noConversion"/>
  </si>
  <si>
    <t>倍数</t>
    <phoneticPr fontId="36" type="noConversion"/>
  </si>
  <si>
    <t>销售占比</t>
    <phoneticPr fontId="36" type="noConversion"/>
  </si>
  <si>
    <t>收入合计</t>
    <phoneticPr fontId="36" type="noConversion"/>
  </si>
  <si>
    <t>广誉远</t>
    <phoneticPr fontId="36" type="noConversion"/>
  </si>
  <si>
    <t>权益产品</t>
  </si>
  <si>
    <t>星城8号</t>
    <phoneticPr fontId="36" type="noConversion"/>
  </si>
  <si>
    <t>皇庭云投</t>
    <phoneticPr fontId="36" type="noConversion"/>
  </si>
  <si>
    <t>星城6号</t>
    <phoneticPr fontId="36" type="noConversion"/>
  </si>
  <si>
    <t>财富100</t>
    <phoneticPr fontId="45" type="noConversion"/>
  </si>
  <si>
    <t>星城10号</t>
    <phoneticPr fontId="36" type="noConversion"/>
  </si>
  <si>
    <t>运通61号</t>
    <phoneticPr fontId="36" type="noConversion"/>
  </si>
  <si>
    <t>运通77号</t>
    <phoneticPr fontId="36" type="noConversion"/>
  </si>
  <si>
    <t>运通18号</t>
    <phoneticPr fontId="36" type="noConversion"/>
  </si>
  <si>
    <t>中国优质1号</t>
    <phoneticPr fontId="36" type="noConversion"/>
  </si>
  <si>
    <t>权益产品部小计</t>
    <phoneticPr fontId="36" type="noConversion"/>
  </si>
  <si>
    <t>财富1号</t>
  </si>
  <si>
    <t>固收产品</t>
  </si>
  <si>
    <t>惠丰6号</t>
  </si>
  <si>
    <t>财富2号</t>
  </si>
  <si>
    <t>佣金收入30%、业绩报酬的20%</t>
    <phoneticPr fontId="36" type="noConversion"/>
  </si>
  <si>
    <t>财富3号</t>
  </si>
  <si>
    <t>惠丰稳健22号</t>
  </si>
  <si>
    <t>珠江6号</t>
  </si>
  <si>
    <t>固收产品部小计</t>
    <phoneticPr fontId="36" type="noConversion"/>
  </si>
  <si>
    <t>珠江8号</t>
  </si>
  <si>
    <t>珠江10号</t>
  </si>
  <si>
    <t>珠江16号</t>
  </si>
  <si>
    <t>投顾部小计</t>
    <phoneticPr fontId="36" type="noConversion"/>
  </si>
  <si>
    <t>和金量化2号</t>
  </si>
  <si>
    <t>量化产品</t>
  </si>
  <si>
    <t>和金量化7号</t>
  </si>
  <si>
    <t>和畅量化1号</t>
  </si>
  <si>
    <t>佣金收入的100%、业绩报酬的20%</t>
    <phoneticPr fontId="36" type="noConversion"/>
  </si>
  <si>
    <t>和金量化8号</t>
  </si>
  <si>
    <t>量化产品</t>
    <phoneticPr fontId="36" type="noConversion"/>
  </si>
  <si>
    <t>和金量化9号</t>
  </si>
  <si>
    <t>和金量化10号</t>
  </si>
  <si>
    <t>和金量化1号</t>
  </si>
  <si>
    <t>和金量化11号</t>
    <phoneticPr fontId="36" type="noConversion"/>
  </si>
  <si>
    <t>珠池12号</t>
  </si>
  <si>
    <t>量化产品部小计</t>
    <phoneticPr fontId="36" type="noConversion"/>
  </si>
  <si>
    <t>管理牌照费收费标准</t>
    <phoneticPr fontId="36" type="noConversion"/>
  </si>
  <si>
    <t>投资类型</t>
  </si>
  <si>
    <t>管理费</t>
  </si>
  <si>
    <t>交易费率</t>
  </si>
  <si>
    <t>三、条线汇总</t>
  </si>
  <si>
    <t>权益类</t>
  </si>
  <si>
    <t>日均规模</t>
  </si>
  <si>
    <t>管理牌照费</t>
  </si>
  <si>
    <t>固定收益类</t>
  </si>
  <si>
    <t>权益产品部</t>
  </si>
  <si>
    <t>量化类</t>
  </si>
  <si>
    <t>量化产品部</t>
  </si>
  <si>
    <t>权益条线</t>
  </si>
  <si>
    <t>一、自营部门</t>
  </si>
  <si>
    <t>固收市场部</t>
  </si>
  <si>
    <t>日均资金</t>
  </si>
  <si>
    <t>交易量</t>
  </si>
  <si>
    <t>佣金</t>
  </si>
  <si>
    <t>固收投资部</t>
  </si>
  <si>
    <t>固收产品部</t>
  </si>
  <si>
    <t>固收条线</t>
  </si>
  <si>
    <t>金融衍生品</t>
  </si>
  <si>
    <t>深分条线</t>
  </si>
  <si>
    <t>二、资管产品</t>
    <phoneticPr fontId="36" type="noConversion"/>
  </si>
  <si>
    <t>管理费+佣金（公司）</t>
    <phoneticPr fontId="36" type="noConversion"/>
  </si>
  <si>
    <t>三、核算到投资经理的自营部门</t>
    <phoneticPr fontId="36" type="noConversion"/>
  </si>
  <si>
    <t>证投</t>
    <phoneticPr fontId="36" type="noConversion"/>
  </si>
  <si>
    <t>账户/持有人</t>
    <phoneticPr fontId="36" type="noConversion"/>
  </si>
  <si>
    <t>日均资产</t>
    <phoneticPr fontId="36" type="noConversion"/>
  </si>
  <si>
    <t>证投部</t>
  </si>
  <si>
    <t>蒋朋宸</t>
    <phoneticPr fontId="36" type="noConversion"/>
  </si>
  <si>
    <t>蒋永翔</t>
    <phoneticPr fontId="36" type="noConversion"/>
  </si>
  <si>
    <t>秦涛</t>
    <phoneticPr fontId="36" type="noConversion"/>
  </si>
  <si>
    <t>谌谆</t>
    <phoneticPr fontId="36" type="noConversion"/>
  </si>
  <si>
    <t>张伟</t>
    <phoneticPr fontId="36" type="noConversion"/>
  </si>
  <si>
    <t>朱凯</t>
    <phoneticPr fontId="36" type="noConversion"/>
  </si>
  <si>
    <t>刘军云</t>
    <phoneticPr fontId="36" type="noConversion"/>
  </si>
  <si>
    <t>求和</t>
  </si>
  <si>
    <t>差额</t>
    <phoneticPr fontId="36" type="noConversion"/>
  </si>
  <si>
    <t>部门合计（财务统计）</t>
    <phoneticPr fontId="36" type="noConversion"/>
  </si>
  <si>
    <t>金融衍生品</t>
    <phoneticPr fontId="36" type="noConversion"/>
  </si>
  <si>
    <t>大类</t>
    <phoneticPr fontId="36" type="noConversion"/>
  </si>
  <si>
    <t>考核单元</t>
    <phoneticPr fontId="36" type="noConversion"/>
  </si>
  <si>
    <t>日均占用</t>
    <phoneticPr fontId="36" type="noConversion"/>
  </si>
  <si>
    <t>牌照费合计</t>
    <phoneticPr fontId="36" type="noConversion"/>
  </si>
  <si>
    <t>资本中介业务</t>
    <phoneticPr fontId="36" type="noConversion"/>
  </si>
  <si>
    <t>场外衍生品业务</t>
    <phoneticPr fontId="36" type="noConversion"/>
  </si>
  <si>
    <t>期权做市业务</t>
    <phoneticPr fontId="36" type="noConversion"/>
  </si>
  <si>
    <t>投资业务</t>
    <phoneticPr fontId="36" type="noConversion"/>
  </si>
  <si>
    <t>朱幂</t>
    <phoneticPr fontId="36" type="noConversion"/>
  </si>
  <si>
    <t>燕志鹏</t>
    <phoneticPr fontId="36" type="noConversion"/>
  </si>
  <si>
    <t>已离职(不收费）</t>
    <phoneticPr fontId="36" type="noConversion"/>
  </si>
  <si>
    <t>李峰</t>
    <phoneticPr fontId="36" type="noConversion"/>
  </si>
  <si>
    <t>部门合计</t>
    <phoneticPr fontId="36" type="noConversion"/>
  </si>
  <si>
    <t>管理费用收入</t>
    <phoneticPr fontId="36" type="noConversion"/>
  </si>
  <si>
    <t>产品名称</t>
    <phoneticPr fontId="36" type="noConversion"/>
  </si>
  <si>
    <t>固收产品部小计</t>
    <phoneticPr fontId="36" type="noConversion"/>
  </si>
  <si>
    <t>投顾部小计</t>
    <phoneticPr fontId="36" type="noConversion"/>
  </si>
  <si>
    <t>量化产品</t>
    <phoneticPr fontId="36" type="noConversion"/>
  </si>
  <si>
    <t>和金量化11号</t>
    <phoneticPr fontId="36" type="noConversion"/>
  </si>
  <si>
    <t>量化产品部小计</t>
    <phoneticPr fontId="36" type="noConversion"/>
  </si>
  <si>
    <t>合计</t>
    <phoneticPr fontId="36" type="noConversion"/>
  </si>
  <si>
    <t>佣金收入</t>
    <phoneticPr fontId="36" type="noConversion"/>
  </si>
  <si>
    <t>交易量</t>
    <phoneticPr fontId="36" type="noConversion"/>
  </si>
  <si>
    <t>规模管理费（每月用）</t>
    <phoneticPr fontId="36" type="noConversion"/>
  </si>
  <si>
    <t>合计(每季用）</t>
    <phoneticPr fontId="36" type="noConversion"/>
  </si>
  <si>
    <t>管理费+佣金（每季用）</t>
    <phoneticPr fontId="36" type="noConversion"/>
  </si>
  <si>
    <t>总部业务招待费分摊费用转出</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</si>
</sst>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 #,##0_ ;_ * \-#,##0_ ;_ * &quot;-&quot;_ ;_ @_ "/>
    <numFmt numFmtId="43" formatCode="_ * #,##0.00_ ;_ * \-#,##0.00_ ;_ * &quot;-&quot;??_ ;_ @_ "/>
    <numFmt numFmtId="176" formatCode="_ &quot;￥&quot;* #,##0_ ;_ &quot;￥&quot;* \-#,##0_ ;_ &quot;￥&quot;* &quot;-&quot;_ ;_ @_ "/>
    <numFmt numFmtId="177" formatCode="0.00_ "/>
    <numFmt numFmtId="178" formatCode="0_ "/>
    <numFmt numFmtId="179" formatCode="_ * #,##0.0000_ ;_ * \-#,##0.0000_ ;_ * &quot;-&quot;_ ;_ @_ "/>
    <numFmt numFmtId="180" formatCode="_-* #,##0.00_-;\-* #,##0.00_-;_-* &quot;-&quot;??_-;_-@_-"/>
    <numFmt numFmtId="181" formatCode="#,##0.00_ "/>
    <numFmt numFmtId="182" formatCode="0_);[Red]\(0\)"/>
    <numFmt numFmtId="183" formatCode="0.00_);[Red]\(0.00\)"/>
    <numFmt numFmtId="184" formatCode="_-* #,##0.0_-;\-* #,##0.0_-;_-* &quot;-&quot;??_-;_-@_-"/>
    <numFmt numFmtId="185" formatCode="0.000%"/>
    <numFmt numFmtId="186" formatCode="0.0%"/>
    <numFmt numFmtId="187" formatCode="0.0_ "/>
    <numFmt numFmtId="188" formatCode="#,##0_ "/>
    <numFmt numFmtId="189" formatCode="0.0"/>
    <numFmt numFmtId="190" formatCode="#,##0_);[Red]\(#,##0\)"/>
    <numFmt numFmtId="191" formatCode="000000"/>
    <numFmt numFmtId="192" formatCode="0.00000_ "/>
  </numFmts>
  <fonts count="56">
    <font>
      <sz val="11"/>
      <color theme="1"/>
      <name val="宋体"/>
      <charset val="134"/>
      <scheme val="minor"/>
    </font>
    <font>
      <sz val="9"/>
      <color theme="1"/>
      <name val="宋体"/>
      <family val="3"/>
      <charset val="134"/>
      <scheme val="minor"/>
    </font>
    <font>
      <sz val="10"/>
      <color theme="1"/>
      <name val="宋体"/>
      <family val="3"/>
      <charset val="134"/>
      <scheme val="minor"/>
    </font>
    <font>
      <b/>
      <sz val="9"/>
      <name val="宋体"/>
      <family val="3"/>
      <charset val="134"/>
      <scheme val="minor"/>
    </font>
    <font>
      <sz val="10"/>
      <name val="仿宋_GB2312"/>
      <charset val="134"/>
    </font>
    <font>
      <sz val="10"/>
      <name val="Times New Roman"/>
      <family val="1"/>
    </font>
    <font>
      <b/>
      <sz val="10"/>
      <color indexed="8"/>
      <name val="Times New Roman"/>
      <family val="1"/>
    </font>
    <font>
      <b/>
      <sz val="10"/>
      <name val="仿宋_GB2312"/>
      <charset val="134"/>
    </font>
    <font>
      <b/>
      <sz val="10"/>
      <name val="宋体"/>
      <family val="3"/>
      <charset val="134"/>
      <scheme val="minor"/>
    </font>
    <font>
      <sz val="11"/>
      <color theme="1"/>
      <name val="宋体"/>
      <family val="3"/>
      <charset val="134"/>
      <scheme val="minor"/>
    </font>
    <font>
      <b/>
      <sz val="10"/>
      <color theme="1"/>
      <name val="宋体"/>
      <family val="3"/>
      <charset val="134"/>
      <scheme val="minor"/>
    </font>
    <font>
      <b/>
      <sz val="10"/>
      <name val="Times New Roman"/>
      <family val="1"/>
    </font>
    <font>
      <sz val="10"/>
      <color theme="1"/>
      <name val="仿宋_GB2312"/>
      <charset val="134"/>
    </font>
    <font>
      <b/>
      <sz val="10"/>
      <name val="宋体"/>
      <family val="3"/>
      <charset val="134"/>
    </font>
    <font>
      <sz val="10"/>
      <name val="宋体"/>
      <family val="3"/>
      <charset val="134"/>
    </font>
    <font>
      <b/>
      <sz val="11"/>
      <color theme="1"/>
      <name val="宋体"/>
      <family val="3"/>
      <charset val="134"/>
      <scheme val="minor"/>
    </font>
    <font>
      <sz val="10"/>
      <name val="微软雅黑"/>
      <family val="2"/>
      <charset val="134"/>
    </font>
    <font>
      <sz val="10"/>
      <color theme="1"/>
      <name val="微软雅黑"/>
      <family val="2"/>
      <charset val="134"/>
    </font>
    <font>
      <sz val="10"/>
      <color rgb="FFC00000"/>
      <name val="微软雅黑"/>
      <family val="2"/>
      <charset val="134"/>
    </font>
    <font>
      <sz val="10"/>
      <color rgb="FFC00000"/>
      <name val="Times New Roman"/>
      <family val="1"/>
    </font>
    <font>
      <sz val="12"/>
      <name val="微软雅黑"/>
      <family val="2"/>
      <charset val="134"/>
    </font>
    <font>
      <sz val="12"/>
      <color rgb="FFC00000"/>
      <name val="微软雅黑"/>
      <family val="2"/>
      <charset val="134"/>
    </font>
    <font>
      <sz val="14"/>
      <name val="微软雅黑"/>
      <family val="2"/>
      <charset val="134"/>
    </font>
    <font>
      <sz val="10"/>
      <color rgb="FFFF0000"/>
      <name val="微软雅黑"/>
      <family val="2"/>
      <charset val="134"/>
    </font>
    <font>
      <sz val="10"/>
      <color rgb="FF000000"/>
      <name val="微软雅黑"/>
      <family val="2"/>
      <charset val="134"/>
    </font>
    <font>
      <b/>
      <i/>
      <sz val="10"/>
      <color rgb="FFFF0000"/>
      <name val="微软雅黑"/>
      <family val="2"/>
      <charset val="134"/>
    </font>
    <font>
      <b/>
      <sz val="12"/>
      <name val="仿宋"/>
      <family val="3"/>
      <charset val="134"/>
    </font>
    <font>
      <sz val="10"/>
      <name val="宋体"/>
      <family val="3"/>
      <charset val="134"/>
      <scheme val="minor"/>
    </font>
    <font>
      <sz val="11"/>
      <name val="宋体"/>
      <family val="3"/>
      <charset val="134"/>
      <scheme val="minor"/>
    </font>
    <font>
      <b/>
      <sz val="11"/>
      <name val="宋体"/>
      <family val="3"/>
      <charset val="134"/>
      <scheme val="minor"/>
    </font>
    <font>
      <b/>
      <sz val="10"/>
      <color rgb="FF000000"/>
      <name val="Times New Roman"/>
      <family val="1"/>
    </font>
    <font>
      <b/>
      <sz val="10"/>
      <color rgb="FF000000"/>
      <name val="宋体"/>
      <family val="3"/>
      <charset val="134"/>
      <scheme val="minor"/>
    </font>
    <font>
      <sz val="12"/>
      <name val="宋体"/>
      <family val="3"/>
      <charset val="134"/>
    </font>
    <font>
      <sz val="11"/>
      <color theme="1"/>
      <name val="宋体"/>
      <family val="3"/>
      <charset val="134"/>
    </font>
    <font>
      <b/>
      <sz val="9"/>
      <name val="宋体"/>
      <family val="3"/>
      <charset val="134"/>
    </font>
    <font>
      <sz val="9"/>
      <name val="宋体"/>
      <family val="3"/>
      <charset val="134"/>
    </font>
    <font>
      <sz val="9"/>
      <name val="宋体"/>
      <family val="3"/>
      <charset val="134"/>
      <scheme val="minor"/>
    </font>
    <font>
      <sz val="10"/>
      <color rgb="FF000000"/>
      <name val="宋体"/>
      <family val="3"/>
      <charset val="134"/>
      <scheme val="minor"/>
    </font>
    <font>
      <sz val="10"/>
      <color theme="1"/>
      <name val="仿宋"/>
      <family val="3"/>
      <charset val="134"/>
    </font>
    <font>
      <sz val="10"/>
      <name val="仿宋"/>
      <family val="3"/>
      <charset val="134"/>
    </font>
    <font>
      <sz val="10"/>
      <color indexed="8"/>
      <name val="仿宋"/>
      <family val="3"/>
      <charset val="134"/>
    </font>
    <font>
      <b/>
      <sz val="10"/>
      <color theme="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9"/>
      <name val="宋体"/>
      <family val="2"/>
      <charset val="134"/>
      <scheme val="minor"/>
    </font>
    <font>
      <sz val="11"/>
      <color rgb="FFFF0000"/>
      <name val="微软雅黑"/>
      <family val="2"/>
      <charset val="134"/>
    </font>
    <font>
      <b/>
      <sz val="11"/>
      <color theme="1"/>
      <name val="微软雅黑"/>
      <family val="2"/>
      <charset val="134"/>
    </font>
    <font>
      <b/>
      <sz val="12"/>
      <color theme="1"/>
      <name val="微软雅黑"/>
      <family val="2"/>
      <charset val="134"/>
    </font>
    <font>
      <sz val="9"/>
      <color indexed="81"/>
      <name val="宋体"/>
      <family val="3"/>
      <charset val="134"/>
    </font>
    <font>
      <b/>
      <sz val="9"/>
      <color indexed="81"/>
      <name val="宋体"/>
      <family val="3"/>
      <charset val="134"/>
    </font>
    <font>
      <b/>
      <sz val="11"/>
      <color theme="0"/>
      <name val="宋体"/>
      <family val="3"/>
      <charset val="134"/>
      <scheme val="minor"/>
    </font>
    <font>
      <sz val="11"/>
      <name val="微软雅黑"/>
      <family val="2"/>
      <charset val="134"/>
    </font>
    <font>
      <b/>
      <sz val="12"/>
      <name val="微软雅黑"/>
      <family val="2"/>
      <charset val="134"/>
    </font>
    <font>
      <b/>
      <sz val="10"/>
      <name val="微软雅黑"/>
      <family val="2"/>
      <charset val="134"/>
    </font>
    <font>
      <b/>
      <sz val="10"/>
      <color theme="1"/>
      <name val="微软雅黑"/>
      <family val="2"/>
      <charset val="134"/>
    </font>
  </fonts>
  <fills count="24">
    <fill>
      <patternFill patternType="none"/>
    </fill>
    <fill>
      <patternFill patternType="gray125"/>
    </fill>
    <fill>
      <patternFill patternType="solid">
        <fgColor indexed="44"/>
        <bgColor indexed="64"/>
      </patternFill>
    </fill>
    <fill>
      <patternFill patternType="solid">
        <fgColor indexed="65"/>
        <bgColor indexed="64"/>
      </patternFill>
    </fill>
    <fill>
      <patternFill patternType="solid">
        <fgColor theme="5" tint="0.79964598529007846"/>
        <bgColor indexed="64"/>
      </patternFill>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rgb="FFFFC000"/>
        <bgColor indexed="64"/>
      </patternFill>
    </fill>
    <fill>
      <patternFill patternType="solid">
        <fgColor theme="8" tint="0.59999389629810485"/>
        <bgColor indexed="64"/>
      </patternFill>
    </fill>
    <fill>
      <patternFill patternType="solid">
        <fgColor rgb="FFC0C0C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4"/>
        <bgColor indexed="64"/>
      </patternFill>
    </fill>
    <fill>
      <patternFill patternType="solid">
        <fgColor theme="0" tint="-4.9989318521683403E-2"/>
        <bgColor indexed="64"/>
      </patternFill>
    </fill>
    <fill>
      <patternFill patternType="solid">
        <fgColor indexed="9"/>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51">
    <border>
      <left/>
      <right/>
      <top/>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style="hair">
        <color indexed="12"/>
      </left>
      <right style="hair">
        <color indexed="12"/>
      </right>
      <top style="hair">
        <color indexed="12"/>
      </top>
      <bottom/>
      <diagonal/>
    </border>
    <border>
      <left style="hair">
        <color indexed="12"/>
      </left>
      <right/>
      <top style="hair">
        <color indexed="12"/>
      </top>
      <bottom style="hair">
        <color indexed="12"/>
      </bottom>
      <diagonal/>
    </border>
    <border>
      <left style="dotted">
        <color theme="4" tint="0.59999389629810485"/>
      </left>
      <right style="dotted">
        <color theme="4" tint="0.59999389629810485"/>
      </right>
      <top style="dotted">
        <color theme="4" tint="0.59999389629810485"/>
      </top>
      <bottom style="dotted">
        <color theme="4" tint="0.59999389629810485"/>
      </bottom>
      <diagonal/>
    </border>
    <border>
      <left style="hair">
        <color indexed="12"/>
      </left>
      <right/>
      <top style="hair">
        <color indexed="12"/>
      </top>
      <bottom style="medium">
        <color indexed="12"/>
      </bottom>
      <diagonal/>
    </border>
    <border>
      <left/>
      <right style="hair">
        <color indexed="12"/>
      </right>
      <top style="hair">
        <color indexed="12"/>
      </top>
      <bottom style="hair">
        <color indexed="12"/>
      </bottom>
      <diagonal/>
    </border>
    <border>
      <left/>
      <right style="hair">
        <color auto="1"/>
      </right>
      <top style="hair">
        <color auto="1"/>
      </top>
      <bottom style="hair">
        <color auto="1"/>
      </bottom>
      <diagonal/>
    </border>
    <border>
      <left/>
      <right style="hair">
        <color indexed="12"/>
      </right>
      <top style="hair">
        <color indexed="12"/>
      </top>
      <bottom style="medium">
        <color indexed="12"/>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medium">
        <color auto="1"/>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auto="1"/>
      </right>
      <top style="hair">
        <color auto="1"/>
      </top>
      <bottom/>
      <diagonal/>
    </border>
    <border>
      <left style="hair">
        <color indexed="64"/>
      </left>
      <right style="hair">
        <color indexed="64"/>
      </right>
      <top style="hair">
        <color indexed="64"/>
      </top>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right/>
      <top style="medium">
        <color auto="1"/>
      </top>
      <bottom style="medium">
        <color auto="1"/>
      </bottom>
      <diagonal/>
    </border>
    <border>
      <left style="hair">
        <color auto="1"/>
      </left>
      <right style="hair">
        <color auto="1"/>
      </right>
      <top/>
      <bottom style="hair">
        <color auto="1"/>
      </bottom>
      <diagonal/>
    </border>
    <border>
      <left/>
      <right/>
      <top style="medium">
        <color auto="1"/>
      </top>
      <bottom style="hair">
        <color auto="1"/>
      </bottom>
      <diagonal/>
    </border>
    <border>
      <left style="hair">
        <color auto="1"/>
      </left>
      <right/>
      <top style="hair">
        <color auto="1"/>
      </top>
      <bottom style="hair">
        <color auto="1"/>
      </bottom>
      <diagonal/>
    </border>
    <border>
      <left style="hair">
        <color indexed="12"/>
      </left>
      <right style="hair">
        <color indexed="12"/>
      </right>
      <top style="hair">
        <color indexed="12"/>
      </top>
      <bottom style="hair">
        <color indexed="12"/>
      </bottom>
      <diagonal/>
    </border>
    <border>
      <left style="hair">
        <color rgb="FF0000FF"/>
      </left>
      <right style="hair">
        <color rgb="FF0000FF"/>
      </right>
      <top/>
      <bottom style="hair">
        <color rgb="FF0000FF"/>
      </bottom>
      <diagonal/>
    </border>
    <border>
      <left style="thin">
        <color indexed="64"/>
      </left>
      <right style="thin">
        <color indexed="64"/>
      </right>
      <top style="thin">
        <color indexed="64"/>
      </top>
      <bottom style="thin">
        <color indexed="64"/>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style="dotted">
        <color auto="1"/>
      </right>
      <top/>
      <bottom style="dotted">
        <color auto="1"/>
      </bottom>
      <diagonal/>
    </border>
    <border>
      <left style="thin">
        <color auto="1"/>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alignment vertical="center"/>
    </xf>
    <xf numFmtId="180" fontId="9" fillId="0" borderId="0" applyFont="0" applyFill="0" applyBorder="0" applyAlignment="0" applyProtection="0">
      <alignment vertical="center"/>
    </xf>
    <xf numFmtId="9" fontId="9" fillId="0" borderId="0" applyFont="0" applyFill="0" applyBorder="0" applyAlignment="0" applyProtection="0">
      <alignment vertical="center"/>
    </xf>
    <xf numFmtId="176" fontId="32" fillId="0" borderId="0" applyFont="0" applyFill="0" applyBorder="0" applyAlignment="0" applyProtection="0"/>
    <xf numFmtId="0" fontId="32" fillId="0" borderId="0"/>
  </cellStyleXfs>
  <cellXfs count="469">
    <xf numFmtId="0" fontId="0" fillId="0" borderId="0" xfId="0">
      <alignment vertical="center"/>
    </xf>
    <xf numFmtId="41" fontId="1" fillId="0" borderId="0" xfId="0" applyNumberFormat="1" applyFont="1">
      <alignment vertical="center"/>
    </xf>
    <xf numFmtId="41" fontId="0" fillId="0" borderId="0" xfId="0" applyNumberFormat="1">
      <alignment vertical="center"/>
    </xf>
    <xf numFmtId="0" fontId="2" fillId="0" borderId="0" xfId="0" applyFont="1">
      <alignment vertical="center"/>
    </xf>
    <xf numFmtId="41" fontId="3" fillId="2" borderId="1" xfId="3" applyNumberFormat="1" applyFont="1" applyFill="1" applyBorder="1" applyAlignment="1">
      <alignment horizontal="center" vertical="center"/>
    </xf>
    <xf numFmtId="41" fontId="3" fillId="2" borderId="2" xfId="3" applyNumberFormat="1" applyFont="1" applyFill="1" applyBorder="1" applyAlignment="1">
      <alignment horizontal="center" vertical="center"/>
    </xf>
    <xf numFmtId="178" fontId="3" fillId="2" borderId="1" xfId="3" applyNumberFormat="1" applyFont="1" applyFill="1" applyBorder="1" applyAlignment="1" applyProtection="1">
      <alignment horizontal="center" vertical="center"/>
      <protection locked="0"/>
    </xf>
    <xf numFmtId="41" fontId="4" fillId="0" borderId="4" xfId="1" applyNumberFormat="1" applyFont="1" applyFill="1" applyBorder="1" applyAlignment="1">
      <alignment horizontal="left" vertical="center"/>
    </xf>
    <xf numFmtId="43" fontId="5" fillId="3" borderId="4" xfId="1" applyNumberFormat="1" applyFont="1" applyFill="1" applyBorder="1" applyAlignment="1" applyProtection="1"/>
    <xf numFmtId="41" fontId="5" fillId="3" borderId="4" xfId="1" applyNumberFormat="1" applyFont="1" applyFill="1" applyBorder="1" applyAlignment="1" applyProtection="1"/>
    <xf numFmtId="41" fontId="6" fillId="2" borderId="4" xfId="1" applyNumberFormat="1" applyFont="1" applyFill="1" applyBorder="1" applyAlignment="1" applyProtection="1">
      <alignment horizontal="right" wrapText="1"/>
    </xf>
    <xf numFmtId="41" fontId="4" fillId="0" borderId="4" xfId="1" applyNumberFormat="1" applyFont="1" applyBorder="1" applyAlignment="1">
      <alignment horizontal="left" vertical="center" wrapText="1"/>
    </xf>
    <xf numFmtId="41" fontId="7" fillId="2" borderId="4" xfId="1" applyNumberFormat="1" applyFont="1" applyFill="1" applyBorder="1" applyAlignment="1" applyProtection="1">
      <alignment horizontal="left" vertical="center"/>
    </xf>
    <xf numFmtId="41" fontId="6" fillId="2" borderId="4" xfId="1" applyNumberFormat="1" applyFont="1" applyFill="1" applyBorder="1" applyAlignment="1" applyProtection="1">
      <alignment horizontal="center" wrapText="1"/>
    </xf>
    <xf numFmtId="41" fontId="7" fillId="2" borderId="7" xfId="1" applyNumberFormat="1" applyFont="1" applyFill="1" applyBorder="1" applyAlignment="1">
      <alignment horizontal="left" vertical="center"/>
    </xf>
    <xf numFmtId="41" fontId="7" fillId="2" borderId="8" xfId="1" applyNumberFormat="1" applyFont="1" applyFill="1" applyBorder="1" applyAlignment="1">
      <alignment horizontal="left" vertical="center"/>
    </xf>
    <xf numFmtId="41" fontId="7" fillId="2" borderId="7" xfId="1" applyNumberFormat="1" applyFont="1" applyFill="1" applyBorder="1" applyAlignment="1" applyProtection="1">
      <alignment horizontal="left" vertical="center"/>
    </xf>
    <xf numFmtId="41" fontId="8" fillId="2" borderId="1" xfId="3" applyNumberFormat="1" applyFont="1" applyFill="1" applyBorder="1" applyAlignment="1">
      <alignment horizontal="center" vertical="center"/>
    </xf>
    <xf numFmtId="41" fontId="8" fillId="2" borderId="2" xfId="3" applyNumberFormat="1" applyFont="1" applyFill="1" applyBorder="1" applyAlignment="1">
      <alignment horizontal="center" vertical="center"/>
    </xf>
    <xf numFmtId="178" fontId="8" fillId="2" borderId="1" xfId="3" applyNumberFormat="1" applyFont="1" applyFill="1" applyBorder="1" applyAlignment="1" applyProtection="1">
      <alignment horizontal="center" vertical="center"/>
      <protection locked="0"/>
    </xf>
    <xf numFmtId="58" fontId="9" fillId="0" borderId="0" xfId="0" applyNumberFormat="1" applyFont="1">
      <alignment vertical="center"/>
    </xf>
    <xf numFmtId="41" fontId="4" fillId="0" borderId="9" xfId="1" applyNumberFormat="1" applyFont="1" applyFill="1" applyBorder="1" applyAlignment="1">
      <alignment horizontal="left" vertical="center"/>
    </xf>
    <xf numFmtId="43" fontId="2" fillId="0" borderId="10" xfId="0" applyNumberFormat="1" applyFont="1" applyBorder="1">
      <alignment vertical="center"/>
    </xf>
    <xf numFmtId="178" fontId="3" fillId="4" borderId="1" xfId="3" applyNumberFormat="1" applyFont="1" applyFill="1" applyBorder="1" applyAlignment="1" applyProtection="1">
      <alignment horizontal="center" vertical="center"/>
      <protection locked="0"/>
    </xf>
    <xf numFmtId="178" fontId="8" fillId="4" borderId="1" xfId="3" applyNumberFormat="1" applyFont="1" applyFill="1" applyBorder="1" applyAlignment="1" applyProtection="1">
      <alignment horizontal="center" vertical="center"/>
      <protection locked="0"/>
    </xf>
    <xf numFmtId="43" fontId="2" fillId="0" borderId="0" xfId="0" applyNumberFormat="1" applyFont="1">
      <alignment vertical="center"/>
    </xf>
    <xf numFmtId="41" fontId="4" fillId="0" borderId="9" xfId="1" applyNumberFormat="1" applyFont="1" applyBorder="1" applyAlignment="1">
      <alignment horizontal="left" vertical="center" wrapText="1"/>
    </xf>
    <xf numFmtId="41" fontId="7" fillId="2" borderId="11" xfId="1" applyNumberFormat="1" applyFont="1" applyFill="1" applyBorder="1" applyAlignment="1">
      <alignment horizontal="left" vertical="center"/>
    </xf>
    <xf numFmtId="43" fontId="0" fillId="0" borderId="0" xfId="0" applyNumberFormat="1">
      <alignment vertical="center"/>
    </xf>
    <xf numFmtId="178" fontId="10" fillId="5" borderId="0" xfId="0" applyNumberFormat="1" applyFont="1" applyFill="1" applyAlignment="1" applyProtection="1">
      <alignment horizontal="center" vertical="center"/>
      <protection locked="0"/>
    </xf>
    <xf numFmtId="178" fontId="6" fillId="6" borderId="4" xfId="2" applyNumberFormat="1" applyFont="1" applyFill="1" applyBorder="1" applyAlignment="1" applyProtection="1">
      <alignment horizontal="center" wrapText="1"/>
      <protection hidden="1"/>
    </xf>
    <xf numFmtId="178" fontId="9" fillId="6" borderId="4" xfId="2" applyNumberFormat="1" applyFont="1" applyFill="1" applyBorder="1" applyAlignment="1" applyProtection="1">
      <alignment horizontal="center" wrapText="1"/>
      <protection hidden="1"/>
    </xf>
    <xf numFmtId="178" fontId="11" fillId="3" borderId="12" xfId="0" applyNumberFormat="1" applyFont="1" applyFill="1" applyBorder="1" applyAlignment="1" applyProtection="1">
      <alignment horizontal="center"/>
      <protection hidden="1"/>
    </xf>
    <xf numFmtId="178" fontId="5" fillId="3" borderId="12" xfId="0" applyNumberFormat="1" applyFont="1" applyFill="1" applyBorder="1" applyAlignment="1" applyProtection="1">
      <alignment horizontal="center"/>
      <protection hidden="1"/>
    </xf>
    <xf numFmtId="178" fontId="12" fillId="0" borderId="13" xfId="0" applyNumberFormat="1" applyFont="1" applyBorder="1" applyAlignment="1" applyProtection="1">
      <alignment horizontal="center" vertical="center"/>
      <protection hidden="1"/>
    </xf>
    <xf numFmtId="178" fontId="13" fillId="6" borderId="12" xfId="0" applyNumberFormat="1" applyFont="1" applyFill="1" applyBorder="1" applyAlignment="1" applyProtection="1">
      <alignment horizontal="center"/>
      <protection hidden="1"/>
    </xf>
    <xf numFmtId="178" fontId="14" fillId="6" borderId="12" xfId="0" applyNumberFormat="1" applyFont="1" applyFill="1" applyBorder="1" applyAlignment="1" applyProtection="1">
      <alignment horizontal="center"/>
      <protection hidden="1"/>
    </xf>
    <xf numFmtId="178" fontId="13" fillId="7" borderId="3" xfId="0" applyNumberFormat="1" applyFont="1" applyFill="1" applyBorder="1" applyAlignment="1" applyProtection="1">
      <alignment horizontal="center"/>
      <protection hidden="1"/>
    </xf>
    <xf numFmtId="178" fontId="14" fillId="7" borderId="3" xfId="0" applyNumberFormat="1" applyFont="1" applyFill="1" applyBorder="1" applyAlignment="1" applyProtection="1">
      <alignment horizontal="center"/>
      <protection hidden="1"/>
    </xf>
    <xf numFmtId="178" fontId="13" fillId="2" borderId="14" xfId="0" applyNumberFormat="1" applyFont="1" applyFill="1" applyBorder="1" applyAlignment="1" applyProtection="1">
      <alignment horizontal="center"/>
      <protection hidden="1"/>
    </xf>
    <xf numFmtId="178" fontId="14" fillId="2" borderId="14" xfId="0" applyNumberFormat="1" applyFont="1" applyFill="1" applyBorder="1" applyAlignment="1" applyProtection="1">
      <alignment horizontal="center"/>
      <protection hidden="1"/>
    </xf>
    <xf numFmtId="178" fontId="0" fillId="0" borderId="0" xfId="0" applyNumberFormat="1" applyAlignment="1" applyProtection="1">
      <alignment horizontal="center" vertical="center"/>
      <protection locked="0"/>
    </xf>
    <xf numFmtId="178" fontId="0" fillId="0" borderId="0" xfId="0" applyNumberFormat="1" applyFont="1" applyAlignment="1" applyProtection="1">
      <alignment horizontal="center" vertical="center"/>
      <protection locked="0"/>
    </xf>
    <xf numFmtId="178" fontId="13" fillId="6" borderId="12" xfId="0" applyNumberFormat="1" applyFont="1" applyFill="1" applyBorder="1" applyAlignment="1" applyProtection="1">
      <alignment horizontal="center"/>
      <protection locked="0"/>
    </xf>
    <xf numFmtId="178" fontId="14" fillId="6" borderId="12" xfId="0" applyNumberFormat="1" applyFont="1" applyFill="1" applyBorder="1" applyAlignment="1" applyProtection="1">
      <alignment horizontal="center"/>
      <protection locked="0"/>
    </xf>
    <xf numFmtId="178" fontId="13" fillId="2" borderId="14" xfId="0" applyNumberFormat="1" applyFont="1" applyFill="1" applyBorder="1" applyAlignment="1" applyProtection="1">
      <alignment horizontal="center"/>
      <protection locked="0"/>
    </xf>
    <xf numFmtId="178" fontId="14" fillId="2" borderId="14" xfId="0" applyNumberFormat="1" applyFont="1" applyFill="1" applyBorder="1" applyAlignment="1" applyProtection="1">
      <alignment horizontal="center"/>
      <protection locked="0"/>
    </xf>
    <xf numFmtId="41" fontId="15" fillId="8" borderId="0" xfId="0" applyNumberFormat="1" applyFont="1" applyFill="1">
      <alignment vertical="center"/>
    </xf>
    <xf numFmtId="43" fontId="4" fillId="0" borderId="13" xfId="1" applyNumberFormat="1" applyFont="1" applyBorder="1" applyAlignment="1">
      <alignment horizontal="center"/>
    </xf>
    <xf numFmtId="43" fontId="5" fillId="0" borderId="4" xfId="1" applyNumberFormat="1" applyFont="1" applyFill="1" applyBorder="1" applyAlignment="1" applyProtection="1"/>
    <xf numFmtId="177" fontId="5" fillId="3" borderId="12" xfId="0" applyNumberFormat="1" applyFont="1" applyFill="1" applyBorder="1" applyAlignment="1" applyProtection="1">
      <alignment horizontal="center"/>
      <protection hidden="1"/>
    </xf>
    <xf numFmtId="41" fontId="9" fillId="0" borderId="0" xfId="0" applyNumberFormat="1" applyFont="1">
      <alignment vertical="center"/>
    </xf>
    <xf numFmtId="43" fontId="4" fillId="9" borderId="0" xfId="1" applyNumberFormat="1" applyFont="1" applyFill="1" applyAlignment="1">
      <alignment horizontal="right"/>
    </xf>
    <xf numFmtId="43" fontId="4" fillId="0" borderId="0" xfId="1" applyNumberFormat="1" applyFont="1" applyAlignment="1">
      <alignment horizontal="center"/>
    </xf>
    <xf numFmtId="43" fontId="4" fillId="0" borderId="0" xfId="1" applyNumberFormat="1" applyFont="1" applyAlignment="1">
      <alignment horizontal="right"/>
    </xf>
    <xf numFmtId="43" fontId="4" fillId="0" borderId="15" xfId="1" applyNumberFormat="1" applyFont="1" applyBorder="1" applyAlignment="1">
      <alignment horizontal="right"/>
    </xf>
    <xf numFmtId="43" fontId="4" fillId="0" borderId="16" xfId="1" applyNumberFormat="1" applyFont="1" applyBorder="1" applyAlignment="1">
      <alignment horizontal="right" vertical="center" wrapText="1"/>
    </xf>
    <xf numFmtId="181" fontId="12" fillId="0" borderId="16" xfId="0" applyNumberFormat="1" applyFont="1" applyBorder="1" applyAlignment="1">
      <alignment horizontal="right" vertical="center"/>
    </xf>
    <xf numFmtId="43" fontId="4" fillId="0" borderId="16" xfId="1" applyNumberFormat="1" applyFont="1" applyBorder="1" applyAlignment="1">
      <alignment horizontal="center"/>
    </xf>
    <xf numFmtId="43" fontId="4" fillId="0" borderId="17" xfId="1" applyNumberFormat="1" applyFont="1" applyBorder="1" applyAlignment="1">
      <alignment horizontal="right"/>
    </xf>
    <xf numFmtId="43" fontId="4" fillId="9" borderId="13" xfId="1" applyNumberFormat="1" applyFont="1" applyFill="1" applyBorder="1" applyAlignment="1">
      <alignment horizontal="center"/>
    </xf>
    <xf numFmtId="43" fontId="4" fillId="9" borderId="17" xfId="1" applyNumberFormat="1" applyFont="1" applyFill="1" applyBorder="1" applyAlignment="1">
      <alignment horizontal="right"/>
    </xf>
    <xf numFmtId="43" fontId="4" fillId="9" borderId="18" xfId="1" applyNumberFormat="1" applyFont="1" applyFill="1" applyBorder="1" applyAlignment="1">
      <alignment horizontal="center"/>
    </xf>
    <xf numFmtId="43" fontId="4" fillId="9" borderId="19" xfId="1" applyNumberFormat="1" applyFont="1" applyFill="1" applyBorder="1" applyAlignment="1">
      <alignment horizontal="right"/>
    </xf>
    <xf numFmtId="43" fontId="4" fillId="0" borderId="16" xfId="1" applyNumberFormat="1" applyFont="1" applyBorder="1" applyAlignment="1">
      <alignment horizontal="right"/>
    </xf>
    <xf numFmtId="43" fontId="4" fillId="0" borderId="20" xfId="1" applyNumberFormat="1" applyFont="1" applyBorder="1" applyAlignment="1">
      <alignment horizontal="right"/>
    </xf>
    <xf numFmtId="43" fontId="4" fillId="9" borderId="21" xfId="1" applyNumberFormat="1" applyFont="1" applyFill="1" applyBorder="1" applyAlignment="1">
      <alignment horizontal="right"/>
    </xf>
    <xf numFmtId="43" fontId="4" fillId="9" borderId="22" xfId="1" applyNumberFormat="1" applyFont="1" applyFill="1" applyBorder="1" applyAlignment="1">
      <alignment horizontal="right"/>
    </xf>
    <xf numFmtId="43" fontId="4" fillId="0" borderId="21" xfId="1" applyNumberFormat="1" applyFont="1" applyBorder="1" applyAlignment="1">
      <alignment horizontal="right"/>
    </xf>
    <xf numFmtId="0" fontId="15" fillId="0" borderId="0" xfId="0" applyFont="1">
      <alignment vertical="center"/>
    </xf>
    <xf numFmtId="0" fontId="0" fillId="0" borderId="0" xfId="0" applyAlignment="1">
      <alignment horizontal="center" vertical="center"/>
    </xf>
    <xf numFmtId="180" fontId="16" fillId="0" borderId="0" xfId="1" applyNumberFormat="1" applyFont="1" applyFill="1" applyBorder="1" applyAlignment="1" applyProtection="1">
      <protection locked="0"/>
    </xf>
    <xf numFmtId="41" fontId="26" fillId="0" borderId="0" xfId="0" applyNumberFormat="1" applyFont="1">
      <alignment vertical="center"/>
    </xf>
    <xf numFmtId="41" fontId="27" fillId="0" borderId="0" xfId="0" applyNumberFormat="1" applyFont="1">
      <alignment vertical="center"/>
    </xf>
    <xf numFmtId="41" fontId="28" fillId="0" borderId="0" xfId="0" applyNumberFormat="1" applyFont="1">
      <alignment vertical="center"/>
    </xf>
    <xf numFmtId="41" fontId="28" fillId="0" borderId="0" xfId="0" applyNumberFormat="1" applyFont="1" applyAlignment="1">
      <alignment horizontal="center" vertical="center"/>
    </xf>
    <xf numFmtId="41" fontId="26" fillId="0" borderId="0" xfId="0" applyNumberFormat="1" applyFont="1" applyAlignment="1">
      <alignment horizontal="left" vertical="center"/>
    </xf>
    <xf numFmtId="41" fontId="26" fillId="0" borderId="0" xfId="0" applyNumberFormat="1" applyFont="1" applyAlignment="1">
      <alignment horizontal="center" vertical="center"/>
    </xf>
    <xf numFmtId="41" fontId="28" fillId="7" borderId="0" xfId="0" applyNumberFormat="1" applyFont="1" applyFill="1">
      <alignment vertical="center"/>
    </xf>
    <xf numFmtId="41" fontId="29" fillId="8" borderId="0" xfId="0" applyNumberFormat="1" applyFont="1" applyFill="1">
      <alignment vertical="center"/>
    </xf>
    <xf numFmtId="41" fontId="27" fillId="7" borderId="0" xfId="0" applyNumberFormat="1" applyFont="1" applyFill="1">
      <alignment vertical="center"/>
    </xf>
    <xf numFmtId="180" fontId="5" fillId="3" borderId="4" xfId="1" applyFont="1" applyFill="1" applyBorder="1" applyAlignment="1">
      <alignment horizontal="center"/>
    </xf>
    <xf numFmtId="180" fontId="5" fillId="3" borderId="4" xfId="1" applyFont="1" applyFill="1" applyBorder="1" applyAlignment="1"/>
    <xf numFmtId="180" fontId="11" fillId="2" borderId="4" xfId="1" applyFont="1" applyFill="1" applyBorder="1" applyAlignment="1">
      <alignment horizontal="center" wrapText="1"/>
    </xf>
    <xf numFmtId="43" fontId="4" fillId="0" borderId="4" xfId="1" applyNumberFormat="1" applyFont="1" applyFill="1" applyBorder="1" applyAlignment="1">
      <alignment horizontal="center" vertical="center"/>
    </xf>
    <xf numFmtId="43" fontId="4" fillId="2" borderId="4" xfId="1" applyNumberFormat="1" applyFont="1" applyFill="1" applyBorder="1" applyAlignment="1">
      <alignment horizontal="center" vertical="center"/>
    </xf>
    <xf numFmtId="43" fontId="7" fillId="2" borderId="7" xfId="1" applyNumberFormat="1" applyFont="1" applyFill="1" applyBorder="1" applyAlignment="1">
      <alignment horizontal="center" vertical="center"/>
    </xf>
    <xf numFmtId="41" fontId="29" fillId="5" borderId="0" xfId="0" applyNumberFormat="1" applyFont="1" applyFill="1">
      <alignment vertical="center"/>
    </xf>
    <xf numFmtId="41" fontId="5" fillId="3" borderId="4" xfId="1" applyNumberFormat="1" applyFont="1" applyFill="1" applyBorder="1" applyAlignment="1"/>
    <xf numFmtId="41" fontId="28" fillId="0" borderId="0" xfId="0" applyNumberFormat="1" applyFont="1" applyFill="1">
      <alignment vertical="center"/>
    </xf>
    <xf numFmtId="41" fontId="28" fillId="7" borderId="0" xfId="0" applyNumberFormat="1" applyFont="1" applyFill="1" applyAlignment="1">
      <alignment horizontal="center" vertical="center"/>
    </xf>
    <xf numFmtId="41" fontId="5" fillId="3" borderId="4" xfId="1" applyNumberFormat="1" applyFont="1" applyFill="1" applyBorder="1" applyAlignment="1">
      <alignment horizontal="center"/>
    </xf>
    <xf numFmtId="41" fontId="11" fillId="2" borderId="4" xfId="1" applyNumberFormat="1" applyFont="1" applyFill="1" applyBorder="1" applyAlignment="1" applyProtection="1">
      <alignment horizontal="right" wrapText="1"/>
    </xf>
    <xf numFmtId="41" fontId="11" fillId="2" borderId="4" xfId="1" applyNumberFormat="1" applyFont="1" applyFill="1" applyBorder="1" applyAlignment="1" applyProtection="1">
      <alignment horizontal="center" wrapText="1"/>
    </xf>
    <xf numFmtId="179" fontId="28" fillId="0" borderId="0" xfId="0" applyNumberFormat="1" applyFont="1">
      <alignment vertical="center"/>
    </xf>
    <xf numFmtId="41" fontId="4" fillId="8" borderId="0" xfId="1" applyNumberFormat="1" applyFont="1" applyFill="1" applyBorder="1" applyAlignment="1">
      <alignment horizontal="left" vertical="center" wrapText="1"/>
    </xf>
    <xf numFmtId="178" fontId="28" fillId="0" borderId="0" xfId="0" applyNumberFormat="1" applyFont="1" applyAlignment="1" applyProtection="1">
      <alignment horizontal="center" vertical="center"/>
      <protection locked="0"/>
    </xf>
    <xf numFmtId="178" fontId="27" fillId="0" borderId="0" xfId="0" applyNumberFormat="1" applyFont="1" applyAlignment="1" applyProtection="1">
      <alignment horizontal="center" vertical="center"/>
      <protection locked="0"/>
    </xf>
    <xf numFmtId="178" fontId="28" fillId="0" borderId="0" xfId="0" applyNumberFormat="1" applyFont="1" applyAlignment="1" applyProtection="1">
      <alignment horizontal="center" vertical="center"/>
      <protection hidden="1"/>
    </xf>
    <xf numFmtId="0" fontId="28" fillId="5" borderId="0" xfId="0" applyFont="1" applyFill="1" applyAlignment="1" applyProtection="1">
      <alignment horizontal="center" vertical="center"/>
      <protection locked="0"/>
    </xf>
    <xf numFmtId="0" fontId="28" fillId="0" borderId="0" xfId="0" applyFont="1" applyAlignment="1" applyProtection="1">
      <alignment horizontal="center" vertical="center"/>
      <protection locked="0"/>
    </xf>
    <xf numFmtId="0" fontId="27" fillId="7" borderId="0" xfId="0" applyFont="1" applyFill="1" applyProtection="1">
      <alignment vertical="center"/>
      <protection locked="0"/>
    </xf>
    <xf numFmtId="0" fontId="28" fillId="7" borderId="0" xfId="0" applyFont="1" applyFill="1" applyAlignment="1" applyProtection="1">
      <alignment horizontal="center" vertical="center"/>
      <protection locked="0"/>
    </xf>
    <xf numFmtId="178" fontId="28" fillId="7" borderId="0" xfId="0" applyNumberFormat="1" applyFont="1" applyFill="1" applyAlignment="1" applyProtection="1">
      <alignment horizontal="center" vertical="center"/>
      <protection locked="0"/>
    </xf>
    <xf numFmtId="10" fontId="28" fillId="5" borderId="0" xfId="0" applyNumberFormat="1" applyFont="1" applyFill="1" applyAlignment="1" applyProtection="1">
      <alignment horizontal="center" vertical="center"/>
      <protection locked="0"/>
    </xf>
    <xf numFmtId="178" fontId="27" fillId="0" borderId="0" xfId="0" applyNumberFormat="1" applyFont="1" applyAlignment="1" applyProtection="1">
      <alignment vertical="center"/>
      <protection locked="0"/>
    </xf>
    <xf numFmtId="178" fontId="27" fillId="11" borderId="0" xfId="0" applyNumberFormat="1" applyFont="1" applyFill="1" applyAlignment="1" applyProtection="1">
      <alignment vertical="center"/>
      <protection locked="0"/>
    </xf>
    <xf numFmtId="178" fontId="27" fillId="0" borderId="0" xfId="0" applyNumberFormat="1" applyFont="1" applyFill="1" applyAlignment="1" applyProtection="1">
      <alignment vertical="center"/>
      <protection locked="0"/>
    </xf>
    <xf numFmtId="178" fontId="28" fillId="7" borderId="0" xfId="0" applyNumberFormat="1" applyFont="1" applyFill="1" applyAlignment="1" applyProtection="1">
      <alignment vertical="center"/>
      <protection locked="0"/>
    </xf>
    <xf numFmtId="178" fontId="11" fillId="6" borderId="4" xfId="2" applyNumberFormat="1" applyFont="1" applyFill="1" applyBorder="1" applyAlignment="1" applyProtection="1">
      <alignment vertical="center" wrapText="1"/>
      <protection hidden="1"/>
    </xf>
    <xf numFmtId="178" fontId="11" fillId="3" borderId="12" xfId="0" applyNumberFormat="1" applyFont="1" applyFill="1" applyBorder="1" applyAlignment="1" applyProtection="1">
      <alignment vertical="center"/>
      <protection hidden="1"/>
    </xf>
    <xf numFmtId="178" fontId="5" fillId="3" borderId="12" xfId="0" applyNumberFormat="1" applyFont="1" applyFill="1" applyBorder="1" applyAlignment="1" applyProtection="1">
      <alignment vertical="center"/>
      <protection hidden="1"/>
    </xf>
    <xf numFmtId="178" fontId="13" fillId="6" borderId="12" xfId="0" applyNumberFormat="1" applyFont="1" applyFill="1" applyBorder="1" applyAlignment="1" applyProtection="1">
      <alignment vertical="center"/>
      <protection hidden="1"/>
    </xf>
    <xf numFmtId="178" fontId="29" fillId="7" borderId="0" xfId="0" applyNumberFormat="1" applyFont="1" applyFill="1" applyAlignment="1" applyProtection="1">
      <alignment horizontal="center" vertical="center"/>
      <protection locked="0"/>
    </xf>
    <xf numFmtId="43" fontId="28" fillId="0" borderId="0" xfId="0" applyNumberFormat="1" applyFont="1" applyAlignment="1" applyProtection="1">
      <alignment horizontal="center" vertical="center"/>
      <protection locked="0"/>
    </xf>
    <xf numFmtId="180" fontId="16" fillId="0" borderId="0" xfId="0" applyNumberFormat="1" applyFont="1" applyFill="1" applyBorder="1" applyAlignment="1" applyProtection="1">
      <alignment horizontal="left"/>
      <protection locked="0"/>
    </xf>
    <xf numFmtId="49" fontId="16" fillId="0" borderId="0" xfId="1" applyNumberFormat="1" applyFont="1" applyFill="1" applyBorder="1" applyAlignment="1" applyProtection="1">
      <protection locked="0"/>
    </xf>
    <xf numFmtId="0" fontId="16" fillId="0" borderId="0" xfId="0" applyFont="1" applyFill="1" applyBorder="1" applyProtection="1">
      <alignment vertical="center"/>
      <protection locked="0"/>
    </xf>
    <xf numFmtId="0" fontId="16" fillId="0" borderId="0" xfId="0" applyFont="1" applyFill="1" applyBorder="1" applyAlignment="1" applyProtection="1">
      <alignment horizontal="left"/>
      <protection locked="0"/>
    </xf>
    <xf numFmtId="180" fontId="16" fillId="0" borderId="0" xfId="0" applyNumberFormat="1" applyFont="1" applyFill="1" applyBorder="1" applyAlignment="1" applyProtection="1">
      <protection locked="0"/>
    </xf>
    <xf numFmtId="180" fontId="18" fillId="0" borderId="0" xfId="0" applyNumberFormat="1" applyFont="1" applyFill="1" applyBorder="1" applyAlignment="1" applyProtection="1">
      <alignment horizontal="left"/>
      <protection locked="0"/>
    </xf>
    <xf numFmtId="0" fontId="18" fillId="0" borderId="0" xfId="0" applyFont="1" applyFill="1" applyBorder="1" applyProtection="1">
      <alignment vertical="center"/>
      <protection locked="0"/>
    </xf>
    <xf numFmtId="49" fontId="16" fillId="0" borderId="0" xfId="0" applyNumberFormat="1" applyFont="1" applyFill="1" applyBorder="1" applyAlignment="1" applyProtection="1">
      <alignment vertical="center"/>
      <protection locked="0"/>
    </xf>
    <xf numFmtId="183" fontId="16" fillId="0" borderId="0" xfId="0" applyNumberFormat="1" applyFont="1" applyFill="1" applyBorder="1" applyAlignment="1" applyProtection="1">
      <alignment vertical="center"/>
      <protection locked="0"/>
    </xf>
    <xf numFmtId="49" fontId="16" fillId="0" borderId="0" xfId="0" applyNumberFormat="1" applyFont="1" applyFill="1" applyBorder="1" applyProtection="1">
      <alignment vertical="center"/>
      <protection locked="0"/>
    </xf>
    <xf numFmtId="49" fontId="18" fillId="0" borderId="0" xfId="0" applyNumberFormat="1" applyFont="1" applyFill="1" applyBorder="1" applyProtection="1">
      <alignment vertical="center"/>
      <protection locked="0"/>
    </xf>
    <xf numFmtId="0" fontId="16" fillId="0" borderId="0" xfId="0" applyFont="1" applyFill="1" applyBorder="1" applyAlignment="1" applyProtection="1">
      <alignment horizontal="left" vertical="center"/>
      <protection locked="0"/>
    </xf>
    <xf numFmtId="49" fontId="19" fillId="0" borderId="0" xfId="0" applyNumberFormat="1" applyFont="1" applyFill="1" applyBorder="1" applyProtection="1">
      <alignment vertical="center"/>
      <protection locked="0"/>
    </xf>
    <xf numFmtId="49" fontId="20" fillId="0" borderId="0" xfId="0" applyNumberFormat="1" applyFont="1" applyFill="1" applyBorder="1" applyAlignment="1" applyProtection="1">
      <alignment vertical="center"/>
      <protection locked="0"/>
    </xf>
    <xf numFmtId="49" fontId="21" fillId="0" borderId="0" xfId="0" applyNumberFormat="1" applyFont="1" applyFill="1" applyBorder="1" applyAlignment="1" applyProtection="1">
      <alignment vertical="center"/>
      <protection locked="0"/>
    </xf>
    <xf numFmtId="183" fontId="20" fillId="0" borderId="0" xfId="0" applyNumberFormat="1" applyFont="1" applyFill="1" applyBorder="1" applyAlignment="1" applyProtection="1">
      <alignment vertical="center"/>
      <protection locked="0"/>
    </xf>
    <xf numFmtId="183" fontId="18" fillId="0" borderId="0" xfId="0" applyNumberFormat="1" applyFont="1" applyFill="1" applyBorder="1" applyProtection="1">
      <alignment vertical="center"/>
      <protection locked="0"/>
    </xf>
    <xf numFmtId="43" fontId="16" fillId="0" borderId="0" xfId="0" applyNumberFormat="1" applyFont="1" applyFill="1" applyBorder="1" applyAlignment="1" applyProtection="1">
      <alignment vertical="center"/>
      <protection locked="0"/>
    </xf>
    <xf numFmtId="177" fontId="16" fillId="0" borderId="0" xfId="0" applyNumberFormat="1" applyFont="1" applyFill="1" applyBorder="1" applyAlignment="1" applyProtection="1">
      <alignment vertical="center"/>
      <protection locked="0"/>
    </xf>
    <xf numFmtId="49" fontId="17" fillId="0" borderId="0" xfId="0" applyNumberFormat="1" applyFont="1" applyFill="1" applyBorder="1" applyAlignment="1" applyProtection="1">
      <alignment vertical="center"/>
      <protection locked="0"/>
    </xf>
    <xf numFmtId="183" fontId="17" fillId="0" borderId="0" xfId="0" applyNumberFormat="1" applyFont="1" applyFill="1" applyBorder="1" applyAlignment="1" applyProtection="1">
      <alignment vertical="center"/>
      <protection locked="0"/>
    </xf>
    <xf numFmtId="0" fontId="17" fillId="0" borderId="0" xfId="0" applyFont="1" applyFill="1" applyBorder="1" applyProtection="1">
      <alignment vertical="center"/>
      <protection locked="0"/>
    </xf>
    <xf numFmtId="0" fontId="17" fillId="0" borderId="0" xfId="0" applyFont="1" applyFill="1" applyBorder="1">
      <alignment vertical="center"/>
    </xf>
    <xf numFmtId="181" fontId="17" fillId="0" borderId="0" xfId="0" applyNumberFormat="1" applyFont="1" applyFill="1" applyBorder="1" applyAlignment="1" applyProtection="1">
      <alignment vertical="center"/>
      <protection locked="0"/>
    </xf>
    <xf numFmtId="0" fontId="9" fillId="0" borderId="0" xfId="0" applyFont="1" applyFill="1" applyBorder="1">
      <alignment vertical="center"/>
    </xf>
    <xf numFmtId="180" fontId="18" fillId="0" borderId="0" xfId="1" applyFont="1" applyFill="1" applyBorder="1" applyAlignment="1" applyProtection="1">
      <alignment horizontal="right" vertical="center"/>
      <protection locked="0"/>
    </xf>
    <xf numFmtId="180" fontId="16" fillId="0" borderId="0" xfId="0" applyNumberFormat="1" applyFont="1" applyFill="1" applyBorder="1" applyProtection="1">
      <alignment vertical="center"/>
      <protection locked="0"/>
    </xf>
    <xf numFmtId="49" fontId="18" fillId="0" borderId="0" xfId="0" applyNumberFormat="1" applyFont="1" applyFill="1" applyBorder="1" applyAlignment="1" applyProtection="1">
      <alignment vertical="center"/>
      <protection locked="0"/>
    </xf>
    <xf numFmtId="43" fontId="16" fillId="0" borderId="0" xfId="3" applyNumberFormat="1" applyFont="1" applyFill="1" applyBorder="1" applyAlignment="1" applyProtection="1">
      <alignment horizontal="center" vertical="center"/>
      <protection locked="0"/>
    </xf>
    <xf numFmtId="9" fontId="16" fillId="0" borderId="0" xfId="2" applyFont="1" applyFill="1" applyBorder="1" applyAlignment="1" applyProtection="1">
      <alignment horizontal="left" wrapText="1"/>
      <protection locked="0"/>
    </xf>
    <xf numFmtId="182" fontId="18" fillId="0" borderId="0" xfId="2" applyNumberFormat="1" applyFont="1" applyFill="1" applyBorder="1" applyAlignment="1" applyProtection="1">
      <alignment horizontal="left" wrapText="1"/>
      <protection locked="0"/>
    </xf>
    <xf numFmtId="182" fontId="16" fillId="0" borderId="0" xfId="2" applyNumberFormat="1" applyFont="1" applyFill="1" applyBorder="1" applyAlignment="1" applyProtection="1">
      <alignment horizontal="left" wrapText="1"/>
      <protection locked="0"/>
    </xf>
    <xf numFmtId="180" fontId="18" fillId="0" borderId="0" xfId="0" applyNumberFormat="1" applyFont="1" applyFill="1" applyBorder="1" applyAlignment="1" applyProtection="1">
      <protection locked="0"/>
    </xf>
    <xf numFmtId="180" fontId="23" fillId="0" borderId="0" xfId="1" applyNumberFormat="1" applyFont="1" applyFill="1" applyBorder="1" applyAlignment="1" applyProtection="1">
      <protection locked="0"/>
    </xf>
    <xf numFmtId="180" fontId="24" fillId="0" borderId="0" xfId="0" applyNumberFormat="1" applyFont="1" applyFill="1" applyBorder="1" applyAlignment="1" applyProtection="1">
      <alignment wrapText="1"/>
      <protection locked="0"/>
    </xf>
    <xf numFmtId="180" fontId="16" fillId="0" borderId="0" xfId="1" applyNumberFormat="1" applyFont="1" applyFill="1" applyBorder="1" applyAlignment="1" applyProtection="1"/>
    <xf numFmtId="180" fontId="16" fillId="0" borderId="0" xfId="0" applyNumberFormat="1" applyFont="1" applyFill="1" applyBorder="1" applyAlignment="1"/>
    <xf numFmtId="180" fontId="16" fillId="0" borderId="0" xfId="1" applyNumberFormat="1" applyFont="1" applyFill="1" applyBorder="1" applyAlignment="1" applyProtection="1">
      <alignment wrapText="1"/>
      <protection locked="0"/>
    </xf>
    <xf numFmtId="180" fontId="18" fillId="0" borderId="0" xfId="1" applyNumberFormat="1" applyFont="1" applyFill="1" applyBorder="1" applyAlignment="1" applyProtection="1">
      <protection locked="0"/>
    </xf>
    <xf numFmtId="180" fontId="18" fillId="0" borderId="0" xfId="1" applyNumberFormat="1" applyFont="1" applyFill="1" applyBorder="1" applyAlignment="1" applyProtection="1"/>
    <xf numFmtId="180" fontId="23" fillId="0" borderId="0" xfId="1" applyFont="1" applyFill="1" applyBorder="1" applyAlignment="1" applyProtection="1">
      <protection locked="0"/>
    </xf>
    <xf numFmtId="180" fontId="25" fillId="0" borderId="0" xfId="1" applyNumberFormat="1" applyFont="1" applyFill="1" applyBorder="1" applyAlignment="1" applyProtection="1">
      <protection locked="0"/>
    </xf>
    <xf numFmtId="180" fontId="16" fillId="0" borderId="0" xfId="2" applyNumberFormat="1" applyFont="1" applyFill="1" applyBorder="1" applyAlignment="1" applyProtection="1">
      <alignment horizontal="left" wrapText="1"/>
      <protection locked="0"/>
    </xf>
    <xf numFmtId="177" fontId="18" fillId="0" borderId="0" xfId="1" applyNumberFormat="1" applyFont="1" applyFill="1" applyBorder="1" applyAlignment="1" applyProtection="1">
      <protection locked="0"/>
    </xf>
    <xf numFmtId="43" fontId="16" fillId="0" borderId="0" xfId="0" applyNumberFormat="1" applyFont="1" applyFill="1" applyBorder="1" applyProtection="1">
      <alignment vertical="center"/>
      <protection locked="0"/>
    </xf>
    <xf numFmtId="183" fontId="17" fillId="0" borderId="0" xfId="0" applyNumberFormat="1" applyFont="1" applyFill="1" applyBorder="1" applyProtection="1">
      <alignment vertical="center"/>
      <protection locked="0"/>
    </xf>
    <xf numFmtId="180" fontId="17" fillId="0" borderId="0" xfId="1" applyNumberFormat="1" applyFont="1" applyFill="1" applyBorder="1" applyAlignment="1" applyProtection="1">
      <protection locked="0"/>
    </xf>
    <xf numFmtId="184" fontId="16" fillId="0" borderId="0" xfId="1" applyNumberFormat="1" applyFont="1" applyFill="1" applyBorder="1" applyAlignment="1" applyProtection="1">
      <protection locked="0"/>
    </xf>
    <xf numFmtId="180" fontId="16" fillId="0" borderId="0" xfId="1" applyFont="1" applyFill="1" applyBorder="1" applyAlignment="1" applyProtection="1">
      <protection locked="0"/>
    </xf>
    <xf numFmtId="0" fontId="18" fillId="0" borderId="0" xfId="0" applyFont="1" applyFill="1" applyBorder="1" applyAlignment="1" applyProtection="1">
      <alignment horizontal="left"/>
      <protection locked="0"/>
    </xf>
    <xf numFmtId="43" fontId="18" fillId="0" borderId="0" xfId="0" applyNumberFormat="1" applyFont="1" applyFill="1" applyBorder="1" applyAlignment="1" applyProtection="1">
      <alignment horizontal="left"/>
      <protection locked="0"/>
    </xf>
    <xf numFmtId="180" fontId="20" fillId="0" borderId="0" xfId="0" applyNumberFormat="1" applyFont="1" applyFill="1" applyBorder="1" applyAlignment="1" applyProtection="1">
      <alignment horizontal="left"/>
      <protection locked="0"/>
    </xf>
    <xf numFmtId="43" fontId="18" fillId="0" borderId="0" xfId="3" applyNumberFormat="1" applyFont="1" applyFill="1" applyBorder="1" applyAlignment="1" applyProtection="1">
      <alignment horizontal="center" vertical="center"/>
      <protection locked="0"/>
    </xf>
    <xf numFmtId="49" fontId="16" fillId="12" borderId="0" xfId="1" applyNumberFormat="1" applyFont="1" applyFill="1" applyBorder="1" applyAlignment="1" applyProtection="1">
      <protection locked="0"/>
    </xf>
    <xf numFmtId="180" fontId="18" fillId="12" borderId="0" xfId="1" applyNumberFormat="1" applyFont="1" applyFill="1" applyBorder="1" applyAlignment="1" applyProtection="1">
      <protection locked="0"/>
    </xf>
    <xf numFmtId="180" fontId="16" fillId="12" borderId="0" xfId="1" applyNumberFormat="1" applyFont="1" applyFill="1" applyBorder="1" applyAlignment="1" applyProtection="1">
      <protection locked="0"/>
    </xf>
    <xf numFmtId="9" fontId="16" fillId="12" borderId="0" xfId="2" applyFont="1" applyFill="1" applyBorder="1" applyAlignment="1" applyProtection="1">
      <alignment horizontal="left" wrapText="1"/>
      <protection locked="0"/>
    </xf>
    <xf numFmtId="180" fontId="18" fillId="12" borderId="0" xfId="2" applyNumberFormat="1" applyFont="1" applyFill="1" applyBorder="1" applyAlignment="1" applyProtection="1">
      <alignment horizontal="left" wrapText="1"/>
      <protection locked="0"/>
    </xf>
    <xf numFmtId="180" fontId="16" fillId="12" borderId="0" xfId="2" applyNumberFormat="1" applyFont="1" applyFill="1" applyBorder="1" applyAlignment="1" applyProtection="1">
      <alignment horizontal="left" wrapText="1"/>
      <protection locked="0"/>
    </xf>
    <xf numFmtId="178" fontId="11" fillId="0" borderId="12" xfId="0" applyNumberFormat="1" applyFont="1" applyFill="1" applyBorder="1" applyAlignment="1" applyProtection="1">
      <alignment vertical="center"/>
      <protection hidden="1"/>
    </xf>
    <xf numFmtId="178" fontId="5" fillId="0" borderId="12" xfId="0" applyNumberFormat="1" applyFont="1" applyFill="1" applyBorder="1" applyAlignment="1" applyProtection="1">
      <alignment vertical="center"/>
      <protection hidden="1"/>
    </xf>
    <xf numFmtId="178" fontId="11" fillId="6" borderId="0" xfId="2" applyNumberFormat="1" applyFont="1" applyFill="1" applyBorder="1" applyAlignment="1">
      <alignment horizontal="right" wrapText="1"/>
    </xf>
    <xf numFmtId="178" fontId="13" fillId="0" borderId="0" xfId="0" applyNumberFormat="1" applyFont="1" applyFill="1" applyBorder="1" applyAlignment="1">
      <alignment horizontal="right"/>
    </xf>
    <xf numFmtId="178" fontId="31" fillId="0" borderId="0" xfId="0" applyNumberFormat="1" applyFont="1" applyFill="1" applyBorder="1" applyAlignment="1">
      <alignment horizontal="center" wrapText="1"/>
    </xf>
    <xf numFmtId="178" fontId="11" fillId="0" borderId="0" xfId="2" applyNumberFormat="1" applyFont="1" applyFill="1" applyBorder="1" applyAlignment="1">
      <alignment horizontal="right" wrapText="1"/>
    </xf>
    <xf numFmtId="178" fontId="28" fillId="0" borderId="0" xfId="0" applyNumberFormat="1" applyFont="1" applyFill="1" applyAlignment="1" applyProtection="1">
      <alignment horizontal="center" vertical="center"/>
      <protection locked="0"/>
    </xf>
    <xf numFmtId="178" fontId="28" fillId="0" borderId="0" xfId="0" applyNumberFormat="1" applyFont="1" applyBorder="1" applyAlignment="1" applyProtection="1">
      <alignment horizontal="center" vertical="center"/>
      <protection locked="0"/>
    </xf>
    <xf numFmtId="178" fontId="30" fillId="10" borderId="0" xfId="0" applyNumberFormat="1" applyFont="1" applyFill="1" applyBorder="1" applyAlignment="1">
      <alignment horizontal="center" wrapText="1"/>
    </xf>
    <xf numFmtId="178" fontId="11" fillId="0" borderId="0" xfId="0" applyNumberFormat="1" applyFont="1" applyFill="1" applyBorder="1" applyAlignment="1">
      <alignment horizontal="right"/>
    </xf>
    <xf numFmtId="178" fontId="30" fillId="0" borderId="0" xfId="0" applyNumberFormat="1" applyFont="1" applyFill="1" applyBorder="1" applyAlignment="1">
      <alignment horizontal="center" wrapText="1"/>
    </xf>
    <xf numFmtId="178" fontId="28" fillId="0" borderId="0" xfId="0" applyNumberFormat="1" applyFont="1" applyFill="1" applyBorder="1" applyAlignment="1" applyProtection="1">
      <alignment horizontal="center" vertical="center"/>
      <protection locked="0"/>
    </xf>
    <xf numFmtId="178" fontId="4" fillId="0" borderId="0" xfId="0" applyNumberFormat="1" applyFont="1" applyFill="1" applyBorder="1" applyAlignment="1">
      <alignment horizontal="right" vertical="center"/>
    </xf>
    <xf numFmtId="178" fontId="5" fillId="0" borderId="0" xfId="0" applyNumberFormat="1" applyFont="1" applyFill="1" applyBorder="1" applyAlignment="1">
      <alignment horizontal="right"/>
    </xf>
    <xf numFmtId="178" fontId="11" fillId="13" borderId="0" xfId="0" applyNumberFormat="1" applyFont="1" applyFill="1" applyBorder="1" applyAlignment="1">
      <alignment horizontal="right"/>
    </xf>
    <xf numFmtId="178" fontId="30" fillId="13" borderId="0" xfId="0" applyNumberFormat="1" applyFont="1" applyFill="1" applyBorder="1" applyAlignment="1">
      <alignment horizontal="center" wrapText="1"/>
    </xf>
    <xf numFmtId="178" fontId="11" fillId="13" borderId="0" xfId="2" applyNumberFormat="1" applyFont="1" applyFill="1" applyBorder="1" applyAlignment="1">
      <alignment horizontal="right" wrapText="1"/>
    </xf>
    <xf numFmtId="178" fontId="28" fillId="13" borderId="0" xfId="0" applyNumberFormat="1" applyFont="1" applyFill="1" applyBorder="1" applyAlignment="1" applyProtection="1">
      <alignment horizontal="center" vertical="center"/>
      <protection locked="0"/>
    </xf>
    <xf numFmtId="178" fontId="13" fillId="13" borderId="0" xfId="0" applyNumberFormat="1" applyFont="1" applyFill="1" applyBorder="1" applyAlignment="1">
      <alignment horizontal="right"/>
    </xf>
    <xf numFmtId="178" fontId="31" fillId="13" borderId="0" xfId="0" applyNumberFormat="1" applyFont="1" applyFill="1" applyBorder="1" applyAlignment="1">
      <alignment horizontal="center" wrapText="1"/>
    </xf>
    <xf numFmtId="178" fontId="28" fillId="15" borderId="0" xfId="0" applyNumberFormat="1" applyFont="1" applyFill="1" applyBorder="1" applyAlignment="1" applyProtection="1">
      <alignment horizontal="center" vertical="center"/>
      <protection locked="0"/>
    </xf>
    <xf numFmtId="178" fontId="5" fillId="13" borderId="0" xfId="0" applyNumberFormat="1" applyFont="1" applyFill="1" applyBorder="1" applyAlignment="1">
      <alignment horizontal="right"/>
    </xf>
    <xf numFmtId="178" fontId="8" fillId="15" borderId="0" xfId="3" applyNumberFormat="1" applyFont="1" applyFill="1" applyBorder="1" applyAlignment="1" applyProtection="1">
      <alignment horizontal="center" vertical="center"/>
      <protection locked="0"/>
    </xf>
    <xf numFmtId="0" fontId="8" fillId="5" borderId="0" xfId="0" applyFont="1" applyFill="1" applyAlignment="1" applyProtection="1">
      <alignment horizontal="left" vertical="center"/>
      <protection locked="0"/>
    </xf>
    <xf numFmtId="178" fontId="11" fillId="6" borderId="0" xfId="2" applyNumberFormat="1" applyFont="1" applyFill="1" applyBorder="1" applyAlignment="1" applyProtection="1">
      <alignment horizontal="left" wrapText="1"/>
      <protection locked="0"/>
    </xf>
    <xf numFmtId="178" fontId="11" fillId="13" borderId="0" xfId="0" applyNumberFormat="1" applyFont="1" applyFill="1" applyBorder="1" applyAlignment="1" applyProtection="1">
      <alignment horizontal="left"/>
      <protection locked="0"/>
    </xf>
    <xf numFmtId="178" fontId="4" fillId="0" borderId="0" xfId="0" applyNumberFormat="1" applyFont="1" applyFill="1" applyBorder="1" applyAlignment="1" applyProtection="1">
      <alignment horizontal="left" vertical="center"/>
      <protection locked="0"/>
    </xf>
    <xf numFmtId="178" fontId="11" fillId="0" borderId="0" xfId="0" applyNumberFormat="1" applyFont="1" applyFill="1" applyBorder="1" applyAlignment="1" applyProtection="1">
      <alignment horizontal="left"/>
      <protection locked="0"/>
    </xf>
    <xf numFmtId="178" fontId="13" fillId="0" borderId="0" xfId="0" applyNumberFormat="1" applyFont="1" applyFill="1" applyBorder="1" applyAlignment="1" applyProtection="1">
      <alignment horizontal="left"/>
      <protection locked="0"/>
    </xf>
    <xf numFmtId="178" fontId="5" fillId="0" borderId="0" xfId="0" applyNumberFormat="1" applyFont="1" applyFill="1" applyBorder="1" applyAlignment="1" applyProtection="1">
      <alignment horizontal="left"/>
      <protection locked="0"/>
    </xf>
    <xf numFmtId="178" fontId="13" fillId="13" borderId="0" xfId="0" applyNumberFormat="1" applyFont="1" applyFill="1" applyBorder="1" applyAlignment="1" applyProtection="1">
      <alignment horizontal="left"/>
      <protection locked="0"/>
    </xf>
    <xf numFmtId="178" fontId="27" fillId="0" borderId="0" xfId="0" applyNumberFormat="1" applyFont="1" applyAlignment="1" applyProtection="1">
      <alignment horizontal="left" vertical="center"/>
      <protection locked="0"/>
    </xf>
    <xf numFmtId="178" fontId="8" fillId="5" borderId="0" xfId="0" applyNumberFormat="1" applyFont="1" applyFill="1" applyAlignment="1" applyProtection="1">
      <alignment horizontal="left" vertical="center"/>
      <protection locked="0"/>
    </xf>
    <xf numFmtId="178" fontId="8" fillId="2" borderId="1" xfId="3" applyNumberFormat="1" applyFont="1" applyFill="1" applyBorder="1" applyAlignment="1" applyProtection="1">
      <alignment horizontal="left" vertical="center"/>
      <protection locked="0"/>
    </xf>
    <xf numFmtId="178" fontId="11" fillId="6" borderId="4" xfId="2" applyNumberFormat="1" applyFont="1" applyFill="1" applyBorder="1" applyAlignment="1" applyProtection="1">
      <alignment horizontal="left" wrapText="1"/>
      <protection hidden="1"/>
    </xf>
    <xf numFmtId="178" fontId="11" fillId="3" borderId="12" xfId="0" applyNumberFormat="1" applyFont="1" applyFill="1" applyBorder="1" applyAlignment="1" applyProtection="1">
      <alignment horizontal="left"/>
      <protection hidden="1"/>
    </xf>
    <xf numFmtId="178" fontId="4" fillId="0" borderId="13" xfId="0" applyNumberFormat="1" applyFont="1" applyBorder="1" applyAlignment="1" applyProtection="1">
      <alignment horizontal="left" vertical="center"/>
      <protection hidden="1"/>
    </xf>
    <xf numFmtId="178" fontId="13" fillId="6" borderId="12" xfId="0" applyNumberFormat="1" applyFont="1" applyFill="1" applyBorder="1" applyAlignment="1" applyProtection="1">
      <alignment horizontal="left"/>
      <protection hidden="1"/>
    </xf>
    <xf numFmtId="178" fontId="5" fillId="3" borderId="12" xfId="0" applyNumberFormat="1" applyFont="1" applyFill="1" applyBorder="1" applyAlignment="1" applyProtection="1">
      <alignment horizontal="left"/>
      <protection hidden="1"/>
    </xf>
    <xf numFmtId="178" fontId="13" fillId="2" borderId="14" xfId="0" applyNumberFormat="1" applyFont="1" applyFill="1" applyBorder="1" applyAlignment="1" applyProtection="1">
      <alignment horizontal="left"/>
      <protection hidden="1"/>
    </xf>
    <xf numFmtId="178" fontId="28" fillId="0" borderId="0" xfId="0" applyNumberFormat="1" applyFont="1" applyAlignment="1" applyProtection="1">
      <alignment horizontal="left" vertical="center"/>
      <protection locked="0"/>
    </xf>
    <xf numFmtId="178" fontId="13" fillId="6" borderId="12" xfId="0" applyNumberFormat="1" applyFont="1" applyFill="1" applyBorder="1" applyAlignment="1" applyProtection="1">
      <alignment horizontal="left"/>
      <protection locked="0"/>
    </xf>
    <xf numFmtId="178" fontId="13" fillId="7" borderId="3" xfId="0" applyNumberFormat="1" applyFont="1" applyFill="1" applyBorder="1" applyAlignment="1" applyProtection="1">
      <alignment horizontal="left"/>
      <protection hidden="1"/>
    </xf>
    <xf numFmtId="178" fontId="13" fillId="2" borderId="14" xfId="0" applyNumberFormat="1" applyFont="1" applyFill="1" applyBorder="1" applyAlignment="1" applyProtection="1">
      <alignment horizontal="left"/>
      <protection locked="0"/>
    </xf>
    <xf numFmtId="0" fontId="28" fillId="0" borderId="0" xfId="0" applyFont="1" applyAlignment="1" applyProtection="1">
      <alignment horizontal="left" vertical="center"/>
      <protection locked="0"/>
    </xf>
    <xf numFmtId="178" fontId="14" fillId="0" borderId="0" xfId="0" applyNumberFormat="1" applyFont="1" applyFill="1" applyBorder="1" applyAlignment="1" applyProtection="1">
      <alignment horizontal="left"/>
      <protection locked="0"/>
    </xf>
    <xf numFmtId="178" fontId="14" fillId="16" borderId="0" xfId="0" applyNumberFormat="1" applyFont="1" applyFill="1" applyBorder="1" applyAlignment="1" applyProtection="1">
      <alignment horizontal="left"/>
      <protection locked="0"/>
    </xf>
    <xf numFmtId="178" fontId="13" fillId="16" borderId="0" xfId="0" applyNumberFormat="1" applyFont="1" applyFill="1" applyBorder="1" applyAlignment="1">
      <alignment horizontal="right"/>
    </xf>
    <xf numFmtId="178" fontId="31" fillId="16" borderId="0" xfId="0" applyNumberFormat="1" applyFont="1" applyFill="1" applyBorder="1" applyAlignment="1">
      <alignment horizontal="center" wrapText="1"/>
    </xf>
    <xf numFmtId="178" fontId="11" fillId="16" borderId="0" xfId="2" applyNumberFormat="1" applyFont="1" applyFill="1" applyBorder="1" applyAlignment="1">
      <alignment horizontal="right" wrapText="1"/>
    </xf>
    <xf numFmtId="178" fontId="28" fillId="16" borderId="0" xfId="0" applyNumberFormat="1" applyFont="1" applyFill="1" applyAlignment="1" applyProtection="1">
      <alignment horizontal="center" vertical="center"/>
      <protection locked="0"/>
    </xf>
    <xf numFmtId="178" fontId="13" fillId="14" borderId="0" xfId="0" applyNumberFormat="1" applyFont="1" applyFill="1" applyBorder="1" applyAlignment="1" applyProtection="1">
      <alignment horizontal="left"/>
      <protection hidden="1"/>
    </xf>
    <xf numFmtId="178" fontId="13" fillId="14" borderId="0" xfId="0" applyNumberFormat="1" applyFont="1" applyFill="1" applyBorder="1" applyAlignment="1" applyProtection="1">
      <alignment vertical="center"/>
      <protection hidden="1"/>
    </xf>
    <xf numFmtId="178" fontId="28" fillId="14" borderId="0" xfId="0" applyNumberFormat="1" applyFont="1" applyFill="1" applyAlignment="1" applyProtection="1">
      <alignment horizontal="center" vertical="center"/>
      <protection hidden="1"/>
    </xf>
    <xf numFmtId="178" fontId="14" fillId="16" borderId="12" xfId="0" applyNumberFormat="1" applyFont="1" applyFill="1" applyBorder="1" applyAlignment="1" applyProtection="1">
      <alignment horizontal="left"/>
      <protection locked="0"/>
    </xf>
    <xf numFmtId="178" fontId="13" fillId="16" borderId="12" xfId="0" applyNumberFormat="1" applyFont="1" applyFill="1" applyBorder="1" applyAlignment="1" applyProtection="1">
      <alignment horizontal="center"/>
      <protection locked="0"/>
    </xf>
    <xf numFmtId="177" fontId="13" fillId="16" borderId="12" xfId="0" applyNumberFormat="1" applyFont="1" applyFill="1" applyBorder="1" applyAlignment="1" applyProtection="1">
      <alignment horizontal="center"/>
      <protection locked="0"/>
    </xf>
    <xf numFmtId="178" fontId="11" fillId="16" borderId="0" xfId="2" applyNumberFormat="1" applyFont="1" applyFill="1" applyBorder="1" applyAlignment="1">
      <alignment horizontal="center" wrapText="1"/>
    </xf>
    <xf numFmtId="178" fontId="14" fillId="0" borderId="0" xfId="0" applyNumberFormat="1" applyFont="1" applyFill="1" applyBorder="1" applyAlignment="1">
      <alignment horizontal="right"/>
    </xf>
    <xf numFmtId="178" fontId="37" fillId="0" borderId="0" xfId="0" applyNumberFormat="1" applyFont="1" applyFill="1" applyBorder="1" applyAlignment="1">
      <alignment horizontal="center" wrapText="1"/>
    </xf>
    <xf numFmtId="178" fontId="5" fillId="0" borderId="0" xfId="2" applyNumberFormat="1" applyFont="1" applyFill="1" applyBorder="1" applyAlignment="1">
      <alignment horizontal="right" wrapText="1"/>
    </xf>
    <xf numFmtId="178" fontId="29" fillId="13" borderId="0" xfId="0" applyNumberFormat="1" applyFont="1" applyFill="1" applyBorder="1" applyAlignment="1" applyProtection="1">
      <alignment horizontal="center" vertical="center"/>
      <protection locked="0"/>
    </xf>
    <xf numFmtId="178" fontId="11" fillId="14" borderId="0" xfId="2" applyNumberFormat="1" applyFont="1" applyFill="1" applyBorder="1" applyAlignment="1">
      <alignment horizontal="center" wrapText="1"/>
    </xf>
    <xf numFmtId="178" fontId="11" fillId="14" borderId="0" xfId="0" applyNumberFormat="1" applyFont="1" applyFill="1" applyBorder="1" applyAlignment="1">
      <alignment horizontal="center"/>
    </xf>
    <xf numFmtId="178" fontId="4" fillId="14" borderId="0" xfId="0" applyNumberFormat="1" applyFont="1" applyFill="1" applyBorder="1" applyAlignment="1">
      <alignment horizontal="center" vertical="center"/>
    </xf>
    <xf numFmtId="178" fontId="13" fillId="14" borderId="0" xfId="0" applyNumberFormat="1" applyFont="1" applyFill="1" applyBorder="1" applyAlignment="1">
      <alignment horizontal="center"/>
    </xf>
    <xf numFmtId="178" fontId="5" fillId="14" borderId="0" xfId="0" applyNumberFormat="1" applyFont="1" applyFill="1" applyBorder="1" applyAlignment="1">
      <alignment horizontal="center"/>
    </xf>
    <xf numFmtId="178" fontId="14" fillId="14" borderId="0" xfId="0" applyNumberFormat="1" applyFont="1" applyFill="1" applyBorder="1" applyAlignment="1">
      <alignment horizontal="center"/>
    </xf>
    <xf numFmtId="178" fontId="5" fillId="14" borderId="0" xfId="2" applyNumberFormat="1" applyFont="1" applyFill="1" applyBorder="1" applyAlignment="1">
      <alignment horizontal="center" wrapText="1"/>
    </xf>
    <xf numFmtId="177" fontId="11" fillId="6" borderId="0" xfId="2" applyNumberFormat="1" applyFont="1" applyFill="1" applyBorder="1" applyAlignment="1">
      <alignment horizontal="right" wrapText="1"/>
    </xf>
    <xf numFmtId="177" fontId="11" fillId="13" borderId="0" xfId="0" applyNumberFormat="1" applyFont="1" applyFill="1" applyBorder="1" applyAlignment="1">
      <alignment horizontal="right"/>
    </xf>
    <xf numFmtId="177" fontId="4" fillId="0" borderId="0" xfId="0" applyNumberFormat="1" applyFont="1" applyFill="1" applyBorder="1" applyAlignment="1">
      <alignment horizontal="right" vertical="center"/>
    </xf>
    <xf numFmtId="177" fontId="11" fillId="0" borderId="0" xfId="0" applyNumberFormat="1" applyFont="1" applyFill="1" applyBorder="1" applyAlignment="1">
      <alignment horizontal="right"/>
    </xf>
    <xf numFmtId="177" fontId="13" fillId="0" borderId="0" xfId="0" applyNumberFormat="1" applyFont="1" applyFill="1" applyBorder="1" applyAlignment="1">
      <alignment horizontal="right"/>
    </xf>
    <xf numFmtId="177" fontId="5" fillId="0" borderId="0" xfId="0" applyNumberFormat="1" applyFont="1" applyFill="1" applyBorder="1" applyAlignment="1">
      <alignment horizontal="right"/>
    </xf>
    <xf numFmtId="177" fontId="5" fillId="13" borderId="0" xfId="0" applyNumberFormat="1" applyFont="1" applyFill="1" applyBorder="1" applyAlignment="1">
      <alignment horizontal="right"/>
    </xf>
    <xf numFmtId="177" fontId="14" fillId="0" borderId="0" xfId="0" applyNumberFormat="1" applyFont="1" applyFill="1" applyBorder="1" applyAlignment="1">
      <alignment horizontal="right"/>
    </xf>
    <xf numFmtId="177" fontId="13" fillId="13" borderId="0" xfId="0" applyNumberFormat="1" applyFont="1" applyFill="1" applyBorder="1" applyAlignment="1">
      <alignment horizontal="right"/>
    </xf>
    <xf numFmtId="180" fontId="38" fillId="0" borderId="0" xfId="1" applyFont="1" applyAlignment="1">
      <alignment horizontal="left" vertical="center"/>
    </xf>
    <xf numFmtId="180" fontId="38" fillId="0" borderId="0" xfId="1" applyFont="1" applyAlignment="1">
      <alignment horizontal="right" vertical="center"/>
    </xf>
    <xf numFmtId="180" fontId="38" fillId="0" borderId="0" xfId="1" applyFont="1" applyAlignment="1">
      <alignment vertical="center"/>
    </xf>
    <xf numFmtId="180" fontId="38" fillId="0" borderId="23" xfId="1" applyFont="1" applyBorder="1" applyAlignment="1">
      <alignment vertical="center"/>
    </xf>
    <xf numFmtId="180" fontId="38" fillId="0" borderId="15" xfId="1" applyFont="1" applyBorder="1" applyAlignment="1">
      <alignment vertical="center"/>
    </xf>
    <xf numFmtId="180" fontId="38" fillId="0" borderId="16" xfId="1" applyFont="1" applyBorder="1" applyAlignment="1">
      <alignment vertical="center"/>
    </xf>
    <xf numFmtId="180" fontId="38" fillId="0" borderId="16" xfId="1" applyFont="1" applyBorder="1" applyAlignment="1">
      <alignment horizontal="center" vertical="center"/>
    </xf>
    <xf numFmtId="180" fontId="38" fillId="0" borderId="24" xfId="1" applyFont="1" applyBorder="1" applyAlignment="1">
      <alignment vertical="center"/>
    </xf>
    <xf numFmtId="180" fontId="38" fillId="7" borderId="23" xfId="1" applyFont="1" applyFill="1" applyBorder="1" applyAlignment="1">
      <alignment vertical="center"/>
    </xf>
    <xf numFmtId="180" fontId="38" fillId="9" borderId="24" xfId="1" applyFont="1" applyFill="1" applyBorder="1" applyAlignment="1">
      <alignment vertical="center"/>
    </xf>
    <xf numFmtId="180" fontId="38" fillId="9" borderId="23" xfId="1" applyFont="1" applyFill="1" applyBorder="1">
      <alignment vertical="center"/>
    </xf>
    <xf numFmtId="180" fontId="38" fillId="7" borderId="23" xfId="1" applyFont="1" applyFill="1" applyBorder="1">
      <alignment vertical="center"/>
    </xf>
    <xf numFmtId="180" fontId="38" fillId="0" borderId="23" xfId="1" applyFont="1" applyBorder="1">
      <alignment vertical="center"/>
    </xf>
    <xf numFmtId="180" fontId="38" fillId="9" borderId="23" xfId="1" applyFont="1" applyFill="1" applyBorder="1" applyAlignment="1">
      <alignment horizontal="right" vertical="center"/>
    </xf>
    <xf numFmtId="180" fontId="39" fillId="17" borderId="23" xfId="1" applyFont="1" applyFill="1" applyBorder="1" applyAlignment="1"/>
    <xf numFmtId="180" fontId="40" fillId="0" borderId="23" xfId="1" applyFont="1" applyBorder="1" applyProtection="1">
      <alignment vertical="center"/>
      <protection locked="0"/>
    </xf>
    <xf numFmtId="180" fontId="39" fillId="0" borderId="23" xfId="1" applyFont="1" applyBorder="1" applyAlignment="1">
      <alignment vertical="center" shrinkToFit="1"/>
    </xf>
    <xf numFmtId="180" fontId="38" fillId="0" borderId="23" xfId="1" applyFont="1" applyBorder="1" applyAlignment="1">
      <alignment horizontal="center" vertical="center"/>
    </xf>
    <xf numFmtId="180" fontId="38" fillId="0" borderId="23" xfId="1" applyFont="1" applyBorder="1" applyAlignment="1"/>
    <xf numFmtId="180" fontId="38" fillId="9" borderId="23" xfId="1" applyFont="1" applyFill="1" applyBorder="1" applyAlignment="1">
      <alignment vertical="center"/>
    </xf>
    <xf numFmtId="180" fontId="38" fillId="0" borderId="18" xfId="1" applyFont="1" applyBorder="1" applyAlignment="1">
      <alignment vertical="center"/>
    </xf>
    <xf numFmtId="180" fontId="38" fillId="9" borderId="19" xfId="1" applyFont="1" applyFill="1" applyBorder="1" applyAlignment="1">
      <alignment vertical="center"/>
    </xf>
    <xf numFmtId="49" fontId="16" fillId="7" borderId="4" xfId="1" applyNumberFormat="1" applyFont="1" applyFill="1" applyBorder="1" applyAlignment="1" applyProtection="1">
      <protection locked="0"/>
    </xf>
    <xf numFmtId="180" fontId="16" fillId="0" borderId="4" xfId="1" applyNumberFormat="1" applyFont="1" applyFill="1" applyBorder="1" applyAlignment="1" applyProtection="1">
      <protection locked="0"/>
    </xf>
    <xf numFmtId="180" fontId="16" fillId="7" borderId="4" xfId="1" applyNumberFormat="1" applyFont="1" applyFill="1" applyBorder="1" applyAlignment="1" applyProtection="1">
      <protection locked="0"/>
    </xf>
    <xf numFmtId="180" fontId="16" fillId="18" borderId="9" xfId="1" applyNumberFormat="1" applyFont="1" applyFill="1" applyBorder="1" applyAlignment="1" applyProtection="1">
      <protection locked="0"/>
    </xf>
    <xf numFmtId="57" fontId="4" fillId="0" borderId="0" xfId="1" applyNumberFormat="1" applyFont="1" applyAlignment="1">
      <alignment horizontal="center"/>
    </xf>
    <xf numFmtId="43" fontId="4" fillId="0" borderId="24" xfId="1" applyNumberFormat="1" applyFont="1" applyBorder="1" applyAlignment="1">
      <alignment horizontal="center"/>
    </xf>
    <xf numFmtId="43" fontId="4" fillId="0" borderId="23" xfId="1" applyNumberFormat="1" applyFont="1" applyBorder="1" applyAlignment="1">
      <alignment horizontal="right"/>
    </xf>
    <xf numFmtId="43" fontId="4" fillId="19" borderId="24" xfId="1" applyNumberFormat="1" applyFont="1" applyFill="1" applyBorder="1" applyAlignment="1">
      <alignment horizontal="center"/>
    </xf>
    <xf numFmtId="43" fontId="4" fillId="19" borderId="23" xfId="1" applyNumberFormat="1" applyFont="1" applyFill="1" applyBorder="1" applyAlignment="1">
      <alignment horizontal="right"/>
    </xf>
    <xf numFmtId="43" fontId="4" fillId="19" borderId="0" xfId="1" applyNumberFormat="1" applyFont="1" applyFill="1" applyAlignment="1">
      <alignment horizontal="right"/>
    </xf>
    <xf numFmtId="43" fontId="4" fillId="7" borderId="25" xfId="1" applyNumberFormat="1" applyFont="1" applyFill="1" applyBorder="1" applyAlignment="1">
      <alignment horizontal="center"/>
    </xf>
    <xf numFmtId="43" fontId="4" fillId="7" borderId="26" xfId="1" applyNumberFormat="1" applyFont="1" applyFill="1" applyBorder="1" applyAlignment="1">
      <alignment horizontal="right"/>
    </xf>
    <xf numFmtId="43" fontId="4" fillId="7" borderId="0" xfId="1" applyNumberFormat="1" applyFont="1" applyFill="1" applyAlignment="1">
      <alignment horizontal="right"/>
    </xf>
    <xf numFmtId="43" fontId="4" fillId="19" borderId="27" xfId="1" applyNumberFormat="1" applyFont="1" applyFill="1" applyBorder="1" applyAlignment="1">
      <alignment horizontal="center"/>
    </xf>
    <xf numFmtId="43" fontId="4" fillId="19" borderId="28" xfId="1" applyNumberFormat="1" applyFont="1" applyFill="1" applyBorder="1" applyAlignment="1">
      <alignment horizontal="right"/>
    </xf>
    <xf numFmtId="43" fontId="4" fillId="19" borderId="29" xfId="1" applyNumberFormat="1" applyFont="1" applyFill="1" applyBorder="1" applyAlignment="1">
      <alignment horizontal="right"/>
    </xf>
    <xf numFmtId="43" fontId="4" fillId="0" borderId="30" xfId="1" applyNumberFormat="1" applyFont="1" applyBorder="1" applyAlignment="1">
      <alignment horizontal="right"/>
    </xf>
    <xf numFmtId="43" fontId="4" fillId="0" borderId="0" xfId="1" applyNumberFormat="1" applyFont="1" applyBorder="1" applyAlignment="1">
      <alignment horizontal="right"/>
    </xf>
    <xf numFmtId="43" fontId="4" fillId="0" borderId="31" xfId="1" applyNumberFormat="1" applyFont="1" applyBorder="1" applyAlignment="1">
      <alignment horizontal="right"/>
    </xf>
    <xf numFmtId="43" fontId="4" fillId="0" borderId="32" xfId="1" applyNumberFormat="1" applyFont="1" applyBorder="1" applyAlignment="1">
      <alignment horizontal="right"/>
    </xf>
    <xf numFmtId="43" fontId="4" fillId="7" borderId="24" xfId="1" applyNumberFormat="1" applyFont="1" applyFill="1" applyBorder="1" applyAlignment="1">
      <alignment horizontal="center"/>
    </xf>
    <xf numFmtId="43" fontId="4" fillId="7" borderId="23" xfId="1" applyNumberFormat="1" applyFont="1" applyFill="1" applyBorder="1" applyAlignment="1">
      <alignment horizontal="right"/>
    </xf>
    <xf numFmtId="43" fontId="4" fillId="7" borderId="32" xfId="1" applyNumberFormat="1" applyFont="1" applyFill="1" applyBorder="1" applyAlignment="1">
      <alignment horizontal="right"/>
    </xf>
    <xf numFmtId="43" fontId="4" fillId="9" borderId="24" xfId="1" applyNumberFormat="1" applyFont="1" applyFill="1" applyBorder="1" applyAlignment="1">
      <alignment horizontal="center"/>
    </xf>
    <xf numFmtId="43" fontId="4" fillId="9" borderId="23" xfId="1" applyNumberFormat="1" applyFont="1" applyFill="1" applyBorder="1" applyAlignment="1">
      <alignment horizontal="right"/>
    </xf>
    <xf numFmtId="43" fontId="4" fillId="0" borderId="26" xfId="1" applyNumberFormat="1" applyFont="1" applyBorder="1" applyAlignment="1">
      <alignment horizontal="right"/>
    </xf>
    <xf numFmtId="43" fontId="4" fillId="9" borderId="28" xfId="1" applyNumberFormat="1" applyFont="1" applyFill="1" applyBorder="1" applyAlignment="1">
      <alignment horizontal="right"/>
    </xf>
    <xf numFmtId="180" fontId="5" fillId="14" borderId="4" xfId="1" applyFont="1" applyFill="1" applyBorder="1" applyAlignment="1"/>
    <xf numFmtId="43" fontId="16" fillId="14" borderId="0" xfId="3" applyNumberFormat="1" applyFont="1" applyFill="1" applyBorder="1" applyAlignment="1" applyProtection="1">
      <alignment horizontal="center" vertical="center"/>
      <protection locked="0"/>
    </xf>
    <xf numFmtId="43" fontId="18" fillId="14" borderId="0" xfId="3" applyNumberFormat="1" applyFont="1" applyFill="1" applyBorder="1" applyAlignment="1" applyProtection="1">
      <alignment horizontal="center" vertical="center"/>
      <protection locked="0"/>
    </xf>
    <xf numFmtId="49" fontId="16" fillId="14" borderId="0" xfId="0" applyNumberFormat="1" applyFont="1" applyFill="1" applyBorder="1" applyAlignment="1" applyProtection="1">
      <alignment vertical="center"/>
      <protection locked="0"/>
    </xf>
    <xf numFmtId="0" fontId="16" fillId="14" borderId="0" xfId="0" applyFont="1" applyFill="1" applyBorder="1" applyProtection="1">
      <alignment vertical="center"/>
      <protection locked="0"/>
    </xf>
    <xf numFmtId="178" fontId="27" fillId="0" borderId="0" xfId="0" applyNumberFormat="1" applyFont="1" applyFill="1" applyAlignment="1" applyProtection="1">
      <alignment horizontal="left" vertical="center"/>
      <protection locked="0"/>
    </xf>
    <xf numFmtId="177" fontId="27" fillId="0" borderId="0" xfId="0" applyNumberFormat="1" applyFont="1" applyFill="1" applyAlignment="1" applyProtection="1">
      <alignment vertical="center"/>
      <protection locked="0"/>
    </xf>
    <xf numFmtId="178" fontId="27" fillId="0" borderId="0" xfId="0" applyNumberFormat="1" applyFont="1" applyFill="1" applyAlignment="1" applyProtection="1">
      <alignment horizontal="center" vertical="center"/>
      <protection locked="0"/>
    </xf>
    <xf numFmtId="180" fontId="16" fillId="0" borderId="34" xfId="0" applyNumberFormat="1" applyFont="1" applyFill="1" applyBorder="1" applyAlignment="1" applyProtection="1">
      <protection locked="0"/>
    </xf>
    <xf numFmtId="180" fontId="16" fillId="0" borderId="33" xfId="1" applyNumberFormat="1" applyFont="1" applyFill="1" applyBorder="1" applyAlignment="1" applyProtection="1">
      <protection locked="0"/>
    </xf>
    <xf numFmtId="49" fontId="16" fillId="7" borderId="33" xfId="1" applyNumberFormat="1" applyFont="1" applyFill="1" applyBorder="1" applyAlignment="1" applyProtection="1">
      <protection locked="0"/>
    </xf>
    <xf numFmtId="180" fontId="16" fillId="7" borderId="33" xfId="1" applyNumberFormat="1" applyFont="1" applyFill="1" applyBorder="1" applyAlignment="1" applyProtection="1">
      <protection locked="0"/>
    </xf>
    <xf numFmtId="180" fontId="16" fillId="18" borderId="33" xfId="1" applyNumberFormat="1" applyFont="1" applyFill="1" applyBorder="1" applyAlignment="1" applyProtection="1">
      <protection locked="0"/>
    </xf>
    <xf numFmtId="180" fontId="16" fillId="7" borderId="33" xfId="1" applyNumberFormat="1" applyFont="1" applyFill="1" applyBorder="1" applyAlignment="1" applyProtection="1"/>
    <xf numFmtId="0" fontId="9" fillId="0" borderId="35" xfId="0" applyFont="1" applyBorder="1" applyAlignment="1">
      <alignment horizontal="center" vertical="center"/>
    </xf>
    <xf numFmtId="185" fontId="0" fillId="0" borderId="35" xfId="0" applyNumberFormat="1" applyBorder="1" applyAlignment="1">
      <alignment horizontal="center" vertical="center"/>
    </xf>
    <xf numFmtId="0" fontId="9" fillId="0" borderId="35" xfId="0" applyFont="1" applyFill="1" applyBorder="1" applyAlignment="1">
      <alignment horizontal="center" vertical="center"/>
    </xf>
    <xf numFmtId="49" fontId="16" fillId="8" borderId="0" xfId="1" applyNumberFormat="1" applyFont="1" applyFill="1" applyBorder="1" applyAlignment="1" applyProtection="1">
      <protection locked="0"/>
    </xf>
    <xf numFmtId="180" fontId="16" fillId="8" borderId="0" xfId="1" applyNumberFormat="1" applyFont="1" applyFill="1" applyBorder="1" applyAlignment="1" applyProtection="1">
      <protection locked="0"/>
    </xf>
    <xf numFmtId="180" fontId="16" fillId="8" borderId="0" xfId="0" applyNumberFormat="1" applyFont="1" applyFill="1" applyBorder="1" applyAlignment="1" applyProtection="1">
      <protection locked="0"/>
    </xf>
    <xf numFmtId="0" fontId="42" fillId="21" borderId="37" xfId="0" applyFont="1" applyFill="1" applyBorder="1" applyAlignment="1">
      <alignment horizontal="center" vertical="center" wrapText="1"/>
    </xf>
    <xf numFmtId="0" fontId="42" fillId="21" borderId="36" xfId="0" applyFont="1" applyFill="1" applyBorder="1" applyAlignment="1">
      <alignment horizontal="center" vertical="center" wrapText="1"/>
    </xf>
    <xf numFmtId="0" fontId="42" fillId="21" borderId="40" xfId="0" applyFont="1" applyFill="1" applyBorder="1" applyAlignment="1">
      <alignment horizontal="center" vertical="center" wrapText="1"/>
    </xf>
    <xf numFmtId="0" fontId="44" fillId="0" borderId="36" xfId="0" applyFont="1" applyBorder="1" applyAlignment="1"/>
    <xf numFmtId="1" fontId="44" fillId="0" borderId="36" xfId="0" applyNumberFormat="1" applyFont="1" applyBorder="1" applyAlignment="1">
      <alignment horizontal="center" vertical="center"/>
    </xf>
    <xf numFmtId="1" fontId="44" fillId="5" borderId="36" xfId="0" applyNumberFormat="1" applyFont="1" applyFill="1" applyBorder="1" applyAlignment="1">
      <alignment horizontal="center" vertical="center"/>
    </xf>
    <xf numFmtId="186" fontId="44" fillId="0" borderId="36" xfId="2" applyNumberFormat="1" applyFont="1" applyBorder="1" applyAlignment="1">
      <alignment horizontal="center" vertical="center"/>
    </xf>
    <xf numFmtId="2" fontId="44" fillId="0" borderId="36" xfId="0" applyNumberFormat="1" applyFont="1" applyBorder="1" applyAlignment="1">
      <alignment horizontal="center" vertical="center"/>
    </xf>
    <xf numFmtId="0" fontId="44" fillId="5" borderId="36" xfId="0" applyFont="1" applyFill="1" applyBorder="1" applyAlignment="1">
      <alignment horizontal="center" vertical="center"/>
    </xf>
    <xf numFmtId="10" fontId="44" fillId="0" borderId="36" xfId="0" applyNumberFormat="1" applyFont="1" applyBorder="1" applyAlignment="1">
      <alignment horizontal="center" vertical="center"/>
    </xf>
    <xf numFmtId="1" fontId="44" fillId="0" borderId="36" xfId="0" applyNumberFormat="1" applyFont="1" applyBorder="1" applyAlignment="1"/>
    <xf numFmtId="187" fontId="44" fillId="0" borderId="36" xfId="0" applyNumberFormat="1" applyFont="1" applyBorder="1" applyAlignment="1"/>
    <xf numFmtId="177" fontId="44" fillId="0" borderId="36" xfId="0" applyNumberFormat="1" applyFont="1" applyBorder="1" applyAlignment="1">
      <alignment horizontal="center" vertical="center"/>
    </xf>
    <xf numFmtId="0" fontId="44" fillId="22" borderId="36" xfId="0" applyFont="1" applyFill="1" applyBorder="1" applyAlignment="1">
      <alignment horizontal="center" vertical="center"/>
    </xf>
    <xf numFmtId="1" fontId="44" fillId="22" borderId="36" xfId="0" applyNumberFormat="1" applyFont="1" applyFill="1" applyBorder="1" applyAlignment="1">
      <alignment horizontal="center" vertical="center"/>
    </xf>
    <xf numFmtId="0" fontId="44" fillId="22" borderId="36" xfId="0" applyFont="1" applyFill="1" applyBorder="1" applyAlignment="1">
      <alignment horizontal="center" vertical="center" wrapText="1"/>
    </xf>
    <xf numFmtId="9" fontId="44" fillId="22" borderId="36" xfId="2" applyFont="1" applyFill="1" applyBorder="1" applyAlignment="1">
      <alignment horizontal="center" vertical="center"/>
    </xf>
    <xf numFmtId="2" fontId="44" fillId="22" borderId="36" xfId="2" applyNumberFormat="1" applyFont="1" applyFill="1" applyBorder="1" applyAlignment="1">
      <alignment horizontal="center" vertical="center"/>
    </xf>
    <xf numFmtId="4" fontId="44" fillId="5" borderId="36" xfId="0" applyNumberFormat="1" applyFont="1" applyFill="1" applyBorder="1" applyAlignment="1">
      <alignment horizontal="center" vertical="center"/>
    </xf>
    <xf numFmtId="10" fontId="44" fillId="22" borderId="36" xfId="0" applyNumberFormat="1" applyFont="1" applyFill="1" applyBorder="1" applyAlignment="1">
      <alignment horizontal="center" vertical="center"/>
    </xf>
    <xf numFmtId="3" fontId="46" fillId="5" borderId="36" xfId="0" applyNumberFormat="1" applyFont="1" applyFill="1" applyBorder="1" applyAlignment="1">
      <alignment horizontal="center" vertical="center"/>
    </xf>
    <xf numFmtId="3" fontId="44" fillId="5" borderId="36" xfId="0" applyNumberFormat="1" applyFont="1" applyFill="1" applyBorder="1" applyAlignment="1">
      <alignment horizontal="center" vertical="center"/>
    </xf>
    <xf numFmtId="177" fontId="44" fillId="5" borderId="36" xfId="0" applyNumberFormat="1" applyFont="1" applyFill="1" applyBorder="1" applyAlignment="1">
      <alignment horizontal="center" vertical="center"/>
    </xf>
    <xf numFmtId="1" fontId="47" fillId="22" borderId="36" xfId="0" applyNumberFormat="1" applyFont="1" applyFill="1" applyBorder="1" applyAlignment="1">
      <alignment horizontal="center" vertical="center"/>
    </xf>
    <xf numFmtId="1" fontId="47" fillId="22" borderId="36" xfId="0" applyNumberFormat="1" applyFont="1" applyFill="1" applyBorder="1" applyAlignment="1">
      <alignment horizontal="center" vertical="center" wrapText="1"/>
    </xf>
    <xf numFmtId="10" fontId="44" fillId="22" borderId="36" xfId="2" applyNumberFormat="1" applyFont="1" applyFill="1" applyBorder="1" applyAlignment="1">
      <alignment horizontal="center" vertical="center"/>
    </xf>
    <xf numFmtId="187" fontId="44" fillId="0" borderId="36" xfId="0" applyNumberFormat="1" applyFont="1" applyBorder="1" applyAlignment="1">
      <alignment horizontal="right" vertical="center"/>
    </xf>
    <xf numFmtId="185" fontId="44" fillId="22" borderId="36" xfId="2" applyNumberFormat="1" applyFont="1" applyFill="1" applyBorder="1" applyAlignment="1">
      <alignment horizontal="center" vertical="center" wrapText="1"/>
    </xf>
    <xf numFmtId="0" fontId="47" fillId="22" borderId="36" xfId="0" applyFont="1" applyFill="1" applyBorder="1" applyAlignment="1"/>
    <xf numFmtId="185" fontId="44" fillId="0" borderId="36" xfId="0" applyNumberFormat="1" applyFont="1" applyBorder="1" applyAlignment="1">
      <alignment horizontal="center" vertical="center"/>
    </xf>
    <xf numFmtId="0" fontId="48" fillId="22" borderId="36" xfId="0" applyFont="1" applyFill="1" applyBorder="1" applyAlignment="1">
      <alignment horizontal="center" vertical="center"/>
    </xf>
    <xf numFmtId="0" fontId="47" fillId="22" borderId="36" xfId="0" applyFont="1" applyFill="1" applyBorder="1" applyAlignment="1">
      <alignment horizontal="center" vertical="center"/>
    </xf>
    <xf numFmtId="0" fontId="15" fillId="5" borderId="0" xfId="0" applyFont="1" applyFill="1" applyAlignment="1"/>
    <xf numFmtId="0" fontId="0" fillId="7" borderId="0" xfId="0" applyFill="1" applyAlignment="1"/>
    <xf numFmtId="177" fontId="0" fillId="7" borderId="0" xfId="0" applyNumberFormat="1" applyFill="1" applyAlignment="1">
      <alignment horizontal="center" vertical="center"/>
    </xf>
    <xf numFmtId="10" fontId="0" fillId="7" borderId="0" xfId="2" applyNumberFormat="1" applyFont="1" applyFill="1" applyAlignment="1"/>
    <xf numFmtId="0" fontId="0" fillId="7" borderId="0" xfId="0" applyFill="1" applyAlignment="1">
      <alignment wrapText="1"/>
    </xf>
    <xf numFmtId="2" fontId="0" fillId="7" borderId="0" xfId="0" applyNumberFormat="1" applyFill="1" applyAlignment="1"/>
    <xf numFmtId="0" fontId="42" fillId="21" borderId="35" xfId="0" applyFont="1" applyFill="1" applyBorder="1" applyAlignment="1">
      <alignment horizontal="center" vertical="center"/>
    </xf>
    <xf numFmtId="0" fontId="51" fillId="21" borderId="0" xfId="0" applyFont="1" applyFill="1" applyAlignment="1">
      <alignment vertical="center"/>
    </xf>
    <xf numFmtId="0" fontId="44" fillId="0" borderId="0" xfId="0" applyFont="1" applyAlignment="1">
      <alignment horizontal="center" vertical="center"/>
    </xf>
    <xf numFmtId="177" fontId="0" fillId="0" borderId="0" xfId="0" applyNumberFormat="1" applyAlignment="1">
      <alignment horizontal="center" vertical="center"/>
    </xf>
    <xf numFmtId="0" fontId="0" fillId="0" borderId="0" xfId="0" applyAlignment="1"/>
    <xf numFmtId="0" fontId="44" fillId="0" borderId="35" xfId="0" applyFont="1" applyBorder="1" applyAlignment="1">
      <alignment horizontal="center" vertical="center" wrapText="1"/>
    </xf>
    <xf numFmtId="185" fontId="44" fillId="0" borderId="35" xfId="2" applyNumberFormat="1" applyFont="1" applyBorder="1" applyAlignment="1">
      <alignment horizontal="center" vertical="center"/>
    </xf>
    <xf numFmtId="10" fontId="44" fillId="0" borderId="35" xfId="2" applyNumberFormat="1" applyFont="1" applyBorder="1" applyAlignment="1">
      <alignment horizontal="center" vertical="center" wrapText="1"/>
    </xf>
    <xf numFmtId="187" fontId="47" fillId="0" borderId="35" xfId="0" applyNumberFormat="1" applyFont="1" applyFill="1" applyBorder="1" applyAlignment="1">
      <alignment horizontal="center" vertical="center"/>
    </xf>
    <xf numFmtId="177" fontId="47" fillId="0" borderId="35" xfId="0" applyNumberFormat="1" applyFont="1" applyFill="1" applyBorder="1" applyAlignment="1">
      <alignment horizontal="center" vertical="center"/>
    </xf>
    <xf numFmtId="0" fontId="44" fillId="0" borderId="35" xfId="0" applyFont="1" applyBorder="1" applyAlignment="1">
      <alignment horizontal="center" vertical="center"/>
    </xf>
    <xf numFmtId="10" fontId="44" fillId="0" borderId="35" xfId="2" applyNumberFormat="1" applyFont="1" applyBorder="1" applyAlignment="1">
      <alignment horizontal="center" vertical="center"/>
    </xf>
    <xf numFmtId="0" fontId="9" fillId="7" borderId="0" xfId="0" applyFont="1" applyFill="1" applyAlignment="1"/>
    <xf numFmtId="0" fontId="44" fillId="0" borderId="35" xfId="0" applyFont="1" applyBorder="1" applyAlignment="1">
      <alignment horizontal="center"/>
    </xf>
    <xf numFmtId="188" fontId="44" fillId="0" borderId="35" xfId="0" applyNumberFormat="1" applyFont="1" applyBorder="1" applyAlignment="1">
      <alignment horizontal="center"/>
    </xf>
    <xf numFmtId="177" fontId="44" fillId="0" borderId="35" xfId="0" applyNumberFormat="1" applyFont="1" applyBorder="1" applyAlignment="1">
      <alignment horizontal="center" vertical="center"/>
    </xf>
    <xf numFmtId="0" fontId="47" fillId="0" borderId="35" xfId="0" applyFont="1" applyBorder="1" applyAlignment="1">
      <alignment horizontal="center"/>
    </xf>
    <xf numFmtId="188" fontId="47" fillId="0" borderId="35" xfId="0" applyNumberFormat="1" applyFont="1" applyBorder="1" applyAlignment="1">
      <alignment horizontal="center"/>
    </xf>
    <xf numFmtId="177" fontId="47" fillId="0" borderId="35" xfId="0" applyNumberFormat="1" applyFont="1" applyBorder="1" applyAlignment="1">
      <alignment horizontal="center" vertical="center"/>
    </xf>
    <xf numFmtId="0" fontId="15" fillId="7" borderId="0" xfId="0" applyFont="1" applyFill="1" applyAlignment="1"/>
    <xf numFmtId="189" fontId="42" fillId="21" borderId="35" xfId="0" applyNumberFormat="1" applyFont="1" applyFill="1" applyBorder="1" applyAlignment="1">
      <alignment horizontal="center" vertical="center"/>
    </xf>
    <xf numFmtId="0" fontId="42" fillId="21" borderId="45" xfId="0" applyFont="1" applyFill="1" applyBorder="1" applyAlignment="1">
      <alignment horizontal="center" vertical="center"/>
    </xf>
    <xf numFmtId="189" fontId="44" fillId="0" borderId="35" xfId="0" applyNumberFormat="1" applyFont="1" applyBorder="1" applyAlignment="1">
      <alignment horizontal="center" vertical="center"/>
    </xf>
    <xf numFmtId="1" fontId="52" fillId="0" borderId="35" xfId="0" applyNumberFormat="1" applyFont="1" applyFill="1" applyBorder="1" applyAlignment="1">
      <alignment horizontal="center" vertical="center"/>
    </xf>
    <xf numFmtId="2" fontId="52" fillId="0" borderId="35" xfId="0" applyNumberFormat="1" applyFont="1" applyFill="1" applyBorder="1" applyAlignment="1">
      <alignment horizontal="center" vertical="center"/>
    </xf>
    <xf numFmtId="1" fontId="44" fillId="0" borderId="35" xfId="0" applyNumberFormat="1" applyFont="1" applyBorder="1" applyAlignment="1">
      <alignment horizontal="center" vertical="center"/>
    </xf>
    <xf numFmtId="2" fontId="44" fillId="0" borderId="35" xfId="0" applyNumberFormat="1" applyFont="1" applyBorder="1" applyAlignment="1">
      <alignment horizontal="center" vertical="center"/>
    </xf>
    <xf numFmtId="2" fontId="52" fillId="23" borderId="35" xfId="0" applyNumberFormat="1" applyFont="1" applyFill="1" applyBorder="1" applyAlignment="1">
      <alignment horizontal="center" vertical="center"/>
    </xf>
    <xf numFmtId="1" fontId="44" fillId="0" borderId="35" xfId="0" applyNumberFormat="1" applyFont="1" applyBorder="1" applyAlignment="1">
      <alignment horizontal="center"/>
    </xf>
    <xf numFmtId="1" fontId="47" fillId="0" borderId="35" xfId="0" applyNumberFormat="1" applyFont="1" applyBorder="1" applyAlignment="1">
      <alignment horizontal="center"/>
    </xf>
    <xf numFmtId="2" fontId="47" fillId="0" borderId="35" xfId="0" applyNumberFormat="1" applyFont="1" applyBorder="1" applyAlignment="1">
      <alignment horizontal="center"/>
    </xf>
    <xf numFmtId="0" fontId="47" fillId="17" borderId="35" xfId="0" applyFont="1" applyFill="1" applyBorder="1" applyAlignment="1">
      <alignment horizontal="center"/>
    </xf>
    <xf numFmtId="188" fontId="47" fillId="17" borderId="35" xfId="0" applyNumberFormat="1" applyFont="1" applyFill="1" applyBorder="1" applyAlignment="1">
      <alignment horizontal="center"/>
    </xf>
    <xf numFmtId="177" fontId="47" fillId="17" borderId="35" xfId="0" applyNumberFormat="1" applyFont="1" applyFill="1" applyBorder="1" applyAlignment="1">
      <alignment horizontal="center" vertical="center"/>
    </xf>
    <xf numFmtId="2" fontId="42" fillId="21" borderId="36" xfId="2" applyNumberFormat="1" applyFont="1" applyFill="1" applyBorder="1" applyAlignment="1">
      <alignment horizontal="center" vertical="center"/>
    </xf>
    <xf numFmtId="2" fontId="47" fillId="22" borderId="36" xfId="0" applyNumberFormat="1" applyFont="1" applyFill="1" applyBorder="1" applyAlignment="1">
      <alignment horizontal="center" vertical="center"/>
    </xf>
    <xf numFmtId="0" fontId="0" fillId="7" borderId="0" xfId="0" applyFill="1" applyAlignment="1">
      <alignment vertical="center"/>
    </xf>
    <xf numFmtId="0" fontId="51" fillId="21" borderId="0" xfId="0" applyFont="1" applyFill="1" applyAlignment="1">
      <alignment horizontal="left" vertical="center"/>
    </xf>
    <xf numFmtId="0" fontId="42" fillId="21" borderId="36" xfId="0" applyFont="1" applyFill="1" applyBorder="1" applyAlignment="1">
      <alignment horizontal="center" vertical="center"/>
    </xf>
    <xf numFmtId="190" fontId="20" fillId="0" borderId="36" xfId="0" applyNumberFormat="1" applyFont="1" applyFill="1" applyBorder="1" applyAlignment="1">
      <alignment horizontal="center" vertical="center"/>
    </xf>
    <xf numFmtId="178" fontId="44" fillId="13" borderId="46" xfId="4" applyNumberFormat="1" applyFont="1" applyFill="1" applyBorder="1" applyAlignment="1">
      <alignment horizontal="center" vertical="center" wrapText="1"/>
    </xf>
    <xf numFmtId="187" fontId="44" fillId="0" borderId="36" xfId="4" applyNumberFormat="1" applyFont="1" applyFill="1" applyBorder="1" applyAlignment="1">
      <alignment horizontal="center" vertical="center" wrapText="1"/>
    </xf>
    <xf numFmtId="190" fontId="20" fillId="0" borderId="36" xfId="0" applyNumberFormat="1" applyFont="1" applyFill="1" applyBorder="1" applyAlignment="1">
      <alignment horizontal="center" vertical="center" wrapText="1"/>
    </xf>
    <xf numFmtId="191" fontId="53" fillId="12" borderId="36" xfId="0" applyNumberFormat="1" applyFont="1" applyFill="1" applyBorder="1" applyAlignment="1">
      <alignment horizontal="center" vertical="center"/>
    </xf>
    <xf numFmtId="182" fontId="53" fillId="12" borderId="36" xfId="0" applyNumberFormat="1" applyFont="1" applyFill="1" applyBorder="1" applyAlignment="1">
      <alignment horizontal="center" vertical="center"/>
    </xf>
    <xf numFmtId="187" fontId="53" fillId="12" borderId="36" xfId="0" applyNumberFormat="1" applyFont="1" applyFill="1" applyBorder="1" applyAlignment="1">
      <alignment horizontal="center" vertical="center"/>
    </xf>
    <xf numFmtId="182" fontId="44" fillId="0" borderId="36" xfId="4" applyNumberFormat="1" applyFont="1" applyFill="1" applyBorder="1" applyAlignment="1">
      <alignment horizontal="center" vertical="center" wrapText="1"/>
    </xf>
    <xf numFmtId="177" fontId="53" fillId="12" borderId="40" xfId="0" applyNumberFormat="1" applyFont="1" applyFill="1" applyBorder="1" applyAlignment="1">
      <alignment horizontal="center" vertical="center"/>
    </xf>
    <xf numFmtId="182" fontId="53" fillId="12" borderId="40" xfId="0" applyNumberFormat="1" applyFont="1" applyFill="1" applyBorder="1" applyAlignment="1">
      <alignment horizontal="center" vertical="center"/>
    </xf>
    <xf numFmtId="177" fontId="16" fillId="0" borderId="35" xfId="0" applyNumberFormat="1" applyFont="1" applyFill="1" applyBorder="1" applyAlignment="1">
      <alignment horizontal="center" vertical="center"/>
    </xf>
    <xf numFmtId="177" fontId="0" fillId="7" borderId="0" xfId="0" applyNumberFormat="1" applyFill="1" applyAlignment="1">
      <alignment horizontal="center"/>
    </xf>
    <xf numFmtId="0" fontId="0" fillId="7" borderId="0" xfId="0" applyFill="1" applyAlignment="1">
      <alignment horizontal="center" vertical="center"/>
    </xf>
    <xf numFmtId="0" fontId="17" fillId="0" borderId="35" xfId="0" applyFont="1" applyBorder="1" applyAlignment="1">
      <alignment horizontal="center"/>
    </xf>
    <xf numFmtId="0" fontId="16" fillId="0" borderId="35" xfId="0" applyFont="1" applyFill="1" applyBorder="1" applyAlignment="1">
      <alignment horizontal="center" vertical="center"/>
    </xf>
    <xf numFmtId="177" fontId="17" fillId="0" borderId="35" xfId="0" applyNumberFormat="1" applyFont="1" applyBorder="1" applyAlignment="1">
      <alignment horizontal="center"/>
    </xf>
    <xf numFmtId="1" fontId="54" fillId="0" borderId="35" xfId="0" applyNumberFormat="1" applyFont="1" applyFill="1" applyBorder="1" applyAlignment="1">
      <alignment horizontal="center" vertical="center"/>
    </xf>
    <xf numFmtId="177" fontId="55" fillId="0" borderId="35" xfId="0" applyNumberFormat="1" applyFont="1" applyBorder="1" applyAlignment="1">
      <alignment horizontal="center"/>
    </xf>
    <xf numFmtId="0" fontId="9" fillId="0" borderId="0" xfId="0" applyFont="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44" fillId="0" borderId="36" xfId="0" applyFont="1" applyBorder="1" applyAlignment="1">
      <alignment horizontal="center"/>
    </xf>
    <xf numFmtId="0" fontId="47" fillId="22" borderId="36" xfId="0" applyFont="1" applyFill="1" applyBorder="1" applyAlignment="1">
      <alignment horizontal="center"/>
    </xf>
    <xf numFmtId="187" fontId="44" fillId="13" borderId="36" xfId="0" applyNumberFormat="1" applyFont="1" applyFill="1" applyBorder="1" applyAlignment="1">
      <alignment horizontal="center"/>
    </xf>
    <xf numFmtId="177" fontId="44" fillId="13" borderId="36" xfId="0" applyNumberFormat="1" applyFont="1" applyFill="1" applyBorder="1" applyAlignment="1">
      <alignment horizontal="center" vertical="center"/>
    </xf>
    <xf numFmtId="187" fontId="44" fillId="13" borderId="36" xfId="0" applyNumberFormat="1" applyFont="1" applyFill="1" applyBorder="1" applyAlignment="1">
      <alignment horizontal="center" vertical="center"/>
    </xf>
    <xf numFmtId="1" fontId="44" fillId="13" borderId="36" xfId="0" applyNumberFormat="1" applyFont="1" applyFill="1" applyBorder="1" applyAlignment="1">
      <alignment horizontal="center"/>
    </xf>
    <xf numFmtId="2" fontId="44" fillId="13" borderId="36" xfId="0" applyNumberFormat="1" applyFont="1" applyFill="1" applyBorder="1" applyAlignment="1">
      <alignment horizontal="center" vertical="center"/>
    </xf>
    <xf numFmtId="2" fontId="0" fillId="0" borderId="0" xfId="0" applyNumberFormat="1">
      <alignment vertical="center"/>
    </xf>
    <xf numFmtId="192" fontId="0" fillId="0" borderId="0" xfId="0" applyNumberFormat="1" applyAlignment="1">
      <alignment horizontal="center" vertical="center"/>
    </xf>
    <xf numFmtId="0" fontId="41" fillId="20" borderId="36" xfId="0" applyFont="1" applyFill="1" applyBorder="1" applyAlignment="1">
      <alignment horizontal="center" vertical="center"/>
    </xf>
    <xf numFmtId="180" fontId="27" fillId="0" borderId="36" xfId="1" applyFont="1" applyBorder="1" applyAlignment="1">
      <alignment horizontal="center" vertical="center"/>
    </xf>
    <xf numFmtId="180" fontId="27" fillId="0" borderId="36" xfId="1" applyFont="1" applyFill="1" applyBorder="1" applyAlignment="1">
      <alignment horizontal="center" vertical="center"/>
    </xf>
    <xf numFmtId="180" fontId="27" fillId="13" borderId="36" xfId="1" applyFont="1" applyFill="1" applyBorder="1" applyAlignment="1">
      <alignment horizontal="center" vertical="center"/>
    </xf>
    <xf numFmtId="180" fontId="27" fillId="8" borderId="36" xfId="1" applyFont="1" applyFill="1" applyBorder="1" applyAlignment="1">
      <alignment horizontal="center" vertical="center"/>
    </xf>
    <xf numFmtId="0" fontId="0" fillId="0" borderId="36" xfId="0" applyBorder="1" applyAlignment="1">
      <alignment horizontal="center" vertical="center"/>
    </xf>
    <xf numFmtId="180" fontId="41" fillId="20" borderId="36" xfId="1" applyFont="1" applyFill="1" applyBorder="1" applyAlignment="1">
      <alignment horizontal="center" vertical="center"/>
    </xf>
    <xf numFmtId="0" fontId="26" fillId="0" borderId="0" xfId="0" applyFont="1" applyAlignment="1" applyProtection="1">
      <alignment horizontal="center" vertical="center"/>
      <protection locked="0"/>
    </xf>
    <xf numFmtId="41" fontId="4" fillId="0" borderId="3" xfId="1" applyNumberFormat="1" applyFont="1" applyFill="1" applyBorder="1" applyAlignment="1">
      <alignment horizontal="center" vertical="center" textRotation="255"/>
    </xf>
    <xf numFmtId="41" fontId="4" fillId="0" borderId="5" xfId="1" applyNumberFormat="1" applyFont="1" applyFill="1" applyBorder="1" applyAlignment="1">
      <alignment horizontal="center" vertical="center" textRotation="255"/>
    </xf>
    <xf numFmtId="41" fontId="4" fillId="0" borderId="6" xfId="1" applyNumberFormat="1" applyFont="1" applyFill="1" applyBorder="1" applyAlignment="1">
      <alignment horizontal="center" vertical="center" textRotation="255"/>
    </xf>
    <xf numFmtId="41" fontId="4" fillId="0" borderId="3" xfId="1" applyNumberFormat="1" applyFont="1" applyBorder="1" applyAlignment="1">
      <alignment horizontal="center" vertical="top" textRotation="255" wrapText="1"/>
    </xf>
    <xf numFmtId="41" fontId="4" fillId="0" borderId="5" xfId="1" applyNumberFormat="1" applyFont="1" applyBorder="1" applyAlignment="1">
      <alignment horizontal="center" vertical="top" textRotation="255" wrapText="1"/>
    </xf>
    <xf numFmtId="41" fontId="4" fillId="0" borderId="6" xfId="1" applyNumberFormat="1" applyFont="1" applyBorder="1" applyAlignment="1">
      <alignment horizontal="center" vertical="top" textRotation="255" wrapText="1"/>
    </xf>
    <xf numFmtId="41" fontId="4" fillId="0" borderId="3" xfId="1" applyNumberFormat="1" applyFont="1" applyBorder="1" applyAlignment="1">
      <alignment horizontal="center" vertical="center" textRotation="255" wrapText="1"/>
    </xf>
    <xf numFmtId="41" fontId="4" fillId="0" borderId="5" xfId="1" applyNumberFormat="1" applyFont="1" applyBorder="1" applyAlignment="1">
      <alignment horizontal="center" vertical="center" textRotation="255" wrapText="1"/>
    </xf>
    <xf numFmtId="41" fontId="4" fillId="0" borderId="6" xfId="1" applyNumberFormat="1" applyFont="1" applyBorder="1" applyAlignment="1">
      <alignment horizontal="center" vertical="center" textRotation="255" wrapText="1"/>
    </xf>
    <xf numFmtId="43" fontId="7" fillId="0" borderId="0" xfId="1" applyNumberFormat="1" applyFont="1" applyAlignment="1">
      <alignment horizontal="center"/>
    </xf>
    <xf numFmtId="49" fontId="22" fillId="0" borderId="0" xfId="0" applyNumberFormat="1" applyFont="1" applyFill="1" applyBorder="1" applyAlignment="1" applyProtection="1">
      <alignment horizontal="center" vertical="center"/>
      <protection locked="0"/>
    </xf>
    <xf numFmtId="0" fontId="47" fillId="22" borderId="37" xfId="0" applyFont="1" applyFill="1" applyBorder="1" applyAlignment="1">
      <alignment horizontal="center"/>
    </xf>
    <xf numFmtId="0" fontId="47" fillId="22" borderId="39" xfId="0" applyFont="1" applyFill="1" applyBorder="1" applyAlignment="1">
      <alignment horizontal="center"/>
    </xf>
    <xf numFmtId="0" fontId="42" fillId="21" borderId="40" xfId="0" applyFont="1" applyFill="1" applyBorder="1" applyAlignment="1">
      <alignment horizontal="center" vertical="center" wrapText="1"/>
    </xf>
    <xf numFmtId="0" fontId="42" fillId="21" borderId="44" xfId="0" applyFont="1" applyFill="1" applyBorder="1" applyAlignment="1">
      <alignment horizontal="center" vertical="center" wrapText="1"/>
    </xf>
    <xf numFmtId="0" fontId="43" fillId="21" borderId="40" xfId="0" applyFont="1" applyFill="1" applyBorder="1" applyAlignment="1">
      <alignment horizontal="center" vertical="center"/>
    </xf>
    <xf numFmtId="0" fontId="43" fillId="21" borderId="44" xfId="0" applyFont="1" applyFill="1" applyBorder="1" applyAlignment="1">
      <alignment horizontal="center" vertical="center"/>
    </xf>
    <xf numFmtId="0" fontId="42" fillId="21" borderId="41" xfId="0" applyFont="1" applyFill="1" applyBorder="1" applyAlignment="1">
      <alignment horizontal="center" vertical="center"/>
    </xf>
    <xf numFmtId="0" fontId="42" fillId="21" borderId="42" xfId="0" applyFont="1" applyFill="1" applyBorder="1" applyAlignment="1">
      <alignment horizontal="center" vertical="center"/>
    </xf>
    <xf numFmtId="0" fontId="42" fillId="21" borderId="43" xfId="0" applyFont="1" applyFill="1" applyBorder="1" applyAlignment="1">
      <alignment horizontal="center" vertical="center"/>
    </xf>
    <xf numFmtId="0" fontId="42" fillId="21" borderId="36" xfId="0" applyFont="1" applyFill="1" applyBorder="1" applyAlignment="1">
      <alignment horizontal="center" vertical="center" wrapText="1"/>
    </xf>
    <xf numFmtId="0" fontId="43" fillId="21" borderId="37" xfId="0" applyFont="1" applyFill="1" applyBorder="1" applyAlignment="1">
      <alignment horizontal="center" vertical="center"/>
    </xf>
    <xf numFmtId="0" fontId="43" fillId="21" borderId="38" xfId="0" applyFont="1" applyFill="1" applyBorder="1" applyAlignment="1">
      <alignment horizontal="center" vertical="center"/>
    </xf>
    <xf numFmtId="0" fontId="43" fillId="21" borderId="39" xfId="0" applyFont="1" applyFill="1" applyBorder="1" applyAlignment="1">
      <alignment horizontal="center" vertical="center"/>
    </xf>
    <xf numFmtId="0" fontId="47" fillId="22" borderId="37" xfId="0" applyFont="1" applyFill="1" applyBorder="1" applyAlignment="1">
      <alignment horizontal="left"/>
    </xf>
    <xf numFmtId="0" fontId="47" fillId="22" borderId="39" xfId="0" applyFont="1" applyFill="1" applyBorder="1" applyAlignment="1">
      <alignment horizontal="left"/>
    </xf>
    <xf numFmtId="177" fontId="16" fillId="0" borderId="49" xfId="0" applyNumberFormat="1" applyFont="1" applyFill="1" applyBorder="1" applyAlignment="1">
      <alignment horizontal="center" vertical="center"/>
    </xf>
    <xf numFmtId="177" fontId="16" fillId="0" borderId="50" xfId="0" applyNumberFormat="1" applyFont="1" applyFill="1" applyBorder="1" applyAlignment="1">
      <alignment horizontal="center" vertical="center"/>
    </xf>
    <xf numFmtId="0" fontId="17" fillId="0" borderId="49" xfId="0" applyFont="1" applyBorder="1" applyAlignment="1">
      <alignment horizontal="center"/>
    </xf>
    <xf numFmtId="0" fontId="17" fillId="0" borderId="50" xfId="0" applyFont="1" applyBorder="1" applyAlignment="1">
      <alignment horizontal="center"/>
    </xf>
    <xf numFmtId="0" fontId="54" fillId="0" borderId="47" xfId="0" applyFont="1" applyFill="1" applyBorder="1" applyAlignment="1">
      <alignment horizontal="center" vertical="center"/>
    </xf>
    <xf numFmtId="0" fontId="54" fillId="0" borderId="48" xfId="0" applyFont="1" applyFill="1" applyBorder="1" applyAlignment="1">
      <alignment horizontal="center" vertical="center"/>
    </xf>
    <xf numFmtId="180" fontId="38" fillId="0" borderId="16" xfId="1" applyFont="1" applyBorder="1" applyAlignment="1">
      <alignment horizontal="center" vertical="center"/>
    </xf>
  </cellXfs>
  <cellStyles count="5">
    <cellStyle name="百分比" xfId="2" builtinId="5"/>
    <cellStyle name="常规" xfId="0" builtinId="0"/>
    <cellStyle name="常规_2012年自营汇总表" xfId="4"/>
    <cellStyle name="千位分隔" xfId="1" builtinId="3"/>
    <cellStyle name="千位分隔 2" xfId="3"/>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4&#26376;/&#32771;&#26680;&#25968;&#25454;&#35843;&#25972;&#34920;2016&#24180;04&#26376;&#65288;&#28145;&#20998;&#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32771;&#26680;&#35843;&#25972;&#27169;&#2649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andan\Desktop\2017.12\2017.12\&#32771;&#26680;&#25968;&#25454;&#35843;&#25972;&#34920;2017&#24180;12&#26376;010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771;&#26680;201801/2018&#24180;&#26085;&#22343;&#65288;1&#26376;&#6528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771;&#26680;/&#32771;&#26680;&#35843;&#25972;/2017.12/2017&#24180;&#19994;&#21153;&#37096;&#38376;&#36164;&#37329;&#26085;&#22343;&#21344;&#29992;&#32479;&#35745;&#34920;&#65288;&#26680;&#23454;&#29256;&#32456;&#65289;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考核调整事项表"/>
      <sheetName val="Sheet1"/>
    </sheetNames>
    <sheetDataSet>
      <sheetData sheetId="0"/>
      <sheetData sheetId="1"/>
      <sheetData sheetId="2">
        <row r="1">
          <cell r="K1" t="str">
            <v>其他</v>
          </cell>
        </row>
        <row r="2">
          <cell r="K2" t="str">
            <v>总部中后台</v>
          </cell>
        </row>
        <row r="3">
          <cell r="K3" t="str">
            <v>经纪业务部</v>
          </cell>
        </row>
        <row r="4">
          <cell r="K4" t="str">
            <v>资产管理部</v>
          </cell>
        </row>
        <row r="5">
          <cell r="K5" t="str">
            <v>固定收益部</v>
          </cell>
        </row>
        <row r="6">
          <cell r="K6" t="str">
            <v>证券投资部</v>
          </cell>
        </row>
        <row r="7">
          <cell r="K7" t="str">
            <v>金融衍生品投资部</v>
          </cell>
        </row>
        <row r="8">
          <cell r="K8" t="str">
            <v>风险管理部</v>
          </cell>
        </row>
        <row r="9">
          <cell r="K9" t="str">
            <v>深圳管理部</v>
          </cell>
        </row>
        <row r="10">
          <cell r="K10" t="str">
            <v>金融工程部</v>
          </cell>
        </row>
        <row r="11">
          <cell r="K11" t="str">
            <v>中小企业融资部</v>
          </cell>
        </row>
        <row r="12">
          <cell r="K12" t="str">
            <v>财务顾问部</v>
          </cell>
        </row>
        <row r="13">
          <cell r="K13" t="str">
            <v>债券融资部</v>
          </cell>
        </row>
        <row r="14">
          <cell r="K14" t="str">
            <v>股权融资部</v>
          </cell>
        </row>
        <row r="15">
          <cell r="K15" t="str">
            <v>投资银行总部</v>
          </cell>
        </row>
        <row r="16">
          <cell r="K16" t="str">
            <v>浙江总部</v>
          </cell>
        </row>
        <row r="17">
          <cell r="K17" t="str">
            <v>综合业务部</v>
          </cell>
        </row>
        <row r="18">
          <cell r="K18" t="str">
            <v>网络金融部</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利润考核表结果表"/>
      <sheetName val="费用考核表结果表"/>
      <sheetName val="用友贴出原始数据"/>
      <sheetName val="财务报表"/>
      <sheetName val="资金"/>
      <sheetName val="导出调整事项备查"/>
    </sheetNames>
    <sheetDataSet>
      <sheetData sheetId="0">
        <row r="4">
          <cell r="D4">
            <v>-29609982.870000001</v>
          </cell>
        </row>
      </sheetData>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考核调整事项表"/>
      <sheetName val="分部报表（费用）"/>
      <sheetName val="调整后万元版"/>
      <sheetName val="Sheet2"/>
      <sheetName val="入经总长摊明细表"/>
      <sheetName val="呼叫中心转运营支持部"/>
      <sheetName val="Sheet1"/>
    </sheetNames>
    <sheetDataSet>
      <sheetData sheetId="0">
        <row r="64">
          <cell r="E64">
            <v>1007160442.6983018</v>
          </cell>
        </row>
      </sheetData>
      <sheetData sheetId="1"/>
      <sheetData sheetId="2">
        <row r="63">
          <cell r="C63">
            <v>2567592.62</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按条线划分"/>
      <sheetName val="日均明细表"/>
    </sheetNames>
    <sheetDataSet>
      <sheetData sheetId="0"/>
      <sheetData sheetId="1">
        <row r="3">
          <cell r="NE3">
            <v>561228192.46999979</v>
          </cell>
        </row>
        <row r="4">
          <cell r="NE4">
            <v>697984698.16870916</v>
          </cell>
        </row>
        <row r="10">
          <cell r="NE10">
            <v>186356332.06999996</v>
          </cell>
        </row>
        <row r="13">
          <cell r="NE13">
            <v>90965951.269999996</v>
          </cell>
        </row>
        <row r="15">
          <cell r="NE15">
            <v>1281925093.6399996</v>
          </cell>
        </row>
        <row r="24">
          <cell r="NE24">
            <v>74063391.5</v>
          </cell>
        </row>
        <row r="30">
          <cell r="NE30">
            <v>432633555.30999994</v>
          </cell>
        </row>
        <row r="32">
          <cell r="NE32">
            <v>380122716.21129024</v>
          </cell>
        </row>
        <row r="33">
          <cell r="NE33">
            <v>191250696.12096775</v>
          </cell>
        </row>
        <row r="36">
          <cell r="NE36">
            <v>1091435.5300000005</v>
          </cell>
        </row>
        <row r="37">
          <cell r="NE37">
            <v>6685192258.0645161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业务部门资金日均占用统计表"/>
    </sheetNames>
    <sheetDataSet>
      <sheetData sheetId="0">
        <row r="9">
          <cell r="B9">
            <v>789030823.55999994</v>
          </cell>
          <cell r="C9">
            <v>769030823.56999993</v>
          </cell>
          <cell r="G9">
            <v>53110297.700000003</v>
          </cell>
          <cell r="L9">
            <v>1688704329.6399999</v>
          </cell>
          <cell r="N9">
            <v>307295084.53999996</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09"/>
  <sheetViews>
    <sheetView workbookViewId="0">
      <pane xSplit="1" ySplit="3" topLeftCell="B4" activePane="bottomRight" state="frozen"/>
      <selection pane="topRight"/>
      <selection pane="bottomLeft"/>
      <selection pane="bottomRight" activeCell="D14" sqref="D14"/>
    </sheetView>
  </sheetViews>
  <sheetFormatPr defaultColWidth="9" defaultRowHeight="13.5"/>
  <cols>
    <col min="1" max="1" width="35.125" style="218" customWidth="1"/>
    <col min="2" max="2" width="18" style="100" customWidth="1"/>
    <col min="3" max="3" width="17.375" style="100" customWidth="1"/>
    <col min="4" max="4" width="15.125" style="100" customWidth="1"/>
    <col min="5" max="5" width="14.75" style="100" customWidth="1"/>
    <col min="6" max="10" width="17.875" style="100" customWidth="1"/>
    <col min="11" max="12" width="17.25" style="100" customWidth="1"/>
    <col min="13" max="15" width="17.875" style="100" customWidth="1"/>
    <col min="16" max="16" width="15.75" style="100" customWidth="1"/>
    <col min="17" max="18" width="17.25" style="100" customWidth="1"/>
    <col min="19" max="19" width="14.125" style="100" customWidth="1"/>
    <col min="20" max="20" width="15.125" style="100" customWidth="1"/>
    <col min="21" max="23" width="16.125" style="100" customWidth="1"/>
    <col min="24" max="24" width="12" style="100" customWidth="1"/>
    <col min="25" max="25" width="12.25" style="100" customWidth="1"/>
    <col min="26" max="28" width="16.125" style="100" customWidth="1"/>
    <col min="29" max="29" width="14.25" style="100" customWidth="1"/>
    <col min="30" max="30" width="10.5" style="100" customWidth="1"/>
    <col min="31" max="32" width="16.125" style="100" customWidth="1"/>
    <col min="33" max="16384" width="9" style="100"/>
  </cols>
  <sheetData>
    <row r="1" spans="1:32" ht="22.5" customHeight="1">
      <c r="A1" s="435" t="s">
        <v>0</v>
      </c>
      <c r="B1" s="435"/>
      <c r="C1" s="435"/>
      <c r="D1" s="435"/>
      <c r="E1" s="435"/>
      <c r="F1" s="435"/>
      <c r="G1" s="435"/>
      <c r="H1" s="435"/>
      <c r="I1" s="435"/>
      <c r="J1" s="435"/>
      <c r="K1" s="435"/>
      <c r="L1" s="435"/>
      <c r="M1" s="435"/>
      <c r="N1" s="435"/>
      <c r="O1" s="435"/>
      <c r="P1" s="435"/>
      <c r="Q1" s="435"/>
      <c r="R1" s="435"/>
      <c r="S1" s="435"/>
      <c r="T1" s="435"/>
      <c r="U1" s="435"/>
      <c r="V1" s="435"/>
      <c r="W1" s="435"/>
      <c r="X1" s="435"/>
      <c r="Y1" s="435"/>
      <c r="Z1" s="435"/>
      <c r="AA1" s="435"/>
      <c r="AB1" s="435"/>
      <c r="AC1" s="435"/>
    </row>
    <row r="2" spans="1:32">
      <c r="A2" s="197" t="s">
        <v>1</v>
      </c>
      <c r="B2" s="101" t="s">
        <v>2</v>
      </c>
      <c r="C2" s="102"/>
      <c r="D2" s="103">
        <f>D4-[2]利润考核表结果表!$D$4</f>
        <v>0</v>
      </c>
      <c r="E2" s="103"/>
      <c r="F2" s="99">
        <v>1</v>
      </c>
      <c r="G2" s="104">
        <v>5.5E-2</v>
      </c>
      <c r="H2" s="102"/>
      <c r="I2" s="102"/>
      <c r="J2" s="102"/>
      <c r="K2" s="102"/>
      <c r="L2" s="102"/>
      <c r="M2" s="102"/>
      <c r="N2" s="102"/>
      <c r="O2" s="102"/>
      <c r="P2" s="102"/>
      <c r="Q2" s="102"/>
      <c r="R2" s="102"/>
      <c r="S2" s="102"/>
      <c r="T2" s="102"/>
      <c r="U2" s="102"/>
      <c r="V2" s="102"/>
      <c r="W2" s="102"/>
      <c r="X2" s="102"/>
      <c r="Y2" s="102"/>
      <c r="Z2" s="102"/>
      <c r="AA2" s="102"/>
      <c r="AB2" s="102"/>
      <c r="AC2" s="102"/>
      <c r="AE2" s="96"/>
      <c r="AF2" s="96"/>
    </row>
    <row r="3" spans="1:32" s="194" customFormat="1" ht="14.25" customHeight="1">
      <c r="A3" s="196" t="s">
        <v>3</v>
      </c>
      <c r="B3" s="196" t="s">
        <v>4</v>
      </c>
      <c r="C3" s="196" t="s">
        <v>5</v>
      </c>
      <c r="D3" s="196" t="s">
        <v>6</v>
      </c>
      <c r="E3" s="196" t="s">
        <v>7</v>
      </c>
      <c r="F3" s="196" t="s">
        <v>9</v>
      </c>
      <c r="G3" s="196" t="s">
        <v>454</v>
      </c>
      <c r="H3" s="196" t="s">
        <v>10</v>
      </c>
      <c r="I3" s="196" t="s">
        <v>12</v>
      </c>
      <c r="J3" s="196" t="s">
        <v>17</v>
      </c>
      <c r="K3" s="196" t="s">
        <v>453</v>
      </c>
      <c r="L3" s="196" t="s">
        <v>14</v>
      </c>
      <c r="M3" s="196" t="s">
        <v>15</v>
      </c>
      <c r="N3" s="196" t="s">
        <v>11</v>
      </c>
      <c r="O3" s="196" t="s">
        <v>16</v>
      </c>
      <c r="P3" s="196" t="s">
        <v>452</v>
      </c>
      <c r="Q3" s="196" t="s">
        <v>18</v>
      </c>
      <c r="R3" s="196" t="s">
        <v>19</v>
      </c>
      <c r="S3" s="196" t="s">
        <v>424</v>
      </c>
      <c r="T3" s="196" t="s">
        <v>21</v>
      </c>
      <c r="U3" s="196" t="s">
        <v>449</v>
      </c>
      <c r="V3" s="196" t="s">
        <v>450</v>
      </c>
      <c r="W3" s="196" t="s">
        <v>451</v>
      </c>
      <c r="X3" s="196" t="s">
        <v>25</v>
      </c>
      <c r="Y3" s="196" t="s">
        <v>26</v>
      </c>
      <c r="Z3" s="196" t="s">
        <v>27</v>
      </c>
      <c r="AA3" s="196" t="s">
        <v>28</v>
      </c>
      <c r="AB3" s="196" t="s">
        <v>29</v>
      </c>
      <c r="AC3" s="196" t="s">
        <v>30</v>
      </c>
    </row>
    <row r="4" spans="1:32" s="181" customFormat="1">
      <c r="A4" s="198" t="s">
        <v>31</v>
      </c>
      <c r="B4" s="243">
        <f>C4+D4+E4+F4+G4+K4+P4+S4+T4+AB4+AC4</f>
        <v>45062698.460000016</v>
      </c>
      <c r="C4" s="176">
        <v>4.9000000000000004</v>
      </c>
      <c r="D4" s="182">
        <v>-29609982.870000001</v>
      </c>
      <c r="E4" s="176">
        <v>83778272.470000014</v>
      </c>
      <c r="F4" s="176">
        <v>632751.64</v>
      </c>
      <c r="G4" s="236">
        <f>H4+I4+J4</f>
        <v>37786122.980000004</v>
      </c>
      <c r="H4" s="176">
        <v>2030396.58</v>
      </c>
      <c r="I4" s="176">
        <v>531986.43999999994</v>
      </c>
      <c r="J4" s="176">
        <v>35223739.960000001</v>
      </c>
      <c r="K4" s="236">
        <f>L4+M4+N4+O4</f>
        <v>19019230.800000001</v>
      </c>
      <c r="L4" s="176">
        <v>6201353.1699999999</v>
      </c>
      <c r="M4" s="176">
        <v>11023453.189999998</v>
      </c>
      <c r="N4" s="176">
        <v>1699309.42</v>
      </c>
      <c r="O4" s="176">
        <v>95115.02</v>
      </c>
      <c r="P4" s="236">
        <f>Q4+R4</f>
        <v>-67138632.969999999</v>
      </c>
      <c r="Q4" s="176">
        <v>-69107872.549999997</v>
      </c>
      <c r="R4" s="176">
        <v>1969239.58</v>
      </c>
      <c r="S4" s="176">
        <v>-50</v>
      </c>
      <c r="T4" s="236">
        <f>U4+V4+W4+X4+Y4+Z4+AA4</f>
        <v>594981.51</v>
      </c>
      <c r="U4" s="176">
        <v>-104796.51</v>
      </c>
      <c r="V4" s="176">
        <v>188679.25</v>
      </c>
      <c r="W4" s="176">
        <v>511097.17</v>
      </c>
      <c r="X4" s="176">
        <v>0</v>
      </c>
      <c r="Y4" s="176">
        <v>0</v>
      </c>
      <c r="Z4" s="176">
        <v>1.6</v>
      </c>
      <c r="AA4" s="176">
        <v>0</v>
      </c>
      <c r="AB4" s="176">
        <v>0</v>
      </c>
      <c r="AC4" s="176">
        <v>0</v>
      </c>
    </row>
    <row r="5" spans="1:32" s="191" customFormat="1">
      <c r="A5" s="199" t="s">
        <v>32</v>
      </c>
      <c r="B5" s="244">
        <f t="shared" ref="B5:B29" si="0">C5+D5+E5+F5+G5+K5+P5+S5+T5+AB5+AC5</f>
        <v>48058084</v>
      </c>
      <c r="C5" s="188">
        <v>0</v>
      </c>
      <c r="D5" s="189">
        <v>-46026.61</v>
      </c>
      <c r="E5" s="190">
        <v>43181386.460000001</v>
      </c>
      <c r="F5" s="188">
        <v>451495.12</v>
      </c>
      <c r="G5" s="236">
        <f t="shared" ref="G5:G29" si="1">H5+I5+J5</f>
        <v>2562383.02</v>
      </c>
      <c r="H5" s="188">
        <v>2030396.58</v>
      </c>
      <c r="I5" s="188">
        <v>531986.43999999994</v>
      </c>
      <c r="J5" s="190">
        <v>0</v>
      </c>
      <c r="K5" s="236">
        <f t="shared" ref="K5:K29" si="2">L5+M5+N5+O5</f>
        <v>1313916.1000000001</v>
      </c>
      <c r="L5" s="188">
        <v>-508829.91</v>
      </c>
      <c r="M5" s="188">
        <v>28321.57</v>
      </c>
      <c r="N5" s="188">
        <v>1699309.42</v>
      </c>
      <c r="O5" s="188">
        <v>95115.02</v>
      </c>
      <c r="P5" s="237">
        <f t="shared" ref="P5:P29" si="3">Q5+R5</f>
        <v>0</v>
      </c>
      <c r="Q5" s="188">
        <v>0</v>
      </c>
      <c r="R5" s="188">
        <v>0</v>
      </c>
      <c r="S5" s="188">
        <v>-50</v>
      </c>
      <c r="T5" s="236">
        <f t="shared" ref="T5:T27" si="4">U5+V5+W5+X5+Y5+Z5+AA5</f>
        <v>594979.91</v>
      </c>
      <c r="U5" s="188">
        <v>-104796.51</v>
      </c>
      <c r="V5" s="188">
        <v>188679.25</v>
      </c>
      <c r="W5" s="188">
        <v>511097.17</v>
      </c>
      <c r="X5" s="188">
        <v>0</v>
      </c>
      <c r="Y5" s="188">
        <v>0</v>
      </c>
      <c r="Z5" s="188">
        <v>0</v>
      </c>
      <c r="AA5" s="188">
        <v>0</v>
      </c>
      <c r="AB5" s="188">
        <v>0</v>
      </c>
      <c r="AC5" s="188">
        <v>0</v>
      </c>
    </row>
    <row r="6" spans="1:32" s="185" customFormat="1">
      <c r="A6" s="200" t="s">
        <v>33</v>
      </c>
      <c r="B6" s="245">
        <f t="shared" si="0"/>
        <v>43271482.589999996</v>
      </c>
      <c r="C6" s="186">
        <v>0</v>
      </c>
      <c r="D6" s="184">
        <v>0</v>
      </c>
      <c r="E6" s="179">
        <v>43194041.119999997</v>
      </c>
      <c r="F6" s="186">
        <v>530.04</v>
      </c>
      <c r="G6" s="236">
        <f t="shared" si="1"/>
        <v>76911.429999999993</v>
      </c>
      <c r="H6" s="186">
        <v>0</v>
      </c>
      <c r="I6" s="186">
        <v>76911.429999999993</v>
      </c>
      <c r="J6" s="179">
        <v>0</v>
      </c>
      <c r="K6" s="236">
        <f t="shared" si="2"/>
        <v>0</v>
      </c>
      <c r="L6" s="186">
        <v>0</v>
      </c>
      <c r="M6" s="186">
        <v>0</v>
      </c>
      <c r="N6" s="186">
        <v>0</v>
      </c>
      <c r="O6" s="186">
        <v>0</v>
      </c>
      <c r="P6" s="238">
        <f t="shared" si="3"/>
        <v>0</v>
      </c>
      <c r="Q6" s="186">
        <v>0</v>
      </c>
      <c r="R6" s="186">
        <v>0</v>
      </c>
      <c r="S6" s="186">
        <v>0</v>
      </c>
      <c r="T6" s="236">
        <f t="shared" si="4"/>
        <v>0</v>
      </c>
      <c r="U6" s="186">
        <v>0</v>
      </c>
      <c r="V6" s="186">
        <v>0</v>
      </c>
      <c r="W6" s="186">
        <v>0</v>
      </c>
      <c r="X6" s="186">
        <v>0</v>
      </c>
      <c r="Y6" s="186">
        <v>0</v>
      </c>
      <c r="Z6" s="186">
        <v>0</v>
      </c>
      <c r="AA6" s="186">
        <v>0</v>
      </c>
      <c r="AB6" s="186">
        <v>0</v>
      </c>
      <c r="AC6" s="186">
        <v>0</v>
      </c>
    </row>
    <row r="7" spans="1:32" s="185" customFormat="1">
      <c r="A7" s="200" t="s">
        <v>34</v>
      </c>
      <c r="B7" s="245">
        <f t="shared" si="0"/>
        <v>594979.91</v>
      </c>
      <c r="C7" s="186">
        <v>0</v>
      </c>
      <c r="D7" s="184">
        <v>0</v>
      </c>
      <c r="E7" s="179">
        <v>0</v>
      </c>
      <c r="F7" s="186">
        <v>0</v>
      </c>
      <c r="G7" s="236">
        <f t="shared" si="1"/>
        <v>0</v>
      </c>
      <c r="H7" s="186">
        <v>0</v>
      </c>
      <c r="I7" s="186">
        <v>0</v>
      </c>
      <c r="J7" s="179">
        <v>0</v>
      </c>
      <c r="K7" s="236">
        <f t="shared" si="2"/>
        <v>0</v>
      </c>
      <c r="L7" s="186">
        <v>0</v>
      </c>
      <c r="M7" s="186">
        <v>0</v>
      </c>
      <c r="N7" s="186">
        <v>0</v>
      </c>
      <c r="O7" s="186">
        <v>0</v>
      </c>
      <c r="P7" s="238">
        <f t="shared" si="3"/>
        <v>0</v>
      </c>
      <c r="Q7" s="186">
        <v>0</v>
      </c>
      <c r="R7" s="186">
        <v>0</v>
      </c>
      <c r="S7" s="186">
        <v>0</v>
      </c>
      <c r="T7" s="236">
        <f t="shared" si="4"/>
        <v>594979.91</v>
      </c>
      <c r="U7" s="186">
        <v>-104796.51</v>
      </c>
      <c r="V7" s="186">
        <v>188679.25</v>
      </c>
      <c r="W7" s="186">
        <v>511097.17</v>
      </c>
      <c r="X7" s="186">
        <v>0</v>
      </c>
      <c r="Y7" s="186">
        <v>0</v>
      </c>
      <c r="Z7" s="186">
        <v>0</v>
      </c>
      <c r="AA7" s="186">
        <v>0</v>
      </c>
      <c r="AB7" s="186">
        <v>0</v>
      </c>
      <c r="AC7" s="186">
        <v>0</v>
      </c>
    </row>
    <row r="8" spans="1:32" s="185" customFormat="1">
      <c r="A8" s="200" t="s">
        <v>35</v>
      </c>
      <c r="B8" s="245">
        <f t="shared" si="0"/>
        <v>4635746.09</v>
      </c>
      <c r="C8" s="186">
        <v>0</v>
      </c>
      <c r="D8" s="184">
        <v>0</v>
      </c>
      <c r="E8" s="179">
        <v>0</v>
      </c>
      <c r="F8" s="186">
        <v>450965.08</v>
      </c>
      <c r="G8" s="236">
        <f t="shared" si="1"/>
        <v>2485471.59</v>
      </c>
      <c r="H8" s="186">
        <v>2030396.58</v>
      </c>
      <c r="I8" s="186">
        <v>455075.01</v>
      </c>
      <c r="J8" s="179">
        <v>0</v>
      </c>
      <c r="K8" s="236">
        <f t="shared" si="2"/>
        <v>1699309.42</v>
      </c>
      <c r="L8" s="186">
        <v>0</v>
      </c>
      <c r="M8" s="186">
        <v>0</v>
      </c>
      <c r="N8" s="186">
        <v>1699309.42</v>
      </c>
      <c r="O8" s="186">
        <v>0</v>
      </c>
      <c r="P8" s="238">
        <f t="shared" si="3"/>
        <v>0</v>
      </c>
      <c r="Q8" s="186">
        <v>0</v>
      </c>
      <c r="R8" s="186">
        <v>0</v>
      </c>
      <c r="S8" s="186">
        <v>0</v>
      </c>
      <c r="T8" s="236">
        <f t="shared" si="4"/>
        <v>0</v>
      </c>
      <c r="U8" s="186">
        <v>0</v>
      </c>
      <c r="V8" s="186">
        <v>0</v>
      </c>
      <c r="W8" s="186">
        <v>0</v>
      </c>
      <c r="X8" s="186">
        <v>0</v>
      </c>
      <c r="Y8" s="186">
        <v>0</v>
      </c>
      <c r="Z8" s="186">
        <v>0</v>
      </c>
      <c r="AA8" s="186">
        <v>0</v>
      </c>
      <c r="AB8" s="186">
        <v>0</v>
      </c>
      <c r="AC8" s="186">
        <v>0</v>
      </c>
    </row>
    <row r="9" spans="1:32" s="185" customFormat="1">
      <c r="A9" s="201" t="s">
        <v>36</v>
      </c>
      <c r="B9" s="246">
        <f t="shared" si="0"/>
        <v>13586661.42</v>
      </c>
      <c r="C9" s="183">
        <v>4.9000000000000004</v>
      </c>
      <c r="D9" s="184">
        <v>-29611597.25</v>
      </c>
      <c r="E9" s="179">
        <v>40387449.780000001</v>
      </c>
      <c r="F9" s="183">
        <v>181256.52</v>
      </c>
      <c r="G9" s="236">
        <f t="shared" si="1"/>
        <v>2084605.18</v>
      </c>
      <c r="H9" s="183">
        <v>0</v>
      </c>
      <c r="I9" s="183">
        <v>0</v>
      </c>
      <c r="J9" s="179">
        <v>2084605.18</v>
      </c>
      <c r="K9" s="236">
        <f t="shared" si="2"/>
        <v>439059.23</v>
      </c>
      <c r="L9" s="183">
        <v>0</v>
      </c>
      <c r="M9" s="183">
        <v>439059.23</v>
      </c>
      <c r="N9" s="183">
        <v>0</v>
      </c>
      <c r="O9" s="183">
        <v>0</v>
      </c>
      <c r="P9" s="237">
        <f t="shared" si="3"/>
        <v>105881.46</v>
      </c>
      <c r="Q9" s="183">
        <v>0</v>
      </c>
      <c r="R9" s="183">
        <v>105881.46</v>
      </c>
      <c r="S9" s="183">
        <v>0</v>
      </c>
      <c r="T9" s="236">
        <f t="shared" si="4"/>
        <v>1.6</v>
      </c>
      <c r="U9" s="183">
        <v>0</v>
      </c>
      <c r="V9" s="183">
        <v>0</v>
      </c>
      <c r="W9" s="183">
        <v>0</v>
      </c>
      <c r="X9" s="183">
        <v>0</v>
      </c>
      <c r="Y9" s="183">
        <v>0</v>
      </c>
      <c r="Z9" s="183">
        <v>1.6</v>
      </c>
      <c r="AA9" s="183">
        <v>0</v>
      </c>
      <c r="AB9" s="183">
        <v>0</v>
      </c>
      <c r="AC9" s="183">
        <v>0</v>
      </c>
    </row>
    <row r="10" spans="1:32" s="185" customFormat="1">
      <c r="A10" s="201" t="s">
        <v>37</v>
      </c>
      <c r="B10" s="246">
        <f t="shared" si="0"/>
        <v>-30489840.420000002</v>
      </c>
      <c r="C10" s="183">
        <v>0</v>
      </c>
      <c r="D10" s="184">
        <v>0</v>
      </c>
      <c r="E10" s="179">
        <v>104150.94</v>
      </c>
      <c r="F10" s="183">
        <v>0</v>
      </c>
      <c r="G10" s="236">
        <f t="shared" si="1"/>
        <v>14078562.59</v>
      </c>
      <c r="H10" s="183">
        <v>0</v>
      </c>
      <c r="I10" s="183">
        <v>0</v>
      </c>
      <c r="J10" s="179">
        <v>14078562.59</v>
      </c>
      <c r="K10" s="236">
        <f t="shared" si="2"/>
        <v>-44039479.600000001</v>
      </c>
      <c r="L10" s="183">
        <v>4801683.08</v>
      </c>
      <c r="M10" s="183">
        <v>-48841162.68</v>
      </c>
      <c r="N10" s="183">
        <v>0</v>
      </c>
      <c r="O10" s="183">
        <v>0</v>
      </c>
      <c r="P10" s="237">
        <f t="shared" si="3"/>
        <v>-633074.35</v>
      </c>
      <c r="Q10" s="183">
        <v>-40055.72</v>
      </c>
      <c r="R10" s="183">
        <v>-593018.63</v>
      </c>
      <c r="S10" s="183">
        <v>0</v>
      </c>
      <c r="T10" s="236">
        <f t="shared" si="4"/>
        <v>0</v>
      </c>
      <c r="U10" s="183">
        <v>0</v>
      </c>
      <c r="V10" s="183">
        <v>0</v>
      </c>
      <c r="W10" s="183">
        <v>0</v>
      </c>
      <c r="X10" s="183">
        <v>0</v>
      </c>
      <c r="Y10" s="183">
        <v>0</v>
      </c>
      <c r="Z10" s="183">
        <v>0</v>
      </c>
      <c r="AA10" s="183">
        <v>0</v>
      </c>
      <c r="AB10" s="183">
        <v>0</v>
      </c>
      <c r="AC10" s="183">
        <v>0</v>
      </c>
    </row>
    <row r="11" spans="1:32" s="185" customFormat="1">
      <c r="A11" s="203" t="s">
        <v>38</v>
      </c>
      <c r="B11" s="246">
        <f t="shared" si="0"/>
        <v>0</v>
      </c>
      <c r="C11" s="183">
        <v>0</v>
      </c>
      <c r="D11" s="184">
        <v>0</v>
      </c>
      <c r="E11" s="179">
        <v>0</v>
      </c>
      <c r="F11" s="183">
        <v>0</v>
      </c>
      <c r="G11" s="236">
        <f t="shared" si="1"/>
        <v>0</v>
      </c>
      <c r="H11" s="183">
        <v>0</v>
      </c>
      <c r="I11" s="183">
        <v>0</v>
      </c>
      <c r="J11" s="179">
        <v>0</v>
      </c>
      <c r="K11" s="236">
        <f t="shared" si="2"/>
        <v>0</v>
      </c>
      <c r="L11" s="183">
        <v>0</v>
      </c>
      <c r="M11" s="183">
        <v>0</v>
      </c>
      <c r="N11" s="183">
        <v>0</v>
      </c>
      <c r="O11" s="183">
        <v>0</v>
      </c>
      <c r="P11" s="237">
        <f t="shared" si="3"/>
        <v>0</v>
      </c>
      <c r="Q11" s="183">
        <v>0</v>
      </c>
      <c r="R11" s="183">
        <v>0</v>
      </c>
      <c r="S11" s="183">
        <v>0</v>
      </c>
      <c r="T11" s="236">
        <f t="shared" si="4"/>
        <v>0</v>
      </c>
      <c r="U11" s="183">
        <v>0</v>
      </c>
      <c r="V11" s="183">
        <v>0</v>
      </c>
      <c r="W11" s="183">
        <v>0</v>
      </c>
      <c r="X11" s="183">
        <v>0</v>
      </c>
      <c r="Y11" s="183">
        <v>0</v>
      </c>
      <c r="Z11" s="183">
        <v>0</v>
      </c>
      <c r="AA11" s="183">
        <v>0</v>
      </c>
      <c r="AB11" s="183">
        <v>0</v>
      </c>
      <c r="AC11" s="183">
        <v>0</v>
      </c>
    </row>
    <row r="12" spans="1:32" s="185" customFormat="1">
      <c r="A12" s="201" t="s">
        <v>39</v>
      </c>
      <c r="B12" s="246">
        <f t="shared" si="0"/>
        <v>13754867.180000007</v>
      </c>
      <c r="C12" s="183">
        <v>0</v>
      </c>
      <c r="D12" s="184">
        <v>0</v>
      </c>
      <c r="E12" s="179">
        <v>0</v>
      </c>
      <c r="F12" s="183">
        <v>0</v>
      </c>
      <c r="G12" s="236">
        <f t="shared" si="1"/>
        <v>19060572.190000001</v>
      </c>
      <c r="H12" s="183">
        <v>0</v>
      </c>
      <c r="I12" s="183">
        <v>0</v>
      </c>
      <c r="J12" s="179">
        <v>19060572.190000001</v>
      </c>
      <c r="K12" s="236">
        <f t="shared" si="2"/>
        <v>61305735.07</v>
      </c>
      <c r="L12" s="183">
        <v>1908500</v>
      </c>
      <c r="M12" s="183">
        <v>59397235.07</v>
      </c>
      <c r="N12" s="183">
        <v>0</v>
      </c>
      <c r="O12" s="183">
        <v>0</v>
      </c>
      <c r="P12" s="237">
        <f t="shared" si="3"/>
        <v>-66611440.079999998</v>
      </c>
      <c r="Q12" s="183">
        <v>-69067816.829999998</v>
      </c>
      <c r="R12" s="183">
        <v>2456376.75</v>
      </c>
      <c r="S12" s="183">
        <v>0</v>
      </c>
      <c r="T12" s="236">
        <f t="shared" si="4"/>
        <v>0</v>
      </c>
      <c r="U12" s="183">
        <v>0</v>
      </c>
      <c r="V12" s="183">
        <v>0</v>
      </c>
      <c r="W12" s="183">
        <v>0</v>
      </c>
      <c r="X12" s="183">
        <v>0</v>
      </c>
      <c r="Y12" s="183">
        <v>0</v>
      </c>
      <c r="Z12" s="183">
        <v>0</v>
      </c>
      <c r="AA12" s="183">
        <v>0</v>
      </c>
      <c r="AB12" s="183">
        <v>0</v>
      </c>
      <c r="AC12" s="183">
        <v>0</v>
      </c>
    </row>
    <row r="13" spans="1:32" s="185" customFormat="1">
      <c r="A13" s="201" t="s">
        <v>40</v>
      </c>
      <c r="B13" s="246">
        <f t="shared" si="0"/>
        <v>-422493.59</v>
      </c>
      <c r="C13" s="183">
        <v>0</v>
      </c>
      <c r="D13" s="184">
        <v>47640.99</v>
      </c>
      <c r="E13" s="179">
        <v>-470134.58</v>
      </c>
      <c r="F13" s="183">
        <v>0</v>
      </c>
      <c r="G13" s="236">
        <f t="shared" si="1"/>
        <v>0</v>
      </c>
      <c r="H13" s="183">
        <v>0</v>
      </c>
      <c r="I13" s="183">
        <v>0</v>
      </c>
      <c r="J13" s="179">
        <v>0</v>
      </c>
      <c r="K13" s="236">
        <f t="shared" si="2"/>
        <v>0</v>
      </c>
      <c r="L13" s="183">
        <v>0</v>
      </c>
      <c r="M13" s="183">
        <v>0</v>
      </c>
      <c r="N13" s="183">
        <v>0</v>
      </c>
      <c r="O13" s="183">
        <v>0</v>
      </c>
      <c r="P13" s="237">
        <f t="shared" si="3"/>
        <v>0</v>
      </c>
      <c r="Q13" s="183">
        <v>0</v>
      </c>
      <c r="R13" s="183">
        <v>0</v>
      </c>
      <c r="S13" s="183">
        <v>0</v>
      </c>
      <c r="T13" s="236">
        <f t="shared" si="4"/>
        <v>0</v>
      </c>
      <c r="U13" s="183">
        <v>0</v>
      </c>
      <c r="V13" s="183">
        <v>0</v>
      </c>
      <c r="W13" s="183">
        <v>0</v>
      </c>
      <c r="X13" s="183">
        <v>0</v>
      </c>
      <c r="Y13" s="183">
        <v>0</v>
      </c>
      <c r="Z13" s="183">
        <v>0</v>
      </c>
      <c r="AA13" s="183">
        <v>0</v>
      </c>
      <c r="AB13" s="183">
        <v>0</v>
      </c>
      <c r="AC13" s="183">
        <v>0</v>
      </c>
    </row>
    <row r="14" spans="1:32" s="185" customFormat="1">
      <c r="A14" s="201" t="s">
        <v>41</v>
      </c>
      <c r="B14" s="246">
        <f t="shared" si="0"/>
        <v>575419.87</v>
      </c>
      <c r="C14" s="183">
        <v>0</v>
      </c>
      <c r="D14" s="184">
        <v>0</v>
      </c>
      <c r="E14" s="179">
        <v>575419.87</v>
      </c>
      <c r="F14" s="183">
        <v>0</v>
      </c>
      <c r="G14" s="236">
        <f t="shared" si="1"/>
        <v>0</v>
      </c>
      <c r="H14" s="183">
        <v>0</v>
      </c>
      <c r="I14" s="183">
        <v>0</v>
      </c>
      <c r="J14" s="179">
        <v>0</v>
      </c>
      <c r="K14" s="236">
        <f t="shared" si="2"/>
        <v>0</v>
      </c>
      <c r="L14" s="183">
        <v>0</v>
      </c>
      <c r="M14" s="183">
        <v>0</v>
      </c>
      <c r="N14" s="183">
        <v>0</v>
      </c>
      <c r="O14" s="183">
        <v>0</v>
      </c>
      <c r="P14" s="237">
        <f t="shared" si="3"/>
        <v>0</v>
      </c>
      <c r="Q14" s="183">
        <v>0</v>
      </c>
      <c r="R14" s="183">
        <v>0</v>
      </c>
      <c r="S14" s="183">
        <v>0</v>
      </c>
      <c r="T14" s="236">
        <f t="shared" si="4"/>
        <v>0</v>
      </c>
      <c r="U14" s="183">
        <v>0</v>
      </c>
      <c r="V14" s="183">
        <v>0</v>
      </c>
      <c r="W14" s="183">
        <v>0</v>
      </c>
      <c r="X14" s="183">
        <v>0</v>
      </c>
      <c r="Y14" s="183">
        <v>0</v>
      </c>
      <c r="Z14" s="183">
        <v>0</v>
      </c>
      <c r="AA14" s="183">
        <v>0</v>
      </c>
      <c r="AB14" s="183">
        <v>0</v>
      </c>
      <c r="AC14" s="183">
        <v>0</v>
      </c>
    </row>
    <row r="15" spans="1:32" s="185" customFormat="1">
      <c r="A15" s="202" t="s">
        <v>447</v>
      </c>
      <c r="B15" s="247">
        <f t="shared" si="0"/>
        <v>0</v>
      </c>
      <c r="C15" s="177">
        <v>0</v>
      </c>
      <c r="D15" s="178">
        <v>0</v>
      </c>
      <c r="E15" s="179">
        <v>0</v>
      </c>
      <c r="F15" s="177">
        <v>0</v>
      </c>
      <c r="G15" s="236">
        <f t="shared" si="1"/>
        <v>0</v>
      </c>
      <c r="H15" s="177">
        <v>0</v>
      </c>
      <c r="I15" s="177">
        <v>0</v>
      </c>
      <c r="J15" s="179">
        <v>0</v>
      </c>
      <c r="K15" s="236">
        <f t="shared" si="2"/>
        <v>0</v>
      </c>
      <c r="L15" s="177">
        <v>0</v>
      </c>
      <c r="M15" s="177">
        <v>0</v>
      </c>
      <c r="N15" s="177">
        <v>0</v>
      </c>
      <c r="O15" s="177">
        <v>0</v>
      </c>
      <c r="P15" s="239">
        <f t="shared" si="3"/>
        <v>0</v>
      </c>
      <c r="Q15" s="177">
        <v>0</v>
      </c>
      <c r="R15" s="177">
        <v>0</v>
      </c>
      <c r="S15" s="177">
        <v>0</v>
      </c>
      <c r="T15" s="236">
        <f t="shared" si="4"/>
        <v>0</v>
      </c>
      <c r="U15" s="177">
        <v>0</v>
      </c>
      <c r="V15" s="177">
        <v>0</v>
      </c>
      <c r="W15" s="177">
        <v>0</v>
      </c>
      <c r="X15" s="177">
        <v>0</v>
      </c>
      <c r="Y15" s="177">
        <v>0</v>
      </c>
      <c r="Z15" s="177">
        <v>0</v>
      </c>
      <c r="AA15" s="177">
        <v>0</v>
      </c>
      <c r="AB15" s="177">
        <v>0</v>
      </c>
      <c r="AC15" s="177">
        <v>0</v>
      </c>
    </row>
    <row r="16" spans="1:32" s="185" customFormat="1">
      <c r="A16" s="201" t="s">
        <v>448</v>
      </c>
      <c r="B16" s="248">
        <f t="shared" si="0"/>
        <v>0</v>
      </c>
      <c r="C16" s="187">
        <v>0</v>
      </c>
      <c r="D16" s="184">
        <v>0</v>
      </c>
      <c r="E16" s="179">
        <v>0</v>
      </c>
      <c r="F16" s="187">
        <v>0</v>
      </c>
      <c r="G16" s="236">
        <f t="shared" si="1"/>
        <v>0</v>
      </c>
      <c r="H16" s="187">
        <v>0</v>
      </c>
      <c r="I16" s="187">
        <v>0</v>
      </c>
      <c r="J16" s="179">
        <v>0</v>
      </c>
      <c r="K16" s="236">
        <f t="shared" si="2"/>
        <v>0</v>
      </c>
      <c r="L16" s="187">
        <v>0</v>
      </c>
      <c r="M16" s="187">
        <v>0</v>
      </c>
      <c r="N16" s="187">
        <v>0</v>
      </c>
      <c r="O16" s="187">
        <v>0</v>
      </c>
      <c r="P16" s="240">
        <f t="shared" si="3"/>
        <v>0</v>
      </c>
      <c r="Q16" s="187">
        <v>0</v>
      </c>
      <c r="R16" s="187">
        <v>0</v>
      </c>
      <c r="S16" s="187">
        <v>0</v>
      </c>
      <c r="T16" s="236">
        <f t="shared" si="4"/>
        <v>0</v>
      </c>
      <c r="U16" s="187">
        <v>0</v>
      </c>
      <c r="V16" s="187">
        <v>0</v>
      </c>
      <c r="W16" s="187">
        <v>0</v>
      </c>
      <c r="X16" s="187">
        <v>0</v>
      </c>
      <c r="Y16" s="187">
        <v>0</v>
      </c>
      <c r="Z16" s="187">
        <v>0</v>
      </c>
      <c r="AA16" s="187">
        <v>0</v>
      </c>
      <c r="AB16" s="187">
        <v>0</v>
      </c>
      <c r="AC16" s="187">
        <v>0</v>
      </c>
    </row>
    <row r="17" spans="1:29" s="235" customFormat="1">
      <c r="A17" s="199" t="s">
        <v>42</v>
      </c>
      <c r="B17" s="244">
        <f t="shared" si="0"/>
        <v>43998526.630000003</v>
      </c>
      <c r="C17" s="188">
        <v>0</v>
      </c>
      <c r="D17" s="189">
        <v>8742645.7799999993</v>
      </c>
      <c r="E17" s="190">
        <v>25273935.469999999</v>
      </c>
      <c r="F17" s="188">
        <v>343165.2</v>
      </c>
      <c r="G17" s="236">
        <f t="shared" si="1"/>
        <v>1849141.56</v>
      </c>
      <c r="H17" s="188">
        <v>389355.26</v>
      </c>
      <c r="I17" s="188">
        <v>275645.07</v>
      </c>
      <c r="J17" s="190">
        <v>1184141.23</v>
      </c>
      <c r="K17" s="236">
        <f t="shared" si="2"/>
        <v>1422762.4500000002</v>
      </c>
      <c r="L17" s="188">
        <v>366987.28</v>
      </c>
      <c r="M17" s="188">
        <v>668561.72</v>
      </c>
      <c r="N17" s="188">
        <v>295072.86000000004</v>
      </c>
      <c r="O17" s="188">
        <v>92140.590000000011</v>
      </c>
      <c r="P17" s="237">
        <f t="shared" si="3"/>
        <v>-589106.75</v>
      </c>
      <c r="Q17" s="188">
        <v>-918323.91</v>
      </c>
      <c r="R17" s="188">
        <v>329217.16000000003</v>
      </c>
      <c r="S17" s="188">
        <v>1889424.73</v>
      </c>
      <c r="T17" s="236">
        <f t="shared" si="4"/>
        <v>3578630.79</v>
      </c>
      <c r="U17" s="188">
        <v>1197693.73</v>
      </c>
      <c r="V17" s="188">
        <v>1033489.73</v>
      </c>
      <c r="W17" s="188">
        <v>618954.86</v>
      </c>
      <c r="X17" s="188">
        <v>267748.06</v>
      </c>
      <c r="Y17" s="188">
        <v>297408.64000000001</v>
      </c>
      <c r="Z17" s="188">
        <v>163335.77000000002</v>
      </c>
      <c r="AA17" s="188">
        <v>0</v>
      </c>
      <c r="AB17" s="188">
        <v>599475.30000000005</v>
      </c>
      <c r="AC17" s="188">
        <v>888452.1</v>
      </c>
    </row>
    <row r="18" spans="1:29" s="185" customFormat="1">
      <c r="A18" s="203" t="s">
        <v>433</v>
      </c>
      <c r="B18" s="248">
        <f>C18+D18+E18+F18+G18+K18+P18+S18+T18+AB18+AC18</f>
        <v>583589.53</v>
      </c>
      <c r="C18" s="187">
        <v>0</v>
      </c>
      <c r="D18" s="184">
        <v>-27216.639999999999</v>
      </c>
      <c r="E18" s="179">
        <v>675696.8</v>
      </c>
      <c r="F18" s="187">
        <v>3244.51</v>
      </c>
      <c r="G18" s="236">
        <f t="shared" si="1"/>
        <v>118129.97</v>
      </c>
      <c r="H18" s="187">
        <v>14611.49</v>
      </c>
      <c r="I18" s="187">
        <v>3813.24</v>
      </c>
      <c r="J18" s="179">
        <v>99705.24</v>
      </c>
      <c r="K18" s="236">
        <f t="shared" si="2"/>
        <v>-185075.31999999998</v>
      </c>
      <c r="L18" s="187">
        <v>107730.91</v>
      </c>
      <c r="M18" s="187">
        <v>-305719.61</v>
      </c>
      <c r="N18" s="187">
        <v>12235.03</v>
      </c>
      <c r="O18" s="187">
        <v>678.35</v>
      </c>
      <c r="P18" s="240">
        <f>Q18+R18</f>
        <v>-4691.41</v>
      </c>
      <c r="Q18" s="187">
        <v>-300.87</v>
      </c>
      <c r="R18" s="187">
        <v>-4390.54</v>
      </c>
      <c r="S18" s="187">
        <v>20</v>
      </c>
      <c r="T18" s="236">
        <f t="shared" si="4"/>
        <v>3718.7400000000002</v>
      </c>
      <c r="U18" s="187">
        <v>-863.52</v>
      </c>
      <c r="V18" s="187">
        <v>1345.77</v>
      </c>
      <c r="W18" s="187">
        <v>3322.73</v>
      </c>
      <c r="X18" s="187">
        <v>-6.99</v>
      </c>
      <c r="Y18" s="187">
        <v>-72.069999999999993</v>
      </c>
      <c r="Z18" s="187">
        <v>-7.18</v>
      </c>
      <c r="AA18" s="187">
        <v>0</v>
      </c>
      <c r="AB18" s="187">
        <v>-114.96</v>
      </c>
      <c r="AC18" s="187">
        <v>-122.16</v>
      </c>
    </row>
    <row r="19" spans="1:29" s="185" customFormat="1">
      <c r="A19" s="203" t="s">
        <v>434</v>
      </c>
      <c r="B19" s="248">
        <f t="shared" si="0"/>
        <v>43031182.839999989</v>
      </c>
      <c r="C19" s="187">
        <v>0</v>
      </c>
      <c r="D19" s="184">
        <v>8769862.4199999999</v>
      </c>
      <c r="E19" s="179">
        <v>24214484.409999996</v>
      </c>
      <c r="F19" s="187">
        <v>339920.69</v>
      </c>
      <c r="G19" s="236">
        <f t="shared" si="1"/>
        <v>1731011.59</v>
      </c>
      <c r="H19" s="187">
        <v>374743.77</v>
      </c>
      <c r="I19" s="187">
        <v>271831.83</v>
      </c>
      <c r="J19" s="179">
        <v>1084435.99</v>
      </c>
      <c r="K19" s="236">
        <f t="shared" si="2"/>
        <v>1607837.77</v>
      </c>
      <c r="L19" s="187">
        <v>259256.37</v>
      </c>
      <c r="M19" s="187">
        <v>974281.33</v>
      </c>
      <c r="N19" s="187">
        <v>282837.83</v>
      </c>
      <c r="O19" s="187">
        <v>91462.24</v>
      </c>
      <c r="P19" s="240">
        <f t="shared" si="3"/>
        <v>-584415.34000000008</v>
      </c>
      <c r="Q19" s="187">
        <v>-918023.04</v>
      </c>
      <c r="R19" s="187">
        <v>333607.7</v>
      </c>
      <c r="S19" s="187">
        <v>1889404.73</v>
      </c>
      <c r="T19" s="236">
        <f t="shared" si="4"/>
        <v>3574912.05</v>
      </c>
      <c r="U19" s="187">
        <v>1198557.25</v>
      </c>
      <c r="V19" s="187">
        <v>1032143.96</v>
      </c>
      <c r="W19" s="187">
        <v>615632.13</v>
      </c>
      <c r="X19" s="187">
        <v>267755.05</v>
      </c>
      <c r="Y19" s="187">
        <v>297480.71000000002</v>
      </c>
      <c r="Z19" s="187">
        <v>163342.95000000001</v>
      </c>
      <c r="AA19" s="187">
        <v>0</v>
      </c>
      <c r="AB19" s="187">
        <v>599590.26</v>
      </c>
      <c r="AC19" s="187">
        <v>888574.26</v>
      </c>
    </row>
    <row r="20" spans="1:29" s="185" customFormat="1">
      <c r="A20" s="219" t="s">
        <v>435</v>
      </c>
      <c r="B20" s="247">
        <f t="shared" si="0"/>
        <v>0</v>
      </c>
      <c r="C20" s="177">
        <v>0</v>
      </c>
      <c r="D20" s="178">
        <v>0</v>
      </c>
      <c r="E20" s="179">
        <v>0</v>
      </c>
      <c r="F20" s="177">
        <v>0</v>
      </c>
      <c r="G20" s="236">
        <f t="shared" si="1"/>
        <v>0</v>
      </c>
      <c r="H20" s="177">
        <v>0</v>
      </c>
      <c r="I20" s="177">
        <v>0</v>
      </c>
      <c r="J20" s="179">
        <v>0</v>
      </c>
      <c r="K20" s="236">
        <f t="shared" si="2"/>
        <v>0</v>
      </c>
      <c r="L20" s="177">
        <v>0</v>
      </c>
      <c r="M20" s="177">
        <v>0</v>
      </c>
      <c r="N20" s="177">
        <v>0</v>
      </c>
      <c r="O20" s="177">
        <v>0</v>
      </c>
      <c r="P20" s="239">
        <f t="shared" si="3"/>
        <v>0</v>
      </c>
      <c r="Q20" s="177">
        <v>0</v>
      </c>
      <c r="R20" s="177">
        <v>0</v>
      </c>
      <c r="S20" s="177">
        <v>0</v>
      </c>
      <c r="T20" s="236">
        <f t="shared" si="4"/>
        <v>0</v>
      </c>
      <c r="U20" s="177">
        <v>0</v>
      </c>
      <c r="V20" s="177">
        <v>0</v>
      </c>
      <c r="W20" s="177">
        <v>0</v>
      </c>
      <c r="X20" s="177">
        <v>0</v>
      </c>
      <c r="Y20" s="177">
        <v>0</v>
      </c>
      <c r="Z20" s="177">
        <v>0</v>
      </c>
      <c r="AA20" s="177">
        <v>0</v>
      </c>
      <c r="AB20" s="177">
        <v>0</v>
      </c>
      <c r="AC20" s="177">
        <v>0</v>
      </c>
    </row>
    <row r="21" spans="1:29" s="185" customFormat="1">
      <c r="A21" s="203" t="s">
        <v>436</v>
      </c>
      <c r="B21" s="248">
        <f t="shared" si="0"/>
        <v>383754.26</v>
      </c>
      <c r="C21" s="187">
        <v>0</v>
      </c>
      <c r="D21" s="184">
        <v>0</v>
      </c>
      <c r="E21" s="179">
        <v>383754.26</v>
      </c>
      <c r="F21" s="187">
        <v>0</v>
      </c>
      <c r="G21" s="236">
        <f t="shared" si="1"/>
        <v>0</v>
      </c>
      <c r="H21" s="187">
        <v>0</v>
      </c>
      <c r="I21" s="187">
        <v>0</v>
      </c>
      <c r="J21" s="179">
        <v>0</v>
      </c>
      <c r="K21" s="236">
        <f t="shared" si="2"/>
        <v>0</v>
      </c>
      <c r="L21" s="187">
        <v>0</v>
      </c>
      <c r="M21" s="187">
        <v>0</v>
      </c>
      <c r="N21" s="187">
        <v>0</v>
      </c>
      <c r="O21" s="187">
        <v>0</v>
      </c>
      <c r="P21" s="240">
        <f t="shared" si="3"/>
        <v>0</v>
      </c>
      <c r="Q21" s="187">
        <v>0</v>
      </c>
      <c r="R21" s="187">
        <v>0</v>
      </c>
      <c r="S21" s="187">
        <v>0</v>
      </c>
      <c r="T21" s="236">
        <f t="shared" si="4"/>
        <v>0</v>
      </c>
      <c r="U21" s="187">
        <v>0</v>
      </c>
      <c r="V21" s="187">
        <v>0</v>
      </c>
      <c r="W21" s="187">
        <v>0</v>
      </c>
      <c r="X21" s="187">
        <v>0</v>
      </c>
      <c r="Y21" s="187">
        <v>0</v>
      </c>
      <c r="Z21" s="187">
        <v>0</v>
      </c>
      <c r="AA21" s="187">
        <v>0</v>
      </c>
      <c r="AB21" s="187">
        <v>0</v>
      </c>
      <c r="AC21" s="187">
        <v>0</v>
      </c>
    </row>
    <row r="22" spans="1:29" s="191" customFormat="1">
      <c r="A22" s="199" t="s">
        <v>437</v>
      </c>
      <c r="B22" s="249">
        <f t="shared" si="0"/>
        <v>1064171.8300000094</v>
      </c>
      <c r="C22" s="195">
        <v>4.9000000000000004</v>
      </c>
      <c r="D22" s="189">
        <v>-38352628.649999999</v>
      </c>
      <c r="E22" s="190">
        <v>58504337.000000015</v>
      </c>
      <c r="F22" s="195">
        <v>289586.44</v>
      </c>
      <c r="G22" s="236">
        <f t="shared" si="1"/>
        <v>35936981.420000002</v>
      </c>
      <c r="H22" s="195">
        <v>1641041.32</v>
      </c>
      <c r="I22" s="195">
        <v>256341.36999999994</v>
      </c>
      <c r="J22" s="190">
        <v>34039598.730000004</v>
      </c>
      <c r="K22" s="236">
        <f t="shared" si="2"/>
        <v>17596468.349999994</v>
      </c>
      <c r="L22" s="195">
        <v>5834365.8899999997</v>
      </c>
      <c r="M22" s="195">
        <v>10354891.469999997</v>
      </c>
      <c r="N22" s="195">
        <v>1404236.5599999998</v>
      </c>
      <c r="O22" s="195">
        <v>2974.429999999993</v>
      </c>
      <c r="P22" s="240">
        <f t="shared" si="3"/>
        <v>-66549526.219999999</v>
      </c>
      <c r="Q22" s="195">
        <v>-68189548.640000001</v>
      </c>
      <c r="R22" s="195">
        <v>1640022.42</v>
      </c>
      <c r="S22" s="195">
        <v>-1889474.73</v>
      </c>
      <c r="T22" s="236">
        <f t="shared" si="4"/>
        <v>-2983649.2799999998</v>
      </c>
      <c r="U22" s="195">
        <v>-1302490.24</v>
      </c>
      <c r="V22" s="195">
        <v>-844810.48</v>
      </c>
      <c r="W22" s="195">
        <v>-107857.69</v>
      </c>
      <c r="X22" s="195">
        <v>-267748.06</v>
      </c>
      <c r="Y22" s="195">
        <v>-297408.64000000001</v>
      </c>
      <c r="Z22" s="195">
        <v>-163334.17000000001</v>
      </c>
      <c r="AA22" s="195">
        <v>0</v>
      </c>
      <c r="AB22" s="195">
        <v>-599475.30000000005</v>
      </c>
      <c r="AC22" s="195">
        <v>-888452.1</v>
      </c>
    </row>
    <row r="23" spans="1:29" s="185" customFormat="1">
      <c r="A23" s="219" t="s">
        <v>438</v>
      </c>
      <c r="B23" s="250">
        <f t="shared" si="0"/>
        <v>13595.79</v>
      </c>
      <c r="C23" s="232">
        <v>0</v>
      </c>
      <c r="D23" s="233">
        <v>0</v>
      </c>
      <c r="E23" s="234">
        <v>13595.79</v>
      </c>
      <c r="F23" s="232">
        <v>0</v>
      </c>
      <c r="G23" s="236">
        <f t="shared" si="1"/>
        <v>0</v>
      </c>
      <c r="H23" s="232">
        <v>0</v>
      </c>
      <c r="I23" s="232">
        <v>0</v>
      </c>
      <c r="J23" s="234">
        <v>0</v>
      </c>
      <c r="K23" s="236">
        <f t="shared" si="2"/>
        <v>0</v>
      </c>
      <c r="L23" s="232">
        <v>0</v>
      </c>
      <c r="M23" s="232">
        <v>0</v>
      </c>
      <c r="N23" s="232">
        <v>0</v>
      </c>
      <c r="O23" s="232">
        <v>0</v>
      </c>
      <c r="P23" s="241">
        <f t="shared" si="3"/>
        <v>0</v>
      </c>
      <c r="Q23" s="232">
        <v>0</v>
      </c>
      <c r="R23" s="232">
        <v>0</v>
      </c>
      <c r="S23" s="232">
        <v>0</v>
      </c>
      <c r="T23" s="242">
        <f t="shared" si="4"/>
        <v>0</v>
      </c>
      <c r="U23" s="232">
        <v>0</v>
      </c>
      <c r="V23" s="232">
        <v>0</v>
      </c>
      <c r="W23" s="232">
        <v>0</v>
      </c>
      <c r="X23" s="232">
        <v>0</v>
      </c>
      <c r="Y23" s="232">
        <v>0</v>
      </c>
      <c r="Z23" s="232">
        <v>0</v>
      </c>
      <c r="AA23" s="232">
        <v>0</v>
      </c>
      <c r="AB23" s="232">
        <v>0</v>
      </c>
      <c r="AC23" s="232">
        <v>0</v>
      </c>
    </row>
    <row r="24" spans="1:29" s="185" customFormat="1">
      <c r="A24" s="203" t="s">
        <v>439</v>
      </c>
      <c r="B24" s="248">
        <f t="shared" si="0"/>
        <v>10940</v>
      </c>
      <c r="C24" s="187">
        <v>0</v>
      </c>
      <c r="D24" s="184">
        <v>0</v>
      </c>
      <c r="E24" s="179">
        <v>10940</v>
      </c>
      <c r="F24" s="187">
        <v>0</v>
      </c>
      <c r="G24" s="236">
        <f t="shared" si="1"/>
        <v>0</v>
      </c>
      <c r="H24" s="187">
        <v>0</v>
      </c>
      <c r="I24" s="187">
        <v>0</v>
      </c>
      <c r="J24" s="179">
        <v>0</v>
      </c>
      <c r="K24" s="236">
        <f t="shared" si="2"/>
        <v>0</v>
      </c>
      <c r="L24" s="187">
        <v>0</v>
      </c>
      <c r="M24" s="187">
        <v>0</v>
      </c>
      <c r="N24" s="187">
        <v>0</v>
      </c>
      <c r="O24" s="187">
        <v>0</v>
      </c>
      <c r="P24" s="240">
        <f t="shared" si="3"/>
        <v>0</v>
      </c>
      <c r="Q24" s="187">
        <v>0</v>
      </c>
      <c r="R24" s="187">
        <v>0</v>
      </c>
      <c r="S24" s="187">
        <v>0</v>
      </c>
      <c r="T24" s="236">
        <f t="shared" si="4"/>
        <v>0</v>
      </c>
      <c r="U24" s="187">
        <v>0</v>
      </c>
      <c r="V24" s="187">
        <v>0</v>
      </c>
      <c r="W24" s="187">
        <v>0</v>
      </c>
      <c r="X24" s="187">
        <v>0</v>
      </c>
      <c r="Y24" s="187">
        <v>0</v>
      </c>
      <c r="Z24" s="187">
        <v>0</v>
      </c>
      <c r="AA24" s="187">
        <v>0</v>
      </c>
      <c r="AB24" s="187">
        <v>0</v>
      </c>
      <c r="AC24" s="187">
        <v>0</v>
      </c>
    </row>
    <row r="25" spans="1:29" s="191" customFormat="1">
      <c r="A25" s="204" t="s">
        <v>440</v>
      </c>
      <c r="B25" s="251">
        <f t="shared" si="0"/>
        <v>1066827.6200000159</v>
      </c>
      <c r="C25" s="192">
        <v>4.9000000000000004</v>
      </c>
      <c r="D25" s="193">
        <v>-38352628.649999999</v>
      </c>
      <c r="E25" s="190">
        <v>58506992.790000014</v>
      </c>
      <c r="F25" s="192">
        <v>289586.44</v>
      </c>
      <c r="G25" s="236">
        <f t="shared" si="1"/>
        <v>35936981.420000002</v>
      </c>
      <c r="H25" s="192">
        <v>1641041.32</v>
      </c>
      <c r="I25" s="192">
        <v>256341.36999999994</v>
      </c>
      <c r="J25" s="190">
        <v>34039598.730000004</v>
      </c>
      <c r="K25" s="236">
        <f t="shared" si="2"/>
        <v>17596468.349999994</v>
      </c>
      <c r="L25" s="192">
        <v>5834365.8899999997</v>
      </c>
      <c r="M25" s="192">
        <v>10354891.469999997</v>
      </c>
      <c r="N25" s="192">
        <v>1404236.5599999998</v>
      </c>
      <c r="O25" s="192">
        <v>2974.429999999993</v>
      </c>
      <c r="P25" s="239">
        <f t="shared" si="3"/>
        <v>-66549526.219999999</v>
      </c>
      <c r="Q25" s="192">
        <v>-68189548.640000001</v>
      </c>
      <c r="R25" s="192">
        <v>1640022.42</v>
      </c>
      <c r="S25" s="192">
        <v>-1889474.73</v>
      </c>
      <c r="T25" s="236">
        <f t="shared" si="4"/>
        <v>-2983649.2799999998</v>
      </c>
      <c r="U25" s="192">
        <v>-1302490.24</v>
      </c>
      <c r="V25" s="192">
        <v>-844810.48</v>
      </c>
      <c r="W25" s="192">
        <v>-107857.69</v>
      </c>
      <c r="X25" s="192">
        <v>-267748.06</v>
      </c>
      <c r="Y25" s="192">
        <v>-297408.64000000001</v>
      </c>
      <c r="Z25" s="192">
        <v>-163334.17000000001</v>
      </c>
      <c r="AA25" s="192">
        <v>0</v>
      </c>
      <c r="AB25" s="192">
        <v>-599475.30000000005</v>
      </c>
      <c r="AC25" s="192">
        <v>-888452.1</v>
      </c>
    </row>
    <row r="26" spans="1:29" s="185" customFormat="1">
      <c r="A26" s="219" t="s">
        <v>441</v>
      </c>
      <c r="B26" s="247">
        <f t="shared" si="0"/>
        <v>3438716.8</v>
      </c>
      <c r="C26" s="177">
        <v>0</v>
      </c>
      <c r="D26" s="184">
        <v>3438716.8</v>
      </c>
      <c r="E26" s="179">
        <v>0</v>
      </c>
      <c r="F26" s="177">
        <v>0</v>
      </c>
      <c r="G26" s="236">
        <f t="shared" si="1"/>
        <v>0</v>
      </c>
      <c r="H26" s="177">
        <v>0</v>
      </c>
      <c r="I26" s="177">
        <v>0</v>
      </c>
      <c r="J26" s="179">
        <v>0</v>
      </c>
      <c r="K26" s="236">
        <f t="shared" si="2"/>
        <v>0</v>
      </c>
      <c r="L26" s="177">
        <v>0</v>
      </c>
      <c r="M26" s="177">
        <v>0</v>
      </c>
      <c r="N26" s="177">
        <v>0</v>
      </c>
      <c r="O26" s="177">
        <v>0</v>
      </c>
      <c r="P26" s="239">
        <f t="shared" si="3"/>
        <v>0</v>
      </c>
      <c r="Q26" s="177">
        <v>0</v>
      </c>
      <c r="R26" s="177">
        <v>0</v>
      </c>
      <c r="S26" s="177">
        <v>0</v>
      </c>
      <c r="T26" s="236">
        <f t="shared" si="4"/>
        <v>0</v>
      </c>
      <c r="U26" s="177">
        <v>0</v>
      </c>
      <c r="V26" s="177">
        <v>0</v>
      </c>
      <c r="W26" s="177">
        <v>0</v>
      </c>
      <c r="X26" s="177">
        <v>0</v>
      </c>
      <c r="Y26" s="177">
        <v>0</v>
      </c>
      <c r="Z26" s="177">
        <v>0</v>
      </c>
      <c r="AA26" s="177">
        <v>0</v>
      </c>
      <c r="AB26" s="177">
        <v>0</v>
      </c>
      <c r="AC26" s="177">
        <v>0</v>
      </c>
    </row>
    <row r="27" spans="1:29" s="191" customFormat="1">
      <c r="A27" s="204" t="s">
        <v>442</v>
      </c>
      <c r="B27" s="251">
        <f t="shared" si="0"/>
        <v>-2371889.1799999806</v>
      </c>
      <c r="C27" s="192">
        <v>4.9000000000000004</v>
      </c>
      <c r="D27" s="193">
        <v>-41791345.449999996</v>
      </c>
      <c r="E27" s="190">
        <v>58506992.790000014</v>
      </c>
      <c r="F27" s="192">
        <v>289586.44</v>
      </c>
      <c r="G27" s="236">
        <f t="shared" si="1"/>
        <v>35936981.420000002</v>
      </c>
      <c r="H27" s="192">
        <v>1641041.32</v>
      </c>
      <c r="I27" s="192">
        <v>256341.36999999994</v>
      </c>
      <c r="J27" s="190">
        <v>34039598.730000004</v>
      </c>
      <c r="K27" s="236">
        <f t="shared" si="2"/>
        <v>17596468.349999994</v>
      </c>
      <c r="L27" s="192">
        <v>5834365.8899999997</v>
      </c>
      <c r="M27" s="192">
        <v>10354891.469999997</v>
      </c>
      <c r="N27" s="192">
        <v>1404236.5599999998</v>
      </c>
      <c r="O27" s="192">
        <v>2974.429999999993</v>
      </c>
      <c r="P27" s="239">
        <f t="shared" si="3"/>
        <v>-66549526.219999999</v>
      </c>
      <c r="Q27" s="192">
        <v>-68189548.640000001</v>
      </c>
      <c r="R27" s="192">
        <v>1640022.42</v>
      </c>
      <c r="S27" s="192">
        <v>-1889474.73</v>
      </c>
      <c r="T27" s="236">
        <f t="shared" si="4"/>
        <v>-2983649.2799999998</v>
      </c>
      <c r="U27" s="192">
        <v>-1302490.24</v>
      </c>
      <c r="V27" s="192">
        <v>-844810.48</v>
      </c>
      <c r="W27" s="192">
        <v>-107857.69</v>
      </c>
      <c r="X27" s="192">
        <v>-267748.06</v>
      </c>
      <c r="Y27" s="192">
        <v>-297408.64000000001</v>
      </c>
      <c r="Z27" s="192">
        <v>-163334.17000000001</v>
      </c>
      <c r="AA27" s="192">
        <v>0</v>
      </c>
      <c r="AB27" s="192">
        <v>-599475.30000000005</v>
      </c>
      <c r="AC27" s="192">
        <v>-888452.1</v>
      </c>
    </row>
    <row r="28" spans="1:29" s="191" customFormat="1">
      <c r="A28" s="204" t="s">
        <v>443</v>
      </c>
      <c r="B28" s="251">
        <f t="shared" si="0"/>
        <v>-50602944.410000004</v>
      </c>
      <c r="C28" s="192"/>
      <c r="D28" s="193"/>
      <c r="E28" s="190">
        <v>350999.99</v>
      </c>
      <c r="F28" s="192">
        <v>-7432.99</v>
      </c>
      <c r="G28" s="236">
        <f t="shared" si="1"/>
        <v>-57255941.940000005</v>
      </c>
      <c r="H28" s="192">
        <v>-54220440.670000002</v>
      </c>
      <c r="I28" s="192">
        <v>-1930301.31</v>
      </c>
      <c r="J28" s="190">
        <v>-1105199.96</v>
      </c>
      <c r="K28" s="236">
        <f t="shared" si="2"/>
        <v>6309430.5299999993</v>
      </c>
      <c r="L28" s="192">
        <v>5258766.55</v>
      </c>
      <c r="M28" s="192">
        <v>0</v>
      </c>
      <c r="N28" s="192">
        <v>1050663.98</v>
      </c>
      <c r="O28" s="192"/>
      <c r="P28" s="239">
        <f t="shared" si="3"/>
        <v>0</v>
      </c>
      <c r="Q28" s="192"/>
      <c r="R28" s="192"/>
      <c r="S28" s="192"/>
      <c r="T28" s="236"/>
      <c r="U28" s="192"/>
      <c r="V28" s="192"/>
      <c r="W28" s="192"/>
      <c r="X28" s="192"/>
      <c r="Y28" s="192"/>
      <c r="Z28" s="192"/>
      <c r="AA28" s="192"/>
      <c r="AB28" s="192"/>
      <c r="AC28" s="192"/>
    </row>
    <row r="29" spans="1:29" s="191" customFormat="1">
      <c r="A29" s="204" t="s">
        <v>444</v>
      </c>
      <c r="B29" s="251">
        <f t="shared" si="0"/>
        <v>-52974833.589999974</v>
      </c>
      <c r="C29" s="192">
        <f t="shared" ref="C29:AC29" si="5">C27+C28</f>
        <v>4.9000000000000004</v>
      </c>
      <c r="D29" s="193">
        <f t="shared" si="5"/>
        <v>-41791345.449999996</v>
      </c>
      <c r="E29" s="190">
        <f t="shared" si="5"/>
        <v>58857992.780000016</v>
      </c>
      <c r="F29" s="192">
        <f t="shared" si="5"/>
        <v>282153.45</v>
      </c>
      <c r="G29" s="236">
        <f t="shared" si="1"/>
        <v>-21318960.519999996</v>
      </c>
      <c r="H29" s="192">
        <f t="shared" si="5"/>
        <v>-52579399.350000001</v>
      </c>
      <c r="I29" s="192">
        <f t="shared" si="5"/>
        <v>-1673959.9400000002</v>
      </c>
      <c r="J29" s="190">
        <f t="shared" si="5"/>
        <v>32934398.770000003</v>
      </c>
      <c r="K29" s="236">
        <f t="shared" si="2"/>
        <v>23905898.879999995</v>
      </c>
      <c r="L29" s="192">
        <f t="shared" si="5"/>
        <v>11093132.439999999</v>
      </c>
      <c r="M29" s="192">
        <f t="shared" si="5"/>
        <v>10354891.469999997</v>
      </c>
      <c r="N29" s="192">
        <f t="shared" si="5"/>
        <v>2454900.54</v>
      </c>
      <c r="O29" s="192">
        <f t="shared" si="5"/>
        <v>2974.429999999993</v>
      </c>
      <c r="P29" s="239">
        <f t="shared" si="3"/>
        <v>-66549526.219999999</v>
      </c>
      <c r="Q29" s="192">
        <f t="shared" si="5"/>
        <v>-68189548.640000001</v>
      </c>
      <c r="R29" s="192">
        <f t="shared" si="5"/>
        <v>1640022.42</v>
      </c>
      <c r="S29" s="192">
        <f t="shared" si="5"/>
        <v>-1889474.73</v>
      </c>
      <c r="T29" s="236">
        <f t="shared" si="5"/>
        <v>-2983649.2799999998</v>
      </c>
      <c r="U29" s="192">
        <f t="shared" si="5"/>
        <v>-1302490.24</v>
      </c>
      <c r="V29" s="192">
        <f t="shared" si="5"/>
        <v>-844810.48</v>
      </c>
      <c r="W29" s="192">
        <f t="shared" si="5"/>
        <v>-107857.69</v>
      </c>
      <c r="X29" s="192">
        <f t="shared" si="5"/>
        <v>-267748.06</v>
      </c>
      <c r="Y29" s="192">
        <f t="shared" si="5"/>
        <v>-297408.64000000001</v>
      </c>
      <c r="Z29" s="192">
        <f t="shared" si="5"/>
        <v>-163334.17000000001</v>
      </c>
      <c r="AA29" s="192">
        <f t="shared" si="5"/>
        <v>0</v>
      </c>
      <c r="AB29" s="192">
        <f t="shared" si="5"/>
        <v>-599475.30000000005</v>
      </c>
      <c r="AC29" s="192">
        <f t="shared" si="5"/>
        <v>-888452.1</v>
      </c>
    </row>
    <row r="30" spans="1:29" s="224" customFormat="1">
      <c r="A30" s="220"/>
      <c r="B30" s="221"/>
      <c r="C30" s="221"/>
      <c r="D30" s="222"/>
      <c r="E30" s="223"/>
      <c r="F30" s="221"/>
      <c r="G30" s="221"/>
      <c r="H30" s="221"/>
      <c r="I30" s="221"/>
      <c r="J30" s="223"/>
      <c r="K30" s="223"/>
      <c r="L30" s="221"/>
      <c r="M30" s="221"/>
      <c r="N30" s="221"/>
      <c r="O30" s="221"/>
      <c r="P30" s="221"/>
      <c r="Q30" s="221"/>
      <c r="R30" s="221"/>
      <c r="S30" s="221"/>
      <c r="T30" s="231"/>
      <c r="U30" s="221"/>
      <c r="V30" s="221"/>
      <c r="W30" s="221"/>
      <c r="X30" s="221"/>
      <c r="Y30" s="221"/>
      <c r="Z30" s="221"/>
      <c r="AA30" s="221"/>
      <c r="AB30" s="221"/>
      <c r="AC30" s="221"/>
    </row>
    <row r="31" spans="1:29" s="180" customFormat="1">
      <c r="A31" s="202"/>
      <c r="B31" s="177"/>
      <c r="C31" s="177"/>
      <c r="D31" s="178"/>
      <c r="E31" s="179"/>
      <c r="F31" s="177"/>
      <c r="G31" s="177"/>
      <c r="H31" s="177"/>
      <c r="I31" s="177"/>
      <c r="J31" s="179"/>
      <c r="K31" s="179"/>
      <c r="L31" s="177"/>
      <c r="M31" s="177"/>
      <c r="N31" s="177"/>
      <c r="O31" s="177"/>
      <c r="P31" s="177"/>
      <c r="Q31" s="177"/>
      <c r="R31" s="177"/>
      <c r="S31" s="177"/>
      <c r="T31" s="179"/>
      <c r="U31" s="177"/>
      <c r="V31" s="177"/>
      <c r="W31" s="177"/>
      <c r="X31" s="177"/>
      <c r="Y31" s="177"/>
      <c r="Z31" s="177"/>
      <c r="AA31" s="177"/>
      <c r="AB31" s="177"/>
      <c r="AC31" s="177"/>
    </row>
    <row r="32" spans="1:29" s="308" customFormat="1" ht="12">
      <c r="A32" s="306" t="s">
        <v>584</v>
      </c>
      <c r="B32" s="107">
        <f>B4+B28/0.75-B67</f>
        <v>1.3333369046449661E-2</v>
      </c>
      <c r="C32" s="107"/>
      <c r="D32" s="107"/>
      <c r="E32" s="107"/>
      <c r="F32" s="107"/>
      <c r="G32" s="107"/>
      <c r="H32" s="107"/>
      <c r="I32" s="107"/>
      <c r="J32" s="107"/>
      <c r="K32" s="107"/>
      <c r="L32" s="307"/>
      <c r="M32" s="107"/>
      <c r="N32" s="107"/>
      <c r="O32" s="107"/>
      <c r="P32" s="107"/>
      <c r="Q32" s="107"/>
      <c r="R32" s="107"/>
      <c r="S32" s="107"/>
      <c r="T32" s="107"/>
      <c r="U32" s="107"/>
      <c r="V32" s="107"/>
      <c r="W32" s="107"/>
      <c r="X32" s="107"/>
      <c r="Y32" s="107"/>
      <c r="Z32" s="107"/>
      <c r="AA32" s="107"/>
      <c r="AB32" s="107"/>
      <c r="AC32" s="107"/>
    </row>
    <row r="33" spans="1:29" s="97" customFormat="1" ht="12">
      <c r="A33" s="205" t="s">
        <v>55</v>
      </c>
      <c r="B33" s="106">
        <f>B28+B61</f>
        <v>9.9999979138374329E-3</v>
      </c>
      <c r="C33" s="106">
        <f>C28+C61</f>
        <v>0</v>
      </c>
      <c r="D33" s="106">
        <f>D28+D61</f>
        <v>0</v>
      </c>
      <c r="E33" s="106">
        <f t="shared" ref="E33:AC33" si="6">E28+E61</f>
        <v>0</v>
      </c>
      <c r="F33" s="106">
        <f t="shared" si="6"/>
        <v>0</v>
      </c>
      <c r="G33" s="106">
        <f t="shared" si="6"/>
        <v>0</v>
      </c>
      <c r="H33" s="106">
        <f t="shared" si="6"/>
        <v>0</v>
      </c>
      <c r="I33" s="106">
        <f t="shared" si="6"/>
        <v>0</v>
      </c>
      <c r="J33" s="106">
        <f t="shared" si="6"/>
        <v>0</v>
      </c>
      <c r="K33" s="106">
        <f t="shared" si="6"/>
        <v>9.9999997764825821E-3</v>
      </c>
      <c r="L33" s="106">
        <f t="shared" si="6"/>
        <v>9.9999997764825821E-3</v>
      </c>
      <c r="M33" s="106">
        <f t="shared" si="6"/>
        <v>0</v>
      </c>
      <c r="N33" s="106">
        <f t="shared" si="6"/>
        <v>0</v>
      </c>
      <c r="O33" s="106">
        <f t="shared" si="6"/>
        <v>0</v>
      </c>
      <c r="P33" s="106">
        <f t="shared" si="6"/>
        <v>0</v>
      </c>
      <c r="Q33" s="106">
        <f t="shared" si="6"/>
        <v>0</v>
      </c>
      <c r="R33" s="106">
        <f t="shared" si="6"/>
        <v>0</v>
      </c>
      <c r="S33" s="106">
        <f t="shared" si="6"/>
        <v>0</v>
      </c>
      <c r="T33" s="106">
        <f t="shared" si="6"/>
        <v>0</v>
      </c>
      <c r="U33" s="106">
        <f t="shared" si="6"/>
        <v>0</v>
      </c>
      <c r="V33" s="106">
        <f t="shared" si="6"/>
        <v>0</v>
      </c>
      <c r="W33" s="106">
        <f t="shared" si="6"/>
        <v>0</v>
      </c>
      <c r="X33" s="106">
        <f t="shared" si="6"/>
        <v>0</v>
      </c>
      <c r="Y33" s="106">
        <f t="shared" si="6"/>
        <v>0</v>
      </c>
      <c r="Z33" s="106">
        <f t="shared" si="6"/>
        <v>0</v>
      </c>
      <c r="AA33" s="106">
        <f t="shared" si="6"/>
        <v>0</v>
      </c>
      <c r="AB33" s="106">
        <f t="shared" si="6"/>
        <v>0</v>
      </c>
      <c r="AC33" s="106">
        <f t="shared" si="6"/>
        <v>0</v>
      </c>
    </row>
    <row r="34" spans="1:29" s="96" customFormat="1" ht="14.25" customHeight="1">
      <c r="A34" s="2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row>
    <row r="35" spans="1:29" s="96" customFormat="1">
      <c r="A35" s="206" t="s">
        <v>56</v>
      </c>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row>
    <row r="36" spans="1:29" s="96" customFormat="1" ht="14.25" customHeight="1">
      <c r="A36" s="207" t="s">
        <v>3</v>
      </c>
      <c r="B36" s="19" t="str">
        <f t="shared" ref="B36:E36" si="7">B3</f>
        <v>合计</v>
      </c>
      <c r="C36" s="19" t="str">
        <f t="shared" si="7"/>
        <v>其他</v>
      </c>
      <c r="D36" s="19" t="str">
        <f t="shared" si="7"/>
        <v>总部中后台</v>
      </c>
      <c r="E36" s="19" t="str">
        <f t="shared" si="7"/>
        <v>经纪业务部</v>
      </c>
      <c r="F36" s="24" t="str">
        <f>F3</f>
        <v>资产管理部</v>
      </c>
      <c r="G36" s="24" t="str">
        <f t="shared" ref="G36:AC36" si="8">G3</f>
        <v>权益投资小计</v>
      </c>
      <c r="H36" s="24" t="str">
        <f t="shared" si="8"/>
        <v>权益产品投资部</v>
      </c>
      <c r="I36" s="24" t="str">
        <f t="shared" si="8"/>
        <v>量化产品投资部</v>
      </c>
      <c r="J36" s="19" t="str">
        <f t="shared" si="8"/>
        <v>证券投资部</v>
      </c>
      <c r="K36" s="19" t="str">
        <f t="shared" si="8"/>
        <v>固收投资小计</v>
      </c>
      <c r="L36" s="24" t="str">
        <f t="shared" si="8"/>
        <v>固定收益投资部</v>
      </c>
      <c r="M36" s="24" t="str">
        <f t="shared" si="8"/>
        <v>固定收益市场部</v>
      </c>
      <c r="N36" s="24" t="str">
        <f t="shared" si="8"/>
        <v>固收产品投资部</v>
      </c>
      <c r="O36" s="24" t="str">
        <f t="shared" si="8"/>
        <v>投顾业务部</v>
      </c>
      <c r="P36" s="24" t="str">
        <f t="shared" si="8"/>
        <v>深分投资小计</v>
      </c>
      <c r="Q36" s="24" t="str">
        <f t="shared" si="8"/>
        <v>做市业务部</v>
      </c>
      <c r="R36" s="24" t="str">
        <f t="shared" si="8"/>
        <v>金融衍生品部</v>
      </c>
      <c r="S36" s="24" t="str">
        <f t="shared" si="8"/>
        <v>深圳管理部</v>
      </c>
      <c r="T36" s="19" t="str">
        <f t="shared" si="8"/>
        <v>投资银行合计</v>
      </c>
      <c r="U36" s="24" t="str">
        <f t="shared" si="8"/>
        <v>投资银行一部</v>
      </c>
      <c r="V36" s="24" t="str">
        <f t="shared" si="8"/>
        <v>投资银行二部</v>
      </c>
      <c r="W36" s="24" t="str">
        <f t="shared" si="8"/>
        <v>投资银行三部</v>
      </c>
      <c r="X36" s="24" t="str">
        <f t="shared" si="8"/>
        <v>投资银行四部</v>
      </c>
      <c r="Y36" s="24" t="str">
        <f t="shared" si="8"/>
        <v>投资银行北京一部</v>
      </c>
      <c r="Z36" s="24" t="str">
        <f t="shared" si="8"/>
        <v>投资银行北京二部</v>
      </c>
      <c r="AA36" s="24" t="str">
        <f t="shared" si="8"/>
        <v>投资银行深圳一部（筹）</v>
      </c>
      <c r="AB36" s="19" t="str">
        <f t="shared" si="8"/>
        <v>投资银行管理部</v>
      </c>
      <c r="AC36" s="19" t="str">
        <f t="shared" si="8"/>
        <v>运营支持部</v>
      </c>
    </row>
    <row r="37" spans="1:29" s="98" customFormat="1">
      <c r="A37" s="208" t="s">
        <v>31</v>
      </c>
      <c r="B37" s="109">
        <f>C37+D37+E37+F37+G37+K37+P37+S37+T37+AB37+AC37</f>
        <v>-67470592.560000002</v>
      </c>
      <c r="C37" s="109">
        <f>C38+C42+C43+C45+C46+C47+C48+C49</f>
        <v>-48742179.479999997</v>
      </c>
      <c r="D37" s="109">
        <f t="shared" ref="D37:AC37" si="9">D38+D42+D43+D45+D46+D47+D48+D49</f>
        <v>-2281837.8000000026</v>
      </c>
      <c r="E37" s="109">
        <f>E38+E42+E43+E45+E46+E47+E48+E49</f>
        <v>3740030.11666667</v>
      </c>
      <c r="F37" s="109">
        <f t="shared" si="9"/>
        <v>252935.97526261827</v>
      </c>
      <c r="G37" s="109">
        <f>H37+I37+J37</f>
        <v>-76685040.88581866</v>
      </c>
      <c r="H37" s="109">
        <f t="shared" si="9"/>
        <v>-72588366.893333331</v>
      </c>
      <c r="I37" s="109">
        <f t="shared" si="9"/>
        <v>-2573735.08</v>
      </c>
      <c r="J37" s="109">
        <f>J38+J42+J43+J45+J46+J47+J48+J49</f>
        <v>-1522938.9124853332</v>
      </c>
      <c r="K37" s="109">
        <f>SUM(L37:O37)</f>
        <v>7894924.4455336826</v>
      </c>
      <c r="L37" s="109">
        <f t="shared" si="9"/>
        <v>6272409.1175941247</v>
      </c>
      <c r="M37" s="109">
        <f t="shared" si="9"/>
        <v>-74574.808727108859</v>
      </c>
      <c r="N37" s="109">
        <f t="shared" ref="N37" si="10">N38+N42+N43+N45+N46+N47+N48+N49</f>
        <v>667283.69666666642</v>
      </c>
      <c r="O37" s="109">
        <f t="shared" si="9"/>
        <v>1029806.4400000001</v>
      </c>
      <c r="P37" s="109">
        <f>SUM(Q37:R37)</f>
        <v>48574631.678355694</v>
      </c>
      <c r="Q37" s="109">
        <f t="shared" si="9"/>
        <v>48641544.941171825</v>
      </c>
      <c r="R37" s="109">
        <f t="shared" si="9"/>
        <v>-66913.262816129034</v>
      </c>
      <c r="S37" s="109">
        <f t="shared" si="9"/>
        <v>0</v>
      </c>
      <c r="T37" s="109">
        <f>SUM(U37:AA37)</f>
        <v>-224056.61</v>
      </c>
      <c r="U37" s="109">
        <f t="shared" si="9"/>
        <v>0</v>
      </c>
      <c r="V37" s="109">
        <f t="shared" si="9"/>
        <v>-188679.25</v>
      </c>
      <c r="W37" s="109">
        <f t="shared" si="9"/>
        <v>-35377.360000000001</v>
      </c>
      <c r="X37" s="109">
        <f t="shared" si="9"/>
        <v>0</v>
      </c>
      <c r="Y37" s="109">
        <f t="shared" si="9"/>
        <v>0</v>
      </c>
      <c r="Z37" s="109">
        <f t="shared" si="9"/>
        <v>0</v>
      </c>
      <c r="AA37" s="109">
        <f t="shared" si="9"/>
        <v>0</v>
      </c>
      <c r="AB37" s="109">
        <f t="shared" si="9"/>
        <v>0</v>
      </c>
      <c r="AC37" s="109">
        <f t="shared" si="9"/>
        <v>0</v>
      </c>
    </row>
    <row r="38" spans="1:29" s="98" customFormat="1">
      <c r="A38" s="209" t="s">
        <v>58</v>
      </c>
      <c r="B38" s="174">
        <f t="shared" ref="B38:B61" si="11">C38+D38+E38+F38+G38+K38+P38+S38+T38+AB38+AC38</f>
        <v>-2.9103830456733704E-11</v>
      </c>
      <c r="C38" s="175">
        <f>SUM(C39:C41)+SUMIFS(考核调整事项表!$C:$C,考核调整事项表!$B:$B,累计利润调整表!$A38,考核调整事项表!$D:$D,C$3)+SUMIFS(考核调整事项表!$E:$E,考核调整事项表!$B:$B,累计利润调整表!$A38,考核调整事项表!$F:$F,C$3)</f>
        <v>224056.61</v>
      </c>
      <c r="D38" s="175">
        <f>SUM(D39:D41)+SUMIFS(考核调整事项表!$C:$C,考核调整事项表!$B:$B,累计利润调整表!$A38,考核调整事项表!$D:$D,D$3)+SUMIFS(考核调整事项表!$E:$E,考核调整事项表!$B:$B,累计利润调整表!$A38,考核调整事项表!$F:$F,D$3)</f>
        <v>0</v>
      </c>
      <c r="E38" s="175">
        <f>SUM(E39:E41)+SUMIFS(考核调整事项表!$C:$C,考核调整事项表!$B:$B,累计利润调整表!$A38,考核调整事项表!$D:$D,E$3)+SUMIFS(考核调整事项表!$E:$E,考核调整事项表!$B:$B,累计利润调整表!$A38,考核调整事项表!$F:$F,E$3)</f>
        <v>11688.68</v>
      </c>
      <c r="F38" s="175">
        <f>SUM(F39:F41)+SUMIFS(考核调整事项表!$C:$C,考核调整事项表!$B:$B,累计利润调整表!$A38,考核调整事项表!$D:$D,F$3)+SUMIFS(考核调整事项表!$E:$E,考核调整事项表!$B:$B,累计利润调整表!$A38,考核调整事项表!$F:$F,F$3)</f>
        <v>262846.6285959516</v>
      </c>
      <c r="G38" s="109">
        <f t="shared" ref="G38:G61" si="12">H38+I38+J38</f>
        <v>-170923.34581866662</v>
      </c>
      <c r="H38" s="175">
        <f>SUM(H39:H41)+SUMIFS(考核调整事项表!$C:$C,考核调整事项表!$B:$B,累计利润调整表!$A38,考核调整事项表!$D:$D,H$3)+SUMIFS(考核调整事项表!$E:$E,考核调整事项表!$B:$B,累计利润调整表!$A38,考核调整事项表!$F:$F,H$3)</f>
        <v>0</v>
      </c>
      <c r="I38" s="175">
        <f>SUM(I39:I41)+SUMIFS(考核调整事项表!$C:$C,考核调整事项表!$B:$B,累计利润调整表!$A38,考核调整事项表!$D:$D,I$3)+SUMIFS(考核调整事项表!$E:$E,考核调整事项表!$B:$B,累计利润调整表!$A38,考核调整事项表!$F:$F,I$3)</f>
        <v>0</v>
      </c>
      <c r="J38" s="175">
        <f>SUM(J39:J41)+SUMIFS(考核调整事项表!$C:$C,考核调整事项表!$B:$B,累计利润调整表!$A38,考核调整事项表!$D:$D,J$3)+SUMIFS(考核调整事项表!$E:$E,考核调整事项表!$B:$B,累计利润调整表!$A38,考核调整事项表!$F:$F,J$3)</f>
        <v>-170923.34581866662</v>
      </c>
      <c r="K38" s="175">
        <f t="shared" ref="K38:K61" si="13">SUM(L38:O38)</f>
        <v>-27428.841132983915</v>
      </c>
      <c r="L38" s="175">
        <f>SUM(L39:L41)+SUMIFS(考核调整事项表!$C:$C,考核调整事项表!$B:$B,累计利润调整表!$A38,考核调整事项表!$D:$D,L$3)+SUMIFS(考核调整事项表!$E:$E,考核调整事项表!$B:$B,累计利润调整表!$A38,考核调整事项表!$F:$F,L$3)</f>
        <v>-7015.3524058749972</v>
      </c>
      <c r="M38" s="175">
        <f>SUM(M39:M41)+SUMIFS(考核调整事项表!$C:$C,考核调整事项表!$B:$B,累计利润调整表!$A38,考核调整事项表!$D:$D,M$3)+SUMIFS(考核调整事项表!$E:$E,考核调整事项表!$B:$B,累计利润调整表!$A38,考核调整事项表!$F:$F,M$3)</f>
        <v>-8724.8087271088643</v>
      </c>
      <c r="N38" s="175">
        <f>SUM(N39:N41)+SUMIFS(考核调整事项表!$C:$C,考核调整事项表!$B:$B,累计利润调整表!$A38,考核调整事项表!$D:$D,N$3)+SUMIFS(考核调整事项表!$E:$E,考核调整事项表!$B:$B,累计利润调整表!$A38,考核调整事项表!$F:$F,N$3)</f>
        <v>-529962.51000000013</v>
      </c>
      <c r="O38" s="175">
        <f>SUM(O39:O41)+SUMIFS(考核调整事项表!$C:$C,考核调整事项表!$B:$B,累计利润调整表!$A38,考核调整事项表!$D:$D,O$3)+SUMIFS(考核调整事项表!$E:$E,考核调整事项表!$B:$B,累计利润调整表!$A38,考核调整事项表!$F:$F,O$3)</f>
        <v>518273.83000000007</v>
      </c>
      <c r="P38" s="175">
        <f t="shared" ref="P38:P61" si="14">SUM(Q38:R38)</f>
        <v>-76183.121644301078</v>
      </c>
      <c r="Q38" s="175">
        <f>SUM(Q39:Q41)+SUMIFS(考核调整事项表!$C:$C,考核调整事项表!$B:$B,累计利润调整表!$A38,考核调整事项表!$D:$D,Q$3)+SUMIFS(考核调整事项表!$E:$E,考核调整事项表!$B:$B,累计利润调整表!$A38,考核调整事项表!$F:$F,Q$3)</f>
        <v>-50683.028828172035</v>
      </c>
      <c r="R38" s="175">
        <f>SUM(R39:R41)+SUMIFS(考核调整事项表!$C:$C,考核调整事项表!$B:$B,累计利润调整表!$A38,考核调整事项表!$D:$D,R$3)+SUMIFS(考核调整事项表!$E:$E,考核调整事项表!$B:$B,累计利润调整表!$A38,考核调整事项表!$F:$F,R$3)</f>
        <v>-25500.092816129036</v>
      </c>
      <c r="S38" s="175">
        <f>SUM(S39:S41)+SUMIFS(考核调整事项表!$C:$C,考核调整事项表!$B:$B,累计利润调整表!$A38,考核调整事项表!$D:$D,S$3)+SUMIFS(考核调整事项表!$E:$E,考核调整事项表!$B:$B,累计利润调整表!$A38,考核调整事项表!$F:$F,S$3)</f>
        <v>0</v>
      </c>
      <c r="T38" s="174">
        <f t="shared" ref="T38:T61" si="15">SUM(U38:AA38)</f>
        <v>-224056.61</v>
      </c>
      <c r="U38" s="175">
        <f>SUM(U39:U41)+SUMIFS(考核调整事项表!$C:$C,考核调整事项表!$B:$B,累计利润调整表!$A38,考核调整事项表!$D:$D,U$3)+SUMIFS(考核调整事项表!$E:$E,考核调整事项表!$B:$B,累计利润调整表!$A38,考核调整事项表!$F:$F,U$3)</f>
        <v>0</v>
      </c>
      <c r="V38" s="175">
        <f>SUM(V39:V41)+SUMIFS(考核调整事项表!$C:$C,考核调整事项表!$B:$B,累计利润调整表!$A38,考核调整事项表!$D:$D,V$3)+SUMIFS(考核调整事项表!$E:$E,考核调整事项表!$B:$B,累计利润调整表!$A38,考核调整事项表!$F:$F,V$3)</f>
        <v>-188679.25</v>
      </c>
      <c r="W38" s="175">
        <f>SUM(W39:W41)+SUMIFS(考核调整事项表!$C:$C,考核调整事项表!$B:$B,累计利润调整表!$A38,考核调整事项表!$D:$D,W$3)+SUMIFS(考核调整事项表!$E:$E,考核调整事项表!$B:$B,累计利润调整表!$A38,考核调整事项表!$F:$F,W$3)</f>
        <v>-35377.360000000001</v>
      </c>
      <c r="X38" s="175">
        <f>SUM(X39:X41)+SUMIFS(考核调整事项表!$C:$C,考核调整事项表!$B:$B,累计利润调整表!$A38,考核调整事项表!$D:$D,X$3)+SUMIFS(考核调整事项表!$E:$E,考核调整事项表!$B:$B,累计利润调整表!$A38,考核调整事项表!$F:$F,X$3)</f>
        <v>0</v>
      </c>
      <c r="Y38" s="175">
        <f>SUM(Y39:Y41)+SUMIFS(考核调整事项表!$C:$C,考核调整事项表!$B:$B,累计利润调整表!$A38,考核调整事项表!$D:$D,Y$3)+SUMIFS(考核调整事项表!$E:$E,考核调整事项表!$B:$B,累计利润调整表!$A38,考核调整事项表!$F:$F,Y$3)</f>
        <v>0</v>
      </c>
      <c r="Z38" s="174">
        <f>SUM(Z39:Z41)</f>
        <v>0</v>
      </c>
      <c r="AA38" s="110">
        <f>SUM(AA39:AA41)</f>
        <v>0</v>
      </c>
      <c r="AB38" s="110">
        <f>SUM(AB39:AB41)</f>
        <v>0</v>
      </c>
      <c r="AC38" s="110">
        <f>SUM(AC39:AC41)</f>
        <v>0</v>
      </c>
    </row>
    <row r="39" spans="1:29" s="98" customFormat="1">
      <c r="A39" s="210" t="s">
        <v>33</v>
      </c>
      <c r="B39" s="174">
        <f t="shared" si="11"/>
        <v>0</v>
      </c>
      <c r="C39" s="175">
        <f>SUMIFS(考核调整事项表!$C:$C,考核调整事项表!$B:$B,累计利润调整表!$A39,考核调整事项表!$D:$D,C$3)+SUMIFS(考核调整事项表!$E:$E,考核调整事项表!$B:$B,累计利润调整表!$A39,考核调整事项表!$F:$F,C$3)</f>
        <v>0</v>
      </c>
      <c r="D39" s="175">
        <f>SUMIFS(考核调整事项表!$C:$C,考核调整事项表!$B:$B,累计利润调整表!$A39,考核调整事项表!$D:$D,D$3)+SUMIFS(考核调整事项表!$E:$E,考核调整事项表!$B:$B,累计利润调整表!$A39,考核调整事项表!$F:$F,D$3)</f>
        <v>0</v>
      </c>
      <c r="E39" s="175">
        <f>SUMIFS(考核调整事项表!$C:$C,考核调整事项表!$B:$B,累计利润调整表!$A39,考核调整事项表!$D:$D,E$3)+SUMIFS(考核调整事项表!$E:$E,考核调整事项表!$B:$B,累计利润调整表!$A39,考核调整事项表!$F:$F,E$3)</f>
        <v>0</v>
      </c>
      <c r="F39" s="175">
        <f>SUMIFS(考核调整事项表!$C:$C,考核调整事项表!$B:$B,累计利润调整表!$A39,考核调整事项表!$D:$D,F$3)+SUMIFS(考核调整事项表!$E:$E,考核调整事项表!$B:$B,累计利润调整表!$A39,考核调整事项表!$F:$F,F$3)</f>
        <v>0</v>
      </c>
      <c r="G39" s="109">
        <f t="shared" si="12"/>
        <v>0</v>
      </c>
      <c r="H39" s="175">
        <f>SUMIFS(考核调整事项表!$C:$C,考核调整事项表!$B:$B,累计利润调整表!$A39,考核调整事项表!$D:$D,H$3)+SUMIFS(考核调整事项表!$E:$E,考核调整事项表!$B:$B,累计利润调整表!$A39,考核调整事项表!$F:$F,H$3)</f>
        <v>0</v>
      </c>
      <c r="I39" s="175">
        <f>SUMIFS(考核调整事项表!$C:$C,考核调整事项表!$B:$B,累计利润调整表!$A39,考核调整事项表!$D:$D,I$3)+SUMIFS(考核调整事项表!$E:$E,考核调整事项表!$B:$B,累计利润调整表!$A39,考核调整事项表!$F:$F,I$3)</f>
        <v>0</v>
      </c>
      <c r="J39" s="175">
        <f>SUMIFS(考核调整事项表!$C:$C,考核调整事项表!$B:$B,累计利润调整表!$A39,考核调整事项表!$D:$D,J$3)+SUMIFS(考核调整事项表!$E:$E,考核调整事项表!$B:$B,累计利润调整表!$A39,考核调整事项表!$F:$F,J$3)</f>
        <v>0</v>
      </c>
      <c r="K39" s="175">
        <f t="shared" si="13"/>
        <v>0</v>
      </c>
      <c r="L39" s="175">
        <f>SUMIFS(考核调整事项表!$C:$C,考核调整事项表!$B:$B,累计利润调整表!$A39,考核调整事项表!$D:$D,L$3)+SUMIFS(考核调整事项表!$E:$E,考核调整事项表!$B:$B,累计利润调整表!$A39,考核调整事项表!$F:$F,L$3)</f>
        <v>0</v>
      </c>
      <c r="M39" s="175">
        <f>SUMIFS(考核调整事项表!$C:$C,考核调整事项表!$B:$B,累计利润调整表!$A39,考核调整事项表!$D:$D,M$3)+SUMIFS(考核调整事项表!$E:$E,考核调整事项表!$B:$B,累计利润调整表!$A39,考核调整事项表!$F:$F,M$3)</f>
        <v>0</v>
      </c>
      <c r="N39" s="175">
        <f>SUMIFS(考核调整事项表!$C:$C,考核调整事项表!$B:$B,累计利润调整表!$A39,考核调整事项表!$D:$D,N$3)+SUMIFS(考核调整事项表!$E:$E,考核调整事项表!$B:$B,累计利润调整表!$A39,考核调整事项表!$F:$F,N$3)</f>
        <v>0</v>
      </c>
      <c r="O39" s="175">
        <f>SUMIFS(考核调整事项表!$C:$C,考核调整事项表!$B:$B,累计利润调整表!$A39,考核调整事项表!$D:$D,O$3)+SUMIFS(考核调整事项表!$E:$E,考核调整事项表!$B:$B,累计利润调整表!$A39,考核调整事项表!$F:$F,O$3)</f>
        <v>0</v>
      </c>
      <c r="P39" s="175">
        <f t="shared" si="14"/>
        <v>0</v>
      </c>
      <c r="Q39" s="175">
        <f>SUMIFS(考核调整事项表!$C:$C,考核调整事项表!$B:$B,累计利润调整表!$A39,考核调整事项表!$D:$D,Q$3)+SUMIFS(考核调整事项表!$E:$E,考核调整事项表!$B:$B,累计利润调整表!$A39,考核调整事项表!$F:$F,Q$3)</f>
        <v>0</v>
      </c>
      <c r="R39" s="175">
        <f>SUMIFS(考核调整事项表!$C:$C,考核调整事项表!$B:$B,累计利润调整表!$A39,考核调整事项表!$D:$D,R$3)+SUMIFS(考核调整事项表!$E:$E,考核调整事项表!$B:$B,累计利润调整表!$A39,考核调整事项表!$F:$F,R$3)</f>
        <v>0</v>
      </c>
      <c r="S39" s="175">
        <f>SUMIFS(考核调整事项表!$C:$C,考核调整事项表!$B:$B,累计利润调整表!$A39,考核调整事项表!$D:$D,S$3)+SUMIFS(考核调整事项表!$E:$E,考核调整事项表!$B:$B,累计利润调整表!$A39,考核调整事项表!$F:$F,S$3)</f>
        <v>0</v>
      </c>
      <c r="T39" s="174">
        <f t="shared" si="15"/>
        <v>0</v>
      </c>
      <c r="U39" s="175">
        <f>SUMIFS(考核调整事项表!$C:$C,考核调整事项表!$B:$B,累计利润调整表!$A39,考核调整事项表!$D:$D,U$3)+SUMIFS(考核调整事项表!$E:$E,考核调整事项表!$B:$B,累计利润调整表!$A39,考核调整事项表!$F:$F,U$3)</f>
        <v>0</v>
      </c>
      <c r="V39" s="175">
        <f>SUMIFS(考核调整事项表!$C:$C,考核调整事项表!$B:$B,累计利润调整表!$A39,考核调整事项表!$D:$D,V$3)+SUMIFS(考核调整事项表!$E:$E,考核调整事项表!$B:$B,累计利润调整表!$A39,考核调整事项表!$F:$F,V$3)</f>
        <v>0</v>
      </c>
      <c r="W39" s="175">
        <f>SUMIFS(考核调整事项表!$C:$C,考核调整事项表!$B:$B,累计利润调整表!$A39,考核调整事项表!$D:$D,W$3)+SUMIFS(考核调整事项表!$E:$E,考核调整事项表!$B:$B,累计利润调整表!$A39,考核调整事项表!$F:$F,W$3)</f>
        <v>0</v>
      </c>
      <c r="X39" s="175">
        <f>SUMIFS(考核调整事项表!$C:$C,考核调整事项表!$B:$B,累计利润调整表!$A39,考核调整事项表!$D:$D,X$3)+SUMIFS(考核调整事项表!$E:$E,考核调整事项表!$B:$B,累计利润调整表!$A39,考核调整事项表!$F:$F,X$3)</f>
        <v>0</v>
      </c>
      <c r="Y39" s="175">
        <f>SUMIFS(考核调整事项表!$C:$C,考核调整事项表!$B:$B,累计利润调整表!$A39,考核调整事项表!$D:$D,Y$3)+SUMIFS(考核调整事项表!$E:$E,考核调整事项表!$B:$B,累计利润调整表!$A39,考核调整事项表!$F:$F,Y$3)</f>
        <v>0</v>
      </c>
      <c r="Z39" s="175">
        <f>SUMIFS(考核调整事项表!$C:$C,考核调整事项表!$B:$B,累计利润调整表!$A39,考核调整事项表!$D:$D,Z$3)+SUMIFS(考核调整事项表!$E:$E,考核调整事项表!$B:$B,累计利润调整表!$A39,考核调整事项表!$F:$F,Z$3)</f>
        <v>0</v>
      </c>
      <c r="AA39" s="111">
        <f>SUMIFS(考核调整事项表!$C:$C,考核调整事项表!$B:$B,累计利润调整表!$A39,考核调整事项表!$D:$D,AA$3)+SUMIFS(考核调整事项表!$E:$E,考核调整事项表!$B:$B,累计利润调整表!$A39,考核调整事项表!$F:$F,AA$3)</f>
        <v>0</v>
      </c>
      <c r="AB39" s="111">
        <f>SUMIFS(考核调整事项表!$C:$C,考核调整事项表!$B:$B,累计利润调整表!$A39,考核调整事项表!$D:$D,AB$3)+SUMIFS(考核调整事项表!$E:$E,考核调整事项表!$B:$B,累计利润调整表!$A39,考核调整事项表!$F:$F,AB$3)</f>
        <v>0</v>
      </c>
      <c r="AC39" s="111">
        <f>SUMIFS(考核调整事项表!$C:$C,考核调整事项表!$B:$B,累计利润调整表!$A39,考核调整事项表!$D:$D,AC$3)+SUMIFS(考核调整事项表!$E:$E,考核调整事项表!$B:$B,累计利润调整表!$A39,考核调整事项表!$F:$F,AC$3)</f>
        <v>0</v>
      </c>
    </row>
    <row r="40" spans="1:29" s="98" customFormat="1">
      <c r="A40" s="210" t="s">
        <v>34</v>
      </c>
      <c r="B40" s="174">
        <f t="shared" si="11"/>
        <v>0</v>
      </c>
      <c r="C40" s="175">
        <f>SUMIFS(考核调整事项表!$C:$C,考核调整事项表!$B:$B,累计利润调整表!$A40,考核调整事项表!$D:$D,C$3)+SUMIFS(考核调整事项表!$E:$E,考核调整事项表!$B:$B,累计利润调整表!$A40,考核调整事项表!$F:$F,C$3)</f>
        <v>224056.61</v>
      </c>
      <c r="D40" s="175">
        <f>SUMIFS(考核调整事项表!$C:$C,考核调整事项表!$B:$B,累计利润调整表!$A40,考核调整事项表!$D:$D,D$3)+SUMIFS(考核调整事项表!$E:$E,考核调整事项表!$B:$B,累计利润调整表!$A40,考核调整事项表!$F:$F,D$3)</f>
        <v>0</v>
      </c>
      <c r="E40" s="175">
        <f>SUMIFS(考核调整事项表!$C:$C,考核调整事项表!$B:$B,累计利润调整表!$A40,考核调整事项表!$D:$D,E$3)+SUMIFS(考核调整事项表!$E:$E,考核调整事项表!$B:$B,累计利润调整表!$A40,考核调整事项表!$F:$F,E$3)</f>
        <v>0</v>
      </c>
      <c r="F40" s="175">
        <f>SUMIFS(考核调整事项表!$C:$C,考核调整事项表!$B:$B,累计利润调整表!$A40,考核调整事项表!$D:$D,F$3)+SUMIFS(考核调整事项表!$E:$E,考核调整事项表!$B:$B,累计利润调整表!$A40,考核调整事项表!$F:$F,F$3)</f>
        <v>0</v>
      </c>
      <c r="G40" s="109">
        <f t="shared" si="12"/>
        <v>0</v>
      </c>
      <c r="H40" s="175">
        <f>SUMIFS(考核调整事项表!$C:$C,考核调整事项表!$B:$B,累计利润调整表!$A40,考核调整事项表!$D:$D,H$3)+SUMIFS(考核调整事项表!$E:$E,考核调整事项表!$B:$B,累计利润调整表!$A40,考核调整事项表!$F:$F,H$3)</f>
        <v>0</v>
      </c>
      <c r="I40" s="175">
        <f>SUMIFS(考核调整事项表!$C:$C,考核调整事项表!$B:$B,累计利润调整表!$A40,考核调整事项表!$D:$D,I$3)+SUMIFS(考核调整事项表!$E:$E,考核调整事项表!$B:$B,累计利润调整表!$A40,考核调整事项表!$F:$F,I$3)</f>
        <v>0</v>
      </c>
      <c r="J40" s="175">
        <f>SUMIFS(考核调整事项表!$C:$C,考核调整事项表!$B:$B,累计利润调整表!$A40,考核调整事项表!$D:$D,J$3)+SUMIFS(考核调整事项表!$E:$E,考核调整事项表!$B:$B,累计利润调整表!$A40,考核调整事项表!$F:$F,J$3)</f>
        <v>0</v>
      </c>
      <c r="K40" s="175">
        <f t="shared" si="13"/>
        <v>0</v>
      </c>
      <c r="L40" s="175">
        <f>SUMIFS(考核调整事项表!$C:$C,考核调整事项表!$B:$B,累计利润调整表!$A40,考核调整事项表!$D:$D,L$3)+SUMIFS(考核调整事项表!$E:$E,考核调整事项表!$B:$B,累计利润调整表!$A40,考核调整事项表!$F:$F,L$3)</f>
        <v>0</v>
      </c>
      <c r="M40" s="175">
        <f>SUMIFS(考核调整事项表!$C:$C,考核调整事项表!$B:$B,累计利润调整表!$A40,考核调整事项表!$D:$D,M$3)+SUMIFS(考核调整事项表!$E:$E,考核调整事项表!$B:$B,累计利润调整表!$A40,考核调整事项表!$F:$F,M$3)</f>
        <v>0</v>
      </c>
      <c r="N40" s="175">
        <f>SUMIFS(考核调整事项表!$C:$C,考核调整事项表!$B:$B,累计利润调整表!$A40,考核调整事项表!$D:$D,N$3)+SUMIFS(考核调整事项表!$E:$E,考核调整事项表!$B:$B,累计利润调整表!$A40,考核调整事项表!$F:$F,N$3)</f>
        <v>0</v>
      </c>
      <c r="O40" s="175">
        <f>SUMIFS(考核调整事项表!$C:$C,考核调整事项表!$B:$B,累计利润调整表!$A40,考核调整事项表!$D:$D,O$3)+SUMIFS(考核调整事项表!$E:$E,考核调整事项表!$B:$B,累计利润调整表!$A40,考核调整事项表!$F:$F,O$3)</f>
        <v>0</v>
      </c>
      <c r="P40" s="175">
        <f t="shared" si="14"/>
        <v>0</v>
      </c>
      <c r="Q40" s="175">
        <f>SUMIFS(考核调整事项表!$C:$C,考核调整事项表!$B:$B,累计利润调整表!$A40,考核调整事项表!$D:$D,Q$3)+SUMIFS(考核调整事项表!$E:$E,考核调整事项表!$B:$B,累计利润调整表!$A40,考核调整事项表!$F:$F,Q$3)</f>
        <v>0</v>
      </c>
      <c r="R40" s="175">
        <f>SUMIFS(考核调整事项表!$C:$C,考核调整事项表!$B:$B,累计利润调整表!$A40,考核调整事项表!$D:$D,R$3)+SUMIFS(考核调整事项表!$E:$E,考核调整事项表!$B:$B,累计利润调整表!$A40,考核调整事项表!$F:$F,R$3)</f>
        <v>0</v>
      </c>
      <c r="S40" s="175">
        <f>SUMIFS(考核调整事项表!$C:$C,考核调整事项表!$B:$B,累计利润调整表!$A40,考核调整事项表!$D:$D,S$3)+SUMIFS(考核调整事项表!$E:$E,考核调整事项表!$B:$B,累计利润调整表!$A40,考核调整事项表!$F:$F,S$3)</f>
        <v>0</v>
      </c>
      <c r="T40" s="174">
        <f t="shared" si="15"/>
        <v>-224056.61</v>
      </c>
      <c r="U40" s="175">
        <f>SUMIFS(考核调整事项表!$C:$C,考核调整事项表!$B:$B,累计利润调整表!$A40,考核调整事项表!$D:$D,U$3)+SUMIFS(考核调整事项表!$E:$E,考核调整事项表!$B:$B,累计利润调整表!$A40,考核调整事项表!$F:$F,U$3)</f>
        <v>0</v>
      </c>
      <c r="V40" s="175">
        <f>SUMIFS(考核调整事项表!$C:$C,考核调整事项表!$B:$B,累计利润调整表!$A40,考核调整事项表!$D:$D,V$3)+SUMIFS(考核调整事项表!$E:$E,考核调整事项表!$B:$B,累计利润调整表!$A40,考核调整事项表!$F:$F,V$3)</f>
        <v>-188679.25</v>
      </c>
      <c r="W40" s="175">
        <f>SUMIFS(考核调整事项表!$C:$C,考核调整事项表!$B:$B,累计利润调整表!$A40,考核调整事项表!$D:$D,W$3)+SUMIFS(考核调整事项表!$E:$E,考核调整事项表!$B:$B,累计利润调整表!$A40,考核调整事项表!$F:$F,W$3)</f>
        <v>-35377.360000000001</v>
      </c>
      <c r="X40" s="175">
        <f>SUMIFS(考核调整事项表!$C:$C,考核调整事项表!$B:$B,累计利润调整表!$A40,考核调整事项表!$D:$D,X$3)+SUMIFS(考核调整事项表!$E:$E,考核调整事项表!$B:$B,累计利润调整表!$A40,考核调整事项表!$F:$F,X$3)</f>
        <v>0</v>
      </c>
      <c r="Y40" s="175">
        <f>SUMIFS(考核调整事项表!$C:$C,考核调整事项表!$B:$B,累计利润调整表!$A40,考核调整事项表!$D:$D,Y$3)+SUMIFS(考核调整事项表!$E:$E,考核调整事项表!$B:$B,累计利润调整表!$A40,考核调整事项表!$F:$F,Y$3)</f>
        <v>0</v>
      </c>
      <c r="Z40" s="175">
        <f>SUMIFS(考核调整事项表!$C:$C,考核调整事项表!$B:$B,累计利润调整表!$A40,考核调整事项表!$D:$D,Z$3)+SUMIFS(考核调整事项表!$E:$E,考核调整事项表!$B:$B,累计利润调整表!$A40,考核调整事项表!$F:$F,Z$3)</f>
        <v>0</v>
      </c>
      <c r="AA40" s="111">
        <f>SUMIFS(考核调整事项表!$C:$C,考核调整事项表!$B:$B,累计利润调整表!$A40,考核调整事项表!$D:$D,AA$3)+SUMIFS(考核调整事项表!$E:$E,考核调整事项表!$B:$B,累计利润调整表!$A40,考核调整事项表!$F:$F,AA$3)</f>
        <v>0</v>
      </c>
      <c r="AB40" s="111">
        <f>SUMIFS(考核调整事项表!$C:$C,考核调整事项表!$B:$B,累计利润调整表!$A40,考核调整事项表!$D:$D,AB$3)+SUMIFS(考核调整事项表!$E:$E,考核调整事项表!$B:$B,累计利润调整表!$A40,考核调整事项表!$F:$F,AB$3)</f>
        <v>0</v>
      </c>
      <c r="AC40" s="111">
        <f>SUMIFS(考核调整事项表!$C:$C,考核调整事项表!$B:$B,累计利润调整表!$A40,考核调整事项表!$D:$D,AC$3)+SUMIFS(考核调整事项表!$E:$E,考核调整事项表!$B:$B,累计利润调整表!$A40,考核调整事项表!$F:$F,AC$3)</f>
        <v>0</v>
      </c>
    </row>
    <row r="41" spans="1:29" s="98" customFormat="1">
      <c r="A41" s="210" t="s">
        <v>35</v>
      </c>
      <c r="B41" s="174">
        <f t="shared" si="11"/>
        <v>-2.9103830456733704E-11</v>
      </c>
      <c r="C41" s="175">
        <f>SUMIFS(考核调整事项表!$C:$C,考核调整事项表!$B:$B,累计利润调整表!$A41,考核调整事项表!$D:$D,C$3)+SUMIFS(考核调整事项表!$E:$E,考核调整事项表!$B:$B,累计利润调整表!$A41,考核调整事项表!$F:$F,C$3)</f>
        <v>0</v>
      </c>
      <c r="D41" s="175">
        <f>SUMIFS(考核调整事项表!$C:$C,考核调整事项表!$B:$B,累计利润调整表!$A41,考核调整事项表!$D:$D,D$3)+SUMIFS(考核调整事项表!$E:$E,考核调整事项表!$B:$B,累计利润调整表!$A41,考核调整事项表!$F:$F,D$3)</f>
        <v>0</v>
      </c>
      <c r="E41" s="175">
        <f>SUMIFS(考核调整事项表!$C:$C,考核调整事项表!$B:$B,累计利润调整表!$A41,考核调整事项表!$D:$D,E$3)+SUMIFS(考核调整事项表!$E:$E,考核调整事项表!$B:$B,累计利润调整表!$A41,考核调整事项表!$F:$F,E$3)</f>
        <v>11688.68</v>
      </c>
      <c r="F41" s="175">
        <f>SUMIFS(考核调整事项表!$C:$C,考核调整事项表!$B:$B,累计利润调整表!$A41,考核调整事项表!$D:$D,F$3)+SUMIFS(考核调整事项表!$E:$E,考核调整事项表!$B:$B,累计利润调整表!$A41,考核调整事项表!$F:$F,F$3)</f>
        <v>262846.6285959516</v>
      </c>
      <c r="G41" s="109">
        <f t="shared" si="12"/>
        <v>-170923.34581866662</v>
      </c>
      <c r="H41" s="175">
        <f>SUMIFS(考核调整事项表!$C:$C,考核调整事项表!$B:$B,累计利润调整表!$A41,考核调整事项表!$D:$D,H$3)+SUMIFS(考核调整事项表!$E:$E,考核调整事项表!$B:$B,累计利润调整表!$A41,考核调整事项表!$F:$F,H$3)</f>
        <v>0</v>
      </c>
      <c r="I41" s="175">
        <f>SUMIFS(考核调整事项表!$C:$C,考核调整事项表!$B:$B,累计利润调整表!$A41,考核调整事项表!$D:$D,I$3)+SUMIFS(考核调整事项表!$E:$E,考核调整事项表!$B:$B,累计利润调整表!$A41,考核调整事项表!$F:$F,I$3)</f>
        <v>0</v>
      </c>
      <c r="J41" s="175">
        <f>SUMIFS(考核调整事项表!$C:$C,考核调整事项表!$B:$B,累计利润调整表!$A41,考核调整事项表!$D:$D,J$3)+SUMIFS(考核调整事项表!$E:$E,考核调整事项表!$B:$B,累计利润调整表!$A41,考核调整事项表!$F:$F,J$3)</f>
        <v>-170923.34581866662</v>
      </c>
      <c r="K41" s="175">
        <f>SUM(L41:O41)</f>
        <v>-27428.841132983915</v>
      </c>
      <c r="L41" s="175">
        <f>SUMIFS(考核调整事项表!$C:$C,考核调整事项表!$B:$B,累计利润调整表!$A41,考核调整事项表!$D:$D,L$3)+SUMIFS(考核调整事项表!$E:$E,考核调整事项表!$B:$B,累计利润调整表!$A41,考核调整事项表!$F:$F,L$3)</f>
        <v>-7015.3524058749972</v>
      </c>
      <c r="M41" s="175">
        <f>SUMIFS(考核调整事项表!$C:$C,考核调整事项表!$B:$B,累计利润调整表!$A41,考核调整事项表!$D:$D,M$3)+SUMIFS(考核调整事项表!$E:$E,考核调整事项表!$B:$B,累计利润调整表!$A41,考核调整事项表!$F:$F,M$3)</f>
        <v>-8724.8087271088643</v>
      </c>
      <c r="N41" s="175">
        <f>SUMIFS(考核调整事项表!$C:$C,考核调整事项表!$B:$B,累计利润调整表!$A41,考核调整事项表!$D:$D,N$3)+SUMIFS(考核调整事项表!$E:$E,考核调整事项表!$B:$B,累计利润调整表!$A41,考核调整事项表!$F:$F,N$3)</f>
        <v>-529962.51000000013</v>
      </c>
      <c r="O41" s="175">
        <f>SUMIFS(考核调整事项表!$C:$C,考核调整事项表!$B:$B,累计利润调整表!$A41,考核调整事项表!$D:$D,O$3)+SUMIFS(考核调整事项表!$E:$E,考核调整事项表!$B:$B,累计利润调整表!$A41,考核调整事项表!$F:$F,O$3)</f>
        <v>518273.83000000007</v>
      </c>
      <c r="P41" s="175">
        <f t="shared" si="14"/>
        <v>-76183.121644301078</v>
      </c>
      <c r="Q41" s="175">
        <f>SUMIFS(考核调整事项表!$C:$C,考核调整事项表!$B:$B,累计利润调整表!$A41,考核调整事项表!$D:$D,Q$3)+SUMIFS(考核调整事项表!$E:$E,考核调整事项表!$B:$B,累计利润调整表!$A41,考核调整事项表!$F:$F,Q$3)</f>
        <v>-50683.028828172035</v>
      </c>
      <c r="R41" s="175">
        <f>SUMIFS(考核调整事项表!$C:$C,考核调整事项表!$B:$B,累计利润调整表!$A41,考核调整事项表!$D:$D,R$3)+SUMIFS(考核调整事项表!$E:$E,考核调整事项表!$B:$B,累计利润调整表!$A41,考核调整事项表!$F:$F,R$3)</f>
        <v>-25500.092816129036</v>
      </c>
      <c r="S41" s="175">
        <f>SUMIFS(考核调整事项表!$C:$C,考核调整事项表!$B:$B,累计利润调整表!$A41,考核调整事项表!$D:$D,S$3)+SUMIFS(考核调整事项表!$E:$E,考核调整事项表!$B:$B,累计利润调整表!$A41,考核调整事项表!$F:$F,S$3)</f>
        <v>0</v>
      </c>
      <c r="T41" s="174">
        <f t="shared" si="15"/>
        <v>0</v>
      </c>
      <c r="U41" s="175">
        <f>SUMIFS(考核调整事项表!$C:$C,考核调整事项表!$B:$B,累计利润调整表!$A41,考核调整事项表!$D:$D,U$3)+SUMIFS(考核调整事项表!$E:$E,考核调整事项表!$B:$B,累计利润调整表!$A41,考核调整事项表!$F:$F,U$3)</f>
        <v>0</v>
      </c>
      <c r="V41" s="175">
        <f>SUMIFS(考核调整事项表!$C:$C,考核调整事项表!$B:$B,累计利润调整表!$A41,考核调整事项表!$D:$D,V$3)+SUMIFS(考核调整事项表!$E:$E,考核调整事项表!$B:$B,累计利润调整表!$A41,考核调整事项表!$F:$F,V$3)</f>
        <v>0</v>
      </c>
      <c r="W41" s="175">
        <f>SUMIFS(考核调整事项表!$C:$C,考核调整事项表!$B:$B,累计利润调整表!$A41,考核调整事项表!$D:$D,W$3)+SUMIFS(考核调整事项表!$E:$E,考核调整事项表!$B:$B,累计利润调整表!$A41,考核调整事项表!$F:$F,W$3)</f>
        <v>0</v>
      </c>
      <c r="X41" s="175">
        <f>SUMIFS(考核调整事项表!$C:$C,考核调整事项表!$B:$B,累计利润调整表!$A41,考核调整事项表!$D:$D,X$3)+SUMIFS(考核调整事项表!$E:$E,考核调整事项表!$B:$B,累计利润调整表!$A41,考核调整事项表!$F:$F,X$3)</f>
        <v>0</v>
      </c>
      <c r="Y41" s="175">
        <f>SUMIFS(考核调整事项表!$C:$C,考核调整事项表!$B:$B,累计利润调整表!$A41,考核调整事项表!$D:$D,Y$3)+SUMIFS(考核调整事项表!$E:$E,考核调整事项表!$B:$B,累计利润调整表!$A41,考核调整事项表!$F:$F,Y$3)</f>
        <v>0</v>
      </c>
      <c r="Z41" s="175">
        <f>SUMIFS(考核调整事项表!$C:$C,考核调整事项表!$B:$B,累计利润调整表!$A41,考核调整事项表!$D:$D,Z$3)+SUMIFS(考核调整事项表!$E:$E,考核调整事项表!$B:$B,累计利润调整表!$A41,考核调整事项表!$F:$F,Z$3)</f>
        <v>0</v>
      </c>
      <c r="AA41" s="111">
        <f>SUMIFS(考核调整事项表!$C:$C,考核调整事项表!$B:$B,累计利润调整表!$A41,考核调整事项表!$D:$D,AA$3)+SUMIFS(考核调整事项表!$E:$E,考核调整事项表!$B:$B,累计利润调整表!$A41,考核调整事项表!$F:$F,AA$3)</f>
        <v>0</v>
      </c>
      <c r="AB41" s="111">
        <f>SUMIFS(考核调整事项表!$C:$C,考核调整事项表!$B:$B,累计利润调整表!$A41,考核调整事项表!$D:$D,AB$3)+SUMIFS(考核调整事项表!$E:$E,考核调整事项表!$B:$B,累计利润调整表!$A41,考核调整事项表!$F:$F,AB$3)</f>
        <v>0</v>
      </c>
      <c r="AC41" s="111">
        <f>SUMIFS(考核调整事项表!$C:$C,考核调整事项表!$B:$B,累计利润调整表!$A41,考核调整事项表!$D:$D,AC$3)+SUMIFS(考核调整事项表!$E:$E,考核调整事项表!$B:$B,累计利润调整表!$A41,考核调整事项表!$F:$F,AC$3)</f>
        <v>0</v>
      </c>
    </row>
    <row r="42" spans="1:29" s="98" customFormat="1">
      <c r="A42" s="209" t="s">
        <v>59</v>
      </c>
      <c r="B42" s="174">
        <f t="shared" si="11"/>
        <v>0</v>
      </c>
      <c r="C42" s="174">
        <f>SUMIFS(考核调整事项表!$C:$C,考核调整事项表!$B:$B,累计利润调整表!$A42,考核调整事项表!$D:$D,C$3)+SUMIFS(考核调整事项表!$E:$E,考核调整事项表!$B:$B,累计利润调整表!$A42,考核调整事项表!$F:$F,C$3)</f>
        <v>0</v>
      </c>
      <c r="D42" s="174">
        <f>SUMIFS(考核调整事项表!$C:$C,考核调整事项表!$B:$B,累计利润调整表!$A42,考核调整事项表!$D:$D,D$3)+SUMIFS(考核调整事项表!$E:$E,考核调整事项表!$B:$B,累计利润调整表!$A42,考核调整事项表!$F:$F,D$3)</f>
        <v>-2732345.3300000029</v>
      </c>
      <c r="E42" s="174">
        <f>SUMIFS(考核调整事项表!$C:$C,考核调整事项表!$B:$B,累计利润调整表!$A42,考核调整事项表!$D:$D,E$3)+SUMIFS(考核调整事项表!$E:$E,考核调整事项表!$B:$B,累计利润调整表!$A42,考核调整事项表!$F:$F,E$3)</f>
        <v>2986333.3300000029</v>
      </c>
      <c r="F42" s="174">
        <f>SUMIFS(考核调整事项表!$C:$C,考核调整事项表!$B:$B,累计利润调整表!$A42,考核调整事项表!$D:$D,F$3)+SUMIFS(考核调整事项表!$E:$E,考核调整事项表!$B:$B,累计利润调整表!$A42,考核调整事项表!$F:$F,F$3)</f>
        <v>0</v>
      </c>
      <c r="G42" s="109">
        <f t="shared" si="12"/>
        <v>-253988</v>
      </c>
      <c r="H42" s="174">
        <f>SUMIFS(考核调整事项表!$C:$C,考核调整事项表!$B:$B,累计利润调整表!$A42,考核调整事项表!$D:$D,H$3)+SUMIFS(考核调整事项表!$E:$E,考核调整事项表!$B:$B,累计利润调整表!$A42,考核调整事项表!$F:$F,H$3)</f>
        <v>0</v>
      </c>
      <c r="I42" s="174">
        <f>SUMIFS(考核调整事项表!$C:$C,考核调整事项表!$B:$B,累计利润调整表!$A42,考核调整事项表!$D:$D,I$3)+SUMIFS(考核调整事项表!$E:$E,考核调整事项表!$B:$B,累计利润调整表!$A42,考核调整事项表!$F:$F,I$3)</f>
        <v>0</v>
      </c>
      <c r="J42" s="174">
        <f>SUMIFS(考核调整事项表!$C:$C,考核调整事项表!$B:$B,累计利润调整表!$A42,考核调整事项表!$D:$D,J$3)+SUMIFS(考核调整事项表!$E:$E,考核调整事项表!$B:$B,累计利润调整表!$A42,考核调整事项表!$F:$F,J$3)</f>
        <v>-253988</v>
      </c>
      <c r="K42" s="174">
        <f t="shared" si="13"/>
        <v>0</v>
      </c>
      <c r="L42" s="174">
        <f>SUMIFS(考核调整事项表!$C:$C,考核调整事项表!$B:$B,累计利润调整表!$A42,考核调整事项表!$D:$D,L$3)+SUMIFS(考核调整事项表!$E:$E,考核调整事项表!$B:$B,累计利润调整表!$A42,考核调整事项表!$F:$F,L$3)</f>
        <v>0</v>
      </c>
      <c r="M42" s="174">
        <f>SUMIFS(考核调整事项表!$C:$C,考核调整事项表!$B:$B,累计利润调整表!$A42,考核调整事项表!$D:$D,M$3)+SUMIFS(考核调整事项表!$E:$E,考核调整事项表!$B:$B,累计利润调整表!$A42,考核调整事项表!$F:$F,M$3)</f>
        <v>0</v>
      </c>
      <c r="N42" s="174">
        <f>SUMIFS(考核调整事项表!$C:$C,考核调整事项表!$B:$B,累计利润调整表!$A42,考核调整事项表!$D:$D,N$3)+SUMIFS(考核调整事项表!$E:$E,考核调整事项表!$B:$B,累计利润调整表!$A42,考核调整事项表!$F:$F,N$3)</f>
        <v>0</v>
      </c>
      <c r="O42" s="174">
        <f>SUMIFS(考核调整事项表!$C:$C,考核调整事项表!$B:$B,累计利润调整表!$A42,考核调整事项表!$D:$D,O$3)+SUMIFS(考核调整事项表!$E:$E,考核调整事项表!$B:$B,累计利润调整表!$A42,考核调整事项表!$F:$F,O$3)</f>
        <v>0</v>
      </c>
      <c r="P42" s="174">
        <f t="shared" si="14"/>
        <v>0</v>
      </c>
      <c r="Q42" s="174">
        <f>SUMIFS(考核调整事项表!$C:$C,考核调整事项表!$B:$B,累计利润调整表!$A42,考核调整事项表!$D:$D,Q$3)+SUMIFS(考核调整事项表!$E:$E,考核调整事项表!$B:$B,累计利润调整表!$A42,考核调整事项表!$F:$F,Q$3)</f>
        <v>0</v>
      </c>
      <c r="R42" s="174">
        <f>SUMIFS(考核调整事项表!$C:$C,考核调整事项表!$B:$B,累计利润调整表!$A42,考核调整事项表!$D:$D,R$3)+SUMIFS(考核调整事项表!$E:$E,考核调整事项表!$B:$B,累计利润调整表!$A42,考核调整事项表!$F:$F,R$3)</f>
        <v>0</v>
      </c>
      <c r="S42" s="174">
        <f>SUMIFS(考核调整事项表!$C:$C,考核调整事项表!$B:$B,累计利润调整表!$A42,考核调整事项表!$D:$D,S$3)+SUMIFS(考核调整事项表!$E:$E,考核调整事项表!$B:$B,累计利润调整表!$A42,考核调整事项表!$F:$F,S$3)</f>
        <v>0</v>
      </c>
      <c r="T42" s="174">
        <f t="shared" si="15"/>
        <v>0</v>
      </c>
      <c r="U42" s="174">
        <f>SUMIFS(考核调整事项表!$C:$C,考核调整事项表!$B:$B,累计利润调整表!$A42,考核调整事项表!$D:$D,U$3)+SUMIFS(考核调整事项表!$E:$E,考核调整事项表!$B:$B,累计利润调整表!$A42,考核调整事项表!$F:$F,U$3)</f>
        <v>0</v>
      </c>
      <c r="V42" s="174">
        <f>SUMIFS(考核调整事项表!$C:$C,考核调整事项表!$B:$B,累计利润调整表!$A42,考核调整事项表!$D:$D,V$3)+SUMIFS(考核调整事项表!$E:$E,考核调整事项表!$B:$B,累计利润调整表!$A42,考核调整事项表!$F:$F,V$3)</f>
        <v>0</v>
      </c>
      <c r="W42" s="174">
        <f>SUMIFS(考核调整事项表!$C:$C,考核调整事项表!$B:$B,累计利润调整表!$A42,考核调整事项表!$D:$D,W$3)+SUMIFS(考核调整事项表!$E:$E,考核调整事项表!$B:$B,累计利润调整表!$A42,考核调整事项表!$F:$F,W$3)</f>
        <v>0</v>
      </c>
      <c r="X42" s="174">
        <f>SUMIFS(考核调整事项表!$C:$C,考核调整事项表!$B:$B,累计利润调整表!$A42,考核调整事项表!$D:$D,X$3)+SUMIFS(考核调整事项表!$E:$E,考核调整事项表!$B:$B,累计利润调整表!$A42,考核调整事项表!$F:$F,X$3)</f>
        <v>0</v>
      </c>
      <c r="Y42" s="174">
        <f>SUMIFS(考核调整事项表!$C:$C,考核调整事项表!$B:$B,累计利润调整表!$A42,考核调整事项表!$D:$D,Y$3)+SUMIFS(考核调整事项表!$E:$E,考核调整事项表!$B:$B,累计利润调整表!$A42,考核调整事项表!$F:$F,Y$3)</f>
        <v>0</v>
      </c>
      <c r="Z42" s="174">
        <f>SUMIFS(考核调整事项表!$C:$C,考核调整事项表!$B:$B,累计利润调整表!$A42,考核调整事项表!$D:$D,Z$3)+SUMIFS(考核调整事项表!$E:$E,考核调整事项表!$B:$B,累计利润调整表!$A42,考核调整事项表!$F:$F,Z$3)</f>
        <v>0</v>
      </c>
      <c r="AA42" s="110">
        <f>SUMIFS(考核调整事项表!$C:$C,考核调整事项表!$B:$B,累计利润调整表!$A42,考核调整事项表!$D:$D,AA$3)+SUMIFS(考核调整事项表!$E:$E,考核调整事项表!$B:$B,累计利润调整表!$A42,考核调整事项表!$F:$F,AA$3)</f>
        <v>0</v>
      </c>
      <c r="AB42" s="110">
        <f>SUMIFS(考核调整事项表!$C:$C,考核调整事项表!$B:$B,累计利润调整表!$A42,考核调整事项表!$D:$D,AB$3)+SUMIFS(考核调整事项表!$E:$E,考核调整事项表!$B:$B,累计利润调整表!$A42,考核调整事项表!$F:$F,AB$3)</f>
        <v>0</v>
      </c>
      <c r="AC42" s="110">
        <f>SUMIFS(考核调整事项表!$C:$C,考核调整事项表!$B:$B,累计利润调整表!$A42,考核调整事项表!$D:$D,AC$3)+SUMIFS(考核调整事项表!$E:$E,考核调整事项表!$B:$B,累计利润调整表!$A42,考核调整事项表!$F:$F,AC$3)</f>
        <v>0</v>
      </c>
    </row>
    <row r="43" spans="1:29" s="98" customFormat="1">
      <c r="A43" s="209" t="s">
        <v>37</v>
      </c>
      <c r="B43" s="174">
        <f t="shared" si="11"/>
        <v>-1.4551915228366852E-11</v>
      </c>
      <c r="C43" s="174">
        <f>SUMIFS(考核调整事项表!$C:$C,考核调整事项表!$B:$B,累计利润调整表!$A43,考核调整事项表!$D:$D,C$3)+SUMIFS(考核调整事项表!$E:$E,考核调整事项表!$B:$B,累计利润调整表!$A43,考核调整事项表!$F:$F,C$3)</f>
        <v>0</v>
      </c>
      <c r="D43" s="174">
        <f>SUMIFS(考核调整事项表!$C:$C,考核调整事项表!$B:$B,累计利润调整表!$A43,考核调整事项表!$D:$D,D$3)+SUMIFS(考核调整事项表!$E:$E,考核调整事项表!$B:$B,累计利润调整表!$A43,考核调整事项表!$F:$F,D$3)</f>
        <v>450507.53</v>
      </c>
      <c r="E43" s="174">
        <f>SUMIFS(考核调整事项表!$C:$C,考核调整事项表!$B:$B,累计利润调整表!$A43,考核调整事项表!$D:$D,E$3)+SUMIFS(考核调整事项表!$E:$E,考核调整事项表!$B:$B,累计利润调整表!$A43,考核调整事项表!$F:$F,E$3)</f>
        <v>0</v>
      </c>
      <c r="F43" s="174">
        <f>SUMIFS(考核调整事项表!$C:$C,考核调整事项表!$B:$B,累计利润调整表!$A43,考核调整事项表!$D:$D,F$3)+SUMIFS(考核调整事项表!$E:$E,考核调整事项表!$B:$B,累计利润调整表!$A43,考核调整事项表!$F:$F,F$3)</f>
        <v>0</v>
      </c>
      <c r="G43" s="109">
        <f t="shared" si="12"/>
        <v>81126.38</v>
      </c>
      <c r="H43" s="174">
        <f>SUMIFS(考核调整事项表!$C:$C,考核调整事项表!$B:$B,累计利润调整表!$A43,考核调整事项表!$D:$D,H$3)+SUMIFS(考核调整事项表!$E:$E,考核调整事项表!$B:$B,累计利润调整表!$A43,考核调整事项表!$F:$F,H$3)</f>
        <v>0</v>
      </c>
      <c r="I43" s="174">
        <f>SUMIFS(考核调整事项表!$C:$C,考核调整事项表!$B:$B,累计利润调整表!$A43,考核调整事项表!$D:$D,I$3)+SUMIFS(考核调整事项表!$E:$E,考核调整事项表!$B:$B,累计利润调整表!$A43,考核调整事项表!$F:$F,I$3)</f>
        <v>0</v>
      </c>
      <c r="J43" s="174">
        <f>SUMIFS(考核调整事项表!$C:$C,考核调整事项表!$B:$B,累计利润调整表!$A43,考核调整事项表!$D:$D,J$3)+SUMIFS(考核调整事项表!$E:$E,考核调整事项表!$B:$B,累计利润调整表!$A43,考核调整事项表!$F:$F,J$3)</f>
        <v>81126.38</v>
      </c>
      <c r="K43" s="174">
        <f>SUM(L43:O43)</f>
        <v>-490220.74000000005</v>
      </c>
      <c r="L43" s="174">
        <f>SUMIFS(考核调整事项表!$C:$C,考核调整事项表!$B:$B,累计利润调整表!$A43,考核调整事项表!$D:$D,L$3)+SUMIFS(考核调整事项表!$E:$E,考核调整事项表!$B:$B,累计利润调整表!$A43,考核调整事项表!$F:$F,L$3)</f>
        <v>-424370.74000000005</v>
      </c>
      <c r="M43" s="174">
        <f>SUMIFS(考核调整事项表!$C:$C,考核调整事项表!$B:$B,累计利润调整表!$A43,考核调整事项表!$D:$D,M$3)+SUMIFS(考核调整事项表!$E:$E,考核调整事项表!$B:$B,累计利润调整表!$A43,考核调整事项表!$F:$F,M$3)</f>
        <v>-65850</v>
      </c>
      <c r="N43" s="174">
        <f>SUMIFS(考核调整事项表!$C:$C,考核调整事项表!$B:$B,累计利润调整表!$A43,考核调整事项表!$D:$D,N$3)+SUMIFS(考核调整事项表!$E:$E,考核调整事项表!$B:$B,累计利润调整表!$A43,考核调整事项表!$F:$F,N$3)</f>
        <v>0</v>
      </c>
      <c r="O43" s="174">
        <f>SUMIFS(考核调整事项表!$C:$C,考核调整事项表!$B:$B,累计利润调整表!$A43,考核调整事项表!$D:$D,O$3)+SUMIFS(考核调整事项表!$E:$E,考核调整事项表!$B:$B,累计利润调整表!$A43,考核调整事项表!$F:$F,O$3)</f>
        <v>0</v>
      </c>
      <c r="P43" s="174">
        <f t="shared" si="14"/>
        <v>-41413.17</v>
      </c>
      <c r="Q43" s="174">
        <f>SUMIFS(考核调整事项表!$C:$C,考核调整事项表!$B:$B,累计利润调整表!$A43,考核调整事项表!$D:$D,Q$3)+SUMIFS(考核调整事项表!$E:$E,考核调整事项表!$B:$B,累计利润调整表!$A43,考核调整事项表!$F:$F,Q$3)</f>
        <v>0</v>
      </c>
      <c r="R43" s="174">
        <f>SUMIFS(考核调整事项表!$C:$C,考核调整事项表!$B:$B,累计利润调整表!$A43,考核调整事项表!$D:$D,R$3)+SUMIFS(考核调整事项表!$E:$E,考核调整事项表!$B:$B,累计利润调整表!$A43,考核调整事项表!$F:$F,R$3)</f>
        <v>-41413.17</v>
      </c>
      <c r="S43" s="174">
        <f>SUMIFS(考核调整事项表!$C:$C,考核调整事项表!$B:$B,累计利润调整表!$A43,考核调整事项表!$D:$D,S$3)+SUMIFS(考核调整事项表!$E:$E,考核调整事项表!$B:$B,累计利润调整表!$A43,考核调整事项表!$F:$F,S$3)</f>
        <v>0</v>
      </c>
      <c r="T43" s="174">
        <f t="shared" si="15"/>
        <v>0</v>
      </c>
      <c r="U43" s="174">
        <f>SUMIFS(考核调整事项表!$C:$C,考核调整事项表!$B:$B,累计利润调整表!$A43,考核调整事项表!$D:$D,U$3)+SUMIFS(考核调整事项表!$E:$E,考核调整事项表!$B:$B,累计利润调整表!$A43,考核调整事项表!$F:$F,U$3)</f>
        <v>0</v>
      </c>
      <c r="V43" s="174">
        <f>SUMIFS(考核调整事项表!$C:$C,考核调整事项表!$B:$B,累计利润调整表!$A43,考核调整事项表!$D:$D,V$3)+SUMIFS(考核调整事项表!$E:$E,考核调整事项表!$B:$B,累计利润调整表!$A43,考核调整事项表!$F:$F,V$3)</f>
        <v>0</v>
      </c>
      <c r="W43" s="174">
        <f>SUMIFS(考核调整事项表!$C:$C,考核调整事项表!$B:$B,累计利润调整表!$A43,考核调整事项表!$D:$D,W$3)+SUMIFS(考核调整事项表!$E:$E,考核调整事项表!$B:$B,累计利润调整表!$A43,考核调整事项表!$F:$F,W$3)</f>
        <v>0</v>
      </c>
      <c r="X43" s="174">
        <f>SUMIFS(考核调整事项表!$C:$C,考核调整事项表!$B:$B,累计利润调整表!$A43,考核调整事项表!$D:$D,X$3)+SUMIFS(考核调整事项表!$E:$E,考核调整事项表!$B:$B,累计利润调整表!$A43,考核调整事项表!$F:$F,X$3)</f>
        <v>0</v>
      </c>
      <c r="Y43" s="174">
        <f>SUMIFS(考核调整事项表!$C:$C,考核调整事项表!$B:$B,累计利润调整表!$A43,考核调整事项表!$D:$D,Y$3)+SUMIFS(考核调整事项表!$E:$E,考核调整事项表!$B:$B,累计利润调整表!$A43,考核调整事项表!$F:$F,Y$3)</f>
        <v>0</v>
      </c>
      <c r="Z43" s="174">
        <f>SUMIFS(考核调整事项表!$C:$C,考核调整事项表!$B:$B,累计利润调整表!$A43,考核调整事项表!$D:$D,Z$3)+SUMIFS(考核调整事项表!$E:$E,考核调整事项表!$B:$B,累计利润调整表!$A43,考核调整事项表!$F:$F,Z$3)</f>
        <v>0</v>
      </c>
      <c r="AA43" s="110">
        <f>SUMIFS(考核调整事项表!$C:$C,考核调整事项表!$B:$B,累计利润调整表!$A43,考核调整事项表!$D:$D,AA$3)+SUMIFS(考核调整事项表!$E:$E,考核调整事项表!$B:$B,累计利润调整表!$A43,考核调整事项表!$F:$F,AA$3)</f>
        <v>0</v>
      </c>
      <c r="AB43" s="110">
        <f>SUMIFS(考核调整事项表!$C:$C,考核调整事项表!$B:$B,累计利润调整表!$A43,考核调整事项表!$D:$D,AB$3)+SUMIFS(考核调整事项表!$E:$E,考核调整事项表!$B:$B,累计利润调整表!$A43,考核调整事项表!$F:$F,AB$3)</f>
        <v>0</v>
      </c>
      <c r="AC43" s="110">
        <f>SUMIFS(考核调整事项表!$C:$C,考核调整事项表!$B:$B,累计利润调整表!$A43,考核调整事项表!$D:$D,AC$3)+SUMIFS(考核调整事项表!$E:$E,考核调整事项表!$B:$B,累计利润调整表!$A43,考核调整事项表!$F:$F,AC$3)</f>
        <v>0</v>
      </c>
    </row>
    <row r="44" spans="1:29" s="98" customFormat="1">
      <c r="A44" s="209" t="s">
        <v>60</v>
      </c>
      <c r="B44" s="174">
        <f t="shared" si="11"/>
        <v>0</v>
      </c>
      <c r="C44" s="174">
        <f>SUMIFS(考核调整事项表!$C:$C,考核调整事项表!$B:$B,累计利润调整表!$A44,考核调整事项表!$D:$D,C$3)+SUMIFS(考核调整事项表!$E:$E,考核调整事项表!$B:$B,累计利润调整表!$A44,考核调整事项表!$F:$F,C$3)</f>
        <v>0</v>
      </c>
      <c r="D44" s="174">
        <f>SUMIFS(考核调整事项表!$C:$C,考核调整事项表!$B:$B,累计利润调整表!$A44,考核调整事项表!$D:$D,D$3)+SUMIFS(考核调整事项表!$E:$E,考核调整事项表!$B:$B,累计利润调整表!$A44,考核调整事项表!$F:$F,D$3)</f>
        <v>0</v>
      </c>
      <c r="E44" s="174">
        <f>SUMIFS(考核调整事项表!$C:$C,考核调整事项表!$B:$B,累计利润调整表!$A44,考核调整事项表!$D:$D,E$3)+SUMIFS(考核调整事项表!$E:$E,考核调整事项表!$B:$B,累计利润调整表!$A44,考核调整事项表!$F:$F,E$3)</f>
        <v>0</v>
      </c>
      <c r="F44" s="174">
        <f>SUMIFS(考核调整事项表!$C:$C,考核调整事项表!$B:$B,累计利润调整表!$A44,考核调整事项表!$D:$D,F$3)+SUMIFS(考核调整事项表!$E:$E,考核调整事项表!$B:$B,累计利润调整表!$A44,考核调整事项表!$F:$F,F$3)</f>
        <v>0</v>
      </c>
      <c r="G44" s="109">
        <f t="shared" si="12"/>
        <v>0</v>
      </c>
      <c r="H44" s="174">
        <f>SUMIFS(考核调整事项表!$C:$C,考核调整事项表!$B:$B,累计利润调整表!$A44,考核调整事项表!$D:$D,H$3)+SUMIFS(考核调整事项表!$E:$E,考核调整事项表!$B:$B,累计利润调整表!$A44,考核调整事项表!$F:$F,H$3)</f>
        <v>0</v>
      </c>
      <c r="I44" s="174">
        <f>SUMIFS(考核调整事项表!$C:$C,考核调整事项表!$B:$B,累计利润调整表!$A44,考核调整事项表!$D:$D,I$3)+SUMIFS(考核调整事项表!$E:$E,考核调整事项表!$B:$B,累计利润调整表!$A44,考核调整事项表!$F:$F,I$3)</f>
        <v>0</v>
      </c>
      <c r="J44" s="174">
        <f>SUMIFS(考核调整事项表!$C:$C,考核调整事项表!$B:$B,累计利润调整表!$A44,考核调整事项表!$D:$D,J$3)+SUMIFS(考核调整事项表!$E:$E,考核调整事项表!$B:$B,累计利润调整表!$A44,考核调整事项表!$F:$F,J$3)</f>
        <v>0</v>
      </c>
      <c r="K44" s="174">
        <f t="shared" si="13"/>
        <v>0</v>
      </c>
      <c r="L44" s="174">
        <f>SUMIFS(考核调整事项表!$C:$C,考核调整事项表!$B:$B,累计利润调整表!$A44,考核调整事项表!$D:$D,L$3)+SUMIFS(考核调整事项表!$E:$E,考核调整事项表!$B:$B,累计利润调整表!$A44,考核调整事项表!$F:$F,L$3)</f>
        <v>0</v>
      </c>
      <c r="M44" s="174">
        <f>SUMIFS(考核调整事项表!$C:$C,考核调整事项表!$B:$B,累计利润调整表!$A44,考核调整事项表!$D:$D,M$3)+SUMIFS(考核调整事项表!$E:$E,考核调整事项表!$B:$B,累计利润调整表!$A44,考核调整事项表!$F:$F,M$3)</f>
        <v>0</v>
      </c>
      <c r="N44" s="174">
        <f>SUMIFS(考核调整事项表!$C:$C,考核调整事项表!$B:$B,累计利润调整表!$A44,考核调整事项表!$D:$D,N$3)+SUMIFS(考核调整事项表!$E:$E,考核调整事项表!$B:$B,累计利润调整表!$A44,考核调整事项表!$F:$F,N$3)</f>
        <v>0</v>
      </c>
      <c r="O44" s="174">
        <f>SUMIFS(考核调整事项表!$C:$C,考核调整事项表!$B:$B,累计利润调整表!$A44,考核调整事项表!$D:$D,O$3)+SUMIFS(考核调整事项表!$E:$E,考核调整事项表!$B:$B,累计利润调整表!$A44,考核调整事项表!$F:$F,O$3)</f>
        <v>0</v>
      </c>
      <c r="P44" s="174">
        <f t="shared" si="14"/>
        <v>0</v>
      </c>
      <c r="Q44" s="174">
        <f>SUMIFS(考核调整事项表!$C:$C,考核调整事项表!$B:$B,累计利润调整表!$A44,考核调整事项表!$D:$D,Q$3)+SUMIFS(考核调整事项表!$E:$E,考核调整事项表!$B:$B,累计利润调整表!$A44,考核调整事项表!$F:$F,Q$3)</f>
        <v>0</v>
      </c>
      <c r="R44" s="174">
        <f>SUMIFS(考核调整事项表!$C:$C,考核调整事项表!$B:$B,累计利润调整表!$A44,考核调整事项表!$D:$D,R$3)+SUMIFS(考核调整事项表!$E:$E,考核调整事项表!$B:$B,累计利润调整表!$A44,考核调整事项表!$F:$F,R$3)</f>
        <v>0</v>
      </c>
      <c r="S44" s="174">
        <f>SUMIFS(考核调整事项表!$C:$C,考核调整事项表!$B:$B,累计利润调整表!$A44,考核调整事项表!$D:$D,S$3)+SUMIFS(考核调整事项表!$E:$E,考核调整事项表!$B:$B,累计利润调整表!$A44,考核调整事项表!$F:$F,S$3)</f>
        <v>0</v>
      </c>
      <c r="T44" s="174">
        <f t="shared" si="15"/>
        <v>0</v>
      </c>
      <c r="U44" s="174">
        <f>SUMIFS(考核调整事项表!$C:$C,考核调整事项表!$B:$B,累计利润调整表!$A44,考核调整事项表!$D:$D,U$3)+SUMIFS(考核调整事项表!$E:$E,考核调整事项表!$B:$B,累计利润调整表!$A44,考核调整事项表!$F:$F,U$3)</f>
        <v>0</v>
      </c>
      <c r="V44" s="174">
        <f>SUMIFS(考核调整事项表!$C:$C,考核调整事项表!$B:$B,累计利润调整表!$A44,考核调整事项表!$D:$D,V$3)+SUMIFS(考核调整事项表!$E:$E,考核调整事项表!$B:$B,累计利润调整表!$A44,考核调整事项表!$F:$F,V$3)</f>
        <v>0</v>
      </c>
      <c r="W44" s="174">
        <f>SUMIFS(考核调整事项表!$C:$C,考核调整事项表!$B:$B,累计利润调整表!$A44,考核调整事项表!$D:$D,W$3)+SUMIFS(考核调整事项表!$E:$E,考核调整事项表!$B:$B,累计利润调整表!$A44,考核调整事项表!$F:$F,W$3)</f>
        <v>0</v>
      </c>
      <c r="X44" s="174">
        <f>SUMIFS(考核调整事项表!$C:$C,考核调整事项表!$B:$B,累计利润调整表!$A44,考核调整事项表!$D:$D,X$3)+SUMIFS(考核调整事项表!$E:$E,考核调整事项表!$B:$B,累计利润调整表!$A44,考核调整事项表!$F:$F,X$3)</f>
        <v>0</v>
      </c>
      <c r="Y44" s="174">
        <f>SUMIFS(考核调整事项表!$C:$C,考核调整事项表!$B:$B,累计利润调整表!$A44,考核调整事项表!$D:$D,Y$3)+SUMIFS(考核调整事项表!$E:$E,考核调整事项表!$B:$B,累计利润调整表!$A44,考核调整事项表!$F:$F,Y$3)</f>
        <v>0</v>
      </c>
      <c r="Z44" s="174">
        <f>SUMIFS(考核调整事项表!$C:$C,考核调整事项表!$B:$B,累计利润调整表!$A44,考核调整事项表!$D:$D,Z$3)+SUMIFS(考核调整事项表!$E:$E,考核调整事项表!$B:$B,累计利润调整表!$A44,考核调整事项表!$F:$F,Z$3)</f>
        <v>0</v>
      </c>
      <c r="AA44" s="110">
        <f>SUMIFS(考核调整事项表!$C:$C,考核调整事项表!$B:$B,累计利润调整表!$A44,考核调整事项表!$D:$D,AA$3)+SUMIFS(考核调整事项表!$E:$E,考核调整事项表!$B:$B,累计利润调整表!$A44,考核调整事项表!$F:$F,AA$3)</f>
        <v>0</v>
      </c>
      <c r="AB44" s="110">
        <f>SUMIFS(考核调整事项表!$C:$C,考核调整事项表!$B:$B,累计利润调整表!$A44,考核调整事项表!$D:$D,AB$3)+SUMIFS(考核调整事项表!$E:$E,考核调整事项表!$B:$B,累计利润调整表!$A44,考核调整事项表!$F:$F,AB$3)</f>
        <v>0</v>
      </c>
      <c r="AC44" s="110">
        <f>SUMIFS(考核调整事项表!$C:$C,考核调整事项表!$B:$B,累计利润调整表!$A44,考核调整事项表!$D:$D,AC$3)+SUMIFS(考核调整事项表!$E:$E,考核调整事项表!$B:$B,累计利润调整表!$A44,考核调整事项表!$F:$F,AC$3)</f>
        <v>0</v>
      </c>
    </row>
    <row r="45" spans="1:29" s="98" customFormat="1">
      <c r="A45" s="209" t="s">
        <v>39</v>
      </c>
      <c r="B45" s="174">
        <f t="shared" si="11"/>
        <v>-67470592.560000002</v>
      </c>
      <c r="C45" s="174">
        <f>SUMIFS(考核调整事项表!$C:$C,考核调整事项表!$B:$B,累计利润调整表!$A45,考核调整事项表!$D:$D,C$3)+SUMIFS(考核调整事项表!$E:$E,考核调整事项表!$B:$B,累计利润调整表!$A45,考核调整事项表!$F:$F,C$3)+SUMIFS(考核调整事项表!$E:$E,考核调整事项表!$G:$G,累计利润调整表!$A45,考核调整事项表!$F:$F,累计利润调整表!C$3)</f>
        <v>-48692227.969999999</v>
      </c>
      <c r="D45" s="174">
        <f>SUMIFS(考核调整事项表!$C:$C,考核调整事项表!$B:$B,累计利润调整表!$A45,考核调整事项表!$D:$D,D$3)+SUMIFS(考核调整事项表!$E:$E,考核调整事项表!$B:$B,累计利润调整表!$A45,考核调整事项表!$F:$F,D$3)+SUMIFS(考核调整事项表!$E:$E,考核调整事项表!$G:$G,累计利润调整表!$A45,考核调整事项表!$F:$F,累计利润调整表!D$3)</f>
        <v>0</v>
      </c>
      <c r="E45" s="174">
        <f>SUMIFS(考核调整事项表!$C:$C,考核调整事项表!$B:$B,累计利润调整表!$A45,考核调整事项表!$D:$D,E$3)+SUMIFS(考核调整事项表!$E:$E,考核调整事项表!$B:$B,累计利润调整表!$A45,考核调整事项表!$F:$F,E$3)+SUMIFS(考核调整事项表!$E:$E,考核调整事项表!$G:$G,累计利润调整表!$A45,考核调整事项表!$F:$F,累计利润调整表!E$3)</f>
        <v>467999.98666666663</v>
      </c>
      <c r="F45" s="174">
        <f>SUMIFS(考核调整事项表!$C:$C,考核调整事项表!$B:$B,累计利润调整表!$A45,考核调整事项表!$D:$D,F$3)+SUMIFS(考核调整事项表!$E:$E,考核调整事项表!$B:$B,累计利润调整表!$A45,考核调整事项表!$F:$F,F$3)+SUMIFS(考核调整事项表!$E:$E,考核调整事项表!$G:$G,累计利润调整表!$A45,考核调整事项表!$F:$F,累计利润调整表!F$3)</f>
        <v>-9910.6533333333336</v>
      </c>
      <c r="G45" s="109">
        <f t="shared" si="12"/>
        <v>-76341255.920000002</v>
      </c>
      <c r="H45" s="174">
        <f>SUMIFS(考核调整事项表!$C:$C,考核调整事项表!$B:$B,累计利润调整表!$A45,考核调整事项表!$D:$D,H$3)+SUMIFS(考核调整事项表!$E:$E,考核调整事项表!$B:$B,累计利润调整表!$A45,考核调整事项表!$F:$F,H$3)+SUMIFS(考核调整事项表!$E:$E,考核调整事项表!$G:$G,累计利润调整表!$A45,考核调整事项表!$F:$F,累计利润调整表!H$3)</f>
        <v>-72588366.893333331</v>
      </c>
      <c r="I45" s="174">
        <f>SUMIFS(考核调整事项表!$C:$C,考核调整事项表!$B:$B,累计利润调整表!$A45,考核调整事项表!$D:$D,I$3)+SUMIFS(考核调整事项表!$E:$E,考核调整事项表!$B:$B,累计利润调整表!$A45,考核调整事项表!$F:$F,I$3)+SUMIFS(考核调整事项表!$E:$E,考核调整事项表!$G:$G,累计利润调整表!$A45,考核调整事项表!$F:$F,累计利润调整表!I$3)</f>
        <v>-2573735.08</v>
      </c>
      <c r="J45" s="174">
        <f>SUMIFS(考核调整事项表!$C:$C,考核调整事项表!$B:$B,累计利润调整表!$A45,考核调整事项表!$D:$D,J$3)+SUMIFS(考核调整事项表!$E:$E,考核调整事项表!$B:$B,累计利润调整表!$A45,考核调整事项表!$F:$F,J$3)+SUMIFS(考核调整事项表!$E:$E,考核调整事项表!$G:$G,累计利润调整表!$A45,考核调整事项表!$F:$F,累计利润调整表!J$3)</f>
        <v>-1179153.9466666665</v>
      </c>
      <c r="K45" s="174">
        <f t="shared" si="13"/>
        <v>8412574.0266666654</v>
      </c>
      <c r="L45" s="174">
        <f>SUMIFS(考核调整事项表!$C:$C,考核调整事项表!$B:$B,累计利润调整表!$A45,考核调整事项表!$D:$D,L$3)+SUMIFS(考核调整事项表!$E:$E,考核调整事项表!$B:$B,累计利润调整表!$A45,考核调整事项表!$F:$F,L$3)+SUMIFS(考核调整事项表!$E:$E,考核调整事项表!$G:$G,累计利润调整表!$A45,考核调整事项表!$F:$F,累计利润调整表!L$3)</f>
        <v>6703795.21</v>
      </c>
      <c r="M45" s="174">
        <f>SUMIFS(考核调整事项表!$C:$C,考核调整事项表!$B:$B,累计利润调整表!$A45,考核调整事项表!$D:$D,M$3)+SUMIFS(考核调整事项表!$E:$E,考核调整事项表!$B:$B,累计利润调整表!$A45,考核调整事项表!$F:$F,M$3)+SUMIFS(考核调整事项表!$E:$E,考核调整事项表!$G:$G,累计利润调整表!$A45,考核调整事项表!$F:$F,累计利润调整表!M$3)</f>
        <v>0</v>
      </c>
      <c r="N45" s="174">
        <f>SUMIFS(考核调整事项表!$C:$C,考核调整事项表!$B:$B,累计利润调整表!$A45,考核调整事项表!$D:$D,N$3)+SUMIFS(考核调整事项表!$E:$E,考核调整事项表!$B:$B,累计利润调整表!$A45,考核调整事项表!$F:$F,N$3)+SUMIFS(考核调整事项表!$E:$E,考核调整事项表!$G:$G,累计利润调整表!$A45,考核调整事项表!$F:$F,累计利润调整表!N$3)</f>
        <v>1197246.2066666665</v>
      </c>
      <c r="O45" s="174">
        <f>SUMIFS(考核调整事项表!$C:$C,考核调整事项表!$B:$B,累计利润调整表!$A45,考核调整事项表!$D:$D,O$3)+SUMIFS(考核调整事项表!$E:$E,考核调整事项表!$B:$B,累计利润调整表!$A45,考核调整事项表!$F:$F,O$3)+SUMIFS(考核调整事项表!$E:$E,考核调整事项表!$G:$G,累计利润调整表!$A45,考核调整事项表!$F:$F,累计利润调整表!O$3)</f>
        <v>511532.61</v>
      </c>
      <c r="P45" s="174">
        <f t="shared" si="14"/>
        <v>48692227.969999999</v>
      </c>
      <c r="Q45" s="174">
        <f>SUMIFS(考核调整事项表!$C:$C,考核调整事项表!$B:$B,累计利润调整表!$A45,考核调整事项表!$D:$D,Q$3)+SUMIFS(考核调整事项表!$E:$E,考核调整事项表!$B:$B,累计利润调整表!$A45,考核调整事项表!$F:$F,Q$3)+SUMIFS(考核调整事项表!$E:$E,考核调整事项表!$G:$G,累计利润调整表!$A45,考核调整事项表!$F:$F,累计利润调整表!Q$3)</f>
        <v>48692227.969999999</v>
      </c>
      <c r="R45" s="174">
        <f>SUMIFS(考核调整事项表!$C:$C,考核调整事项表!$B:$B,累计利润调整表!$A45,考核调整事项表!$D:$D,R$3)+SUMIFS(考核调整事项表!$E:$E,考核调整事项表!$B:$B,累计利润调整表!$A45,考核调整事项表!$F:$F,R$3)+SUMIFS(考核调整事项表!$E:$E,考核调整事项表!$G:$G,累计利润调整表!$A45,考核调整事项表!$F:$F,累计利润调整表!R$3)</f>
        <v>0</v>
      </c>
      <c r="S45" s="174">
        <f>SUMIFS(考核调整事项表!$C:$C,考核调整事项表!$B:$B,累计利润调整表!$A45,考核调整事项表!$D:$D,S$3)+SUMIFS(考核调整事项表!$E:$E,考核调整事项表!$B:$B,累计利润调整表!$A45,考核调整事项表!$F:$F,S$3)+SUMIFS(考核调整事项表!$E:$E,考核调整事项表!$G:$G,累计利润调整表!$A45,考核调整事项表!$F:$F,累计利润调整表!S$3)</f>
        <v>0</v>
      </c>
      <c r="T45" s="174">
        <f t="shared" si="15"/>
        <v>0</v>
      </c>
      <c r="U45" s="174">
        <f>SUMIFS(考核调整事项表!$C:$C,考核调整事项表!$B:$B,累计利润调整表!$A45,考核调整事项表!$D:$D,U$3)+SUMIFS(考核调整事项表!$E:$E,考核调整事项表!$B:$B,累计利润调整表!$A45,考核调整事项表!$F:$F,U$3)+SUMIFS(考核调整事项表!$E:$E,考核调整事项表!$G:$G,累计利润调整表!$A45,考核调整事项表!$F:$F,累计利润调整表!U$3)</f>
        <v>0</v>
      </c>
      <c r="V45" s="174">
        <f>SUMIFS(考核调整事项表!$C:$C,考核调整事项表!$B:$B,累计利润调整表!$A45,考核调整事项表!$D:$D,V$3)+SUMIFS(考核调整事项表!$E:$E,考核调整事项表!$B:$B,累计利润调整表!$A45,考核调整事项表!$F:$F,V$3)+SUMIFS(考核调整事项表!$E:$E,考核调整事项表!$G:$G,累计利润调整表!$A45,考核调整事项表!$F:$F,累计利润调整表!V$3)</f>
        <v>0</v>
      </c>
      <c r="W45" s="174">
        <f>SUMIFS(考核调整事项表!$C:$C,考核调整事项表!$B:$B,累计利润调整表!$A45,考核调整事项表!$D:$D,W$3)+SUMIFS(考核调整事项表!$E:$E,考核调整事项表!$B:$B,累计利润调整表!$A45,考核调整事项表!$F:$F,W$3)+SUMIFS(考核调整事项表!$E:$E,考核调整事项表!$G:$G,累计利润调整表!$A45,考核调整事项表!$F:$F,累计利润调整表!W$3)</f>
        <v>0</v>
      </c>
      <c r="X45" s="174">
        <f>SUMIFS(考核调整事项表!$C:$C,考核调整事项表!$B:$B,累计利润调整表!$A45,考核调整事项表!$D:$D,X$3)+SUMIFS(考核调整事项表!$E:$E,考核调整事项表!$B:$B,累计利润调整表!$A45,考核调整事项表!$F:$F,X$3)+SUMIFS(考核调整事项表!$E:$E,考核调整事项表!$G:$G,累计利润调整表!$A45,考核调整事项表!$F:$F,累计利润调整表!X$3)</f>
        <v>0</v>
      </c>
      <c r="Y45" s="174">
        <f>SUMIFS(考核调整事项表!$C:$C,考核调整事项表!$B:$B,累计利润调整表!$A45,考核调整事项表!$D:$D,Y$3)+SUMIFS(考核调整事项表!$E:$E,考核调整事项表!$B:$B,累计利润调整表!$A45,考核调整事项表!$F:$F,Y$3)+SUMIFS(考核调整事项表!$E:$E,考核调整事项表!$G:$G,累计利润调整表!$A45,考核调整事项表!$F:$F,累计利润调整表!Y$3)</f>
        <v>0</v>
      </c>
      <c r="Z45" s="174">
        <f>SUMIFS(考核调整事项表!$C:$C,考核调整事项表!$B:$B,累计利润调整表!$A45,考核调整事项表!$D:$D,Z$3)+SUMIFS(考核调整事项表!$E:$E,考核调整事项表!$B:$B,累计利润调整表!$A45,考核调整事项表!$F:$F,Z$3)+SUMIFS(考核调整事项表!$E:$E,考核调整事项表!$G:$G,累计利润调整表!$A45,考核调整事项表!$F:$F,累计利润调整表!Z$3)</f>
        <v>0</v>
      </c>
      <c r="AA45" s="110">
        <f>SUMIFS(考核调整事项表!$C:$C,考核调整事项表!$B:$B,累计利润调整表!$A45,考核调整事项表!$D:$D,AA$3)+SUMIFS(考核调整事项表!$E:$E,考核调整事项表!$B:$B,累计利润调整表!$A45,考核调整事项表!$F:$F,AA$3)+SUMIFS(考核调整事项表!$E:$E,考核调整事项表!$G:$G,累计利润调整表!$A45,考核调整事项表!$F:$F,累计利润调整表!AA$3)</f>
        <v>0</v>
      </c>
      <c r="AB45" s="110">
        <f>SUMIFS(考核调整事项表!$C:$C,考核调整事项表!$B:$B,累计利润调整表!$A45,考核调整事项表!$D:$D,AB$3)+SUMIFS(考核调整事项表!$E:$E,考核调整事项表!$B:$B,累计利润调整表!$A45,考核调整事项表!$F:$F,AB$3)+SUMIFS(考核调整事项表!$E:$E,考核调整事项表!$G:$G,累计利润调整表!$A45,考核调整事项表!$F:$F,累计利润调整表!AB$3)</f>
        <v>0</v>
      </c>
      <c r="AC45" s="110">
        <f>SUMIFS(考核调整事项表!$C:$C,考核调整事项表!$B:$B,累计利润调整表!$A45,考核调整事项表!$D:$D,AC$3)+SUMIFS(考核调整事项表!$E:$E,考核调整事项表!$B:$B,累计利润调整表!$A45,考核调整事项表!$F:$F,AC$3)+SUMIFS(考核调整事项表!$E:$E,考核调整事项表!$G:$G,累计利润调整表!$A45,考核调整事项表!$F:$F,累计利润调整表!AC$3)</f>
        <v>0</v>
      </c>
    </row>
    <row r="46" spans="1:29" s="98" customFormat="1">
      <c r="A46" s="209" t="s">
        <v>61</v>
      </c>
      <c r="B46" s="174">
        <f t="shared" si="11"/>
        <v>0</v>
      </c>
      <c r="C46" s="174">
        <f>SUMIFS(考核调整事项表!$C:$C,考核调整事项表!$B:$B,累计利润调整表!$A46,考核调整事项表!$D:$D,C$3)+SUMIFS(考核调整事项表!$E:$E,考核调整事项表!$B:$B,累计利润调整表!$A46,考核调整事项表!$F:$F,C$3)</f>
        <v>0</v>
      </c>
      <c r="D46" s="174">
        <f>SUMIFS(考核调整事项表!$C:$C,考核调整事项表!$B:$B,累计利润调整表!$A46,考核调整事项表!$D:$D,D$3)+SUMIFS(考核调整事项表!$E:$E,考核调整事项表!$B:$B,累计利润调整表!$A46,考核调整事项表!$F:$F,D$3)</f>
        <v>0</v>
      </c>
      <c r="E46" s="174">
        <f>SUMIFS(考核调整事项表!$C:$C,考核调整事项表!$B:$B,累计利润调整表!$A46,考核调整事项表!$D:$D,E$3)+SUMIFS(考核调整事项表!$E:$E,考核调整事项表!$B:$B,累计利润调整表!$A46,考核调整事项表!$F:$F,E$3)</f>
        <v>0</v>
      </c>
      <c r="F46" s="174">
        <f>SUMIFS(考核调整事项表!$C:$C,考核调整事项表!$B:$B,累计利润调整表!$A46,考核调整事项表!$D:$D,F$3)+SUMIFS(考核调整事项表!$E:$E,考核调整事项表!$B:$B,累计利润调整表!$A46,考核调整事项表!$F:$F,F$3)</f>
        <v>0</v>
      </c>
      <c r="G46" s="109">
        <f t="shared" si="12"/>
        <v>0</v>
      </c>
      <c r="H46" s="174">
        <f>SUMIFS(考核调整事项表!$C:$C,考核调整事项表!$B:$B,累计利润调整表!$A46,考核调整事项表!$D:$D,H$3)+SUMIFS(考核调整事项表!$E:$E,考核调整事项表!$B:$B,累计利润调整表!$A46,考核调整事项表!$F:$F,H$3)</f>
        <v>0</v>
      </c>
      <c r="I46" s="174">
        <f>SUMIFS(考核调整事项表!$C:$C,考核调整事项表!$B:$B,累计利润调整表!$A46,考核调整事项表!$D:$D,I$3)+SUMIFS(考核调整事项表!$E:$E,考核调整事项表!$B:$B,累计利润调整表!$A46,考核调整事项表!$F:$F,I$3)</f>
        <v>0</v>
      </c>
      <c r="J46" s="174">
        <f>SUMIFS(考核调整事项表!$C:$C,考核调整事项表!$B:$B,累计利润调整表!$A46,考核调整事项表!$D:$D,J$3)+SUMIFS(考核调整事项表!$E:$E,考核调整事项表!$B:$B,累计利润调整表!$A46,考核调整事项表!$F:$F,J$3)</f>
        <v>0</v>
      </c>
      <c r="K46" s="174">
        <f t="shared" si="13"/>
        <v>0</v>
      </c>
      <c r="L46" s="174">
        <f>SUMIFS(考核调整事项表!$C:$C,考核调整事项表!$B:$B,累计利润调整表!$A46,考核调整事项表!$D:$D,L$3)+SUMIFS(考核调整事项表!$E:$E,考核调整事项表!$B:$B,累计利润调整表!$A46,考核调整事项表!$F:$F,L$3)</f>
        <v>0</v>
      </c>
      <c r="M46" s="174">
        <f>SUMIFS(考核调整事项表!$C:$C,考核调整事项表!$B:$B,累计利润调整表!$A46,考核调整事项表!$D:$D,M$3)+SUMIFS(考核调整事项表!$E:$E,考核调整事项表!$B:$B,累计利润调整表!$A46,考核调整事项表!$F:$F,M$3)</f>
        <v>0</v>
      </c>
      <c r="N46" s="174">
        <f>SUMIFS(考核调整事项表!$C:$C,考核调整事项表!$B:$B,累计利润调整表!$A46,考核调整事项表!$D:$D,N$3)+SUMIFS(考核调整事项表!$E:$E,考核调整事项表!$B:$B,累计利润调整表!$A46,考核调整事项表!$F:$F,N$3)</f>
        <v>0</v>
      </c>
      <c r="O46" s="174">
        <f>SUMIFS(考核调整事项表!$C:$C,考核调整事项表!$B:$B,累计利润调整表!$A46,考核调整事项表!$D:$D,O$3)+SUMIFS(考核调整事项表!$E:$E,考核调整事项表!$B:$B,累计利润调整表!$A46,考核调整事项表!$F:$F,O$3)</f>
        <v>0</v>
      </c>
      <c r="P46" s="174">
        <f t="shared" si="14"/>
        <v>0</v>
      </c>
      <c r="Q46" s="174">
        <f>SUMIFS(考核调整事项表!$C:$C,考核调整事项表!$B:$B,累计利润调整表!$A46,考核调整事项表!$D:$D,Q$3)+SUMIFS(考核调整事项表!$E:$E,考核调整事项表!$B:$B,累计利润调整表!$A46,考核调整事项表!$F:$F,Q$3)</f>
        <v>0</v>
      </c>
      <c r="R46" s="174">
        <f>SUMIFS(考核调整事项表!$C:$C,考核调整事项表!$B:$B,累计利润调整表!$A46,考核调整事项表!$D:$D,R$3)+SUMIFS(考核调整事项表!$E:$E,考核调整事项表!$B:$B,累计利润调整表!$A46,考核调整事项表!$F:$F,R$3)</f>
        <v>0</v>
      </c>
      <c r="S46" s="174">
        <f>SUMIFS(考核调整事项表!$C:$C,考核调整事项表!$B:$B,累计利润调整表!$A46,考核调整事项表!$D:$D,S$3)+SUMIFS(考核调整事项表!$E:$E,考核调整事项表!$B:$B,累计利润调整表!$A46,考核调整事项表!$F:$F,S$3)</f>
        <v>0</v>
      </c>
      <c r="T46" s="174">
        <f t="shared" si="15"/>
        <v>0</v>
      </c>
      <c r="U46" s="174">
        <f>SUMIFS(考核调整事项表!$C:$C,考核调整事项表!$B:$B,累计利润调整表!$A46,考核调整事项表!$D:$D,U$3)+SUMIFS(考核调整事项表!$E:$E,考核调整事项表!$B:$B,累计利润调整表!$A46,考核调整事项表!$F:$F,U$3)</f>
        <v>0</v>
      </c>
      <c r="V46" s="174">
        <f>SUMIFS(考核调整事项表!$C:$C,考核调整事项表!$B:$B,累计利润调整表!$A46,考核调整事项表!$D:$D,V$3)+SUMIFS(考核调整事项表!$E:$E,考核调整事项表!$B:$B,累计利润调整表!$A46,考核调整事项表!$F:$F,V$3)</f>
        <v>0</v>
      </c>
      <c r="W46" s="174">
        <f>SUMIFS(考核调整事项表!$C:$C,考核调整事项表!$B:$B,累计利润调整表!$A46,考核调整事项表!$D:$D,W$3)+SUMIFS(考核调整事项表!$E:$E,考核调整事项表!$B:$B,累计利润调整表!$A46,考核调整事项表!$F:$F,W$3)</f>
        <v>0</v>
      </c>
      <c r="X46" s="174">
        <f>SUMIFS(考核调整事项表!$C:$C,考核调整事项表!$B:$B,累计利润调整表!$A46,考核调整事项表!$D:$D,X$3)+SUMIFS(考核调整事项表!$E:$E,考核调整事项表!$B:$B,累计利润调整表!$A46,考核调整事项表!$F:$F,X$3)</f>
        <v>0</v>
      </c>
      <c r="Y46" s="174">
        <f>SUMIFS(考核调整事项表!$C:$C,考核调整事项表!$B:$B,累计利润调整表!$A46,考核调整事项表!$D:$D,Y$3)+SUMIFS(考核调整事项表!$E:$E,考核调整事项表!$B:$B,累计利润调整表!$A46,考核调整事项表!$F:$F,Y$3)</f>
        <v>0</v>
      </c>
      <c r="Z46" s="174">
        <f>SUMIFS(考核调整事项表!$C:$C,考核调整事项表!$B:$B,累计利润调整表!$A46,考核调整事项表!$D:$D,Z$3)+SUMIFS(考核调整事项表!$E:$E,考核调整事项表!$B:$B,累计利润调整表!$A46,考核调整事项表!$F:$F,Z$3)</f>
        <v>0</v>
      </c>
      <c r="AA46" s="110">
        <f>SUMIFS(考核调整事项表!$C:$C,考核调整事项表!$B:$B,累计利润调整表!$A46,考核调整事项表!$D:$D,AA$3)+SUMIFS(考核调整事项表!$E:$E,考核调整事项表!$B:$B,累计利润调整表!$A46,考核调整事项表!$F:$F,AA$3)</f>
        <v>0</v>
      </c>
      <c r="AB46" s="110">
        <f>SUMIFS(考核调整事项表!$C:$C,考核调整事项表!$B:$B,累计利润调整表!$A46,考核调整事项表!$D:$D,AB$3)+SUMIFS(考核调整事项表!$E:$E,考核调整事项表!$B:$B,累计利润调整表!$A46,考核调整事项表!$F:$F,AB$3)</f>
        <v>0</v>
      </c>
      <c r="AC46" s="110">
        <f>SUMIFS(考核调整事项表!$C:$C,考核调整事项表!$B:$B,累计利润调整表!$A46,考核调整事项表!$D:$D,AC$3)+SUMIFS(考核调整事项表!$E:$E,考核调整事项表!$B:$B,累计利润调整表!$A46,考核调整事项表!$F:$F,AC$3)</f>
        <v>0</v>
      </c>
    </row>
    <row r="47" spans="1:29" s="98" customFormat="1">
      <c r="A47" s="209" t="s">
        <v>62</v>
      </c>
      <c r="B47" s="110">
        <f t="shared" si="11"/>
        <v>0</v>
      </c>
      <c r="C47" s="110">
        <f>SUMIFS(考核调整事项表!$C:$C,考核调整事项表!$B:$B,累计利润调整表!$A47,考核调整事项表!$D:$D,C$3)+SUMIFS(考核调整事项表!$E:$E,考核调整事项表!$B:$B,累计利润调整表!$A47,考核调整事项表!$F:$F,C$3)</f>
        <v>-274008.12</v>
      </c>
      <c r="D47" s="110">
        <f>SUMIFS(考核调整事项表!$C:$C,考核调整事项表!$B:$B,累计利润调整表!$A47,考核调整事项表!$D:$D,D$3)+SUMIFS(考核调整事项表!$E:$E,考核调整事项表!$B:$B,累计利润调整表!$A47,考核调整事项表!$F:$F,D$3)</f>
        <v>0</v>
      </c>
      <c r="E47" s="110">
        <f>SUMIFS(考核调整事项表!$C:$C,考核调整事项表!$B:$B,累计利润调整表!$A47,考核调整事项表!$D:$D,E$3)+SUMIFS(考核调整事项表!$E:$E,考核调整事项表!$B:$B,累计利润调整表!$A47,考核调整事项表!$F:$F,E$3)</f>
        <v>274008.12</v>
      </c>
      <c r="F47" s="110">
        <f>SUMIFS(考核调整事项表!$C:$C,考核调整事项表!$B:$B,累计利润调整表!$A47,考核调整事项表!$D:$D,F$3)+SUMIFS(考核调整事项表!$E:$E,考核调整事项表!$B:$B,累计利润调整表!$A47,考核调整事项表!$F:$F,F$3)</f>
        <v>0</v>
      </c>
      <c r="G47" s="109">
        <f t="shared" si="12"/>
        <v>0</v>
      </c>
      <c r="H47" s="110">
        <f>SUMIFS(考核调整事项表!$C:$C,考核调整事项表!$B:$B,累计利润调整表!$A47,考核调整事项表!$D:$D,H$3)+SUMIFS(考核调整事项表!$E:$E,考核调整事项表!$B:$B,累计利润调整表!$A47,考核调整事项表!$F:$F,H$3)</f>
        <v>0</v>
      </c>
      <c r="I47" s="110">
        <f>SUMIFS(考核调整事项表!$C:$C,考核调整事项表!$B:$B,累计利润调整表!$A47,考核调整事项表!$D:$D,I$3)+SUMIFS(考核调整事项表!$E:$E,考核调整事项表!$B:$B,累计利润调整表!$A47,考核调整事项表!$F:$F,I$3)</f>
        <v>0</v>
      </c>
      <c r="J47" s="110">
        <f>SUMIFS(考核调整事项表!$C:$C,考核调整事项表!$B:$B,累计利润调整表!$A47,考核调整事项表!$D:$D,J$3)+SUMIFS(考核调整事项表!$E:$E,考核调整事项表!$B:$B,累计利润调整表!$A47,考核调整事项表!$F:$F,J$3)</f>
        <v>0</v>
      </c>
      <c r="K47" s="110">
        <f t="shared" si="13"/>
        <v>0</v>
      </c>
      <c r="L47" s="110">
        <f>SUMIFS(考核调整事项表!$C:$C,考核调整事项表!$B:$B,累计利润调整表!$A47,考核调整事项表!$D:$D,L$3)+SUMIFS(考核调整事项表!$E:$E,考核调整事项表!$B:$B,累计利润调整表!$A47,考核调整事项表!$F:$F,L$3)</f>
        <v>0</v>
      </c>
      <c r="M47" s="110">
        <f>SUMIFS(考核调整事项表!$C:$C,考核调整事项表!$B:$B,累计利润调整表!$A47,考核调整事项表!$D:$D,M$3)+SUMIFS(考核调整事项表!$E:$E,考核调整事项表!$B:$B,累计利润调整表!$A47,考核调整事项表!$F:$F,M$3)</f>
        <v>0</v>
      </c>
      <c r="N47" s="110">
        <f>SUMIFS(考核调整事项表!$C:$C,考核调整事项表!$B:$B,累计利润调整表!$A47,考核调整事项表!$D:$D,N$3)+SUMIFS(考核调整事项表!$E:$E,考核调整事项表!$B:$B,累计利润调整表!$A47,考核调整事项表!$F:$F,N$3)</f>
        <v>0</v>
      </c>
      <c r="O47" s="110">
        <f>SUMIFS(考核调整事项表!$C:$C,考核调整事项表!$B:$B,累计利润调整表!$A47,考核调整事项表!$D:$D,O$3)+SUMIFS(考核调整事项表!$E:$E,考核调整事项表!$B:$B,累计利润调整表!$A47,考核调整事项表!$F:$F,O$3)</f>
        <v>0</v>
      </c>
      <c r="P47" s="110">
        <f t="shared" si="14"/>
        <v>0</v>
      </c>
      <c r="Q47" s="110">
        <f>SUMIFS(考核调整事项表!$C:$C,考核调整事项表!$B:$B,累计利润调整表!$A47,考核调整事项表!$D:$D,Q$3)+SUMIFS(考核调整事项表!$E:$E,考核调整事项表!$B:$B,累计利润调整表!$A47,考核调整事项表!$F:$F,Q$3)</f>
        <v>0</v>
      </c>
      <c r="R47" s="110">
        <f>SUMIFS(考核调整事项表!$C:$C,考核调整事项表!$B:$B,累计利润调整表!$A47,考核调整事项表!$D:$D,R$3)+SUMIFS(考核调整事项表!$E:$E,考核调整事项表!$B:$B,累计利润调整表!$A47,考核调整事项表!$F:$F,R$3)</f>
        <v>0</v>
      </c>
      <c r="S47" s="110">
        <f>SUMIFS(考核调整事项表!$C:$C,考核调整事项表!$B:$B,累计利润调整表!$A47,考核调整事项表!$D:$D,S$3)+SUMIFS(考核调整事项表!$E:$E,考核调整事项表!$B:$B,累计利润调整表!$A47,考核调整事项表!$F:$F,S$3)</f>
        <v>0</v>
      </c>
      <c r="T47" s="110">
        <f t="shared" si="15"/>
        <v>0</v>
      </c>
      <c r="U47" s="110">
        <f>SUMIFS(考核调整事项表!$C:$C,考核调整事项表!$B:$B,累计利润调整表!$A47,考核调整事项表!$D:$D,U$3)+SUMIFS(考核调整事项表!$E:$E,考核调整事项表!$B:$B,累计利润调整表!$A47,考核调整事项表!$F:$F,U$3)</f>
        <v>0</v>
      </c>
      <c r="V47" s="110">
        <f>SUMIFS(考核调整事项表!$C:$C,考核调整事项表!$B:$B,累计利润调整表!$A47,考核调整事项表!$D:$D,V$3)+SUMIFS(考核调整事项表!$E:$E,考核调整事项表!$B:$B,累计利润调整表!$A47,考核调整事项表!$F:$F,V$3)</f>
        <v>0</v>
      </c>
      <c r="W47" s="110">
        <f>SUMIFS(考核调整事项表!$C:$C,考核调整事项表!$B:$B,累计利润调整表!$A47,考核调整事项表!$D:$D,W$3)+SUMIFS(考核调整事项表!$E:$E,考核调整事项表!$B:$B,累计利润调整表!$A47,考核调整事项表!$F:$F,W$3)</f>
        <v>0</v>
      </c>
      <c r="X47" s="110">
        <f>SUMIFS(考核调整事项表!$C:$C,考核调整事项表!$B:$B,累计利润调整表!$A47,考核调整事项表!$D:$D,X$3)+SUMIFS(考核调整事项表!$E:$E,考核调整事项表!$B:$B,累计利润调整表!$A47,考核调整事项表!$F:$F,X$3)</f>
        <v>0</v>
      </c>
      <c r="Y47" s="110">
        <f>SUMIFS(考核调整事项表!$C:$C,考核调整事项表!$B:$B,累计利润调整表!$A47,考核调整事项表!$D:$D,Y$3)+SUMIFS(考核调整事项表!$E:$E,考核调整事项表!$B:$B,累计利润调整表!$A47,考核调整事项表!$F:$F,Y$3)</f>
        <v>0</v>
      </c>
      <c r="Z47" s="110">
        <f>SUMIFS(考核调整事项表!$C:$C,考核调整事项表!$B:$B,累计利润调整表!$A47,考核调整事项表!$D:$D,Z$3)+SUMIFS(考核调整事项表!$E:$E,考核调整事项表!$B:$B,累计利润调整表!$A47,考核调整事项表!$F:$F,Z$3)</f>
        <v>0</v>
      </c>
      <c r="AA47" s="110">
        <f>SUMIFS(考核调整事项表!$C:$C,考核调整事项表!$B:$B,累计利润调整表!$A47,考核调整事项表!$D:$D,AA$3)+SUMIFS(考核调整事项表!$E:$E,考核调整事项表!$B:$B,累计利润调整表!$A47,考核调整事项表!$F:$F,AA$3)</f>
        <v>0</v>
      </c>
      <c r="AB47" s="110">
        <f>SUMIFS(考核调整事项表!$C:$C,考核调整事项表!$B:$B,累计利润调整表!$A47,考核调整事项表!$D:$D,AB$3)+SUMIFS(考核调整事项表!$E:$E,考核调整事项表!$B:$B,累计利润调整表!$A47,考核调整事项表!$F:$F,AB$3)</f>
        <v>0</v>
      </c>
      <c r="AC47" s="110">
        <f>SUMIFS(考核调整事项表!$C:$C,考核调整事项表!$B:$B,累计利润调整表!$A47,考核调整事项表!$D:$D,AC$3)+SUMIFS(考核调整事项表!$E:$E,考核调整事项表!$B:$B,累计利润调整表!$A47,考核调整事项表!$F:$F,AC$3)</f>
        <v>0</v>
      </c>
    </row>
    <row r="48" spans="1:29" s="98" customFormat="1">
      <c r="A48" s="209" t="s">
        <v>445</v>
      </c>
      <c r="B48" s="110">
        <f t="shared" si="11"/>
        <v>0</v>
      </c>
      <c r="C48" s="110">
        <f>SUMIFS(考核调整事项表!$C:$C,考核调整事项表!$B:$B,累计利润调整表!$A48,考核调整事项表!$D:$D,C$3)+SUMIFS(考核调整事项表!$E:$E,考核调整事项表!$B:$B,累计利润调整表!$A48,考核调整事项表!$F:$F,C$3)</f>
        <v>0</v>
      </c>
      <c r="D48" s="110">
        <f>SUMIFS(考核调整事项表!$C:$C,考核调整事项表!$B:$B,累计利润调整表!$A48,考核调整事项表!$D:$D,D$3)+SUMIFS(考核调整事项表!$E:$E,考核调整事项表!$B:$B,累计利润调整表!$A48,考核调整事项表!$F:$F,D$3)</f>
        <v>0</v>
      </c>
      <c r="E48" s="174">
        <f>SUMIFS(考核调整事项表!$C:$C,考核调整事项表!$B:$B,累计利润调整表!$A48,考核调整事项表!$D:$D,E$3)+SUMIFS(考核调整事项表!$E:$E,考核调整事项表!$B:$B,累计利润调整表!$A48,考核调整事项表!$F:$F,E$3)</f>
        <v>0</v>
      </c>
      <c r="F48" s="174">
        <f>SUMIFS(考核调整事项表!$C:$C,考核调整事项表!$B:$B,累计利润调整表!$A48,考核调整事项表!$D:$D,F$3)+SUMIFS(考核调整事项表!$E:$E,考核调整事项表!$B:$B,累计利润调整表!$A48,考核调整事项表!$F:$F,F$3)</f>
        <v>0</v>
      </c>
      <c r="G48" s="109">
        <f t="shared" si="12"/>
        <v>0</v>
      </c>
      <c r="H48" s="174">
        <f>SUMIFS(考核调整事项表!$C:$C,考核调整事项表!$B:$B,累计利润调整表!$A48,考核调整事项表!$D:$D,H$3)+SUMIFS(考核调整事项表!$E:$E,考核调整事项表!$B:$B,累计利润调整表!$A48,考核调整事项表!$F:$F,H$3)</f>
        <v>0</v>
      </c>
      <c r="I48" s="174">
        <f>SUMIFS(考核调整事项表!$C:$C,考核调整事项表!$B:$B,累计利润调整表!$A48,考核调整事项表!$D:$D,I$3)+SUMIFS(考核调整事项表!$E:$E,考核调整事项表!$B:$B,累计利润调整表!$A48,考核调整事项表!$F:$F,I$3)</f>
        <v>0</v>
      </c>
      <c r="J48" s="174">
        <f>SUMIFS(考核调整事项表!$C:$C,考核调整事项表!$B:$B,累计利润调整表!$A48,考核调整事项表!$D:$D,J$3)+SUMIFS(考核调整事项表!$E:$E,考核调整事项表!$B:$B,累计利润调整表!$A48,考核调整事项表!$F:$F,J$3)</f>
        <v>0</v>
      </c>
      <c r="K48" s="174">
        <f t="shared" si="13"/>
        <v>0</v>
      </c>
      <c r="L48" s="174">
        <f>SUMIFS(考核调整事项表!$C:$C,考核调整事项表!$B:$B,累计利润调整表!$A48,考核调整事项表!$D:$D,L$3)+SUMIFS(考核调整事项表!$E:$E,考核调整事项表!$B:$B,累计利润调整表!$A48,考核调整事项表!$F:$F,L$3)</f>
        <v>0</v>
      </c>
      <c r="M48" s="174">
        <f>SUMIFS(考核调整事项表!$C:$C,考核调整事项表!$B:$B,累计利润调整表!$A48,考核调整事项表!$D:$D,M$3)+SUMIFS(考核调整事项表!$E:$E,考核调整事项表!$B:$B,累计利润调整表!$A48,考核调整事项表!$F:$F,M$3)</f>
        <v>0</v>
      </c>
      <c r="N48" s="174">
        <f>SUMIFS(考核调整事项表!$C:$C,考核调整事项表!$B:$B,累计利润调整表!$A48,考核调整事项表!$D:$D,N$3)+SUMIFS(考核调整事项表!$E:$E,考核调整事项表!$B:$B,累计利润调整表!$A48,考核调整事项表!$F:$F,N$3)</f>
        <v>0</v>
      </c>
      <c r="O48" s="174">
        <f>SUMIFS(考核调整事项表!$C:$C,考核调整事项表!$B:$B,累计利润调整表!$A48,考核调整事项表!$D:$D,O$3)+SUMIFS(考核调整事项表!$E:$E,考核调整事项表!$B:$B,累计利润调整表!$A48,考核调整事项表!$F:$F,O$3)</f>
        <v>0</v>
      </c>
      <c r="P48" s="174">
        <f t="shared" si="14"/>
        <v>0</v>
      </c>
      <c r="Q48" s="174">
        <f>SUMIFS(考核调整事项表!$C:$C,考核调整事项表!$B:$B,累计利润调整表!$A48,考核调整事项表!$D:$D,Q$3)+SUMIFS(考核调整事项表!$E:$E,考核调整事项表!$B:$B,累计利润调整表!$A48,考核调整事项表!$F:$F,Q$3)</f>
        <v>0</v>
      </c>
      <c r="R48" s="174">
        <f>SUMIFS(考核调整事项表!$C:$C,考核调整事项表!$B:$B,累计利润调整表!$A48,考核调整事项表!$D:$D,R$3)+SUMIFS(考核调整事项表!$E:$E,考核调整事项表!$B:$B,累计利润调整表!$A48,考核调整事项表!$F:$F,R$3)</f>
        <v>0</v>
      </c>
      <c r="S48" s="174">
        <f>SUMIFS(考核调整事项表!$C:$C,考核调整事项表!$B:$B,累计利润调整表!$A48,考核调整事项表!$D:$D,S$3)+SUMIFS(考核调整事项表!$E:$E,考核调整事项表!$B:$B,累计利润调整表!$A48,考核调整事项表!$F:$F,S$3)</f>
        <v>0</v>
      </c>
      <c r="T48" s="174">
        <f t="shared" si="15"/>
        <v>0</v>
      </c>
      <c r="U48" s="174">
        <f>SUMIFS(考核调整事项表!$C:$C,考核调整事项表!$B:$B,累计利润调整表!$A48,考核调整事项表!$D:$D,U$3)+SUMIFS(考核调整事项表!$E:$E,考核调整事项表!$B:$B,累计利润调整表!$A48,考核调整事项表!$F:$F,U$3)</f>
        <v>0</v>
      </c>
      <c r="V48" s="174">
        <f>SUMIFS(考核调整事项表!$C:$C,考核调整事项表!$B:$B,累计利润调整表!$A48,考核调整事项表!$D:$D,V$3)+SUMIFS(考核调整事项表!$E:$E,考核调整事项表!$B:$B,累计利润调整表!$A48,考核调整事项表!$F:$F,V$3)</f>
        <v>0</v>
      </c>
      <c r="W48" s="174">
        <f>SUMIFS(考核调整事项表!$C:$C,考核调整事项表!$B:$B,累计利润调整表!$A48,考核调整事项表!$D:$D,W$3)+SUMIFS(考核调整事项表!$E:$E,考核调整事项表!$B:$B,累计利润调整表!$A48,考核调整事项表!$F:$F,W$3)</f>
        <v>0</v>
      </c>
      <c r="X48" s="174">
        <f>SUMIFS(考核调整事项表!$C:$C,考核调整事项表!$B:$B,累计利润调整表!$A48,考核调整事项表!$D:$D,X$3)+SUMIFS(考核调整事项表!$E:$E,考核调整事项表!$B:$B,累计利润调整表!$A48,考核调整事项表!$F:$F,X$3)</f>
        <v>0</v>
      </c>
      <c r="Y48" s="174">
        <f>SUMIFS(考核调整事项表!$C:$C,考核调整事项表!$B:$B,累计利润调整表!$A48,考核调整事项表!$D:$D,Y$3)+SUMIFS(考核调整事项表!$E:$E,考核调整事项表!$B:$B,累计利润调整表!$A48,考核调整事项表!$F:$F,Y$3)</f>
        <v>0</v>
      </c>
      <c r="Z48" s="174">
        <f>SUMIFS(考核调整事项表!$C:$C,考核调整事项表!$B:$B,累计利润调整表!$A48,考核调整事项表!$D:$D,Z$3)+SUMIFS(考核调整事项表!$E:$E,考核调整事项表!$B:$B,累计利润调整表!$A48,考核调整事项表!$F:$F,Z$3)</f>
        <v>0</v>
      </c>
      <c r="AA48" s="174">
        <f>SUMIFS(考核调整事项表!$C:$C,考核调整事项表!$B:$B,累计利润调整表!$A48,考核调整事项表!$D:$D,AA$3)+SUMIFS(考核调整事项表!$E:$E,考核调整事项表!$B:$B,累计利润调整表!$A48,考核调整事项表!$F:$F,AA$3)</f>
        <v>0</v>
      </c>
      <c r="AB48" s="174">
        <f>SUMIFS(考核调整事项表!$C:$C,考核调整事项表!$B:$B,累计利润调整表!$A48,考核调整事项表!$D:$D,AB$3)+SUMIFS(考核调整事项表!$E:$E,考核调整事项表!$B:$B,累计利润调整表!$A48,考核调整事项表!$F:$F,AB$3)</f>
        <v>0</v>
      </c>
      <c r="AC48" s="174">
        <f>SUMIFS(考核调整事项表!$C:$C,考核调整事项表!$B:$B,累计利润调整表!$A48,考核调整事项表!$D:$D,AC$3)+SUMIFS(考核调整事项表!$E:$E,考核调整事项表!$B:$B,累计利润调整表!$A48,考核调整事项表!$F:$F,AC$3)</f>
        <v>0</v>
      </c>
    </row>
    <row r="49" spans="1:29" s="98" customFormat="1">
      <c r="A49" s="209" t="s">
        <v>446</v>
      </c>
      <c r="B49" s="110">
        <f t="shared" si="11"/>
        <v>0</v>
      </c>
      <c r="C49" s="110">
        <f>SUMIFS(考核调整事项表!$C:$C,考核调整事项表!$B:$B,累计利润调整表!$A49,考核调整事项表!$D:$D,C$3)+SUMIFS(考核调整事项表!$E:$E,考核调整事项表!$B:$B,累计利润调整表!$A49,考核调整事项表!$F:$F,C$3)</f>
        <v>0</v>
      </c>
      <c r="D49" s="110">
        <f>SUMIFS(考核调整事项表!$C:$C,考核调整事项表!$B:$B,累计利润调整表!$A49,考核调整事项表!$D:$D,D$3)+SUMIFS(考核调整事项表!$E:$E,考核调整事项表!$B:$B,累计利润调整表!$A49,考核调整事项表!$F:$F,D$3)</f>
        <v>0</v>
      </c>
      <c r="E49" s="110">
        <f>SUMIFS(考核调整事项表!$C:$C,考核调整事项表!$B:$B,累计利润调整表!$A49,考核调整事项表!$D:$D,E$3)+SUMIFS(考核调整事项表!$E:$E,考核调整事项表!$B:$B,累计利润调整表!$A49,考核调整事项表!$F:$F,E$3)</f>
        <v>0</v>
      </c>
      <c r="F49" s="110">
        <f>SUMIFS(考核调整事项表!$C:$C,考核调整事项表!$B:$B,累计利润调整表!$A49,考核调整事项表!$D:$D,F$3)+SUMIFS(考核调整事项表!$E:$E,考核调整事项表!$B:$B,累计利润调整表!$A49,考核调整事项表!$F:$F,F$3)</f>
        <v>0</v>
      </c>
      <c r="G49" s="109">
        <f t="shared" si="12"/>
        <v>0</v>
      </c>
      <c r="H49" s="110">
        <f>SUMIFS(考核调整事项表!$C:$C,考核调整事项表!$B:$B,累计利润调整表!$A49,考核调整事项表!$D:$D,H$3)+SUMIFS(考核调整事项表!$E:$E,考核调整事项表!$B:$B,累计利润调整表!$A49,考核调整事项表!$F:$F,H$3)</f>
        <v>0</v>
      </c>
      <c r="I49" s="110">
        <f>SUMIFS(考核调整事项表!$C:$C,考核调整事项表!$B:$B,累计利润调整表!$A49,考核调整事项表!$D:$D,I$3)+SUMIFS(考核调整事项表!$E:$E,考核调整事项表!$B:$B,累计利润调整表!$A49,考核调整事项表!$F:$F,I$3)</f>
        <v>0</v>
      </c>
      <c r="J49" s="110">
        <f>SUMIFS(考核调整事项表!$C:$C,考核调整事项表!$B:$B,累计利润调整表!$A49,考核调整事项表!$D:$D,J$3)+SUMIFS(考核调整事项表!$E:$E,考核调整事项表!$B:$B,累计利润调整表!$A49,考核调整事项表!$F:$F,J$3)</f>
        <v>0</v>
      </c>
      <c r="K49" s="110">
        <f t="shared" si="13"/>
        <v>0</v>
      </c>
      <c r="L49" s="110">
        <f>SUMIFS(考核调整事项表!$C:$C,考核调整事项表!$B:$B,累计利润调整表!$A49,考核调整事项表!$D:$D,L$3)+SUMIFS(考核调整事项表!$E:$E,考核调整事项表!$B:$B,累计利润调整表!$A49,考核调整事项表!$F:$F,L$3)</f>
        <v>0</v>
      </c>
      <c r="M49" s="110">
        <f>SUMIFS(考核调整事项表!$C:$C,考核调整事项表!$B:$B,累计利润调整表!$A49,考核调整事项表!$D:$D,M$3)+SUMIFS(考核调整事项表!$E:$E,考核调整事项表!$B:$B,累计利润调整表!$A49,考核调整事项表!$F:$F,M$3)</f>
        <v>0</v>
      </c>
      <c r="N49" s="110">
        <f>SUMIFS(考核调整事项表!$C:$C,考核调整事项表!$B:$B,累计利润调整表!$A49,考核调整事项表!$D:$D,N$3)+SUMIFS(考核调整事项表!$E:$E,考核调整事项表!$B:$B,累计利润调整表!$A49,考核调整事项表!$F:$F,N$3)</f>
        <v>0</v>
      </c>
      <c r="O49" s="110">
        <f>SUMIFS(考核调整事项表!$C:$C,考核调整事项表!$B:$B,累计利润调整表!$A49,考核调整事项表!$D:$D,O$3)+SUMIFS(考核调整事项表!$E:$E,考核调整事项表!$B:$B,累计利润调整表!$A49,考核调整事项表!$F:$F,O$3)</f>
        <v>0</v>
      </c>
      <c r="P49" s="110">
        <f t="shared" si="14"/>
        <v>0</v>
      </c>
      <c r="Q49" s="110">
        <f>SUMIFS(考核调整事项表!$C:$C,考核调整事项表!$B:$B,累计利润调整表!$A49,考核调整事项表!$D:$D,Q$3)+SUMIFS(考核调整事项表!$E:$E,考核调整事项表!$B:$B,累计利润调整表!$A49,考核调整事项表!$F:$F,Q$3)</f>
        <v>0</v>
      </c>
      <c r="R49" s="110">
        <f>SUMIFS(考核调整事项表!$C:$C,考核调整事项表!$B:$B,累计利润调整表!$A49,考核调整事项表!$D:$D,R$3)+SUMIFS(考核调整事项表!$E:$E,考核调整事项表!$B:$B,累计利润调整表!$A49,考核调整事项表!$F:$F,R$3)</f>
        <v>0</v>
      </c>
      <c r="S49" s="110">
        <f>SUMIFS(考核调整事项表!$C:$C,考核调整事项表!$B:$B,累计利润调整表!$A49,考核调整事项表!$D:$D,S$3)+SUMIFS(考核调整事项表!$E:$E,考核调整事项表!$B:$B,累计利润调整表!$A49,考核调整事项表!$F:$F,S$3)</f>
        <v>0</v>
      </c>
      <c r="T49" s="110">
        <f t="shared" si="15"/>
        <v>0</v>
      </c>
      <c r="U49" s="110">
        <f>SUMIFS(考核调整事项表!$C:$C,考核调整事项表!$B:$B,累计利润调整表!$A49,考核调整事项表!$D:$D,U$3)+SUMIFS(考核调整事项表!$E:$E,考核调整事项表!$B:$B,累计利润调整表!$A49,考核调整事项表!$F:$F,U$3)</f>
        <v>0</v>
      </c>
      <c r="V49" s="110">
        <f>SUMIFS(考核调整事项表!$C:$C,考核调整事项表!$B:$B,累计利润调整表!$A49,考核调整事项表!$D:$D,V$3)+SUMIFS(考核调整事项表!$E:$E,考核调整事项表!$B:$B,累计利润调整表!$A49,考核调整事项表!$F:$F,V$3)</f>
        <v>0</v>
      </c>
      <c r="W49" s="110">
        <f>SUMIFS(考核调整事项表!$C:$C,考核调整事项表!$B:$B,累计利润调整表!$A49,考核调整事项表!$D:$D,W$3)+SUMIFS(考核调整事项表!$E:$E,考核调整事项表!$B:$B,累计利润调整表!$A49,考核调整事项表!$F:$F,W$3)</f>
        <v>0</v>
      </c>
      <c r="X49" s="110">
        <f>SUMIFS(考核调整事项表!$C:$C,考核调整事项表!$B:$B,累计利润调整表!$A49,考核调整事项表!$D:$D,X$3)+SUMIFS(考核调整事项表!$E:$E,考核调整事项表!$B:$B,累计利润调整表!$A49,考核调整事项表!$F:$F,X$3)</f>
        <v>0</v>
      </c>
      <c r="Y49" s="110">
        <f>SUMIFS(考核调整事项表!$C:$C,考核调整事项表!$B:$B,累计利润调整表!$A49,考核调整事项表!$D:$D,Y$3)+SUMIFS(考核调整事项表!$E:$E,考核调整事项表!$B:$B,累计利润调整表!$A49,考核调整事项表!$F:$F,Y$3)</f>
        <v>0</v>
      </c>
      <c r="Z49" s="110">
        <f>SUMIFS(考核调整事项表!$C:$C,考核调整事项表!$B:$B,累计利润调整表!$A49,考核调整事项表!$D:$D,Z$3)+SUMIFS(考核调整事项表!$E:$E,考核调整事项表!$B:$B,累计利润调整表!$A49,考核调整事项表!$F:$F,Z$3)</f>
        <v>0</v>
      </c>
      <c r="AA49" s="110">
        <f>SUMIFS(考核调整事项表!$C:$C,考核调整事项表!$B:$B,累计利润调整表!$A49,考核调整事项表!$D:$D,AA$3)+SUMIFS(考核调整事项表!$E:$E,考核调整事项表!$B:$B,累计利润调整表!$A49,考核调整事项表!$F:$F,AA$3)</f>
        <v>0</v>
      </c>
      <c r="AB49" s="110">
        <f>SUMIFS(考核调整事项表!$C:$C,考核调整事项表!$B:$B,累计利润调整表!$A49,考核调整事项表!$D:$D,AB$3)+SUMIFS(考核调整事项表!$E:$E,考核调整事项表!$B:$B,累计利润调整表!$A49,考核调整事项表!$F:$F,AB$3)</f>
        <v>0</v>
      </c>
      <c r="AC49" s="110">
        <f>SUMIFS(考核调整事项表!$C:$C,考核调整事项表!$B:$B,累计利润调整表!$A49,考核调整事项表!$D:$D,AC$3)+SUMIFS(考核调整事项表!$E:$E,考核调整事项表!$B:$B,累计利润调整表!$A49,考核调整事项表!$F:$F,AC$3)</f>
        <v>0</v>
      </c>
    </row>
    <row r="50" spans="1:29" s="98" customFormat="1">
      <c r="A50" s="211" t="s">
        <v>42</v>
      </c>
      <c r="B50" s="112">
        <f t="shared" si="11"/>
        <v>-1.6370904631912708E-10</v>
      </c>
      <c r="C50" s="112">
        <f t="shared" ref="C50:I50" si="16">SUM(C51:C54)</f>
        <v>-1891257.2600000002</v>
      </c>
      <c r="D50" s="112">
        <f t="shared" si="16"/>
        <v>-33122.82</v>
      </c>
      <c r="E50" s="112">
        <f t="shared" si="16"/>
        <v>876632.19000000006</v>
      </c>
      <c r="F50" s="112">
        <f t="shared" si="16"/>
        <v>-48891.25</v>
      </c>
      <c r="G50" s="109">
        <f t="shared" si="12"/>
        <v>-6662.78</v>
      </c>
      <c r="H50" s="112">
        <f t="shared" si="16"/>
        <v>0</v>
      </c>
      <c r="I50" s="112">
        <f t="shared" si="16"/>
        <v>0</v>
      </c>
      <c r="J50" s="112">
        <f t="shared" ref="J50" si="17">SUM(J51:J54)</f>
        <v>-6662.78</v>
      </c>
      <c r="K50" s="112">
        <f t="shared" si="13"/>
        <v>254226.75000000003</v>
      </c>
      <c r="L50" s="112">
        <f t="shared" ref="L50:U50" si="18">SUM(L51:L54)</f>
        <v>-10655.240000000002</v>
      </c>
      <c r="M50" s="112">
        <f t="shared" si="18"/>
        <v>-1842.0000000000002</v>
      </c>
      <c r="N50" s="112">
        <f t="shared" ref="N50" si="19">SUM(N51:N54)</f>
        <v>253922.62000000002</v>
      </c>
      <c r="O50" s="112">
        <f t="shared" si="18"/>
        <v>12801.37</v>
      </c>
      <c r="P50" s="112">
        <f t="shared" si="14"/>
        <v>849209.37</v>
      </c>
      <c r="Q50" s="112">
        <f t="shared" si="18"/>
        <v>850862.12</v>
      </c>
      <c r="R50" s="112">
        <f t="shared" si="18"/>
        <v>-1652.75</v>
      </c>
      <c r="S50" s="112">
        <f t="shared" si="18"/>
        <v>0</v>
      </c>
      <c r="T50" s="112">
        <f t="shared" si="15"/>
        <v>-134.20000000000073</v>
      </c>
      <c r="U50" s="112">
        <f t="shared" si="18"/>
        <v>0</v>
      </c>
      <c r="V50" s="112">
        <f t="shared" ref="V50:AC50" si="20">SUM(V51:V54)</f>
        <v>-4660.38</v>
      </c>
      <c r="W50" s="112">
        <f t="shared" si="20"/>
        <v>4526.1799999999994</v>
      </c>
      <c r="X50" s="112">
        <f t="shared" si="20"/>
        <v>0</v>
      </c>
      <c r="Y50" s="112">
        <f t="shared" si="20"/>
        <v>0</v>
      </c>
      <c r="Z50" s="112">
        <f t="shared" si="20"/>
        <v>0</v>
      </c>
      <c r="AA50" s="112">
        <f t="shared" si="20"/>
        <v>0</v>
      </c>
      <c r="AB50" s="112">
        <f t="shared" si="20"/>
        <v>0</v>
      </c>
      <c r="AC50" s="112">
        <f t="shared" si="20"/>
        <v>0</v>
      </c>
    </row>
    <row r="51" spans="1:29" s="98" customFormat="1">
      <c r="A51" s="212" t="s">
        <v>63</v>
      </c>
      <c r="B51" s="110">
        <f t="shared" si="11"/>
        <v>4.5474735088646412E-13</v>
      </c>
      <c r="C51" s="111">
        <f>SUMIFS(考核调整事项表!$C:$C,考核调整事项表!$B:$B,累计利润调整表!$A51,考核调整事项表!$D:$D,C$3)+SUMIFS(考核调整事项表!$E:$E,考核调整事项表!$B:$B,累计利润调整表!$A51,考核调整事项表!$F:$F,C$3)</f>
        <v>1613.21</v>
      </c>
      <c r="D51" s="111">
        <f>SUMIFS(考核调整事项表!$C:$C,考核调整事项表!$B:$B,累计利润调整表!$A51,考核调整事项表!$D:$D,D$3)+SUMIFS(考核调整事项表!$E:$E,考核调整事项表!$B:$B,累计利润调整表!$A51,考核调整事项表!$F:$F,D$3)</f>
        <v>3243.65</v>
      </c>
      <c r="E51" s="111">
        <f>SUMIFS(考核调整事项表!$C:$C,考核调整事项表!$B:$B,累计利润调整表!$A51,考核调整事项表!$D:$D,E$3)+SUMIFS(考核调整事项表!$E:$E,考核调整事项表!$B:$B,累计利润调整表!$A51,考核调整事项表!$F:$F,E$3)</f>
        <v>84.16</v>
      </c>
      <c r="F51" s="111">
        <f>SUMIFS(考核调整事项表!$C:$C,考核调整事项表!$B:$B,累计利润调整表!$A51,考核调整事项表!$D:$D,F$3)+SUMIFS(考核调整事项表!$E:$E,考核调整事项表!$B:$B,累计利润调整表!$A51,考核调整事项表!$F:$F,F$3)</f>
        <v>1892.5</v>
      </c>
      <c r="G51" s="109">
        <f t="shared" si="12"/>
        <v>-646.54000000000008</v>
      </c>
      <c r="H51" s="111">
        <f>SUMIFS(考核调整事项表!$C:$C,考核调整事项表!$B:$B,累计利润调整表!$A51,考核调整事项表!$D:$D,H$3)+SUMIFS(考核调整事项表!$E:$E,考核调整事项表!$B:$B,累计利润调整表!$A51,考核调整事项表!$F:$F,H$3)</f>
        <v>0</v>
      </c>
      <c r="I51" s="111">
        <f>SUMIFS(考核调整事项表!$C:$C,考核调整事项表!$B:$B,累计利润调整表!$A51,考核调整事项表!$D:$D,I$3)+SUMIFS(考核调整事项表!$E:$E,考核调整事项表!$B:$B,累计利润调整表!$A51,考核调整事项表!$F:$F,I$3)</f>
        <v>0</v>
      </c>
      <c r="J51" s="111">
        <f>SUMIFS(考核调整事项表!$C:$C,考核调整事项表!$B:$B,累计利润调整表!$A51,考核调整事项表!$D:$D,J$3)+SUMIFS(考核调整事项表!$E:$E,考核调整事项表!$B:$B,累计利润调整表!$A51,考核调整事项表!$F:$F,J$3)</f>
        <v>-646.54000000000008</v>
      </c>
      <c r="K51" s="111">
        <f t="shared" si="13"/>
        <v>-3727.08</v>
      </c>
      <c r="L51" s="111">
        <f>SUMIFS(考核调整事项表!$C:$C,考核调整事项表!$B:$B,累计利润调整表!$A51,考核调整事项表!$D:$D,L$3)+SUMIFS(考核调整事项表!$E:$E,考核调整事项表!$B:$B,累计利润调整表!$A51,考核调整事项表!$F:$F,L$3)</f>
        <v>-3105.9800000000005</v>
      </c>
      <c r="M51" s="111">
        <f>SUMIFS(考核调整事项表!$C:$C,考核调整事项表!$B:$B,累计利润调整表!$A51,考核调整事项表!$D:$D,M$3)+SUMIFS(考核调整事项表!$E:$E,考核调整事项表!$B:$B,累计利润调整表!$A51,考核调整事项表!$F:$F,M$3)</f>
        <v>-536.94000000000005</v>
      </c>
      <c r="N51" s="111">
        <f>SUMIFS(考核调整事项表!$C:$C,考核调整事项表!$B:$B,累计利润调整表!$A51,考核调整事项表!$D:$D,N$3)+SUMIFS(考核调整事项表!$E:$E,考核调整事项表!$B:$B,累计利润调整表!$A51,考核调整事项表!$F:$F,N$3)</f>
        <v>-3815.74</v>
      </c>
      <c r="O51" s="111">
        <f>SUMIFS(考核调整事项表!$C:$C,考核调整事项表!$B:$B,累计利润调整表!$A51,考核调整事项表!$D:$D,O$3)+SUMIFS(考核调整事项表!$E:$E,考核调整事项表!$B:$B,累计利润调整表!$A51,考核调整事项表!$F:$F,O$3)</f>
        <v>3731.58</v>
      </c>
      <c r="P51" s="111">
        <f t="shared" si="14"/>
        <v>-846.69</v>
      </c>
      <c r="Q51" s="111">
        <f>SUMIFS(考核调整事项表!$C:$C,考核调整事项表!$B:$B,累计利润调整表!$A51,考核调整事项表!$D:$D,Q$3)+SUMIFS(考核调整事项表!$E:$E,考核调整事项表!$B:$B,累计利润调整表!$A51,考核调整事项表!$F:$F,Q$3)</f>
        <v>-364.92</v>
      </c>
      <c r="R51" s="111">
        <f>SUMIFS(考核调整事项表!$C:$C,考核调整事项表!$B:$B,累计利润调整表!$A51,考核调整事项表!$D:$D,R$3)+SUMIFS(考核调整事项表!$E:$E,考核调整事项表!$B:$B,累计利润调整表!$A51,考核调整事项表!$F:$F,R$3)</f>
        <v>-481.77</v>
      </c>
      <c r="S51" s="111">
        <f>SUMIFS(考核调整事项表!$C:$C,考核调整事项表!$B:$B,累计利润调整表!$A51,考核调整事项表!$D:$D,S$3)+SUMIFS(考核调整事项表!$E:$E,考核调整事项表!$B:$B,累计利润调整表!$A51,考核调整事项表!$F:$F,S$3)</f>
        <v>0</v>
      </c>
      <c r="T51" s="111">
        <f t="shared" si="15"/>
        <v>-1613.21</v>
      </c>
      <c r="U51" s="111">
        <f>SUMIFS(考核调整事项表!$C:$C,考核调整事项表!$B:$B,累计利润调整表!$A51,考核调整事项表!$D:$D,U$3)+SUMIFS(考核调整事项表!$E:$E,考核调整事项表!$B:$B,累计利润调整表!$A51,考核调整事项表!$F:$F,U$3)</f>
        <v>0</v>
      </c>
      <c r="V51" s="111">
        <f>SUMIFS(考核调整事项表!$C:$C,考核调整事项表!$B:$B,累计利润调整表!$A51,考核调整事项表!$D:$D,V$3)+SUMIFS(考核调整事项表!$E:$E,考核调整事项表!$B:$B,累计利润调整表!$A51,考核调整事项表!$F:$F,V$3)</f>
        <v>-1358.49</v>
      </c>
      <c r="W51" s="111">
        <f>SUMIFS(考核调整事项表!$C:$C,考核调整事项表!$B:$B,累计利润调整表!$A51,考核调整事项表!$D:$D,W$3)+SUMIFS(考核调整事项表!$E:$E,考核调整事项表!$B:$B,累计利润调整表!$A51,考核调整事项表!$F:$F,W$3)</f>
        <v>-254.72</v>
      </c>
      <c r="X51" s="111">
        <f>SUMIFS(考核调整事项表!$C:$C,考核调整事项表!$B:$B,累计利润调整表!$A51,考核调整事项表!$D:$D,X$3)+SUMIFS(考核调整事项表!$E:$E,考核调整事项表!$B:$B,累计利润调整表!$A51,考核调整事项表!$F:$F,X$3)</f>
        <v>0</v>
      </c>
      <c r="Y51" s="111">
        <f>SUMIFS(考核调整事项表!$C:$C,考核调整事项表!$B:$B,累计利润调整表!$A51,考核调整事项表!$D:$D,Y$3)+SUMIFS(考核调整事项表!$E:$E,考核调整事项表!$B:$B,累计利润调整表!$A51,考核调整事项表!$F:$F,Y$3)</f>
        <v>0</v>
      </c>
      <c r="Z51" s="111">
        <f>SUMIFS(考核调整事项表!$C:$C,考核调整事项表!$B:$B,累计利润调整表!$A51,考核调整事项表!$D:$D,Z$3)+SUMIFS(考核调整事项表!$E:$E,考核调整事项表!$B:$B,累计利润调整表!$A51,考核调整事项表!$F:$F,Z$3)</f>
        <v>0</v>
      </c>
      <c r="AA51" s="111">
        <f>SUMIFS(考核调整事项表!$C:$C,考核调整事项表!$B:$B,累计利润调整表!$A51,考核调整事项表!$D:$D,AA$3)+SUMIFS(考核调整事项表!$E:$E,考核调整事项表!$B:$B,累计利润调整表!$A51,考核调整事项表!$F:$F,AA$3)</f>
        <v>0</v>
      </c>
      <c r="AB51" s="111">
        <f>SUMIFS(考核调整事项表!$C:$C,考核调整事项表!$B:$B,累计利润调整表!$A51,考核调整事项表!$D:$D,AB$3)+SUMIFS(考核调整事项表!$E:$E,考核调整事项表!$B:$B,累计利润调整表!$A51,考核调整事项表!$F:$F,AB$3)</f>
        <v>0</v>
      </c>
      <c r="AC51" s="111">
        <f>SUMIFS(考核调整事项表!$C:$C,考核调整事项表!$B:$B,累计利润调整表!$A51,考核调整事项表!$D:$D,AC$3)+SUMIFS(考核调整事项表!$E:$E,考核调整事项表!$B:$B,累计利润调整表!$A51,考核调整事项表!$F:$F,AC$3)</f>
        <v>0</v>
      </c>
    </row>
    <row r="52" spans="1:29" s="98" customFormat="1">
      <c r="A52" s="212" t="s">
        <v>64</v>
      </c>
      <c r="B52" s="110">
        <f t="shared" si="11"/>
        <v>-9.5496943686157465E-12</v>
      </c>
      <c r="C52" s="111">
        <f>SUMIFS(考核调整事项表!$C:$C,考核调整事项表!$B:$B,累计利润调整表!$A52,考核调整事项表!$D:$D,C$3)+SUMIFS(考核调整事项表!$E:$E,考核调整事项表!$B:$B,累计利润调整表!$A52,考核调整事项表!$F:$F,C$3)</f>
        <v>-1892870.4700000002</v>
      </c>
      <c r="D52" s="111">
        <f>SUMIFS(考核调整事项表!$C:$C,考核调整事项表!$B:$B,累计利润调整表!$A52,考核调整事项表!$D:$D,D$3)+SUMIFS(考核调整事项表!$E:$E,考核调整事项表!$B:$B,累计利润调整表!$A52,考核调整事项表!$F:$F,D$3)</f>
        <v>-36366.47</v>
      </c>
      <c r="E52" s="111">
        <f>SUMIFS(考核调整事项表!$C:$C,考核调整事项表!$B:$B,累计利润调整表!$A52,考核调整事项表!$D:$D,E$3)+SUMIFS(考核调整事项表!$E:$E,考核调整事项表!$B:$B,累计利润调整表!$A52,考核调整事项表!$F:$F,E$3)</f>
        <v>876548.03</v>
      </c>
      <c r="F52" s="111">
        <f>SUMIFS(考核调整事项表!$C:$C,考核调整事项表!$B:$B,累计利润调整表!$A52,考核调整事项表!$D:$D,F$3)+SUMIFS(考核调整事项表!$E:$E,考核调整事项表!$B:$B,累计利润调整表!$A52,考核调整事项表!$F:$F,F$3)</f>
        <v>-50783.75</v>
      </c>
      <c r="G52" s="109">
        <f t="shared" si="12"/>
        <v>-6016.24</v>
      </c>
      <c r="H52" s="111">
        <f>SUMIFS(考核调整事项表!$C:$C,考核调整事项表!$B:$B,累计利润调整表!$A52,考核调整事项表!$D:$D,H$3)+SUMIFS(考核调整事项表!$E:$E,考核调整事项表!$B:$B,累计利润调整表!$A52,考核调整事项表!$F:$F,H$3)</f>
        <v>0</v>
      </c>
      <c r="I52" s="111">
        <f>SUMIFS(考核调整事项表!$C:$C,考核调整事项表!$B:$B,累计利润调整表!$A52,考核调整事项表!$D:$D,I$3)+SUMIFS(考核调整事项表!$E:$E,考核调整事项表!$B:$B,累计利润调整表!$A52,考核调整事项表!$F:$F,I$3)</f>
        <v>0</v>
      </c>
      <c r="J52" s="111">
        <f>SUMIFS(考核调整事项表!$C:$C,考核调整事项表!$B:$B,累计利润调整表!$A52,考核调整事项表!$D:$D,J$3)+SUMIFS(考核调整事项表!$E:$E,考核调整事项表!$B:$B,累计利润调整表!$A52,考核调整事项表!$F:$F,J$3)</f>
        <v>-6016.24</v>
      </c>
      <c r="K52" s="111">
        <f t="shared" si="13"/>
        <v>257953.83000000002</v>
      </c>
      <c r="L52" s="111">
        <f>SUMIFS(考核调整事项表!$C:$C,考核调整事项表!$B:$B,累计利润调整表!$A52,考核调整事项表!$D:$D,L$3)+SUMIFS(考核调整事项表!$E:$E,考核调整事项表!$B:$B,累计利润调整表!$A52,考核调整事项表!$F:$F,L$3)</f>
        <v>-7549.26</v>
      </c>
      <c r="M52" s="111">
        <f>SUMIFS(考核调整事项表!$C:$C,考核调整事项表!$B:$B,累计利润调整表!$A52,考核调整事项表!$D:$D,M$3)+SUMIFS(考核调整事项表!$E:$E,考核调整事项表!$B:$B,累计利润调整表!$A52,考核调整事项表!$F:$F,M$3)</f>
        <v>-1305.0600000000002</v>
      </c>
      <c r="N52" s="111">
        <f>SUMIFS(考核调整事项表!$C:$C,考核调整事项表!$B:$B,累计利润调整表!$A52,考核调整事项表!$D:$D,N$3)+SUMIFS(考核调整事项表!$E:$E,考核调整事项表!$B:$B,累计利润调整表!$A52,考核调整事项表!$F:$F,N$3)</f>
        <v>257738.36000000002</v>
      </c>
      <c r="O52" s="111">
        <f>SUMIFS(考核调整事项表!$C:$C,考核调整事项表!$B:$B,累计利润调整表!$A52,考核调整事项表!$D:$D,O$3)+SUMIFS(考核调整事项表!$E:$E,考核调整事项表!$B:$B,累计利润调整表!$A52,考核调整事项表!$F:$F,O$3)</f>
        <v>9069.7900000000009</v>
      </c>
      <c r="P52" s="111">
        <f t="shared" si="14"/>
        <v>850056.06</v>
      </c>
      <c r="Q52" s="111">
        <f>SUMIFS(考核调整事项表!$C:$C,考核调整事项表!$B:$B,累计利润调整表!$A52,考核调整事项表!$D:$D,Q$3)+SUMIFS(考核调整事项表!$E:$E,考核调整事项表!$B:$B,累计利润调整表!$A52,考核调整事项表!$F:$F,Q$3)</f>
        <v>851227.04</v>
      </c>
      <c r="R52" s="111">
        <f>SUMIFS(考核调整事项表!$C:$C,考核调整事项表!$B:$B,累计利润调整表!$A52,考核调整事项表!$D:$D,R$3)+SUMIFS(考核调整事项表!$E:$E,考核调整事项表!$B:$B,累计利润调整表!$A52,考核调整事项表!$F:$F,R$3)</f>
        <v>-1170.98</v>
      </c>
      <c r="S52" s="111">
        <f>SUMIFS(考核调整事项表!$C:$C,考核调整事项表!$B:$B,累计利润调整表!$A52,考核调整事项表!$D:$D,S$3)+SUMIFS(考核调整事项表!$E:$E,考核调整事项表!$B:$B,累计利润调整表!$A52,考核调整事项表!$F:$F,S$3)</f>
        <v>0</v>
      </c>
      <c r="T52" s="111">
        <f t="shared" si="15"/>
        <v>1479.0099999999998</v>
      </c>
      <c r="U52" s="111">
        <f>SUMIFS(考核调整事项表!$C:$C,考核调整事项表!$B:$B,累计利润调整表!$A52,考核调整事项表!$D:$D,U$3)+SUMIFS(考核调整事项表!$E:$E,考核调整事项表!$B:$B,累计利润调整表!$A52,考核调整事项表!$F:$F,U$3)</f>
        <v>0</v>
      </c>
      <c r="V52" s="111">
        <f>SUMIFS(考核调整事项表!$C:$C,考核调整事项表!$B:$B,累计利润调整表!$A52,考核调整事项表!$D:$D,V$3)+SUMIFS(考核调整事项表!$E:$E,考核调整事项表!$B:$B,累计利润调整表!$A52,考核调整事项表!$F:$F,V$3)</f>
        <v>-3301.89</v>
      </c>
      <c r="W52" s="111">
        <f>SUMIFS(考核调整事项表!$C:$C,考核调整事项表!$B:$B,累计利润调整表!$A52,考核调整事项表!$D:$D,W$3)+SUMIFS(考核调整事项表!$E:$E,考核调整事项表!$B:$B,累计利润调整表!$A52,考核调整事项表!$F:$F,W$3)</f>
        <v>4780.8999999999996</v>
      </c>
      <c r="X52" s="111">
        <f>SUMIFS(考核调整事项表!$C:$C,考核调整事项表!$B:$B,累计利润调整表!$A52,考核调整事项表!$D:$D,X$3)+SUMIFS(考核调整事项表!$E:$E,考核调整事项表!$B:$B,累计利润调整表!$A52,考核调整事项表!$F:$F,X$3)</f>
        <v>0</v>
      </c>
      <c r="Y52" s="111">
        <f>SUMIFS(考核调整事项表!$C:$C,考核调整事项表!$B:$B,累计利润调整表!$A52,考核调整事项表!$D:$D,Y$3)+SUMIFS(考核调整事项表!$E:$E,考核调整事项表!$B:$B,累计利润调整表!$A52,考核调整事项表!$F:$F,Y$3)</f>
        <v>0</v>
      </c>
      <c r="Z52" s="111">
        <f>SUMIFS(考核调整事项表!$C:$C,考核调整事项表!$B:$B,累计利润调整表!$A52,考核调整事项表!$D:$D,Z$3)+SUMIFS(考核调整事项表!$E:$E,考核调整事项表!$B:$B,累计利润调整表!$A52,考核调整事项表!$F:$F,Z$3)</f>
        <v>0</v>
      </c>
      <c r="AA52" s="111">
        <f>SUMIFS(考核调整事项表!$C:$C,考核调整事项表!$B:$B,累计利润调整表!$A52,考核调整事项表!$D:$D,AA$3)+SUMIFS(考核调整事项表!$E:$E,考核调整事项表!$B:$B,累计利润调整表!$A52,考核调整事项表!$F:$F,AA$3)</f>
        <v>0</v>
      </c>
      <c r="AB52" s="111">
        <f>SUMIFS(考核调整事项表!$C:$C,考核调整事项表!$B:$B,累计利润调整表!$A52,考核调整事项表!$D:$D,AB$3)+SUMIFS(考核调整事项表!$E:$E,考核调整事项表!$B:$B,累计利润调整表!$A52,考核调整事项表!$F:$F,AB$3)</f>
        <v>0</v>
      </c>
      <c r="AC52" s="111">
        <f>SUMIFS(考核调整事项表!$C:$C,考核调整事项表!$B:$B,累计利润调整表!$A52,考核调整事项表!$D:$D,AC$3)+SUMIFS(考核调整事项表!$E:$E,考核调整事项表!$B:$B,累计利润调整表!$A52,考核调整事项表!$F:$F,AC$3)</f>
        <v>0</v>
      </c>
    </row>
    <row r="53" spans="1:29" s="98" customFormat="1">
      <c r="A53" s="212" t="s">
        <v>65</v>
      </c>
      <c r="B53" s="110">
        <f t="shared" si="11"/>
        <v>0</v>
      </c>
      <c r="C53" s="111">
        <f>SUMIFS(考核调整事项表!$C:$C,考核调整事项表!$B:$B,累计利润调整表!$A53,考核调整事项表!$D:$D,C$3)+SUMIFS(考核调整事项表!$E:$E,考核调整事项表!$B:$B,累计利润调整表!$A53,考核调整事项表!$F:$F,C$3)</f>
        <v>0</v>
      </c>
      <c r="D53" s="111">
        <f>SUMIFS(考核调整事项表!$C:$C,考核调整事项表!$B:$B,累计利润调整表!$A53,考核调整事项表!$D:$D,D$3)+SUMIFS(考核调整事项表!$E:$E,考核调整事项表!$B:$B,累计利润调整表!$A53,考核调整事项表!$F:$F,D$3)</f>
        <v>0</v>
      </c>
      <c r="E53" s="111">
        <f>SUMIFS(考核调整事项表!$C:$C,考核调整事项表!$B:$B,累计利润调整表!$A53,考核调整事项表!$D:$D,E$3)+SUMIFS(考核调整事项表!$E:$E,考核调整事项表!$B:$B,累计利润调整表!$A53,考核调整事项表!$F:$F,E$3)</f>
        <v>0</v>
      </c>
      <c r="F53" s="111">
        <f>SUMIFS(考核调整事项表!$C:$C,考核调整事项表!$B:$B,累计利润调整表!$A53,考核调整事项表!$D:$D,F$3)+SUMIFS(考核调整事项表!$E:$E,考核调整事项表!$B:$B,累计利润调整表!$A53,考核调整事项表!$F:$F,F$3)</f>
        <v>0</v>
      </c>
      <c r="G53" s="109">
        <f t="shared" si="12"/>
        <v>0</v>
      </c>
      <c r="H53" s="111">
        <f>SUMIFS(考核调整事项表!$C:$C,考核调整事项表!$B:$B,累计利润调整表!$A53,考核调整事项表!$D:$D,H$3)+SUMIFS(考核调整事项表!$E:$E,考核调整事项表!$B:$B,累计利润调整表!$A53,考核调整事项表!$F:$F,H$3)</f>
        <v>0</v>
      </c>
      <c r="I53" s="111">
        <f>SUMIFS(考核调整事项表!$C:$C,考核调整事项表!$B:$B,累计利润调整表!$A53,考核调整事项表!$D:$D,I$3)+SUMIFS(考核调整事项表!$E:$E,考核调整事项表!$B:$B,累计利润调整表!$A53,考核调整事项表!$F:$F,I$3)</f>
        <v>0</v>
      </c>
      <c r="J53" s="111">
        <f>SUMIFS(考核调整事项表!$C:$C,考核调整事项表!$B:$B,累计利润调整表!$A53,考核调整事项表!$D:$D,J$3)+SUMIFS(考核调整事项表!$E:$E,考核调整事项表!$B:$B,累计利润调整表!$A53,考核调整事项表!$F:$F,J$3)</f>
        <v>0</v>
      </c>
      <c r="K53" s="111">
        <f t="shared" si="13"/>
        <v>0</v>
      </c>
      <c r="L53" s="111">
        <f>SUMIFS(考核调整事项表!$C:$C,考核调整事项表!$B:$B,累计利润调整表!$A53,考核调整事项表!$D:$D,L$3)+SUMIFS(考核调整事项表!$E:$E,考核调整事项表!$B:$B,累计利润调整表!$A53,考核调整事项表!$F:$F,L$3)</f>
        <v>0</v>
      </c>
      <c r="M53" s="111">
        <f>SUMIFS(考核调整事项表!$C:$C,考核调整事项表!$B:$B,累计利润调整表!$A53,考核调整事项表!$D:$D,M$3)+SUMIFS(考核调整事项表!$E:$E,考核调整事项表!$B:$B,累计利润调整表!$A53,考核调整事项表!$F:$F,M$3)</f>
        <v>0</v>
      </c>
      <c r="N53" s="111">
        <f>SUMIFS(考核调整事项表!$C:$C,考核调整事项表!$B:$B,累计利润调整表!$A53,考核调整事项表!$D:$D,N$3)+SUMIFS(考核调整事项表!$E:$E,考核调整事项表!$B:$B,累计利润调整表!$A53,考核调整事项表!$F:$F,N$3)</f>
        <v>0</v>
      </c>
      <c r="O53" s="111">
        <f>SUMIFS(考核调整事项表!$C:$C,考核调整事项表!$B:$B,累计利润调整表!$A53,考核调整事项表!$D:$D,O$3)+SUMIFS(考核调整事项表!$E:$E,考核调整事项表!$B:$B,累计利润调整表!$A53,考核调整事项表!$F:$F,O$3)</f>
        <v>0</v>
      </c>
      <c r="P53" s="111">
        <f t="shared" si="14"/>
        <v>0</v>
      </c>
      <c r="Q53" s="111">
        <f>SUMIFS(考核调整事项表!$C:$C,考核调整事项表!$B:$B,累计利润调整表!$A53,考核调整事项表!$D:$D,Q$3)+SUMIFS(考核调整事项表!$E:$E,考核调整事项表!$B:$B,累计利润调整表!$A53,考核调整事项表!$F:$F,Q$3)</f>
        <v>0</v>
      </c>
      <c r="R53" s="111">
        <f>SUMIFS(考核调整事项表!$C:$C,考核调整事项表!$B:$B,累计利润调整表!$A53,考核调整事项表!$D:$D,R$3)+SUMIFS(考核调整事项表!$E:$E,考核调整事项表!$B:$B,累计利润调整表!$A53,考核调整事项表!$F:$F,R$3)</f>
        <v>0</v>
      </c>
      <c r="S53" s="111">
        <f>SUMIFS(考核调整事项表!$C:$C,考核调整事项表!$B:$B,累计利润调整表!$A53,考核调整事项表!$D:$D,S$3)+SUMIFS(考核调整事项表!$E:$E,考核调整事项表!$B:$B,累计利润调整表!$A53,考核调整事项表!$F:$F,S$3)</f>
        <v>0</v>
      </c>
      <c r="T53" s="111">
        <f t="shared" si="15"/>
        <v>0</v>
      </c>
      <c r="U53" s="111">
        <f>SUMIFS(考核调整事项表!$C:$C,考核调整事项表!$B:$B,累计利润调整表!$A53,考核调整事项表!$D:$D,U$3)+SUMIFS(考核调整事项表!$E:$E,考核调整事项表!$B:$B,累计利润调整表!$A53,考核调整事项表!$F:$F,U$3)</f>
        <v>0</v>
      </c>
      <c r="V53" s="111">
        <f>SUMIFS(考核调整事项表!$C:$C,考核调整事项表!$B:$B,累计利润调整表!$A53,考核调整事项表!$D:$D,V$3)+SUMIFS(考核调整事项表!$E:$E,考核调整事项表!$B:$B,累计利润调整表!$A53,考核调整事项表!$F:$F,V$3)</f>
        <v>0</v>
      </c>
      <c r="W53" s="111">
        <f>SUMIFS(考核调整事项表!$C:$C,考核调整事项表!$B:$B,累计利润调整表!$A53,考核调整事项表!$D:$D,W$3)+SUMIFS(考核调整事项表!$E:$E,考核调整事项表!$B:$B,累计利润调整表!$A53,考核调整事项表!$F:$F,W$3)</f>
        <v>0</v>
      </c>
      <c r="X53" s="111">
        <f>SUMIFS(考核调整事项表!$C:$C,考核调整事项表!$B:$B,累计利润调整表!$A53,考核调整事项表!$D:$D,X$3)+SUMIFS(考核调整事项表!$E:$E,考核调整事项表!$B:$B,累计利润调整表!$A53,考核调整事项表!$F:$F,X$3)</f>
        <v>0</v>
      </c>
      <c r="Y53" s="111">
        <f>SUMIFS(考核调整事项表!$C:$C,考核调整事项表!$B:$B,累计利润调整表!$A53,考核调整事项表!$D:$D,Y$3)+SUMIFS(考核调整事项表!$E:$E,考核调整事项表!$B:$B,累计利润调整表!$A53,考核调整事项表!$F:$F,Y$3)</f>
        <v>0</v>
      </c>
      <c r="Z53" s="111">
        <f>SUMIFS(考核调整事项表!$C:$C,考核调整事项表!$B:$B,累计利润调整表!$A53,考核调整事项表!$D:$D,Z$3)+SUMIFS(考核调整事项表!$E:$E,考核调整事项表!$B:$B,累计利润调整表!$A53,考核调整事项表!$F:$F,Z$3)</f>
        <v>0</v>
      </c>
      <c r="AA53" s="111">
        <f>SUMIFS(考核调整事项表!$C:$C,考核调整事项表!$B:$B,累计利润调整表!$A53,考核调整事项表!$D:$D,AA$3)+SUMIFS(考核调整事项表!$E:$E,考核调整事项表!$B:$B,累计利润调整表!$A53,考核调整事项表!$F:$F,AA$3)</f>
        <v>0</v>
      </c>
      <c r="AB53" s="111">
        <f>SUMIFS(考核调整事项表!$C:$C,考核调整事项表!$B:$B,累计利润调整表!$A53,考核调整事项表!$D:$D,AB$3)+SUMIFS(考核调整事项表!$E:$E,考核调整事项表!$B:$B,累计利润调整表!$A53,考核调整事项表!$F:$F,AB$3)</f>
        <v>0</v>
      </c>
      <c r="AC53" s="111">
        <f>SUMIFS(考核调整事项表!$C:$C,考核调整事项表!$B:$B,累计利润调整表!$A53,考核调整事项表!$D:$D,AC$3)+SUMIFS(考核调整事项表!$E:$E,考核调整事项表!$B:$B,累计利润调整表!$A53,考核调整事项表!$F:$F,AC$3)</f>
        <v>0</v>
      </c>
    </row>
    <row r="54" spans="1:29" s="98" customFormat="1">
      <c r="A54" s="212" t="s">
        <v>66</v>
      </c>
      <c r="B54" s="110">
        <f t="shared" si="11"/>
        <v>0</v>
      </c>
      <c r="C54" s="111">
        <f>SUMIFS(考核调整事项表!$C:$C,考核调整事项表!$B:$B,累计利润调整表!$A54,考核调整事项表!$D:$D,C$3)+SUMIFS(考核调整事项表!$E:$E,考核调整事项表!$B:$B,累计利润调整表!$A54,考核调整事项表!$F:$F,C$3)</f>
        <v>0</v>
      </c>
      <c r="D54" s="111">
        <f>SUMIFS(考核调整事项表!$C:$C,考核调整事项表!$B:$B,累计利润调整表!$A54,考核调整事项表!$D:$D,D$3)+SUMIFS(考核调整事项表!$E:$E,考核调整事项表!$B:$B,累计利润调整表!$A54,考核调整事项表!$F:$F,D$3)</f>
        <v>0</v>
      </c>
      <c r="E54" s="111">
        <f>SUMIFS(考核调整事项表!$C:$C,考核调整事项表!$B:$B,累计利润调整表!$A54,考核调整事项表!$D:$D,E$3)+SUMIFS(考核调整事项表!$E:$E,考核调整事项表!$B:$B,累计利润调整表!$A54,考核调整事项表!$F:$F,E$3)</f>
        <v>0</v>
      </c>
      <c r="F54" s="111">
        <f>SUMIFS(考核调整事项表!$C:$C,考核调整事项表!$B:$B,累计利润调整表!$A54,考核调整事项表!$D:$D,F$3)+SUMIFS(考核调整事项表!$E:$E,考核调整事项表!$B:$B,累计利润调整表!$A54,考核调整事项表!$F:$F,F$3)</f>
        <v>0</v>
      </c>
      <c r="G54" s="109">
        <f t="shared" si="12"/>
        <v>0</v>
      </c>
      <c r="H54" s="111">
        <f>SUMIFS(考核调整事项表!$C:$C,考核调整事项表!$B:$B,累计利润调整表!$A54,考核调整事项表!$D:$D,H$3)+SUMIFS(考核调整事项表!$E:$E,考核调整事项表!$B:$B,累计利润调整表!$A54,考核调整事项表!$F:$F,H$3)</f>
        <v>0</v>
      </c>
      <c r="I54" s="111">
        <f>SUMIFS(考核调整事项表!$C:$C,考核调整事项表!$B:$B,累计利润调整表!$A54,考核调整事项表!$D:$D,I$3)+SUMIFS(考核调整事项表!$E:$E,考核调整事项表!$B:$B,累计利润调整表!$A54,考核调整事项表!$F:$F,I$3)</f>
        <v>0</v>
      </c>
      <c r="J54" s="111">
        <f>SUMIFS(考核调整事项表!$C:$C,考核调整事项表!$B:$B,累计利润调整表!$A54,考核调整事项表!$D:$D,J$3)+SUMIFS(考核调整事项表!$E:$E,考核调整事项表!$B:$B,累计利润调整表!$A54,考核调整事项表!$F:$F,J$3)</f>
        <v>0</v>
      </c>
      <c r="K54" s="111">
        <f t="shared" si="13"/>
        <v>0</v>
      </c>
      <c r="L54" s="111">
        <f>SUMIFS(考核调整事项表!$C:$C,考核调整事项表!$B:$B,累计利润调整表!$A54,考核调整事项表!$D:$D,L$3)+SUMIFS(考核调整事项表!$E:$E,考核调整事项表!$B:$B,累计利润调整表!$A54,考核调整事项表!$F:$F,L$3)</f>
        <v>0</v>
      </c>
      <c r="M54" s="111">
        <f>SUMIFS(考核调整事项表!$C:$C,考核调整事项表!$B:$B,累计利润调整表!$A54,考核调整事项表!$D:$D,M$3)+SUMIFS(考核调整事项表!$E:$E,考核调整事项表!$B:$B,累计利润调整表!$A54,考核调整事项表!$F:$F,M$3)</f>
        <v>0</v>
      </c>
      <c r="N54" s="111">
        <f>SUMIFS(考核调整事项表!$C:$C,考核调整事项表!$B:$B,累计利润调整表!$A54,考核调整事项表!$D:$D,N$3)+SUMIFS(考核调整事项表!$E:$E,考核调整事项表!$B:$B,累计利润调整表!$A54,考核调整事项表!$F:$F,N$3)</f>
        <v>0</v>
      </c>
      <c r="O54" s="111">
        <f>SUMIFS(考核调整事项表!$C:$C,考核调整事项表!$B:$B,累计利润调整表!$A54,考核调整事项表!$D:$D,O$3)+SUMIFS(考核调整事项表!$E:$E,考核调整事项表!$B:$B,累计利润调整表!$A54,考核调整事项表!$F:$F,O$3)</f>
        <v>0</v>
      </c>
      <c r="P54" s="111">
        <f t="shared" si="14"/>
        <v>0</v>
      </c>
      <c r="Q54" s="111">
        <f>SUMIFS(考核调整事项表!$C:$C,考核调整事项表!$B:$B,累计利润调整表!$A54,考核调整事项表!$D:$D,Q$3)+SUMIFS(考核调整事项表!$E:$E,考核调整事项表!$B:$B,累计利润调整表!$A54,考核调整事项表!$F:$F,Q$3)</f>
        <v>0</v>
      </c>
      <c r="R54" s="111">
        <f>SUMIFS(考核调整事项表!$C:$C,考核调整事项表!$B:$B,累计利润调整表!$A54,考核调整事项表!$D:$D,R$3)+SUMIFS(考核调整事项表!$E:$E,考核调整事项表!$B:$B,累计利润调整表!$A54,考核调整事项表!$F:$F,R$3)</f>
        <v>0</v>
      </c>
      <c r="S54" s="111">
        <f>SUMIFS(考核调整事项表!$C:$C,考核调整事项表!$B:$B,累计利润调整表!$A54,考核调整事项表!$D:$D,S$3)+SUMIFS(考核调整事项表!$E:$E,考核调整事项表!$B:$B,累计利润调整表!$A54,考核调整事项表!$F:$F,S$3)</f>
        <v>0</v>
      </c>
      <c r="T54" s="111">
        <f t="shared" si="15"/>
        <v>0</v>
      </c>
      <c r="U54" s="111">
        <f>SUMIFS(考核调整事项表!$C:$C,考核调整事项表!$B:$B,累计利润调整表!$A54,考核调整事项表!$D:$D,U$3)+SUMIFS(考核调整事项表!$E:$E,考核调整事项表!$B:$B,累计利润调整表!$A54,考核调整事项表!$F:$F,U$3)</f>
        <v>0</v>
      </c>
      <c r="V54" s="111">
        <f>SUMIFS(考核调整事项表!$C:$C,考核调整事项表!$B:$B,累计利润调整表!$A54,考核调整事项表!$D:$D,V$3)+SUMIFS(考核调整事项表!$E:$E,考核调整事项表!$B:$B,累计利润调整表!$A54,考核调整事项表!$F:$F,V$3)</f>
        <v>0</v>
      </c>
      <c r="W54" s="111">
        <f>SUMIFS(考核调整事项表!$C:$C,考核调整事项表!$B:$B,累计利润调整表!$A54,考核调整事项表!$D:$D,W$3)+SUMIFS(考核调整事项表!$E:$E,考核调整事项表!$B:$B,累计利润调整表!$A54,考核调整事项表!$F:$F,W$3)</f>
        <v>0</v>
      </c>
      <c r="X54" s="111">
        <f>SUMIFS(考核调整事项表!$C:$C,考核调整事项表!$B:$B,累计利润调整表!$A54,考核调整事项表!$D:$D,X$3)+SUMIFS(考核调整事项表!$E:$E,考核调整事项表!$B:$B,累计利润调整表!$A54,考核调整事项表!$F:$F,X$3)</f>
        <v>0</v>
      </c>
      <c r="Y54" s="111">
        <f>SUMIFS(考核调整事项表!$C:$C,考核调整事项表!$B:$B,累计利润调整表!$A54,考核调整事项表!$D:$D,Y$3)+SUMIFS(考核调整事项表!$E:$E,考核调整事项表!$B:$B,累计利润调整表!$A54,考核调整事项表!$F:$F,Y$3)</f>
        <v>0</v>
      </c>
      <c r="Z54" s="111">
        <f>SUMIFS(考核调整事项表!$C:$C,考核调整事项表!$B:$B,累计利润调整表!$A54,考核调整事项表!$D:$D,Z$3)+SUMIFS(考核调整事项表!$E:$E,考核调整事项表!$B:$B,累计利润调整表!$A54,考核调整事项表!$F:$F,Z$3)</f>
        <v>0</v>
      </c>
      <c r="AA54" s="111">
        <f>SUMIFS(考核调整事项表!$C:$C,考核调整事项表!$B:$B,累计利润调整表!$A54,考核调整事项表!$D:$D,AA$3)+SUMIFS(考核调整事项表!$E:$E,考核调整事项表!$B:$B,累计利润调整表!$A54,考核调整事项表!$F:$F,AA$3)</f>
        <v>0</v>
      </c>
      <c r="AB54" s="111">
        <f>SUMIFS(考核调整事项表!$C:$C,考核调整事项表!$B:$B,累计利润调整表!$A54,考核调整事项表!$D:$D,AB$3)+SUMIFS(考核调整事项表!$E:$E,考核调整事项表!$B:$B,累计利润调整表!$A54,考核调整事项表!$F:$F,AB$3)</f>
        <v>0</v>
      </c>
      <c r="AC54" s="111">
        <f>SUMIFS(考核调整事项表!$C:$C,考核调整事项表!$B:$B,累计利润调整表!$A54,考核调整事项表!$D:$D,AC$3)+SUMIFS(考核调整事项表!$E:$E,考核调整事项表!$B:$B,累计利润调整表!$A54,考核调整事项表!$F:$F,AC$3)</f>
        <v>0</v>
      </c>
    </row>
    <row r="55" spans="1:29" s="98" customFormat="1">
      <c r="A55" s="211" t="s">
        <v>47</v>
      </c>
      <c r="B55" s="112">
        <f t="shared" si="11"/>
        <v>-67470592.560000002</v>
      </c>
      <c r="C55" s="112">
        <f t="shared" ref="C55:I55" si="21">C37-C50</f>
        <v>-46850922.219999999</v>
      </c>
      <c r="D55" s="112">
        <f t="shared" si="21"/>
        <v>-2248714.9800000028</v>
      </c>
      <c r="E55" s="112">
        <f t="shared" si="21"/>
        <v>2863397.92666667</v>
      </c>
      <c r="F55" s="112">
        <f t="shared" si="21"/>
        <v>301827.22526261827</v>
      </c>
      <c r="G55" s="109">
        <f t="shared" si="12"/>
        <v>-76678378.105818659</v>
      </c>
      <c r="H55" s="112">
        <f t="shared" si="21"/>
        <v>-72588366.893333331</v>
      </c>
      <c r="I55" s="112">
        <f t="shared" si="21"/>
        <v>-2573735.08</v>
      </c>
      <c r="J55" s="112">
        <f t="shared" ref="J55" si="22">J37-J50</f>
        <v>-1516276.1324853331</v>
      </c>
      <c r="K55" s="112">
        <f t="shared" si="13"/>
        <v>7640697.6955336826</v>
      </c>
      <c r="L55" s="112">
        <f t="shared" ref="L55:U55" si="23">L37-L50</f>
        <v>6283064.357594125</v>
      </c>
      <c r="M55" s="112">
        <f t="shared" si="23"/>
        <v>-72732.808727108859</v>
      </c>
      <c r="N55" s="112">
        <f t="shared" ref="N55" si="24">N37-N50</f>
        <v>413361.07666666643</v>
      </c>
      <c r="O55" s="112">
        <f t="shared" si="23"/>
        <v>1017005.0700000001</v>
      </c>
      <c r="P55" s="112">
        <f t="shared" si="14"/>
        <v>47725422.308355696</v>
      </c>
      <c r="Q55" s="112">
        <f t="shared" si="23"/>
        <v>47790682.821171828</v>
      </c>
      <c r="R55" s="112">
        <f t="shared" si="23"/>
        <v>-65260.512816129034</v>
      </c>
      <c r="S55" s="112">
        <f t="shared" si="23"/>
        <v>0</v>
      </c>
      <c r="T55" s="112">
        <f t="shared" si="15"/>
        <v>-223922.41</v>
      </c>
      <c r="U55" s="112">
        <f t="shared" si="23"/>
        <v>0</v>
      </c>
      <c r="V55" s="112">
        <f t="shared" ref="V55:AC55" si="25">V37-V50</f>
        <v>-184018.87</v>
      </c>
      <c r="W55" s="112">
        <f t="shared" si="25"/>
        <v>-39903.54</v>
      </c>
      <c r="X55" s="112">
        <f t="shared" si="25"/>
        <v>0</v>
      </c>
      <c r="Y55" s="112">
        <f t="shared" si="25"/>
        <v>0</v>
      </c>
      <c r="Z55" s="112">
        <f t="shared" si="25"/>
        <v>0</v>
      </c>
      <c r="AA55" s="112">
        <f t="shared" si="25"/>
        <v>0</v>
      </c>
      <c r="AB55" s="112">
        <f t="shared" si="25"/>
        <v>0</v>
      </c>
      <c r="AC55" s="112">
        <f t="shared" si="25"/>
        <v>0</v>
      </c>
    </row>
    <row r="56" spans="1:29" s="98" customFormat="1">
      <c r="A56" s="212" t="s">
        <v>67</v>
      </c>
      <c r="B56" s="110">
        <f t="shared" si="11"/>
        <v>0</v>
      </c>
      <c r="C56" s="110">
        <f>SUMIFS(考核调整事项表!$C:$C,考核调整事项表!$B:$B,累计利润调整表!$A56,考核调整事项表!$D:$D,C$3)+SUMIFS(考核调整事项表!$E:$E,考核调整事项表!$B:$B,累计利润调整表!$A56,考核调整事项表!$F:$F,C$3)</f>
        <v>0</v>
      </c>
      <c r="D56" s="110">
        <f>SUMIFS(考核调整事项表!$C:$C,考核调整事项表!$B:$B,累计利润调整表!$A56,考核调整事项表!$D:$D,D$3)+SUMIFS(考核调整事项表!$E:$E,考核调整事项表!$B:$B,累计利润调整表!$A56,考核调整事项表!$F:$F,D$3)</f>
        <v>0</v>
      </c>
      <c r="E56" s="110">
        <f>SUMIFS(考核调整事项表!$C:$C,考核调整事项表!$B:$B,累计利润调整表!$A56,考核调整事项表!$D:$D,E$3)+SUMIFS(考核调整事项表!$E:$E,考核调整事项表!$B:$B,累计利润调整表!$A56,考核调整事项表!$F:$F,E$3)</f>
        <v>0</v>
      </c>
      <c r="F56" s="110">
        <f>SUMIFS(考核调整事项表!$C:$C,考核调整事项表!$B:$B,累计利润调整表!$A56,考核调整事项表!$D:$D,F$3)+SUMIFS(考核调整事项表!$E:$E,考核调整事项表!$B:$B,累计利润调整表!$A56,考核调整事项表!$F:$F,F$3)</f>
        <v>0</v>
      </c>
      <c r="G56" s="109">
        <f t="shared" si="12"/>
        <v>0</v>
      </c>
      <c r="H56" s="110">
        <f>SUMIFS(考核调整事项表!$C:$C,考核调整事项表!$B:$B,累计利润调整表!$A56,考核调整事项表!$D:$D,H$3)+SUMIFS(考核调整事项表!$E:$E,考核调整事项表!$B:$B,累计利润调整表!$A56,考核调整事项表!$F:$F,H$3)</f>
        <v>0</v>
      </c>
      <c r="I56" s="110">
        <f>SUMIFS(考核调整事项表!$C:$C,考核调整事项表!$B:$B,累计利润调整表!$A56,考核调整事项表!$D:$D,I$3)+SUMIFS(考核调整事项表!$E:$E,考核调整事项表!$B:$B,累计利润调整表!$A56,考核调整事项表!$F:$F,I$3)</f>
        <v>0</v>
      </c>
      <c r="J56" s="110">
        <f>SUMIFS(考核调整事项表!$C:$C,考核调整事项表!$B:$B,累计利润调整表!$A56,考核调整事项表!$D:$D,J$3)+SUMIFS(考核调整事项表!$E:$E,考核调整事项表!$B:$B,累计利润调整表!$A56,考核调整事项表!$F:$F,J$3)</f>
        <v>0</v>
      </c>
      <c r="K56" s="110">
        <f t="shared" si="13"/>
        <v>0</v>
      </c>
      <c r="L56" s="110">
        <f>SUMIFS(考核调整事项表!$C:$C,考核调整事项表!$B:$B,累计利润调整表!$A56,考核调整事项表!$D:$D,L$3)+SUMIFS(考核调整事项表!$E:$E,考核调整事项表!$B:$B,累计利润调整表!$A56,考核调整事项表!$F:$F,L$3)</f>
        <v>0</v>
      </c>
      <c r="M56" s="110">
        <f>SUMIFS(考核调整事项表!$C:$C,考核调整事项表!$B:$B,累计利润调整表!$A56,考核调整事项表!$D:$D,M$3)+SUMIFS(考核调整事项表!$E:$E,考核调整事项表!$B:$B,累计利润调整表!$A56,考核调整事项表!$F:$F,M$3)</f>
        <v>0</v>
      </c>
      <c r="N56" s="110">
        <f>SUMIFS(考核调整事项表!$C:$C,考核调整事项表!$B:$B,累计利润调整表!$A56,考核调整事项表!$D:$D,N$3)+SUMIFS(考核调整事项表!$E:$E,考核调整事项表!$B:$B,累计利润调整表!$A56,考核调整事项表!$F:$F,N$3)</f>
        <v>0</v>
      </c>
      <c r="O56" s="110">
        <f>SUMIFS(考核调整事项表!$C:$C,考核调整事项表!$B:$B,累计利润调整表!$A56,考核调整事项表!$D:$D,O$3)+SUMIFS(考核调整事项表!$E:$E,考核调整事项表!$B:$B,累计利润调整表!$A56,考核调整事项表!$F:$F,O$3)</f>
        <v>0</v>
      </c>
      <c r="P56" s="110">
        <f t="shared" si="14"/>
        <v>0</v>
      </c>
      <c r="Q56" s="110">
        <f>SUMIFS(考核调整事项表!$C:$C,考核调整事项表!$B:$B,累计利润调整表!$A56,考核调整事项表!$D:$D,Q$3)+SUMIFS(考核调整事项表!$E:$E,考核调整事项表!$B:$B,累计利润调整表!$A56,考核调整事项表!$F:$F,Q$3)</f>
        <v>0</v>
      </c>
      <c r="R56" s="110">
        <f>SUMIFS(考核调整事项表!$C:$C,考核调整事项表!$B:$B,累计利润调整表!$A56,考核调整事项表!$D:$D,R$3)+SUMIFS(考核调整事项表!$E:$E,考核调整事项表!$B:$B,累计利润调整表!$A56,考核调整事项表!$F:$F,R$3)</f>
        <v>0</v>
      </c>
      <c r="S56" s="110">
        <f>SUMIFS(考核调整事项表!$C:$C,考核调整事项表!$B:$B,累计利润调整表!$A56,考核调整事项表!$D:$D,S$3)+SUMIFS(考核调整事项表!$E:$E,考核调整事项表!$B:$B,累计利润调整表!$A56,考核调整事项表!$F:$F,S$3)</f>
        <v>0</v>
      </c>
      <c r="T56" s="110">
        <f t="shared" si="15"/>
        <v>0</v>
      </c>
      <c r="U56" s="110">
        <f>SUMIFS(考核调整事项表!$C:$C,考核调整事项表!$B:$B,累计利润调整表!$A56,考核调整事项表!$D:$D,U$3)+SUMIFS(考核调整事项表!$E:$E,考核调整事项表!$B:$B,累计利润调整表!$A56,考核调整事项表!$F:$F,U$3)</f>
        <v>0</v>
      </c>
      <c r="V56" s="110">
        <f>SUMIFS(考核调整事项表!$C:$C,考核调整事项表!$B:$B,累计利润调整表!$A56,考核调整事项表!$D:$D,V$3)+SUMIFS(考核调整事项表!$E:$E,考核调整事项表!$B:$B,累计利润调整表!$A56,考核调整事项表!$F:$F,V$3)</f>
        <v>0</v>
      </c>
      <c r="W56" s="110">
        <f>SUMIFS(考核调整事项表!$C:$C,考核调整事项表!$B:$B,累计利润调整表!$A56,考核调整事项表!$D:$D,W$3)+SUMIFS(考核调整事项表!$E:$E,考核调整事项表!$B:$B,累计利润调整表!$A56,考核调整事项表!$F:$F,W$3)</f>
        <v>0</v>
      </c>
      <c r="X56" s="110">
        <f>SUMIFS(考核调整事项表!$C:$C,考核调整事项表!$B:$B,累计利润调整表!$A56,考核调整事项表!$D:$D,X$3)+SUMIFS(考核调整事项表!$E:$E,考核调整事项表!$B:$B,累计利润调整表!$A56,考核调整事项表!$F:$F,X$3)</f>
        <v>0</v>
      </c>
      <c r="Y56" s="110">
        <f>SUMIFS(考核调整事项表!$C:$C,考核调整事项表!$B:$B,累计利润调整表!$A56,考核调整事项表!$D:$D,Y$3)+SUMIFS(考核调整事项表!$E:$E,考核调整事项表!$B:$B,累计利润调整表!$A56,考核调整事项表!$F:$F,Y$3)</f>
        <v>0</v>
      </c>
      <c r="Z56" s="110">
        <f>SUMIFS(考核调整事项表!$C:$C,考核调整事项表!$B:$B,累计利润调整表!$A56,考核调整事项表!$D:$D,Z$3)+SUMIFS(考核调整事项表!$E:$E,考核调整事项表!$B:$B,累计利润调整表!$A56,考核调整事项表!$F:$F,Z$3)</f>
        <v>0</v>
      </c>
      <c r="AA56" s="110">
        <f>SUMIFS(考核调整事项表!$C:$C,考核调整事项表!$B:$B,累计利润调整表!$A56,考核调整事项表!$D:$D,AA$3)+SUMIFS(考核调整事项表!$E:$E,考核调整事项表!$B:$B,累计利润调整表!$A56,考核调整事项表!$F:$F,AA$3)</f>
        <v>0</v>
      </c>
      <c r="AB56" s="110">
        <f>SUMIFS(考核调整事项表!$C:$C,考核调整事项表!$B:$B,累计利润调整表!$A56,考核调整事项表!$D:$D,AB$3)+SUMIFS(考核调整事项表!$E:$E,考核调整事项表!$B:$B,累计利润调整表!$A56,考核调整事项表!$F:$F,AB$3)</f>
        <v>0</v>
      </c>
      <c r="AC56" s="110">
        <f>SUMIFS(考核调整事项表!$C:$C,考核调整事项表!$B:$B,累计利润调整表!$A56,考核调整事项表!$D:$D,AC$3)+SUMIFS(考核调整事项表!$E:$E,考核调整事项表!$B:$B,累计利润调整表!$A56,考核调整事项表!$F:$F,AC$3)</f>
        <v>0</v>
      </c>
    </row>
    <row r="57" spans="1:29" s="98" customFormat="1">
      <c r="A57" s="212" t="s">
        <v>68</v>
      </c>
      <c r="B57" s="110">
        <f t="shared" si="11"/>
        <v>0</v>
      </c>
      <c r="C57" s="110">
        <f>SUMIFS(考核调整事项表!$C:$C,考核调整事项表!$B:$B,累计利润调整表!$A57,考核调整事项表!$D:$D,C$3)+SUMIFS(考核调整事项表!$E:$E,考核调整事项表!$B:$B,累计利润调整表!$A57,考核调整事项表!$F:$F,C$3)</f>
        <v>0</v>
      </c>
      <c r="D57" s="110">
        <f>SUMIFS(考核调整事项表!$C:$C,考核调整事项表!$B:$B,累计利润调整表!$A57,考核调整事项表!$D:$D,D$3)+SUMIFS(考核调整事项表!$E:$E,考核调整事项表!$B:$B,累计利润调整表!$A57,考核调整事项表!$F:$F,D$3)</f>
        <v>0</v>
      </c>
      <c r="E57" s="110">
        <f>SUMIFS(考核调整事项表!$C:$C,考核调整事项表!$B:$B,累计利润调整表!$A57,考核调整事项表!$D:$D,E$3)+SUMIFS(考核调整事项表!$E:$E,考核调整事项表!$B:$B,累计利润调整表!$A57,考核调整事项表!$F:$F,E$3)</f>
        <v>0</v>
      </c>
      <c r="F57" s="110">
        <f>SUMIFS(考核调整事项表!$C:$C,考核调整事项表!$B:$B,累计利润调整表!$A57,考核调整事项表!$D:$D,F$3)+SUMIFS(考核调整事项表!$E:$E,考核调整事项表!$B:$B,累计利润调整表!$A57,考核调整事项表!$F:$F,F$3)</f>
        <v>0</v>
      </c>
      <c r="G57" s="109">
        <f t="shared" si="12"/>
        <v>0</v>
      </c>
      <c r="H57" s="110">
        <f>SUMIFS(考核调整事项表!$C:$C,考核调整事项表!$B:$B,累计利润调整表!$A57,考核调整事项表!$D:$D,H$3)+SUMIFS(考核调整事项表!$E:$E,考核调整事项表!$B:$B,累计利润调整表!$A57,考核调整事项表!$F:$F,H$3)</f>
        <v>0</v>
      </c>
      <c r="I57" s="110">
        <f>SUMIFS(考核调整事项表!$C:$C,考核调整事项表!$B:$B,累计利润调整表!$A57,考核调整事项表!$D:$D,I$3)+SUMIFS(考核调整事项表!$E:$E,考核调整事项表!$B:$B,累计利润调整表!$A57,考核调整事项表!$F:$F,I$3)</f>
        <v>0</v>
      </c>
      <c r="J57" s="110">
        <f>SUMIFS(考核调整事项表!$C:$C,考核调整事项表!$B:$B,累计利润调整表!$A57,考核调整事项表!$D:$D,J$3)+SUMIFS(考核调整事项表!$E:$E,考核调整事项表!$B:$B,累计利润调整表!$A57,考核调整事项表!$F:$F,J$3)</f>
        <v>0</v>
      </c>
      <c r="K57" s="110">
        <f t="shared" si="13"/>
        <v>0</v>
      </c>
      <c r="L57" s="110">
        <f>SUMIFS(考核调整事项表!$C:$C,考核调整事项表!$B:$B,累计利润调整表!$A57,考核调整事项表!$D:$D,L$3)+SUMIFS(考核调整事项表!$E:$E,考核调整事项表!$B:$B,累计利润调整表!$A57,考核调整事项表!$F:$F,L$3)</f>
        <v>0</v>
      </c>
      <c r="M57" s="110">
        <f>SUMIFS(考核调整事项表!$C:$C,考核调整事项表!$B:$B,累计利润调整表!$A57,考核调整事项表!$D:$D,M$3)+SUMIFS(考核调整事项表!$E:$E,考核调整事项表!$B:$B,累计利润调整表!$A57,考核调整事项表!$F:$F,M$3)</f>
        <v>0</v>
      </c>
      <c r="N57" s="110">
        <f>SUMIFS(考核调整事项表!$C:$C,考核调整事项表!$B:$B,累计利润调整表!$A57,考核调整事项表!$D:$D,N$3)+SUMIFS(考核调整事项表!$E:$E,考核调整事项表!$B:$B,累计利润调整表!$A57,考核调整事项表!$F:$F,N$3)</f>
        <v>0</v>
      </c>
      <c r="O57" s="110">
        <f>SUMIFS(考核调整事项表!$C:$C,考核调整事项表!$B:$B,累计利润调整表!$A57,考核调整事项表!$D:$D,O$3)+SUMIFS(考核调整事项表!$E:$E,考核调整事项表!$B:$B,累计利润调整表!$A57,考核调整事项表!$F:$F,O$3)</f>
        <v>0</v>
      </c>
      <c r="P57" s="110">
        <f t="shared" si="14"/>
        <v>0</v>
      </c>
      <c r="Q57" s="110">
        <f>SUMIFS(考核调整事项表!$C:$C,考核调整事项表!$B:$B,累计利润调整表!$A57,考核调整事项表!$D:$D,Q$3)+SUMIFS(考核调整事项表!$E:$E,考核调整事项表!$B:$B,累计利润调整表!$A57,考核调整事项表!$F:$F,Q$3)</f>
        <v>0</v>
      </c>
      <c r="R57" s="110">
        <f>SUMIFS(考核调整事项表!$C:$C,考核调整事项表!$B:$B,累计利润调整表!$A57,考核调整事项表!$D:$D,R$3)+SUMIFS(考核调整事项表!$E:$E,考核调整事项表!$B:$B,累计利润调整表!$A57,考核调整事项表!$F:$F,R$3)</f>
        <v>0</v>
      </c>
      <c r="S57" s="110">
        <f>SUMIFS(考核调整事项表!$C:$C,考核调整事项表!$B:$B,累计利润调整表!$A57,考核调整事项表!$D:$D,S$3)+SUMIFS(考核调整事项表!$E:$E,考核调整事项表!$B:$B,累计利润调整表!$A57,考核调整事项表!$F:$F,S$3)</f>
        <v>0</v>
      </c>
      <c r="T57" s="110">
        <f t="shared" si="15"/>
        <v>0</v>
      </c>
      <c r="U57" s="110">
        <f>SUMIFS(考核调整事项表!$C:$C,考核调整事项表!$B:$B,累计利润调整表!$A57,考核调整事项表!$D:$D,U$3)+SUMIFS(考核调整事项表!$E:$E,考核调整事项表!$B:$B,累计利润调整表!$A57,考核调整事项表!$F:$F,U$3)</f>
        <v>0</v>
      </c>
      <c r="V57" s="110">
        <f>SUMIFS(考核调整事项表!$C:$C,考核调整事项表!$B:$B,累计利润调整表!$A57,考核调整事项表!$D:$D,V$3)+SUMIFS(考核调整事项表!$E:$E,考核调整事项表!$B:$B,累计利润调整表!$A57,考核调整事项表!$F:$F,V$3)</f>
        <v>0</v>
      </c>
      <c r="W57" s="110">
        <f>SUMIFS(考核调整事项表!$C:$C,考核调整事项表!$B:$B,累计利润调整表!$A57,考核调整事项表!$D:$D,W$3)+SUMIFS(考核调整事项表!$E:$E,考核调整事项表!$B:$B,累计利润调整表!$A57,考核调整事项表!$F:$F,W$3)</f>
        <v>0</v>
      </c>
      <c r="X57" s="110">
        <f>SUMIFS(考核调整事项表!$C:$C,考核调整事项表!$B:$B,累计利润调整表!$A57,考核调整事项表!$D:$D,X$3)+SUMIFS(考核调整事项表!$E:$E,考核调整事项表!$B:$B,累计利润调整表!$A57,考核调整事项表!$F:$F,X$3)</f>
        <v>0</v>
      </c>
      <c r="Y57" s="110">
        <f>SUMIFS(考核调整事项表!$C:$C,考核调整事项表!$B:$B,累计利润调整表!$A57,考核调整事项表!$D:$D,Y$3)+SUMIFS(考核调整事项表!$E:$E,考核调整事项表!$B:$B,累计利润调整表!$A57,考核调整事项表!$F:$F,Y$3)</f>
        <v>0</v>
      </c>
      <c r="Z57" s="110">
        <f>SUMIFS(考核调整事项表!$C:$C,考核调整事项表!$B:$B,累计利润调整表!$A57,考核调整事项表!$D:$D,Z$3)+SUMIFS(考核调整事项表!$E:$E,考核调整事项表!$B:$B,累计利润调整表!$A57,考核调整事项表!$F:$F,Z$3)</f>
        <v>0</v>
      </c>
      <c r="AA57" s="110">
        <f>SUMIFS(考核调整事项表!$C:$C,考核调整事项表!$B:$B,累计利润调整表!$A57,考核调整事项表!$D:$D,AA$3)+SUMIFS(考核调整事项表!$E:$E,考核调整事项表!$B:$B,累计利润调整表!$A57,考核调整事项表!$F:$F,AA$3)</f>
        <v>0</v>
      </c>
      <c r="AB57" s="110">
        <f>SUMIFS(考核调整事项表!$C:$C,考核调整事项表!$B:$B,累计利润调整表!$A57,考核调整事项表!$D:$D,AB$3)+SUMIFS(考核调整事项表!$E:$E,考核调整事项表!$B:$B,累计利润调整表!$A57,考核调整事项表!$F:$F,AB$3)</f>
        <v>0</v>
      </c>
      <c r="AC57" s="110">
        <f>SUMIFS(考核调整事项表!$C:$C,考核调整事项表!$B:$B,累计利润调整表!$A57,考核调整事项表!$D:$D,AC$3)+SUMIFS(考核调整事项表!$E:$E,考核调整事项表!$B:$B,累计利润调整表!$A57,考核调整事项表!$F:$F,AC$3)</f>
        <v>0</v>
      </c>
    </row>
    <row r="58" spans="1:29" s="98" customFormat="1">
      <c r="A58" s="211" t="s">
        <v>50</v>
      </c>
      <c r="B58" s="112">
        <f t="shared" si="11"/>
        <v>-67470592.560000002</v>
      </c>
      <c r="C58" s="112">
        <f t="shared" ref="C58:U58" si="26">C55+C56-C57</f>
        <v>-46850922.219999999</v>
      </c>
      <c r="D58" s="112">
        <f t="shared" si="26"/>
        <v>-2248714.9800000028</v>
      </c>
      <c r="E58" s="112">
        <f t="shared" si="26"/>
        <v>2863397.92666667</v>
      </c>
      <c r="F58" s="112">
        <f t="shared" si="26"/>
        <v>301827.22526261827</v>
      </c>
      <c r="G58" s="109">
        <f t="shared" si="12"/>
        <v>-76678378.105818659</v>
      </c>
      <c r="H58" s="112">
        <f t="shared" si="26"/>
        <v>-72588366.893333331</v>
      </c>
      <c r="I58" s="112">
        <f t="shared" si="26"/>
        <v>-2573735.08</v>
      </c>
      <c r="J58" s="112">
        <f t="shared" ref="J58" si="27">J55+J56-J57</f>
        <v>-1516276.1324853331</v>
      </c>
      <c r="K58" s="112">
        <f t="shared" si="13"/>
        <v>7640697.6955336826</v>
      </c>
      <c r="L58" s="112">
        <f t="shared" si="26"/>
        <v>6283064.357594125</v>
      </c>
      <c r="M58" s="112">
        <f t="shared" si="26"/>
        <v>-72732.808727108859</v>
      </c>
      <c r="N58" s="112">
        <f t="shared" ref="N58" si="28">N55+N56-N57</f>
        <v>413361.07666666643</v>
      </c>
      <c r="O58" s="112">
        <f t="shared" si="26"/>
        <v>1017005.0700000001</v>
      </c>
      <c r="P58" s="112">
        <f t="shared" si="14"/>
        <v>47725422.308355696</v>
      </c>
      <c r="Q58" s="112">
        <f t="shared" si="26"/>
        <v>47790682.821171828</v>
      </c>
      <c r="R58" s="112">
        <f t="shared" si="26"/>
        <v>-65260.512816129034</v>
      </c>
      <c r="S58" s="112">
        <f t="shared" si="26"/>
        <v>0</v>
      </c>
      <c r="T58" s="112">
        <f t="shared" si="15"/>
        <v>-223922.41</v>
      </c>
      <c r="U58" s="112">
        <f t="shared" si="26"/>
        <v>0</v>
      </c>
      <c r="V58" s="112">
        <f t="shared" ref="V58:AC58" si="29">V55+V56-V57</f>
        <v>-184018.87</v>
      </c>
      <c r="W58" s="112">
        <f t="shared" si="29"/>
        <v>-39903.54</v>
      </c>
      <c r="X58" s="112">
        <f t="shared" si="29"/>
        <v>0</v>
      </c>
      <c r="Y58" s="112">
        <f t="shared" si="29"/>
        <v>0</v>
      </c>
      <c r="Z58" s="112">
        <f t="shared" si="29"/>
        <v>0</v>
      </c>
      <c r="AA58" s="112">
        <f t="shared" si="29"/>
        <v>0</v>
      </c>
      <c r="AB58" s="112">
        <f t="shared" si="29"/>
        <v>0</v>
      </c>
      <c r="AC58" s="112">
        <f t="shared" si="29"/>
        <v>0</v>
      </c>
    </row>
    <row r="59" spans="1:29" s="98" customFormat="1">
      <c r="A59" s="212" t="s">
        <v>69</v>
      </c>
      <c r="B59" s="110">
        <f t="shared" si="11"/>
        <v>-16867648.140000001</v>
      </c>
      <c r="C59" s="111">
        <f>SUMIFS(考核调整事项表!$C:$C,考核调整事项表!$B:$B,累计利润调整表!$A59,考核调整事项表!$D:$D,C$3)+SUMIFS(考核调整事项表!$E:$E,考核调整事项表!$B:$B,累计利润调整表!$A59,考核调整事项表!$F:$F,C$3)+B45*0.25</f>
        <v>-16867648.140000001</v>
      </c>
      <c r="D59" s="111">
        <f>SUMIFS(考核调整事项表!$C:$C,考核调整事项表!$B:$B,累计利润调整表!$A59,考核调整事项表!$D:$D,D$3)+SUMIFS(考核调整事项表!$E:$E,考核调整事项表!$B:$B,累计利润调整表!$A59,考核调整事项表!$F:$F,D$3)</f>
        <v>0</v>
      </c>
      <c r="E59" s="111">
        <f>SUMIFS(考核调整事项表!$C:$C,考核调整事项表!$B:$B,累计利润调整表!$A59,考核调整事项表!$D:$D,E$3)+SUMIFS(考核调整事项表!$E:$E,考核调整事项表!$B:$B,累计利润调整表!$A59,考核调整事项表!$F:$F,E$3)</f>
        <v>0</v>
      </c>
      <c r="F59" s="111">
        <f>SUMIFS(考核调整事项表!$C:$C,考核调整事项表!$B:$B,累计利润调整表!$A59,考核调整事项表!$D:$D,F$3)+SUMIFS(考核调整事项表!$E:$E,考核调整事项表!$B:$B,累计利润调整表!$A59,考核调整事项表!$F:$F,F$3)</f>
        <v>0</v>
      </c>
      <c r="G59" s="109">
        <f t="shared" si="12"/>
        <v>0</v>
      </c>
      <c r="H59" s="111">
        <f>SUMIFS(考核调整事项表!$C:$C,考核调整事项表!$B:$B,累计利润调整表!$A59,考核调整事项表!$D:$D,H$3)+SUMIFS(考核调整事项表!$E:$E,考核调整事项表!$B:$B,累计利润调整表!$A59,考核调整事项表!$F:$F,H$3)</f>
        <v>0</v>
      </c>
      <c r="I59" s="111">
        <f>SUMIFS(考核调整事项表!$C:$C,考核调整事项表!$B:$B,累计利润调整表!$A59,考核调整事项表!$D:$D,I$3)+SUMIFS(考核调整事项表!$E:$E,考核调整事项表!$B:$B,累计利润调整表!$A59,考核调整事项表!$F:$F,I$3)</f>
        <v>0</v>
      </c>
      <c r="J59" s="111">
        <f>SUMIFS(考核调整事项表!$C:$C,考核调整事项表!$B:$B,累计利润调整表!$A59,考核调整事项表!$D:$D,J$3)+SUMIFS(考核调整事项表!$E:$E,考核调整事项表!$B:$B,累计利润调整表!$A59,考核调整事项表!$F:$F,J$3)</f>
        <v>0</v>
      </c>
      <c r="K59" s="111">
        <f t="shared" si="13"/>
        <v>0</v>
      </c>
      <c r="L59" s="111">
        <f>SUMIFS(考核调整事项表!$C:$C,考核调整事项表!$B:$B,累计利润调整表!$A59,考核调整事项表!$D:$D,L$3)+SUMIFS(考核调整事项表!$E:$E,考核调整事项表!$B:$B,累计利润调整表!$A59,考核调整事项表!$F:$F,L$3)</f>
        <v>0</v>
      </c>
      <c r="M59" s="111">
        <f>SUMIFS(考核调整事项表!$C:$C,考核调整事项表!$B:$B,累计利润调整表!$A59,考核调整事项表!$D:$D,M$3)+SUMIFS(考核调整事项表!$E:$E,考核调整事项表!$B:$B,累计利润调整表!$A59,考核调整事项表!$F:$F,M$3)</f>
        <v>0</v>
      </c>
      <c r="N59" s="111">
        <f>SUMIFS(考核调整事项表!$C:$C,考核调整事项表!$B:$B,累计利润调整表!$A59,考核调整事项表!$D:$D,N$3)+SUMIFS(考核调整事项表!$E:$E,考核调整事项表!$B:$B,累计利润调整表!$A59,考核调整事项表!$F:$F,N$3)</f>
        <v>0</v>
      </c>
      <c r="O59" s="111">
        <f>SUMIFS(考核调整事项表!$C:$C,考核调整事项表!$B:$B,累计利润调整表!$A59,考核调整事项表!$D:$D,O$3)+SUMIFS(考核调整事项表!$E:$E,考核调整事项表!$B:$B,累计利润调整表!$A59,考核调整事项表!$F:$F,O$3)</f>
        <v>0</v>
      </c>
      <c r="P59" s="111">
        <f t="shared" si="14"/>
        <v>0</v>
      </c>
      <c r="Q59" s="111">
        <f>SUMIFS(考核调整事项表!$C:$C,考核调整事项表!$B:$B,累计利润调整表!$A59,考核调整事项表!$D:$D,Q$3)+SUMIFS(考核调整事项表!$E:$E,考核调整事项表!$B:$B,累计利润调整表!$A59,考核调整事项表!$F:$F,Q$3)</f>
        <v>0</v>
      </c>
      <c r="R59" s="111">
        <f>SUMIFS(考核调整事项表!$C:$C,考核调整事项表!$B:$B,累计利润调整表!$A59,考核调整事项表!$D:$D,R$3)+SUMIFS(考核调整事项表!$E:$E,考核调整事项表!$B:$B,累计利润调整表!$A59,考核调整事项表!$F:$F,R$3)</f>
        <v>0</v>
      </c>
      <c r="S59" s="111">
        <f>SUMIFS(考核调整事项表!$C:$C,考核调整事项表!$B:$B,累计利润调整表!$A59,考核调整事项表!$D:$D,S$3)+SUMIFS(考核调整事项表!$E:$E,考核调整事项表!$B:$B,累计利润调整表!$A59,考核调整事项表!$F:$F,S$3)</f>
        <v>0</v>
      </c>
      <c r="T59" s="111">
        <f t="shared" si="15"/>
        <v>0</v>
      </c>
      <c r="U59" s="111">
        <f>SUMIFS(考核调整事项表!$C:$C,考核调整事项表!$B:$B,累计利润调整表!$A59,考核调整事项表!$D:$D,U$3)+SUMIFS(考核调整事项表!$E:$E,考核调整事项表!$B:$B,累计利润调整表!$A59,考核调整事项表!$F:$F,U$3)</f>
        <v>0</v>
      </c>
      <c r="V59" s="111">
        <f>SUMIFS(考核调整事项表!$C:$C,考核调整事项表!$B:$B,累计利润调整表!$A59,考核调整事项表!$D:$D,V$3)+SUMIFS(考核调整事项表!$E:$E,考核调整事项表!$B:$B,累计利润调整表!$A59,考核调整事项表!$F:$F,V$3)</f>
        <v>0</v>
      </c>
      <c r="W59" s="111">
        <f>SUMIFS(考核调整事项表!$C:$C,考核调整事项表!$B:$B,累计利润调整表!$A59,考核调整事项表!$D:$D,W$3)+SUMIFS(考核调整事项表!$E:$E,考核调整事项表!$B:$B,累计利润调整表!$A59,考核调整事项表!$F:$F,W$3)</f>
        <v>0</v>
      </c>
      <c r="X59" s="111">
        <f>SUMIFS(考核调整事项表!$C:$C,考核调整事项表!$B:$B,累计利润调整表!$A59,考核调整事项表!$D:$D,X$3)+SUMIFS(考核调整事项表!$E:$E,考核调整事项表!$B:$B,累计利润调整表!$A59,考核调整事项表!$F:$F,X$3)</f>
        <v>0</v>
      </c>
      <c r="Y59" s="111">
        <f>SUMIFS(考核调整事项表!$C:$C,考核调整事项表!$B:$B,累计利润调整表!$A59,考核调整事项表!$D:$D,Y$3)+SUMIFS(考核调整事项表!$E:$E,考核调整事项表!$B:$B,累计利润调整表!$A59,考核调整事项表!$F:$F,Y$3)</f>
        <v>0</v>
      </c>
      <c r="Z59" s="111">
        <f>SUMIFS(考核调整事项表!$C:$C,考核调整事项表!$B:$B,累计利润调整表!$A59,考核调整事项表!$D:$D,Z$3)+SUMIFS(考核调整事项表!$E:$E,考核调整事项表!$B:$B,累计利润调整表!$A59,考核调整事项表!$F:$F,Z$3)</f>
        <v>0</v>
      </c>
      <c r="AA59" s="111">
        <f>SUMIFS(考核调整事项表!$C:$C,考核调整事项表!$B:$B,累计利润调整表!$A59,考核调整事项表!$D:$D,AA$3)+SUMIFS(考核调整事项表!$E:$E,考核调整事项表!$B:$B,累计利润调整表!$A59,考核调整事项表!$F:$F,AA$3)</f>
        <v>0</v>
      </c>
      <c r="AB59" s="111">
        <f>SUMIFS(考核调整事项表!$C:$C,考核调整事项表!$B:$B,累计利润调整表!$A59,考核调整事项表!$D:$D,AB$3)+SUMIFS(考核调整事项表!$E:$E,考核调整事项表!$B:$B,累计利润调整表!$A59,考核调整事项表!$F:$F,AB$3)</f>
        <v>0</v>
      </c>
      <c r="AC59" s="111">
        <f>SUMIFS(考核调整事项表!$C:$C,考核调整事项表!$B:$B,累计利润调整表!$A59,考核调整事项表!$D:$D,AC$3)+SUMIFS(考核调整事项表!$E:$E,考核调整事项表!$B:$B,累计利润调整表!$A59,考核调整事项表!$F:$F,AC$3)</f>
        <v>0</v>
      </c>
    </row>
    <row r="60" spans="1:29" s="98" customFormat="1">
      <c r="A60" s="211" t="s">
        <v>52</v>
      </c>
      <c r="B60" s="112">
        <f t="shared" si="11"/>
        <v>-50602944.419999994</v>
      </c>
      <c r="C60" s="226">
        <f>C58-C59</f>
        <v>-29983274.079999998</v>
      </c>
      <c r="D60" s="112">
        <f t="shared" ref="D60:I60" si="30">D58-D59</f>
        <v>-2248714.9800000028</v>
      </c>
      <c r="E60" s="112">
        <f t="shared" si="30"/>
        <v>2863397.92666667</v>
      </c>
      <c r="F60" s="112">
        <f t="shared" si="30"/>
        <v>301827.22526261827</v>
      </c>
      <c r="G60" s="109">
        <f t="shared" si="12"/>
        <v>-76678378.105818659</v>
      </c>
      <c r="H60" s="112">
        <f>H58-H59</f>
        <v>-72588366.893333331</v>
      </c>
      <c r="I60" s="112">
        <f t="shared" si="30"/>
        <v>-2573735.08</v>
      </c>
      <c r="J60" s="112">
        <f t="shared" ref="J60" si="31">J58-J59</f>
        <v>-1516276.1324853331</v>
      </c>
      <c r="K60" s="112">
        <f t="shared" si="13"/>
        <v>7640697.6955336826</v>
      </c>
      <c r="L60" s="112">
        <f t="shared" ref="L60:U60" si="32">L58-L59</f>
        <v>6283064.357594125</v>
      </c>
      <c r="M60" s="112">
        <f t="shared" si="32"/>
        <v>-72732.808727108859</v>
      </c>
      <c r="N60" s="112">
        <f t="shared" ref="N60" si="33">N58-N59</f>
        <v>413361.07666666643</v>
      </c>
      <c r="O60" s="112">
        <f t="shared" si="32"/>
        <v>1017005.0700000001</v>
      </c>
      <c r="P60" s="112">
        <f t="shared" si="14"/>
        <v>47725422.308355696</v>
      </c>
      <c r="Q60" s="112">
        <f t="shared" si="32"/>
        <v>47790682.821171828</v>
      </c>
      <c r="R60" s="112">
        <f t="shared" si="32"/>
        <v>-65260.512816129034</v>
      </c>
      <c r="S60" s="112">
        <f t="shared" si="32"/>
        <v>0</v>
      </c>
      <c r="T60" s="112">
        <f t="shared" si="15"/>
        <v>-223922.41</v>
      </c>
      <c r="U60" s="112">
        <f t="shared" si="32"/>
        <v>0</v>
      </c>
      <c r="V60" s="112">
        <f t="shared" ref="V60:AC60" si="34">V58-V59</f>
        <v>-184018.87</v>
      </c>
      <c r="W60" s="112">
        <f t="shared" si="34"/>
        <v>-39903.54</v>
      </c>
      <c r="X60" s="112">
        <f t="shared" si="34"/>
        <v>0</v>
      </c>
      <c r="Y60" s="112">
        <f t="shared" si="34"/>
        <v>0</v>
      </c>
      <c r="Z60" s="112">
        <f t="shared" si="34"/>
        <v>0</v>
      </c>
      <c r="AA60" s="112">
        <f t="shared" si="34"/>
        <v>0</v>
      </c>
      <c r="AB60" s="112">
        <f t="shared" si="34"/>
        <v>0</v>
      </c>
      <c r="AC60" s="112">
        <f t="shared" si="34"/>
        <v>0</v>
      </c>
    </row>
    <row r="61" spans="1:29" s="227" customFormat="1">
      <c r="A61" s="225" t="s">
        <v>443</v>
      </c>
      <c r="B61" s="226">
        <f t="shared" si="11"/>
        <v>50602944.420000002</v>
      </c>
      <c r="C61" s="226">
        <f>SUMIFS(考核调整事项表!$C:$C,考核调整事项表!$B:$B,"综合收益",考核调整事项表!$D:$D,C$3)*0.75+SUMIFS(考核调整事项表!$E:$E,考核调整事项表!$G:$G,"综合收益",考核调整事项表!$F:$F,C$3)*0.75</f>
        <v>0</v>
      </c>
      <c r="D61" s="226">
        <f>SUMIFS(考核调整事项表!$C:$C,考核调整事项表!$B:$B,"综合收益",考核调整事项表!$D:$D,D$3)*0.75+SUMIFS(考核调整事项表!$E:$E,考核调整事项表!$G:$G,"综合收益",考核调整事项表!$F:$F,D$3)*0.75</f>
        <v>0</v>
      </c>
      <c r="E61" s="226">
        <f>SUMIFS(考核调整事项表!$C:$C,考核调整事项表!$B:$B,"综合收益",考核调整事项表!$D:$D,E$3)*0.75+SUMIFS(考核调整事项表!$E:$E,考核调整事项表!$G:$G,"综合收益",考核调整事项表!$F:$F,E$3)*0.75</f>
        <v>-350999.99</v>
      </c>
      <c r="F61" s="226">
        <f>SUMIFS(考核调整事项表!$C:$C,考核调整事项表!$B:$B,"综合收益",考核调整事项表!$D:$D,F$3)*0.75+SUMIFS(考核调整事项表!$E:$E,考核调整事项表!$G:$G,"综合收益",考核调整事项表!$F:$F,F$3)*0.75</f>
        <v>7432.99</v>
      </c>
      <c r="G61" s="109">
        <f t="shared" si="12"/>
        <v>57255941.940000005</v>
      </c>
      <c r="H61" s="226">
        <f>SUMIFS(考核调整事项表!$C:$C,考核调整事项表!$B:$B,"综合收益",考核调整事项表!$D:$D,H$3)*0.75+SUMIFS(考核调整事项表!$E:$E,考核调整事项表!$G:$G,"综合收益",考核调整事项表!$F:$F,H$3)*0.75</f>
        <v>54220440.670000002</v>
      </c>
      <c r="I61" s="226">
        <f>SUMIFS(考核调整事项表!$C:$C,考核调整事项表!$B:$B,"综合收益",考核调整事项表!$D:$D,I$3)*0.75+SUMIFS(考核调整事项表!$E:$E,考核调整事项表!$G:$G,"综合收益",考核调整事项表!$F:$F,I$3)*0.75</f>
        <v>1930301.31</v>
      </c>
      <c r="J61" s="226">
        <f>SUMIFS(考核调整事项表!$C:$C,考核调整事项表!$B:$B,"综合收益",考核调整事项表!$D:$D,J$3)*0.75+SUMIFS(考核调整事项表!$E:$E,考核调整事项表!$G:$G,"综合收益",考核调整事项表!$F:$F,J$3)*0.75</f>
        <v>1105199.96</v>
      </c>
      <c r="K61" s="112">
        <f t="shared" si="13"/>
        <v>-6309430.5199999996</v>
      </c>
      <c r="L61" s="226">
        <f>SUMIFS(考核调整事项表!$C:$C,考核调整事项表!$B:$B,"综合收益",考核调整事项表!$D:$D,L$3)*0.75+SUMIFS(考核调整事项表!$E:$E,考核调整事项表!$G:$G,"综合收益",考核调整事项表!$F:$F,L$3)*0.75</f>
        <v>-5258766.54</v>
      </c>
      <c r="M61" s="226">
        <f>SUMIFS(考核调整事项表!$C:$C,考核调整事项表!$B:$B,"综合收益",考核调整事项表!$D:$D,M$3)*0.75+SUMIFS(考核调整事项表!$E:$E,考核调整事项表!$G:$G,"综合收益",考核调整事项表!$F:$F,M$3)*0.75</f>
        <v>0</v>
      </c>
      <c r="N61" s="226">
        <f>SUMIFS(考核调整事项表!$C:$C,考核调整事项表!$B:$B,"综合收益",考核调整事项表!$D:$D,N$3)*0.75+SUMIFS(考核调整事项表!$E:$E,考核调整事项表!$G:$G,"综合收益",考核调整事项表!$F:$F,N$3)*0.75</f>
        <v>-1050663.98</v>
      </c>
      <c r="O61" s="226">
        <f>SUMIFS(考核调整事项表!$C:$C,考核调整事项表!$B:$B,"综合收益",考核调整事项表!$D:$D,O$3)*0.75+SUMIFS(考核调整事项表!$E:$E,考核调整事项表!$G:$G,"综合收益",考核调整事项表!$F:$F,O$3)*0.75</f>
        <v>0</v>
      </c>
      <c r="P61" s="112">
        <f t="shared" si="14"/>
        <v>0</v>
      </c>
      <c r="Q61" s="226">
        <f>SUMIFS(考核调整事项表!$C:$C,考核调整事项表!$B:$B,"综合收益",考核调整事项表!$D:$D,Q$3)*0.75+SUMIFS(考核调整事项表!$E:$E,考核调整事项表!$G:$G,"综合收益",考核调整事项表!$F:$F,Q$3)*0.75</f>
        <v>0</v>
      </c>
      <c r="R61" s="226">
        <f>SUMIFS(考核调整事项表!$C:$C,考核调整事项表!$B:$B,"综合收益",考核调整事项表!$D:$D,R$3)*0.75+SUMIFS(考核调整事项表!$E:$E,考核调整事项表!$G:$G,"综合收益",考核调整事项表!$F:$F,R$3)*0.75</f>
        <v>0</v>
      </c>
      <c r="S61" s="226">
        <f>SUMIFS(考核调整事项表!$C:$C,考核调整事项表!$B:$B,"综合收益",考核调整事项表!$D:$D,S$3)+SUMIFS(考核调整事项表!$E:$E,考核调整事项表!$G:$G,"综合收益",考核调整事项表!$F:$F,S$3)</f>
        <v>0</v>
      </c>
      <c r="T61" s="112">
        <f t="shared" si="15"/>
        <v>0</v>
      </c>
      <c r="U61" s="226">
        <f>SUMIFS(考核调整事项表!$C:$C,考核调整事项表!$B:$B,"综合收益",考核调整事项表!$D:$D,U$3)+SUMIFS(考核调整事项表!$E:$E,考核调整事项表!$G:$G,"综合收益",考核调整事项表!$F:$F,U$3)</f>
        <v>0</v>
      </c>
      <c r="V61" s="226">
        <f>SUMIFS(考核调整事项表!$C:$C,考核调整事项表!$B:$B,"综合收益",考核调整事项表!$D:$D,V$3)+SUMIFS(考核调整事项表!$E:$E,考核调整事项表!$G:$G,"综合收益",考核调整事项表!$F:$F,V$3)</f>
        <v>0</v>
      </c>
      <c r="W61" s="226">
        <f>SUMIFS(考核调整事项表!$C:$C,考核调整事项表!$B:$B,"综合收益",考核调整事项表!$D:$D,W$3)+SUMIFS(考核调整事项表!$E:$E,考核调整事项表!$G:$G,"综合收益",考核调整事项表!$F:$F,W$3)</f>
        <v>0</v>
      </c>
      <c r="X61" s="226">
        <f>SUMIFS(考核调整事项表!$C:$C,考核调整事项表!$B:$B,"综合收益",考核调整事项表!$D:$D,X$3)+SUMIFS(考核调整事项表!$E:$E,考核调整事项表!$G:$G,"综合收益",考核调整事项表!$F:$F,X$3)</f>
        <v>0</v>
      </c>
      <c r="Y61" s="226">
        <f>SUMIFS(考核调整事项表!$C:$C,考核调整事项表!$B:$B,"综合收益",考核调整事项表!$D:$D,Y$3)+SUMIFS(考核调整事项表!$E:$E,考核调整事项表!$G:$G,"综合收益",考核调整事项表!$F:$F,Y$3)</f>
        <v>0</v>
      </c>
      <c r="Z61" s="226">
        <f>SUMIFS(考核调整事项表!$C:$C,考核调整事项表!$B:$B,"综合收益",考核调整事项表!$D:$D,Z$3)+SUMIFS(考核调整事项表!$E:$E,考核调整事项表!$G:$G,"综合收益",考核调整事项表!$F:$F,Z$3)</f>
        <v>0</v>
      </c>
      <c r="AA61" s="226">
        <f>SUMIFS(考核调整事项表!$C:$C,考核调整事项表!$B:$B,"综合收益",考核调整事项表!$D:$D,AA$3)+SUMIFS(考核调整事项表!$E:$E,考核调整事项表!$G:$G,"综合收益",考核调整事项表!$F:$F,AA$3)</f>
        <v>0</v>
      </c>
      <c r="AB61" s="226">
        <f>SUMIFS(考核调整事项表!$C:$C,考核调整事项表!$B:$B,"综合收益",考核调整事项表!$D:$D,AB$3)+SUMIFS(考核调整事项表!$E:$E,考核调整事项表!$G:$G,"综合收益",考核调整事项表!$F:$F,AB$3)</f>
        <v>0</v>
      </c>
      <c r="AC61" s="226">
        <f>SUMIFS(考核调整事项表!$C:$C,考核调整事项表!$B:$B,"综合收益",考核调整事项表!$D:$D,AC$3)+SUMIFS(考核调整事项表!$E:$E,考核调整事项表!$G:$G,"综合收益",考核调整事项表!$F:$F,AC$3)</f>
        <v>0</v>
      </c>
    </row>
    <row r="62" spans="1:29" s="227" customFormat="1">
      <c r="A62" s="225" t="s">
        <v>444</v>
      </c>
      <c r="B62" s="226">
        <f>B60+B61</f>
        <v>0</v>
      </c>
      <c r="C62" s="226">
        <f t="shared" ref="C62:AC62" si="35">C60+C61</f>
        <v>-29983274.079999998</v>
      </c>
      <c r="D62" s="226">
        <f t="shared" si="35"/>
        <v>-2248714.9800000028</v>
      </c>
      <c r="E62" s="226">
        <f t="shared" si="35"/>
        <v>2512397.9366666703</v>
      </c>
      <c r="F62" s="226">
        <f t="shared" si="35"/>
        <v>309260.21526261827</v>
      </c>
      <c r="G62" s="226">
        <f t="shared" si="35"/>
        <v>-19422436.165818654</v>
      </c>
      <c r="H62" s="226">
        <f t="shared" si="35"/>
        <v>-18367926.223333329</v>
      </c>
      <c r="I62" s="226">
        <f t="shared" si="35"/>
        <v>-643433.77</v>
      </c>
      <c r="J62" s="226">
        <f t="shared" si="35"/>
        <v>-411076.17248533317</v>
      </c>
      <c r="K62" s="226">
        <f t="shared" si="35"/>
        <v>1331267.175533683</v>
      </c>
      <c r="L62" s="226">
        <f t="shared" si="35"/>
        <v>1024297.8175941249</v>
      </c>
      <c r="M62" s="226">
        <f t="shared" si="35"/>
        <v>-72732.808727108859</v>
      </c>
      <c r="N62" s="226">
        <f t="shared" si="35"/>
        <v>-637302.90333333355</v>
      </c>
      <c r="O62" s="226">
        <f t="shared" si="35"/>
        <v>1017005.0700000001</v>
      </c>
      <c r="P62" s="226">
        <f t="shared" si="35"/>
        <v>47725422.308355696</v>
      </c>
      <c r="Q62" s="226">
        <f t="shared" si="35"/>
        <v>47790682.821171828</v>
      </c>
      <c r="R62" s="226">
        <f t="shared" si="35"/>
        <v>-65260.512816129034</v>
      </c>
      <c r="S62" s="226">
        <f t="shared" si="35"/>
        <v>0</v>
      </c>
      <c r="T62" s="226">
        <f t="shared" si="35"/>
        <v>-223922.41</v>
      </c>
      <c r="U62" s="226">
        <f t="shared" si="35"/>
        <v>0</v>
      </c>
      <c r="V62" s="226">
        <f t="shared" si="35"/>
        <v>-184018.87</v>
      </c>
      <c r="W62" s="226">
        <f t="shared" si="35"/>
        <v>-39903.54</v>
      </c>
      <c r="X62" s="226">
        <f t="shared" si="35"/>
        <v>0</v>
      </c>
      <c r="Y62" s="226">
        <f t="shared" si="35"/>
        <v>0</v>
      </c>
      <c r="Z62" s="226">
        <f t="shared" si="35"/>
        <v>0</v>
      </c>
      <c r="AA62" s="226">
        <f t="shared" si="35"/>
        <v>0</v>
      </c>
      <c r="AB62" s="226">
        <f t="shared" si="35"/>
        <v>0</v>
      </c>
      <c r="AC62" s="226">
        <f t="shared" si="35"/>
        <v>0</v>
      </c>
    </row>
    <row r="63" spans="1:29" s="224" customFormat="1">
      <c r="A63" s="228"/>
      <c r="B63" s="229"/>
      <c r="C63" s="229"/>
      <c r="D63" s="229"/>
      <c r="E63" s="230"/>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row>
    <row r="64" spans="1:29" s="96" customFormat="1">
      <c r="A64" s="214"/>
    </row>
    <row r="65" spans="1:29" s="96" customFormat="1">
      <c r="A65" s="206" t="s">
        <v>71</v>
      </c>
      <c r="B65" s="113" t="s">
        <v>72</v>
      </c>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row>
    <row r="66" spans="1:29" s="194" customFormat="1" ht="14.25" customHeight="1">
      <c r="A66" s="196" t="s">
        <v>3</v>
      </c>
      <c r="B66" s="196" t="str">
        <f>B36</f>
        <v>合计</v>
      </c>
      <c r="C66" s="196" t="str">
        <f t="shared" ref="C66:AC66" si="36">C36</f>
        <v>其他</v>
      </c>
      <c r="D66" s="196" t="str">
        <f t="shared" si="36"/>
        <v>总部中后台</v>
      </c>
      <c r="E66" s="196" t="str">
        <f t="shared" si="36"/>
        <v>经纪业务部</v>
      </c>
      <c r="F66" s="196" t="str">
        <f t="shared" si="36"/>
        <v>资产管理部</v>
      </c>
      <c r="G66" s="196" t="str">
        <f t="shared" si="36"/>
        <v>权益投资小计</v>
      </c>
      <c r="H66" s="196" t="str">
        <f t="shared" si="36"/>
        <v>权益产品投资部</v>
      </c>
      <c r="I66" s="196" t="str">
        <f t="shared" si="36"/>
        <v>量化产品投资部</v>
      </c>
      <c r="J66" s="196" t="str">
        <f t="shared" si="36"/>
        <v>证券投资部</v>
      </c>
      <c r="K66" s="196" t="str">
        <f t="shared" si="36"/>
        <v>固收投资小计</v>
      </c>
      <c r="L66" s="196" t="str">
        <f t="shared" si="36"/>
        <v>固定收益投资部</v>
      </c>
      <c r="M66" s="196" t="str">
        <f t="shared" si="36"/>
        <v>固定收益市场部</v>
      </c>
      <c r="N66" s="196" t="str">
        <f t="shared" si="36"/>
        <v>固收产品投资部</v>
      </c>
      <c r="O66" s="196" t="str">
        <f t="shared" si="36"/>
        <v>投顾业务部</v>
      </c>
      <c r="P66" s="196" t="str">
        <f t="shared" si="36"/>
        <v>深分投资小计</v>
      </c>
      <c r="Q66" s="196" t="str">
        <f t="shared" si="36"/>
        <v>做市业务部</v>
      </c>
      <c r="R66" s="196" t="str">
        <f t="shared" si="36"/>
        <v>金融衍生品部</v>
      </c>
      <c r="S66" s="196" t="str">
        <f t="shared" si="36"/>
        <v>深圳管理部</v>
      </c>
      <c r="T66" s="196" t="str">
        <f t="shared" si="36"/>
        <v>投资银行合计</v>
      </c>
      <c r="U66" s="196" t="str">
        <f t="shared" si="36"/>
        <v>投资银行一部</v>
      </c>
      <c r="V66" s="196" t="str">
        <f t="shared" si="36"/>
        <v>投资银行二部</v>
      </c>
      <c r="W66" s="196" t="str">
        <f t="shared" si="36"/>
        <v>投资银行三部</v>
      </c>
      <c r="X66" s="196" t="str">
        <f t="shared" si="36"/>
        <v>投资银行四部</v>
      </c>
      <c r="Y66" s="196" t="str">
        <f t="shared" si="36"/>
        <v>投资银行北京一部</v>
      </c>
      <c r="Z66" s="196" t="str">
        <f t="shared" si="36"/>
        <v>投资银行北京二部</v>
      </c>
      <c r="AA66" s="196" t="str">
        <f t="shared" si="36"/>
        <v>投资银行深圳一部（筹）</v>
      </c>
      <c r="AB66" s="196" t="str">
        <f t="shared" si="36"/>
        <v>投资银行管理部</v>
      </c>
      <c r="AC66" s="196" t="str">
        <f t="shared" si="36"/>
        <v>运营支持部</v>
      </c>
    </row>
    <row r="67" spans="1:29" s="98" customFormat="1">
      <c r="A67" s="208" t="s">
        <v>31</v>
      </c>
      <c r="B67" s="109">
        <f>C67+D67+E67+F67+G67+K67+P67+S67+T67+AB67+AC67</f>
        <v>-22407894.10000002</v>
      </c>
      <c r="C67" s="109">
        <f>C68+C72+C73+C75+C76+C77+C78+C79</f>
        <v>-48742174.579999998</v>
      </c>
      <c r="D67" s="109">
        <f t="shared" ref="D67:AC67" si="37">D68+D72+D73+D75+D76+D77+D78+D79</f>
        <v>-31891820.670000002</v>
      </c>
      <c r="E67" s="109">
        <f t="shared" si="37"/>
        <v>87518302.586666659</v>
      </c>
      <c r="F67" s="109">
        <f t="shared" si="37"/>
        <v>885687.61526261829</v>
      </c>
      <c r="G67" s="109">
        <f t="shared" si="37"/>
        <v>-38898917.905818671</v>
      </c>
      <c r="H67" s="109">
        <f t="shared" si="37"/>
        <v>-70557970.313333333</v>
      </c>
      <c r="I67" s="109">
        <f>I68+I72+I73+I75+I76+I77+I78+I79</f>
        <v>-2041748.6400000001</v>
      </c>
      <c r="J67" s="109">
        <f>J68+J72+J73+J75+J76+J77+J78+J79</f>
        <v>33700801.04751467</v>
      </c>
      <c r="K67" s="109">
        <f>K68+K72+K73+K75+K76+K77+K78+K79</f>
        <v>26914155.245533675</v>
      </c>
      <c r="L67" s="109">
        <f>L68+L72+L73+L75+L76+L77+L78+L79</f>
        <v>12473762.287594125</v>
      </c>
      <c r="M67" s="109">
        <f t="shared" si="37"/>
        <v>10948878.38127289</v>
      </c>
      <c r="N67" s="109">
        <f t="shared" ref="N67" si="38">N68+N72+N73+N75+N76+N77+N78+N79</f>
        <v>2366593.1166666662</v>
      </c>
      <c r="O67" s="109">
        <f t="shared" si="37"/>
        <v>1124921.46</v>
      </c>
      <c r="P67" s="109">
        <f t="shared" si="37"/>
        <v>-18564001.291644301</v>
      </c>
      <c r="Q67" s="109">
        <f t="shared" si="37"/>
        <v>-20466327.608828172</v>
      </c>
      <c r="R67" s="109">
        <f t="shared" si="37"/>
        <v>1902326.3171838708</v>
      </c>
      <c r="S67" s="109">
        <f t="shared" si="37"/>
        <v>-50</v>
      </c>
      <c r="T67" s="109">
        <f>SUM(U67:AA67)</f>
        <v>370924.89999999997</v>
      </c>
      <c r="U67" s="109">
        <f t="shared" si="37"/>
        <v>-104796.51</v>
      </c>
      <c r="V67" s="109">
        <f t="shared" si="37"/>
        <v>0</v>
      </c>
      <c r="W67" s="109">
        <f t="shared" si="37"/>
        <v>475719.81</v>
      </c>
      <c r="X67" s="109">
        <f t="shared" si="37"/>
        <v>0</v>
      </c>
      <c r="Y67" s="109">
        <f t="shared" si="37"/>
        <v>0</v>
      </c>
      <c r="Z67" s="109">
        <f t="shared" si="37"/>
        <v>1.6</v>
      </c>
      <c r="AA67" s="109">
        <f t="shared" si="37"/>
        <v>0</v>
      </c>
      <c r="AB67" s="109">
        <f t="shared" si="37"/>
        <v>0</v>
      </c>
      <c r="AC67" s="109">
        <f t="shared" si="37"/>
        <v>0</v>
      </c>
    </row>
    <row r="68" spans="1:29" s="98" customFormat="1">
      <c r="A68" s="209" t="s">
        <v>58</v>
      </c>
      <c r="B68" s="174">
        <f t="shared" ref="B68:B93" si="39">C68+D68+E68+F68+G68+K68+P68+S68+T68+AB68+AC68</f>
        <v>48058084</v>
      </c>
      <c r="C68" s="175">
        <f t="shared" ref="C68:C83" si="40">C5+C38</f>
        <v>224056.61</v>
      </c>
      <c r="D68" s="175">
        <f t="shared" ref="D68:AC68" si="41">D5+D38</f>
        <v>-46026.61</v>
      </c>
      <c r="E68" s="175">
        <f t="shared" si="41"/>
        <v>43193075.140000001</v>
      </c>
      <c r="F68" s="175">
        <f t="shared" si="41"/>
        <v>714341.74859595159</v>
      </c>
      <c r="G68" s="175">
        <f t="shared" si="41"/>
        <v>2391459.6741813333</v>
      </c>
      <c r="H68" s="175">
        <f t="shared" si="41"/>
        <v>2030396.58</v>
      </c>
      <c r="I68" s="175">
        <f t="shared" si="41"/>
        <v>531986.43999999994</v>
      </c>
      <c r="J68" s="175">
        <f t="shared" ref="J68:K68" si="42">J5+J38</f>
        <v>-170923.34581866662</v>
      </c>
      <c r="K68" s="175">
        <f t="shared" si="42"/>
        <v>1286487.2588670161</v>
      </c>
      <c r="L68" s="175">
        <f t="shared" si="41"/>
        <v>-515845.26240587496</v>
      </c>
      <c r="M68" s="175">
        <f t="shared" si="41"/>
        <v>19596.761272891134</v>
      </c>
      <c r="N68" s="175">
        <f t="shared" ref="N68" si="43">N5+N38</f>
        <v>1169346.9099999997</v>
      </c>
      <c r="O68" s="175">
        <f t="shared" si="41"/>
        <v>613388.85000000009</v>
      </c>
      <c r="P68" s="175">
        <f t="shared" si="41"/>
        <v>-76183.121644301078</v>
      </c>
      <c r="Q68" s="175">
        <f t="shared" si="41"/>
        <v>-50683.028828172035</v>
      </c>
      <c r="R68" s="175">
        <f t="shared" si="41"/>
        <v>-25500.092816129036</v>
      </c>
      <c r="S68" s="175">
        <f t="shared" si="41"/>
        <v>-50</v>
      </c>
      <c r="T68" s="175">
        <f t="shared" ref="T68:T92" si="44">SUM(U68:AA68)</f>
        <v>370923.3</v>
      </c>
      <c r="U68" s="175">
        <f t="shared" si="41"/>
        <v>-104796.51</v>
      </c>
      <c r="V68" s="175">
        <f t="shared" si="41"/>
        <v>0</v>
      </c>
      <c r="W68" s="175">
        <f t="shared" si="41"/>
        <v>475719.81</v>
      </c>
      <c r="X68" s="175">
        <f t="shared" si="41"/>
        <v>0</v>
      </c>
      <c r="Y68" s="175">
        <f t="shared" si="41"/>
        <v>0</v>
      </c>
      <c r="Z68" s="175">
        <f t="shared" si="41"/>
        <v>0</v>
      </c>
      <c r="AA68" s="175">
        <f t="shared" si="41"/>
        <v>0</v>
      </c>
      <c r="AB68" s="175">
        <f t="shared" si="41"/>
        <v>0</v>
      </c>
      <c r="AC68" s="175">
        <f t="shared" si="41"/>
        <v>0</v>
      </c>
    </row>
    <row r="69" spans="1:29" s="98" customFormat="1">
      <c r="A69" s="210" t="s">
        <v>33</v>
      </c>
      <c r="B69" s="174">
        <f t="shared" si="39"/>
        <v>43271482.589999996</v>
      </c>
      <c r="C69" s="175">
        <f t="shared" si="40"/>
        <v>0</v>
      </c>
      <c r="D69" s="175">
        <f t="shared" ref="D69:AC69" si="45">D6+D39</f>
        <v>0</v>
      </c>
      <c r="E69" s="175">
        <f t="shared" si="45"/>
        <v>43194041.119999997</v>
      </c>
      <c r="F69" s="175">
        <f t="shared" si="45"/>
        <v>530.04</v>
      </c>
      <c r="G69" s="175">
        <f t="shared" si="45"/>
        <v>76911.429999999993</v>
      </c>
      <c r="H69" s="175">
        <f t="shared" si="45"/>
        <v>0</v>
      </c>
      <c r="I69" s="175">
        <f t="shared" si="45"/>
        <v>76911.429999999993</v>
      </c>
      <c r="J69" s="175">
        <f t="shared" ref="J69:K69" si="46">J6+J39</f>
        <v>0</v>
      </c>
      <c r="K69" s="175">
        <f t="shared" si="46"/>
        <v>0</v>
      </c>
      <c r="L69" s="175">
        <f t="shared" si="45"/>
        <v>0</v>
      </c>
      <c r="M69" s="175">
        <f t="shared" si="45"/>
        <v>0</v>
      </c>
      <c r="N69" s="175">
        <f t="shared" ref="N69" si="47">N6+N39</f>
        <v>0</v>
      </c>
      <c r="O69" s="175">
        <f t="shared" si="45"/>
        <v>0</v>
      </c>
      <c r="P69" s="175">
        <f t="shared" si="45"/>
        <v>0</v>
      </c>
      <c r="Q69" s="175">
        <f t="shared" si="45"/>
        <v>0</v>
      </c>
      <c r="R69" s="175">
        <f t="shared" si="45"/>
        <v>0</v>
      </c>
      <c r="S69" s="175">
        <f t="shared" si="45"/>
        <v>0</v>
      </c>
      <c r="T69" s="175">
        <f t="shared" si="44"/>
        <v>0</v>
      </c>
      <c r="U69" s="175">
        <f t="shared" si="45"/>
        <v>0</v>
      </c>
      <c r="V69" s="175">
        <f t="shared" si="45"/>
        <v>0</v>
      </c>
      <c r="W69" s="175">
        <f t="shared" si="45"/>
        <v>0</v>
      </c>
      <c r="X69" s="175">
        <f t="shared" si="45"/>
        <v>0</v>
      </c>
      <c r="Y69" s="175">
        <f t="shared" si="45"/>
        <v>0</v>
      </c>
      <c r="Z69" s="175">
        <f t="shared" si="45"/>
        <v>0</v>
      </c>
      <c r="AA69" s="175">
        <f t="shared" si="45"/>
        <v>0</v>
      </c>
      <c r="AB69" s="175">
        <f t="shared" si="45"/>
        <v>0</v>
      </c>
      <c r="AC69" s="175">
        <f t="shared" si="45"/>
        <v>0</v>
      </c>
    </row>
    <row r="70" spans="1:29" s="98" customFormat="1">
      <c r="A70" s="210" t="s">
        <v>34</v>
      </c>
      <c r="B70" s="174">
        <f t="shared" si="39"/>
        <v>594979.90999999992</v>
      </c>
      <c r="C70" s="175">
        <f t="shared" si="40"/>
        <v>224056.61</v>
      </c>
      <c r="D70" s="175">
        <f t="shared" ref="D70:AC70" si="48">D7+D40</f>
        <v>0</v>
      </c>
      <c r="E70" s="175">
        <f t="shared" si="48"/>
        <v>0</v>
      </c>
      <c r="F70" s="175">
        <f t="shared" si="48"/>
        <v>0</v>
      </c>
      <c r="G70" s="175">
        <f t="shared" si="48"/>
        <v>0</v>
      </c>
      <c r="H70" s="175">
        <f t="shared" si="48"/>
        <v>0</v>
      </c>
      <c r="I70" s="175">
        <f t="shared" si="48"/>
        <v>0</v>
      </c>
      <c r="J70" s="175">
        <f t="shared" ref="J70:K70" si="49">J7+J40</f>
        <v>0</v>
      </c>
      <c r="K70" s="175">
        <f t="shared" si="49"/>
        <v>0</v>
      </c>
      <c r="L70" s="175">
        <f t="shared" si="48"/>
        <v>0</v>
      </c>
      <c r="M70" s="175">
        <f t="shared" si="48"/>
        <v>0</v>
      </c>
      <c r="N70" s="175">
        <f t="shared" ref="N70" si="50">N7+N40</f>
        <v>0</v>
      </c>
      <c r="O70" s="175">
        <f t="shared" si="48"/>
        <v>0</v>
      </c>
      <c r="P70" s="175">
        <f t="shared" si="48"/>
        <v>0</v>
      </c>
      <c r="Q70" s="175">
        <f t="shared" si="48"/>
        <v>0</v>
      </c>
      <c r="R70" s="175">
        <f t="shared" si="48"/>
        <v>0</v>
      </c>
      <c r="S70" s="175">
        <f t="shared" si="48"/>
        <v>0</v>
      </c>
      <c r="T70" s="175">
        <f>SUM(U70:AA70)</f>
        <v>370923.3</v>
      </c>
      <c r="U70" s="175">
        <f t="shared" si="48"/>
        <v>-104796.51</v>
      </c>
      <c r="V70" s="175">
        <f t="shared" si="48"/>
        <v>0</v>
      </c>
      <c r="W70" s="175">
        <f t="shared" si="48"/>
        <v>475719.81</v>
      </c>
      <c r="X70" s="175">
        <f t="shared" si="48"/>
        <v>0</v>
      </c>
      <c r="Y70" s="175">
        <f t="shared" si="48"/>
        <v>0</v>
      </c>
      <c r="Z70" s="175">
        <f t="shared" si="48"/>
        <v>0</v>
      </c>
      <c r="AA70" s="175">
        <f t="shared" si="48"/>
        <v>0</v>
      </c>
      <c r="AB70" s="175">
        <f t="shared" si="48"/>
        <v>0</v>
      </c>
      <c r="AC70" s="175">
        <f t="shared" si="48"/>
        <v>0</v>
      </c>
    </row>
    <row r="71" spans="1:29" s="98" customFormat="1">
      <c r="A71" s="210" t="s">
        <v>35</v>
      </c>
      <c r="B71" s="174">
        <f t="shared" si="39"/>
        <v>4635746.09</v>
      </c>
      <c r="C71" s="175">
        <f t="shared" si="40"/>
        <v>0</v>
      </c>
      <c r="D71" s="175">
        <f>D8+D41</f>
        <v>0</v>
      </c>
      <c r="E71" s="175">
        <f t="shared" ref="E71:AC71" si="51">E8+E41</f>
        <v>11688.68</v>
      </c>
      <c r="F71" s="175">
        <f t="shared" si="51"/>
        <v>713811.70859595155</v>
      </c>
      <c r="G71" s="175">
        <f t="shared" si="51"/>
        <v>2314548.2441813331</v>
      </c>
      <c r="H71" s="175">
        <f t="shared" si="51"/>
        <v>2030396.58</v>
      </c>
      <c r="I71" s="175">
        <f t="shared" si="51"/>
        <v>455075.01</v>
      </c>
      <c r="J71" s="175">
        <f t="shared" ref="J71" si="52">J8+J41</f>
        <v>-170923.34581866662</v>
      </c>
      <c r="K71" s="175">
        <f>K8+K41</f>
        <v>1671880.5788670159</v>
      </c>
      <c r="L71" s="175">
        <f t="shared" si="51"/>
        <v>-7015.3524058749972</v>
      </c>
      <c r="M71" s="175">
        <f t="shared" si="51"/>
        <v>-8724.8087271088643</v>
      </c>
      <c r="N71" s="175">
        <f t="shared" ref="N71" si="53">N8+N41</f>
        <v>1169346.9099999997</v>
      </c>
      <c r="O71" s="175">
        <f t="shared" si="51"/>
        <v>518273.83000000007</v>
      </c>
      <c r="P71" s="175">
        <f t="shared" si="51"/>
        <v>-76183.121644301078</v>
      </c>
      <c r="Q71" s="175">
        <f t="shared" si="51"/>
        <v>-50683.028828172035</v>
      </c>
      <c r="R71" s="175">
        <f t="shared" si="51"/>
        <v>-25500.092816129036</v>
      </c>
      <c r="S71" s="175">
        <f t="shared" si="51"/>
        <v>0</v>
      </c>
      <c r="T71" s="175">
        <f t="shared" si="44"/>
        <v>0</v>
      </c>
      <c r="U71" s="175">
        <f t="shared" si="51"/>
        <v>0</v>
      </c>
      <c r="V71" s="175">
        <f t="shared" si="51"/>
        <v>0</v>
      </c>
      <c r="W71" s="175">
        <f t="shared" si="51"/>
        <v>0</v>
      </c>
      <c r="X71" s="175">
        <f t="shared" si="51"/>
        <v>0</v>
      </c>
      <c r="Y71" s="175">
        <f t="shared" si="51"/>
        <v>0</v>
      </c>
      <c r="Z71" s="175">
        <f t="shared" si="51"/>
        <v>0</v>
      </c>
      <c r="AA71" s="175">
        <f t="shared" si="51"/>
        <v>0</v>
      </c>
      <c r="AB71" s="175">
        <f t="shared" si="51"/>
        <v>0</v>
      </c>
      <c r="AC71" s="175">
        <f t="shared" si="51"/>
        <v>0</v>
      </c>
    </row>
    <row r="72" spans="1:29" s="98" customFormat="1">
      <c r="A72" s="209" t="s">
        <v>59</v>
      </c>
      <c r="B72" s="174">
        <f t="shared" si="39"/>
        <v>13586661.420000004</v>
      </c>
      <c r="C72" s="174">
        <f t="shared" si="40"/>
        <v>4.9000000000000004</v>
      </c>
      <c r="D72" s="174">
        <f t="shared" ref="D72:AC72" si="54">D9+D42</f>
        <v>-32343942.580000002</v>
      </c>
      <c r="E72" s="174">
        <f t="shared" si="54"/>
        <v>43373783.110000007</v>
      </c>
      <c r="F72" s="174">
        <f t="shared" si="54"/>
        <v>181256.52</v>
      </c>
      <c r="G72" s="174">
        <f t="shared" si="54"/>
        <v>1830617.18</v>
      </c>
      <c r="H72" s="174">
        <f t="shared" si="54"/>
        <v>0</v>
      </c>
      <c r="I72" s="174">
        <f t="shared" si="54"/>
        <v>0</v>
      </c>
      <c r="J72" s="174">
        <f t="shared" ref="J72:K72" si="55">J9+J42</f>
        <v>1830617.18</v>
      </c>
      <c r="K72" s="174">
        <f t="shared" si="55"/>
        <v>439059.23</v>
      </c>
      <c r="L72" s="174">
        <f t="shared" si="54"/>
        <v>0</v>
      </c>
      <c r="M72" s="174">
        <f t="shared" si="54"/>
        <v>439059.23</v>
      </c>
      <c r="N72" s="174">
        <f t="shared" ref="N72" si="56">N9+N42</f>
        <v>0</v>
      </c>
      <c r="O72" s="174">
        <f t="shared" si="54"/>
        <v>0</v>
      </c>
      <c r="P72" s="174">
        <f t="shared" si="54"/>
        <v>105881.46</v>
      </c>
      <c r="Q72" s="174">
        <f t="shared" si="54"/>
        <v>0</v>
      </c>
      <c r="R72" s="174">
        <f t="shared" si="54"/>
        <v>105881.46</v>
      </c>
      <c r="S72" s="174">
        <f t="shared" si="54"/>
        <v>0</v>
      </c>
      <c r="T72" s="174">
        <f t="shared" si="44"/>
        <v>1.6</v>
      </c>
      <c r="U72" s="174">
        <f t="shared" si="54"/>
        <v>0</v>
      </c>
      <c r="V72" s="174">
        <f t="shared" si="54"/>
        <v>0</v>
      </c>
      <c r="W72" s="174">
        <f t="shared" si="54"/>
        <v>0</v>
      </c>
      <c r="X72" s="174">
        <f t="shared" si="54"/>
        <v>0</v>
      </c>
      <c r="Y72" s="174">
        <f t="shared" si="54"/>
        <v>0</v>
      </c>
      <c r="Z72" s="174">
        <f t="shared" si="54"/>
        <v>1.6</v>
      </c>
      <c r="AA72" s="174">
        <f t="shared" si="54"/>
        <v>0</v>
      </c>
      <c r="AB72" s="174">
        <f t="shared" si="54"/>
        <v>0</v>
      </c>
      <c r="AC72" s="174">
        <f t="shared" si="54"/>
        <v>0</v>
      </c>
    </row>
    <row r="73" spans="1:29" s="98" customFormat="1">
      <c r="A73" s="209" t="s">
        <v>37</v>
      </c>
      <c r="B73" s="174">
        <f t="shared" si="39"/>
        <v>-30489840.420000002</v>
      </c>
      <c r="C73" s="174">
        <f t="shared" si="40"/>
        <v>0</v>
      </c>
      <c r="D73" s="174">
        <f t="shared" ref="D73:AC73" si="57">D10+D43</f>
        <v>450507.53</v>
      </c>
      <c r="E73" s="174">
        <f t="shared" si="57"/>
        <v>104150.94</v>
      </c>
      <c r="F73" s="174">
        <f t="shared" si="57"/>
        <v>0</v>
      </c>
      <c r="G73" s="174">
        <f t="shared" si="57"/>
        <v>14159688.970000001</v>
      </c>
      <c r="H73" s="174">
        <f t="shared" si="57"/>
        <v>0</v>
      </c>
      <c r="I73" s="174">
        <f t="shared" si="57"/>
        <v>0</v>
      </c>
      <c r="J73" s="174">
        <f t="shared" ref="J73:K73" si="58">J10+J43</f>
        <v>14159688.970000001</v>
      </c>
      <c r="K73" s="174">
        <f t="shared" si="58"/>
        <v>-44529700.340000004</v>
      </c>
      <c r="L73" s="174">
        <f t="shared" si="57"/>
        <v>4377312.34</v>
      </c>
      <c r="M73" s="174">
        <f t="shared" si="57"/>
        <v>-48907012.68</v>
      </c>
      <c r="N73" s="174">
        <f t="shared" ref="N73" si="59">N10+N43</f>
        <v>0</v>
      </c>
      <c r="O73" s="174">
        <f t="shared" si="57"/>
        <v>0</v>
      </c>
      <c r="P73" s="174">
        <f t="shared" si="57"/>
        <v>-674487.52</v>
      </c>
      <c r="Q73" s="174">
        <f t="shared" si="57"/>
        <v>-40055.72</v>
      </c>
      <c r="R73" s="174">
        <f t="shared" si="57"/>
        <v>-634431.80000000005</v>
      </c>
      <c r="S73" s="174">
        <f t="shared" si="57"/>
        <v>0</v>
      </c>
      <c r="T73" s="174">
        <f t="shared" si="44"/>
        <v>0</v>
      </c>
      <c r="U73" s="174">
        <f t="shared" si="57"/>
        <v>0</v>
      </c>
      <c r="V73" s="174">
        <f t="shared" si="57"/>
        <v>0</v>
      </c>
      <c r="W73" s="174">
        <f t="shared" si="57"/>
        <v>0</v>
      </c>
      <c r="X73" s="174">
        <f t="shared" si="57"/>
        <v>0</v>
      </c>
      <c r="Y73" s="174">
        <f t="shared" si="57"/>
        <v>0</v>
      </c>
      <c r="Z73" s="174">
        <f t="shared" si="57"/>
        <v>0</v>
      </c>
      <c r="AA73" s="174">
        <f t="shared" si="57"/>
        <v>0</v>
      </c>
      <c r="AB73" s="174">
        <f t="shared" si="57"/>
        <v>0</v>
      </c>
      <c r="AC73" s="174">
        <f t="shared" si="57"/>
        <v>0</v>
      </c>
    </row>
    <row r="74" spans="1:29" s="98" customFormat="1">
      <c r="A74" s="209" t="s">
        <v>60</v>
      </c>
      <c r="B74" s="174">
        <f t="shared" si="39"/>
        <v>0</v>
      </c>
      <c r="C74" s="174">
        <f t="shared" si="40"/>
        <v>0</v>
      </c>
      <c r="D74" s="174">
        <f t="shared" ref="D74:AC74" si="60">D11+D44</f>
        <v>0</v>
      </c>
      <c r="E74" s="174">
        <f t="shared" si="60"/>
        <v>0</v>
      </c>
      <c r="F74" s="174">
        <f t="shared" si="60"/>
        <v>0</v>
      </c>
      <c r="G74" s="174">
        <f t="shared" si="60"/>
        <v>0</v>
      </c>
      <c r="H74" s="174">
        <f t="shared" si="60"/>
        <v>0</v>
      </c>
      <c r="I74" s="174">
        <f t="shared" si="60"/>
        <v>0</v>
      </c>
      <c r="J74" s="174">
        <f t="shared" ref="J74:K74" si="61">J11+J44</f>
        <v>0</v>
      </c>
      <c r="K74" s="174">
        <f t="shared" si="61"/>
        <v>0</v>
      </c>
      <c r="L74" s="174">
        <f t="shared" si="60"/>
        <v>0</v>
      </c>
      <c r="M74" s="174">
        <f t="shared" si="60"/>
        <v>0</v>
      </c>
      <c r="N74" s="174">
        <f t="shared" ref="N74" si="62">N11+N44</f>
        <v>0</v>
      </c>
      <c r="O74" s="174">
        <f t="shared" si="60"/>
        <v>0</v>
      </c>
      <c r="P74" s="174">
        <f t="shared" si="60"/>
        <v>0</v>
      </c>
      <c r="Q74" s="174">
        <f t="shared" si="60"/>
        <v>0</v>
      </c>
      <c r="R74" s="174">
        <f t="shared" si="60"/>
        <v>0</v>
      </c>
      <c r="S74" s="174">
        <f t="shared" si="60"/>
        <v>0</v>
      </c>
      <c r="T74" s="174">
        <f t="shared" si="44"/>
        <v>0</v>
      </c>
      <c r="U74" s="174">
        <f t="shared" si="60"/>
        <v>0</v>
      </c>
      <c r="V74" s="174">
        <f t="shared" si="60"/>
        <v>0</v>
      </c>
      <c r="W74" s="174">
        <f t="shared" si="60"/>
        <v>0</v>
      </c>
      <c r="X74" s="174">
        <f t="shared" si="60"/>
        <v>0</v>
      </c>
      <c r="Y74" s="174">
        <f t="shared" si="60"/>
        <v>0</v>
      </c>
      <c r="Z74" s="174">
        <f t="shared" si="60"/>
        <v>0</v>
      </c>
      <c r="AA74" s="174">
        <f t="shared" si="60"/>
        <v>0</v>
      </c>
      <c r="AB74" s="174">
        <f t="shared" si="60"/>
        <v>0</v>
      </c>
      <c r="AC74" s="174">
        <f t="shared" si="60"/>
        <v>0</v>
      </c>
    </row>
    <row r="75" spans="1:29" s="98" customFormat="1">
      <c r="A75" s="209" t="s">
        <v>39</v>
      </c>
      <c r="B75" s="174">
        <f t="shared" si="39"/>
        <v>-53715725.38000001</v>
      </c>
      <c r="C75" s="174">
        <f t="shared" si="40"/>
        <v>-48692227.969999999</v>
      </c>
      <c r="D75" s="174">
        <f t="shared" ref="D75:AC75" si="63">D12+D45</f>
        <v>0</v>
      </c>
      <c r="E75" s="174">
        <f t="shared" si="63"/>
        <v>467999.98666666663</v>
      </c>
      <c r="F75" s="174">
        <f t="shared" si="63"/>
        <v>-9910.6533333333336</v>
      </c>
      <c r="G75" s="174">
        <f t="shared" si="63"/>
        <v>-57280683.730000004</v>
      </c>
      <c r="H75" s="174">
        <f t="shared" si="63"/>
        <v>-72588366.893333331</v>
      </c>
      <c r="I75" s="174">
        <f t="shared" si="63"/>
        <v>-2573735.08</v>
      </c>
      <c r="J75" s="174">
        <f t="shared" ref="J75" si="64">J12+J45</f>
        <v>17881418.243333336</v>
      </c>
      <c r="K75" s="174">
        <f>K12+K45</f>
        <v>69718309.096666664</v>
      </c>
      <c r="L75" s="174">
        <f t="shared" si="63"/>
        <v>8612295.2100000009</v>
      </c>
      <c r="M75" s="174">
        <f t="shared" si="63"/>
        <v>59397235.07</v>
      </c>
      <c r="N75" s="174">
        <f t="shared" ref="N75" si="65">N12+N45</f>
        <v>1197246.2066666665</v>
      </c>
      <c r="O75" s="174">
        <f t="shared" si="63"/>
        <v>511532.61</v>
      </c>
      <c r="P75" s="174">
        <f t="shared" si="63"/>
        <v>-17919212.109999999</v>
      </c>
      <c r="Q75" s="174">
        <f t="shared" si="63"/>
        <v>-20375588.859999999</v>
      </c>
      <c r="R75" s="174">
        <f t="shared" si="63"/>
        <v>2456376.75</v>
      </c>
      <c r="S75" s="174">
        <f t="shared" si="63"/>
        <v>0</v>
      </c>
      <c r="T75" s="174">
        <f t="shared" si="44"/>
        <v>0</v>
      </c>
      <c r="U75" s="174">
        <f t="shared" si="63"/>
        <v>0</v>
      </c>
      <c r="V75" s="174">
        <f t="shared" si="63"/>
        <v>0</v>
      </c>
      <c r="W75" s="174">
        <f t="shared" si="63"/>
        <v>0</v>
      </c>
      <c r="X75" s="174">
        <f t="shared" si="63"/>
        <v>0</v>
      </c>
      <c r="Y75" s="174">
        <f t="shared" si="63"/>
        <v>0</v>
      </c>
      <c r="Z75" s="174">
        <f t="shared" si="63"/>
        <v>0</v>
      </c>
      <c r="AA75" s="174">
        <f t="shared" si="63"/>
        <v>0</v>
      </c>
      <c r="AB75" s="174">
        <f t="shared" si="63"/>
        <v>0</v>
      </c>
      <c r="AC75" s="174">
        <f t="shared" si="63"/>
        <v>0</v>
      </c>
    </row>
    <row r="76" spans="1:29" s="98" customFormat="1">
      <c r="A76" s="209" t="s">
        <v>61</v>
      </c>
      <c r="B76" s="174">
        <f t="shared" si="39"/>
        <v>-422493.59</v>
      </c>
      <c r="C76" s="174">
        <f t="shared" si="40"/>
        <v>0</v>
      </c>
      <c r="D76" s="174">
        <f t="shared" ref="D76:AC76" si="66">D13+D46</f>
        <v>47640.99</v>
      </c>
      <c r="E76" s="174">
        <f t="shared" si="66"/>
        <v>-470134.58</v>
      </c>
      <c r="F76" s="174">
        <f t="shared" si="66"/>
        <v>0</v>
      </c>
      <c r="G76" s="174">
        <f t="shared" si="66"/>
        <v>0</v>
      </c>
      <c r="H76" s="174">
        <f t="shared" si="66"/>
        <v>0</v>
      </c>
      <c r="I76" s="174">
        <f t="shared" si="66"/>
        <v>0</v>
      </c>
      <c r="J76" s="174">
        <f t="shared" ref="J76:K76" si="67">J13+J46</f>
        <v>0</v>
      </c>
      <c r="K76" s="174">
        <f t="shared" si="67"/>
        <v>0</v>
      </c>
      <c r="L76" s="174">
        <f t="shared" si="66"/>
        <v>0</v>
      </c>
      <c r="M76" s="174">
        <f t="shared" si="66"/>
        <v>0</v>
      </c>
      <c r="N76" s="174">
        <f t="shared" ref="N76" si="68">N13+N46</f>
        <v>0</v>
      </c>
      <c r="O76" s="174">
        <f t="shared" si="66"/>
        <v>0</v>
      </c>
      <c r="P76" s="174">
        <f t="shared" si="66"/>
        <v>0</v>
      </c>
      <c r="Q76" s="174">
        <f t="shared" si="66"/>
        <v>0</v>
      </c>
      <c r="R76" s="174">
        <f t="shared" si="66"/>
        <v>0</v>
      </c>
      <c r="S76" s="174">
        <f t="shared" si="66"/>
        <v>0</v>
      </c>
      <c r="T76" s="174">
        <f t="shared" si="44"/>
        <v>0</v>
      </c>
      <c r="U76" s="174">
        <f t="shared" si="66"/>
        <v>0</v>
      </c>
      <c r="V76" s="174">
        <f t="shared" si="66"/>
        <v>0</v>
      </c>
      <c r="W76" s="174">
        <f t="shared" si="66"/>
        <v>0</v>
      </c>
      <c r="X76" s="174">
        <f t="shared" si="66"/>
        <v>0</v>
      </c>
      <c r="Y76" s="174">
        <f t="shared" si="66"/>
        <v>0</v>
      </c>
      <c r="Z76" s="174">
        <f t="shared" si="66"/>
        <v>0</v>
      </c>
      <c r="AA76" s="174">
        <f t="shared" si="66"/>
        <v>0</v>
      </c>
      <c r="AB76" s="174">
        <f t="shared" si="66"/>
        <v>0</v>
      </c>
      <c r="AC76" s="174">
        <f t="shared" si="66"/>
        <v>0</v>
      </c>
    </row>
    <row r="77" spans="1:29" s="98" customFormat="1">
      <c r="A77" s="209" t="s">
        <v>62</v>
      </c>
      <c r="B77" s="110">
        <f t="shared" si="39"/>
        <v>575419.87</v>
      </c>
      <c r="C77" s="110">
        <f t="shared" si="40"/>
        <v>-274008.12</v>
      </c>
      <c r="D77" s="110">
        <f t="shared" ref="D77:AC77" si="69">D14+D47</f>
        <v>0</v>
      </c>
      <c r="E77" s="110">
        <f t="shared" si="69"/>
        <v>849427.99</v>
      </c>
      <c r="F77" s="110">
        <f t="shared" si="69"/>
        <v>0</v>
      </c>
      <c r="G77" s="110">
        <f t="shared" si="69"/>
        <v>0</v>
      </c>
      <c r="H77" s="110">
        <f t="shared" si="69"/>
        <v>0</v>
      </c>
      <c r="I77" s="110">
        <f t="shared" si="69"/>
        <v>0</v>
      </c>
      <c r="J77" s="110">
        <f t="shared" ref="J77:K77" si="70">J14+J47</f>
        <v>0</v>
      </c>
      <c r="K77" s="110">
        <f t="shared" si="70"/>
        <v>0</v>
      </c>
      <c r="L77" s="110">
        <f t="shared" si="69"/>
        <v>0</v>
      </c>
      <c r="M77" s="110">
        <f t="shared" si="69"/>
        <v>0</v>
      </c>
      <c r="N77" s="110">
        <f t="shared" ref="N77" si="71">N14+N47</f>
        <v>0</v>
      </c>
      <c r="O77" s="110">
        <f t="shared" si="69"/>
        <v>0</v>
      </c>
      <c r="P77" s="110">
        <f t="shared" si="69"/>
        <v>0</v>
      </c>
      <c r="Q77" s="110">
        <f t="shared" si="69"/>
        <v>0</v>
      </c>
      <c r="R77" s="110">
        <f t="shared" si="69"/>
        <v>0</v>
      </c>
      <c r="S77" s="110">
        <f t="shared" si="69"/>
        <v>0</v>
      </c>
      <c r="T77" s="110">
        <f t="shared" si="44"/>
        <v>0</v>
      </c>
      <c r="U77" s="110">
        <f t="shared" si="69"/>
        <v>0</v>
      </c>
      <c r="V77" s="110">
        <f t="shared" si="69"/>
        <v>0</v>
      </c>
      <c r="W77" s="110">
        <f t="shared" si="69"/>
        <v>0</v>
      </c>
      <c r="X77" s="110">
        <f t="shared" si="69"/>
        <v>0</v>
      </c>
      <c r="Y77" s="110">
        <f t="shared" si="69"/>
        <v>0</v>
      </c>
      <c r="Z77" s="110">
        <f t="shared" si="69"/>
        <v>0</v>
      </c>
      <c r="AA77" s="110">
        <f t="shared" si="69"/>
        <v>0</v>
      </c>
      <c r="AB77" s="110">
        <f t="shared" si="69"/>
        <v>0</v>
      </c>
      <c r="AC77" s="110">
        <f t="shared" si="69"/>
        <v>0</v>
      </c>
    </row>
    <row r="78" spans="1:29" s="98" customFormat="1">
      <c r="A78" s="209" t="s">
        <v>445</v>
      </c>
      <c r="B78" s="110">
        <f t="shared" si="39"/>
        <v>0</v>
      </c>
      <c r="C78" s="110">
        <f t="shared" si="40"/>
        <v>0</v>
      </c>
      <c r="D78" s="110">
        <f t="shared" ref="D78:AC78" si="72">D15+D48</f>
        <v>0</v>
      </c>
      <c r="E78" s="110">
        <f t="shared" si="72"/>
        <v>0</v>
      </c>
      <c r="F78" s="110">
        <f t="shared" si="72"/>
        <v>0</v>
      </c>
      <c r="G78" s="110">
        <f t="shared" si="72"/>
        <v>0</v>
      </c>
      <c r="H78" s="110">
        <f t="shared" si="72"/>
        <v>0</v>
      </c>
      <c r="I78" s="110">
        <f t="shared" si="72"/>
        <v>0</v>
      </c>
      <c r="J78" s="110">
        <f t="shared" ref="J78:K78" si="73">J15+J48</f>
        <v>0</v>
      </c>
      <c r="K78" s="110">
        <f t="shared" si="73"/>
        <v>0</v>
      </c>
      <c r="L78" s="110">
        <f t="shared" si="72"/>
        <v>0</v>
      </c>
      <c r="M78" s="110">
        <f t="shared" si="72"/>
        <v>0</v>
      </c>
      <c r="N78" s="110">
        <f t="shared" ref="N78" si="74">N15+N48</f>
        <v>0</v>
      </c>
      <c r="O78" s="110">
        <f t="shared" si="72"/>
        <v>0</v>
      </c>
      <c r="P78" s="110">
        <f t="shared" si="72"/>
        <v>0</v>
      </c>
      <c r="Q78" s="110">
        <f t="shared" si="72"/>
        <v>0</v>
      </c>
      <c r="R78" s="110">
        <f t="shared" si="72"/>
        <v>0</v>
      </c>
      <c r="S78" s="110">
        <f t="shared" si="72"/>
        <v>0</v>
      </c>
      <c r="T78" s="110">
        <f t="shared" si="44"/>
        <v>0</v>
      </c>
      <c r="U78" s="110">
        <f t="shared" si="72"/>
        <v>0</v>
      </c>
      <c r="V78" s="110">
        <f t="shared" si="72"/>
        <v>0</v>
      </c>
      <c r="W78" s="110">
        <f t="shared" si="72"/>
        <v>0</v>
      </c>
      <c r="X78" s="110">
        <f t="shared" si="72"/>
        <v>0</v>
      </c>
      <c r="Y78" s="110">
        <f t="shared" si="72"/>
        <v>0</v>
      </c>
      <c r="Z78" s="110">
        <f t="shared" si="72"/>
        <v>0</v>
      </c>
      <c r="AA78" s="110">
        <f t="shared" si="72"/>
        <v>0</v>
      </c>
      <c r="AB78" s="110">
        <f t="shared" si="72"/>
        <v>0</v>
      </c>
      <c r="AC78" s="110">
        <f t="shared" si="72"/>
        <v>0</v>
      </c>
    </row>
    <row r="79" spans="1:29" s="98" customFormat="1">
      <c r="A79" s="209" t="s">
        <v>446</v>
      </c>
      <c r="B79" s="110">
        <f t="shared" si="39"/>
        <v>0</v>
      </c>
      <c r="C79" s="110">
        <f t="shared" si="40"/>
        <v>0</v>
      </c>
      <c r="D79" s="110">
        <f t="shared" ref="D79:AC79" si="75">D16+D49</f>
        <v>0</v>
      </c>
      <c r="E79" s="110">
        <f t="shared" si="75"/>
        <v>0</v>
      </c>
      <c r="F79" s="110">
        <f t="shared" si="75"/>
        <v>0</v>
      </c>
      <c r="G79" s="110">
        <f t="shared" si="75"/>
        <v>0</v>
      </c>
      <c r="H79" s="110">
        <f t="shared" si="75"/>
        <v>0</v>
      </c>
      <c r="I79" s="110">
        <f t="shared" si="75"/>
        <v>0</v>
      </c>
      <c r="J79" s="110">
        <f t="shared" ref="J79:K79" si="76">J16+J49</f>
        <v>0</v>
      </c>
      <c r="K79" s="110">
        <f t="shared" si="76"/>
        <v>0</v>
      </c>
      <c r="L79" s="110">
        <f t="shared" si="75"/>
        <v>0</v>
      </c>
      <c r="M79" s="110">
        <f t="shared" si="75"/>
        <v>0</v>
      </c>
      <c r="N79" s="110">
        <f t="shared" ref="N79" si="77">N16+N49</f>
        <v>0</v>
      </c>
      <c r="O79" s="110">
        <f t="shared" si="75"/>
        <v>0</v>
      </c>
      <c r="P79" s="110">
        <f t="shared" si="75"/>
        <v>0</v>
      </c>
      <c r="Q79" s="110">
        <f t="shared" si="75"/>
        <v>0</v>
      </c>
      <c r="R79" s="110">
        <f t="shared" si="75"/>
        <v>0</v>
      </c>
      <c r="S79" s="110">
        <f t="shared" si="75"/>
        <v>0</v>
      </c>
      <c r="T79" s="110">
        <f t="shared" si="44"/>
        <v>0</v>
      </c>
      <c r="U79" s="110">
        <f t="shared" si="75"/>
        <v>0</v>
      </c>
      <c r="V79" s="110">
        <f t="shared" si="75"/>
        <v>0</v>
      </c>
      <c r="W79" s="110">
        <f t="shared" si="75"/>
        <v>0</v>
      </c>
      <c r="X79" s="110">
        <f t="shared" si="75"/>
        <v>0</v>
      </c>
      <c r="Y79" s="110">
        <f t="shared" si="75"/>
        <v>0</v>
      </c>
      <c r="Z79" s="110">
        <f t="shared" si="75"/>
        <v>0</v>
      </c>
      <c r="AA79" s="110">
        <f t="shared" si="75"/>
        <v>0</v>
      </c>
      <c r="AB79" s="110">
        <f t="shared" si="75"/>
        <v>0</v>
      </c>
      <c r="AC79" s="110">
        <f t="shared" si="75"/>
        <v>0</v>
      </c>
    </row>
    <row r="80" spans="1:29" s="98" customFormat="1">
      <c r="A80" s="211" t="s">
        <v>42</v>
      </c>
      <c r="B80" s="112">
        <f t="shared" si="39"/>
        <v>43998526.629999995</v>
      </c>
      <c r="C80" s="112">
        <f t="shared" si="40"/>
        <v>-1891257.2600000002</v>
      </c>
      <c r="D80" s="112">
        <f t="shared" ref="D80:AC80" si="78">D17+D50</f>
        <v>8709522.959999999</v>
      </c>
      <c r="E80" s="112">
        <f t="shared" si="78"/>
        <v>26150567.66</v>
      </c>
      <c r="F80" s="112">
        <f t="shared" si="78"/>
        <v>294273.95</v>
      </c>
      <c r="G80" s="112">
        <f t="shared" si="78"/>
        <v>1842478.78</v>
      </c>
      <c r="H80" s="112">
        <f t="shared" si="78"/>
        <v>389355.26</v>
      </c>
      <c r="I80" s="112">
        <f t="shared" si="78"/>
        <v>275645.07</v>
      </c>
      <c r="J80" s="112">
        <f t="shared" ref="J80:K80" si="79">J17+J50</f>
        <v>1177478.45</v>
      </c>
      <c r="K80" s="112">
        <f t="shared" si="79"/>
        <v>1676989.2000000002</v>
      </c>
      <c r="L80" s="112">
        <f t="shared" si="78"/>
        <v>356332.04000000004</v>
      </c>
      <c r="M80" s="112">
        <f t="shared" si="78"/>
        <v>666719.72</v>
      </c>
      <c r="N80" s="112">
        <f t="shared" ref="N80" si="80">N17+N50</f>
        <v>548995.4800000001</v>
      </c>
      <c r="O80" s="112">
        <f t="shared" si="78"/>
        <v>104941.96</v>
      </c>
      <c r="P80" s="112">
        <f t="shared" si="78"/>
        <v>260102.62</v>
      </c>
      <c r="Q80" s="112">
        <f t="shared" si="78"/>
        <v>-67461.790000000037</v>
      </c>
      <c r="R80" s="112">
        <f t="shared" si="78"/>
        <v>327564.41000000003</v>
      </c>
      <c r="S80" s="112">
        <f t="shared" si="78"/>
        <v>1889424.73</v>
      </c>
      <c r="T80" s="112">
        <f t="shared" si="44"/>
        <v>3578496.5900000003</v>
      </c>
      <c r="U80" s="112">
        <f t="shared" si="78"/>
        <v>1197693.73</v>
      </c>
      <c r="V80" s="112">
        <f t="shared" si="78"/>
        <v>1028829.35</v>
      </c>
      <c r="W80" s="112">
        <f t="shared" si="78"/>
        <v>623481.04</v>
      </c>
      <c r="X80" s="112">
        <f t="shared" si="78"/>
        <v>267748.06</v>
      </c>
      <c r="Y80" s="112">
        <f t="shared" si="78"/>
        <v>297408.64000000001</v>
      </c>
      <c r="Z80" s="112">
        <f t="shared" si="78"/>
        <v>163335.77000000002</v>
      </c>
      <c r="AA80" s="112">
        <f t="shared" si="78"/>
        <v>0</v>
      </c>
      <c r="AB80" s="112">
        <f t="shared" si="78"/>
        <v>599475.30000000005</v>
      </c>
      <c r="AC80" s="112">
        <f t="shared" si="78"/>
        <v>888452.1</v>
      </c>
    </row>
    <row r="81" spans="1:29" s="98" customFormat="1">
      <c r="A81" s="212" t="s">
        <v>63</v>
      </c>
      <c r="B81" s="110">
        <f t="shared" si="39"/>
        <v>583589.53000000026</v>
      </c>
      <c r="C81" s="111">
        <f t="shared" si="40"/>
        <v>1613.21</v>
      </c>
      <c r="D81" s="111">
        <f t="shared" ref="D81:AC81" si="81">D18+D51</f>
        <v>-23972.989999999998</v>
      </c>
      <c r="E81" s="111">
        <f t="shared" si="81"/>
        <v>675780.96000000008</v>
      </c>
      <c r="F81" s="111">
        <f t="shared" si="81"/>
        <v>5137.01</v>
      </c>
      <c r="G81" s="111">
        <f t="shared" si="81"/>
        <v>117483.43000000001</v>
      </c>
      <c r="H81" s="111">
        <f t="shared" si="81"/>
        <v>14611.49</v>
      </c>
      <c r="I81" s="111">
        <f t="shared" si="81"/>
        <v>3813.24</v>
      </c>
      <c r="J81" s="111">
        <f t="shared" ref="J81:K81" si="82">J18+J51</f>
        <v>99058.700000000012</v>
      </c>
      <c r="K81" s="111">
        <f t="shared" si="82"/>
        <v>-188802.39999999997</v>
      </c>
      <c r="L81" s="111">
        <f t="shared" si="81"/>
        <v>104624.93000000001</v>
      </c>
      <c r="M81" s="111">
        <f t="shared" si="81"/>
        <v>-306256.55</v>
      </c>
      <c r="N81" s="111">
        <f t="shared" ref="N81" si="83">N18+N51</f>
        <v>8419.2900000000009</v>
      </c>
      <c r="O81" s="111">
        <f t="shared" si="81"/>
        <v>4409.93</v>
      </c>
      <c r="P81" s="111">
        <f t="shared" si="81"/>
        <v>-5538.1</v>
      </c>
      <c r="Q81" s="111">
        <f t="shared" si="81"/>
        <v>-665.79</v>
      </c>
      <c r="R81" s="111">
        <f t="shared" si="81"/>
        <v>-4872.3099999999995</v>
      </c>
      <c r="S81" s="111">
        <f t="shared" si="81"/>
        <v>20</v>
      </c>
      <c r="T81" s="111">
        <f t="shared" si="44"/>
        <v>2105.5300000000007</v>
      </c>
      <c r="U81" s="111">
        <f t="shared" si="81"/>
        <v>-863.52</v>
      </c>
      <c r="V81" s="111">
        <f t="shared" si="81"/>
        <v>-12.720000000000027</v>
      </c>
      <c r="W81" s="111">
        <f t="shared" si="81"/>
        <v>3068.01</v>
      </c>
      <c r="X81" s="111">
        <f t="shared" si="81"/>
        <v>-6.99</v>
      </c>
      <c r="Y81" s="111">
        <f t="shared" si="81"/>
        <v>-72.069999999999993</v>
      </c>
      <c r="Z81" s="111">
        <f t="shared" si="81"/>
        <v>-7.18</v>
      </c>
      <c r="AA81" s="111">
        <f t="shared" si="81"/>
        <v>0</v>
      </c>
      <c r="AB81" s="111">
        <f t="shared" si="81"/>
        <v>-114.96</v>
      </c>
      <c r="AC81" s="111">
        <f t="shared" si="81"/>
        <v>-122.16</v>
      </c>
    </row>
    <row r="82" spans="1:29" s="98" customFormat="1">
      <c r="A82" s="212" t="s">
        <v>64</v>
      </c>
      <c r="B82" s="110">
        <f t="shared" si="39"/>
        <v>43031182.839999989</v>
      </c>
      <c r="C82" s="111">
        <f t="shared" si="40"/>
        <v>-1892870.4700000002</v>
      </c>
      <c r="D82" s="111">
        <f t="shared" ref="D82:AC82" si="84">D19+D52</f>
        <v>8733495.9499999993</v>
      </c>
      <c r="E82" s="111">
        <f t="shared" si="84"/>
        <v>25091032.439999998</v>
      </c>
      <c r="F82" s="111">
        <f t="shared" si="84"/>
        <v>289136.94</v>
      </c>
      <c r="G82" s="111">
        <f t="shared" si="84"/>
        <v>1724995.35</v>
      </c>
      <c r="H82" s="111">
        <f t="shared" si="84"/>
        <v>374743.77</v>
      </c>
      <c r="I82" s="111">
        <f t="shared" si="84"/>
        <v>271831.83</v>
      </c>
      <c r="J82" s="111">
        <f t="shared" ref="J82:K82" si="85">J19+J52</f>
        <v>1078419.75</v>
      </c>
      <c r="K82" s="111">
        <f t="shared" si="85"/>
        <v>1865791.6</v>
      </c>
      <c r="L82" s="111">
        <f t="shared" si="84"/>
        <v>251707.11</v>
      </c>
      <c r="M82" s="111">
        <f t="shared" si="84"/>
        <v>972976.2699999999</v>
      </c>
      <c r="N82" s="111">
        <f t="shared" ref="N82" si="86">N19+N52</f>
        <v>540576.19000000006</v>
      </c>
      <c r="O82" s="111">
        <f t="shared" si="84"/>
        <v>100532.03</v>
      </c>
      <c r="P82" s="111">
        <f t="shared" si="84"/>
        <v>265640.71999999997</v>
      </c>
      <c r="Q82" s="111">
        <f t="shared" si="84"/>
        <v>-66796</v>
      </c>
      <c r="R82" s="111">
        <f t="shared" si="84"/>
        <v>332436.72000000003</v>
      </c>
      <c r="S82" s="111">
        <f t="shared" si="84"/>
        <v>1889404.73</v>
      </c>
      <c r="T82" s="111">
        <f>SUM(U82:AA82)</f>
        <v>3576391.0599999996</v>
      </c>
      <c r="U82" s="111">
        <f t="shared" si="84"/>
        <v>1198557.25</v>
      </c>
      <c r="V82" s="111">
        <f t="shared" si="84"/>
        <v>1028842.07</v>
      </c>
      <c r="W82" s="111">
        <f t="shared" si="84"/>
        <v>620413.03</v>
      </c>
      <c r="X82" s="111">
        <f t="shared" si="84"/>
        <v>267755.05</v>
      </c>
      <c r="Y82" s="111">
        <f t="shared" si="84"/>
        <v>297480.71000000002</v>
      </c>
      <c r="Z82" s="111">
        <f t="shared" si="84"/>
        <v>163342.95000000001</v>
      </c>
      <c r="AA82" s="111">
        <f t="shared" si="84"/>
        <v>0</v>
      </c>
      <c r="AB82" s="111">
        <f t="shared" si="84"/>
        <v>599590.26</v>
      </c>
      <c r="AC82" s="111">
        <f t="shared" si="84"/>
        <v>888574.26</v>
      </c>
    </row>
    <row r="83" spans="1:29" s="98" customFormat="1">
      <c r="A83" s="212" t="s">
        <v>65</v>
      </c>
      <c r="B83" s="110">
        <f t="shared" si="39"/>
        <v>0</v>
      </c>
      <c r="C83" s="111">
        <f t="shared" si="40"/>
        <v>0</v>
      </c>
      <c r="D83" s="111">
        <f t="shared" ref="D83:AC91" si="87">D20+D53</f>
        <v>0</v>
      </c>
      <c r="E83" s="111">
        <f t="shared" si="87"/>
        <v>0</v>
      </c>
      <c r="F83" s="111">
        <f t="shared" si="87"/>
        <v>0</v>
      </c>
      <c r="G83" s="111">
        <f t="shared" si="87"/>
        <v>0</v>
      </c>
      <c r="H83" s="111">
        <f t="shared" si="87"/>
        <v>0</v>
      </c>
      <c r="I83" s="111">
        <f t="shared" si="87"/>
        <v>0</v>
      </c>
      <c r="J83" s="111">
        <f t="shared" ref="J83:K83" si="88">J20+J53</f>
        <v>0</v>
      </c>
      <c r="K83" s="111">
        <f t="shared" si="88"/>
        <v>0</v>
      </c>
      <c r="L83" s="111">
        <f t="shared" si="87"/>
        <v>0</v>
      </c>
      <c r="M83" s="111">
        <f t="shared" si="87"/>
        <v>0</v>
      </c>
      <c r="N83" s="111">
        <f t="shared" ref="N83" si="89">N20+N53</f>
        <v>0</v>
      </c>
      <c r="O83" s="111">
        <f t="shared" si="87"/>
        <v>0</v>
      </c>
      <c r="P83" s="111">
        <f t="shared" si="87"/>
        <v>0</v>
      </c>
      <c r="Q83" s="111">
        <f t="shared" si="87"/>
        <v>0</v>
      </c>
      <c r="R83" s="111">
        <f t="shared" si="87"/>
        <v>0</v>
      </c>
      <c r="S83" s="111">
        <f t="shared" si="87"/>
        <v>0</v>
      </c>
      <c r="T83" s="111">
        <f t="shared" si="44"/>
        <v>0</v>
      </c>
      <c r="U83" s="111">
        <f t="shared" si="87"/>
        <v>0</v>
      </c>
      <c r="V83" s="111">
        <f t="shared" si="87"/>
        <v>0</v>
      </c>
      <c r="W83" s="111">
        <f t="shared" si="87"/>
        <v>0</v>
      </c>
      <c r="X83" s="111">
        <f t="shared" si="87"/>
        <v>0</v>
      </c>
      <c r="Y83" s="111">
        <f t="shared" si="87"/>
        <v>0</v>
      </c>
      <c r="Z83" s="111">
        <f t="shared" si="87"/>
        <v>0</v>
      </c>
      <c r="AA83" s="111">
        <f t="shared" si="87"/>
        <v>0</v>
      </c>
      <c r="AB83" s="111">
        <f t="shared" si="87"/>
        <v>0</v>
      </c>
      <c r="AC83" s="111">
        <f t="shared" si="87"/>
        <v>0</v>
      </c>
    </row>
    <row r="84" spans="1:29" s="98" customFormat="1">
      <c r="A84" s="212" t="s">
        <v>66</v>
      </c>
      <c r="B84" s="110">
        <f t="shared" si="39"/>
        <v>383754.26</v>
      </c>
      <c r="C84" s="111">
        <f t="shared" ref="C84:S91" si="90">C21+C54</f>
        <v>0</v>
      </c>
      <c r="D84" s="111">
        <f t="shared" si="90"/>
        <v>0</v>
      </c>
      <c r="E84" s="111">
        <f t="shared" si="90"/>
        <v>383754.26</v>
      </c>
      <c r="F84" s="111">
        <f t="shared" si="90"/>
        <v>0</v>
      </c>
      <c r="G84" s="111">
        <f t="shared" si="90"/>
        <v>0</v>
      </c>
      <c r="H84" s="111">
        <f t="shared" si="90"/>
        <v>0</v>
      </c>
      <c r="I84" s="111">
        <f t="shared" si="90"/>
        <v>0</v>
      </c>
      <c r="J84" s="111">
        <f t="shared" ref="J84:K84" si="91">J21+J54</f>
        <v>0</v>
      </c>
      <c r="K84" s="111">
        <f t="shared" si="91"/>
        <v>0</v>
      </c>
      <c r="L84" s="111">
        <f t="shared" si="90"/>
        <v>0</v>
      </c>
      <c r="M84" s="111">
        <f t="shared" si="90"/>
        <v>0</v>
      </c>
      <c r="N84" s="111">
        <f t="shared" ref="N84" si="92">N21+N54</f>
        <v>0</v>
      </c>
      <c r="O84" s="111">
        <f t="shared" si="90"/>
        <v>0</v>
      </c>
      <c r="P84" s="111">
        <f t="shared" si="90"/>
        <v>0</v>
      </c>
      <c r="Q84" s="111">
        <f t="shared" si="90"/>
        <v>0</v>
      </c>
      <c r="R84" s="111">
        <f t="shared" si="90"/>
        <v>0</v>
      </c>
      <c r="S84" s="111">
        <f t="shared" si="90"/>
        <v>0</v>
      </c>
      <c r="T84" s="111">
        <f t="shared" si="44"/>
        <v>0</v>
      </c>
      <c r="U84" s="111">
        <f t="shared" si="87"/>
        <v>0</v>
      </c>
      <c r="V84" s="111">
        <f t="shared" si="87"/>
        <v>0</v>
      </c>
      <c r="W84" s="111">
        <f t="shared" si="87"/>
        <v>0</v>
      </c>
      <c r="X84" s="111">
        <f t="shared" si="87"/>
        <v>0</v>
      </c>
      <c r="Y84" s="111">
        <f t="shared" si="87"/>
        <v>0</v>
      </c>
      <c r="Z84" s="111">
        <f t="shared" si="87"/>
        <v>0</v>
      </c>
      <c r="AA84" s="111">
        <f t="shared" si="87"/>
        <v>0</v>
      </c>
      <c r="AB84" s="111">
        <f t="shared" si="87"/>
        <v>0</v>
      </c>
      <c r="AC84" s="111">
        <f t="shared" si="87"/>
        <v>0</v>
      </c>
    </row>
    <row r="85" spans="1:29" s="98" customFormat="1">
      <c r="A85" s="211" t="s">
        <v>47</v>
      </c>
      <c r="B85" s="112">
        <f t="shared" si="39"/>
        <v>-66406420.729999982</v>
      </c>
      <c r="C85" s="112">
        <f t="shared" si="90"/>
        <v>-46850917.32</v>
      </c>
      <c r="D85" s="112">
        <f t="shared" si="87"/>
        <v>-40601343.630000003</v>
      </c>
      <c r="E85" s="112">
        <f t="shared" si="87"/>
        <v>61367734.926666684</v>
      </c>
      <c r="F85" s="112">
        <f t="shared" si="87"/>
        <v>591413.66526261833</v>
      </c>
      <c r="G85" s="112">
        <f t="shared" si="87"/>
        <v>-40741396.685818657</v>
      </c>
      <c r="H85" s="112">
        <f t="shared" si="87"/>
        <v>-70947325.573333338</v>
      </c>
      <c r="I85" s="112">
        <f t="shared" si="87"/>
        <v>-2317393.71</v>
      </c>
      <c r="J85" s="112">
        <f t="shared" ref="J85:K85" si="93">J22+J55</f>
        <v>32523322.59751467</v>
      </c>
      <c r="K85" s="112">
        <f t="shared" si="93"/>
        <v>25237166.045533676</v>
      </c>
      <c r="L85" s="112">
        <f t="shared" si="87"/>
        <v>12117430.247594126</v>
      </c>
      <c r="M85" s="112">
        <f t="shared" si="87"/>
        <v>10282158.661272889</v>
      </c>
      <c r="N85" s="112">
        <f t="shared" ref="N85" si="94">N22+N55</f>
        <v>1817597.6366666663</v>
      </c>
      <c r="O85" s="112">
        <f t="shared" si="87"/>
        <v>1019979.5</v>
      </c>
      <c r="P85" s="112">
        <f t="shared" si="87"/>
        <v>-18824103.911644302</v>
      </c>
      <c r="Q85" s="112">
        <f t="shared" si="87"/>
        <v>-20398865.818828173</v>
      </c>
      <c r="R85" s="112">
        <f t="shared" si="87"/>
        <v>1574761.9071838709</v>
      </c>
      <c r="S85" s="112">
        <f t="shared" si="87"/>
        <v>-1889474.73</v>
      </c>
      <c r="T85" s="112">
        <f t="shared" si="44"/>
        <v>-3207571.69</v>
      </c>
      <c r="U85" s="112">
        <f t="shared" si="87"/>
        <v>-1302490.24</v>
      </c>
      <c r="V85" s="112">
        <f t="shared" si="87"/>
        <v>-1028829.35</v>
      </c>
      <c r="W85" s="112">
        <f t="shared" si="87"/>
        <v>-147761.23000000001</v>
      </c>
      <c r="X85" s="112">
        <f t="shared" si="87"/>
        <v>-267748.06</v>
      </c>
      <c r="Y85" s="112">
        <f t="shared" si="87"/>
        <v>-297408.64000000001</v>
      </c>
      <c r="Z85" s="112">
        <f t="shared" si="87"/>
        <v>-163334.17000000001</v>
      </c>
      <c r="AA85" s="112">
        <f t="shared" si="87"/>
        <v>0</v>
      </c>
      <c r="AB85" s="112">
        <f t="shared" si="87"/>
        <v>-599475.30000000005</v>
      </c>
      <c r="AC85" s="112">
        <f t="shared" si="87"/>
        <v>-888452.1</v>
      </c>
    </row>
    <row r="86" spans="1:29" s="98" customFormat="1">
      <c r="A86" s="212" t="s">
        <v>67</v>
      </c>
      <c r="B86" s="110">
        <f t="shared" si="39"/>
        <v>13595.79</v>
      </c>
      <c r="C86" s="110">
        <f t="shared" si="90"/>
        <v>0</v>
      </c>
      <c r="D86" s="110">
        <f t="shared" si="87"/>
        <v>0</v>
      </c>
      <c r="E86" s="110">
        <f t="shared" si="87"/>
        <v>13595.79</v>
      </c>
      <c r="F86" s="110">
        <f t="shared" si="87"/>
        <v>0</v>
      </c>
      <c r="G86" s="110">
        <f t="shared" si="87"/>
        <v>0</v>
      </c>
      <c r="H86" s="110">
        <f t="shared" si="87"/>
        <v>0</v>
      </c>
      <c r="I86" s="110">
        <f t="shared" si="87"/>
        <v>0</v>
      </c>
      <c r="J86" s="110">
        <f t="shared" ref="J86:K86" si="95">J23+J56</f>
        <v>0</v>
      </c>
      <c r="K86" s="110">
        <f t="shared" si="95"/>
        <v>0</v>
      </c>
      <c r="L86" s="110">
        <f t="shared" si="87"/>
        <v>0</v>
      </c>
      <c r="M86" s="110">
        <f t="shared" si="87"/>
        <v>0</v>
      </c>
      <c r="N86" s="110">
        <f t="shared" ref="N86" si="96">N23+N56</f>
        <v>0</v>
      </c>
      <c r="O86" s="110">
        <f t="shared" si="87"/>
        <v>0</v>
      </c>
      <c r="P86" s="110">
        <f t="shared" si="87"/>
        <v>0</v>
      </c>
      <c r="Q86" s="110">
        <f t="shared" si="87"/>
        <v>0</v>
      </c>
      <c r="R86" s="110">
        <f t="shared" si="87"/>
        <v>0</v>
      </c>
      <c r="S86" s="110">
        <f t="shared" si="87"/>
        <v>0</v>
      </c>
      <c r="T86" s="110">
        <f t="shared" si="44"/>
        <v>0</v>
      </c>
      <c r="U86" s="110">
        <f t="shared" si="87"/>
        <v>0</v>
      </c>
      <c r="V86" s="110">
        <f t="shared" si="87"/>
        <v>0</v>
      </c>
      <c r="W86" s="110">
        <f t="shared" si="87"/>
        <v>0</v>
      </c>
      <c r="X86" s="110">
        <f t="shared" si="87"/>
        <v>0</v>
      </c>
      <c r="Y86" s="110">
        <f t="shared" si="87"/>
        <v>0</v>
      </c>
      <c r="Z86" s="110">
        <f t="shared" si="87"/>
        <v>0</v>
      </c>
      <c r="AA86" s="110">
        <f t="shared" si="87"/>
        <v>0</v>
      </c>
      <c r="AB86" s="110">
        <f t="shared" si="87"/>
        <v>0</v>
      </c>
      <c r="AC86" s="110">
        <f t="shared" si="87"/>
        <v>0</v>
      </c>
    </row>
    <row r="87" spans="1:29" s="98" customFormat="1">
      <c r="A87" s="212" t="s">
        <v>68</v>
      </c>
      <c r="B87" s="110">
        <f t="shared" si="39"/>
        <v>10940</v>
      </c>
      <c r="C87" s="110">
        <f t="shared" si="90"/>
        <v>0</v>
      </c>
      <c r="D87" s="110">
        <f t="shared" si="87"/>
        <v>0</v>
      </c>
      <c r="E87" s="110">
        <f t="shared" si="87"/>
        <v>10940</v>
      </c>
      <c r="F87" s="110">
        <f t="shared" si="87"/>
        <v>0</v>
      </c>
      <c r="G87" s="110">
        <f t="shared" si="87"/>
        <v>0</v>
      </c>
      <c r="H87" s="110">
        <f t="shared" si="87"/>
        <v>0</v>
      </c>
      <c r="I87" s="110">
        <f t="shared" si="87"/>
        <v>0</v>
      </c>
      <c r="J87" s="110">
        <f t="shared" ref="J87:K87" si="97">J24+J57</f>
        <v>0</v>
      </c>
      <c r="K87" s="110">
        <f t="shared" si="97"/>
        <v>0</v>
      </c>
      <c r="L87" s="110">
        <f t="shared" si="87"/>
        <v>0</v>
      </c>
      <c r="M87" s="110">
        <f t="shared" si="87"/>
        <v>0</v>
      </c>
      <c r="N87" s="110">
        <f t="shared" ref="N87" si="98">N24+N57</f>
        <v>0</v>
      </c>
      <c r="O87" s="110">
        <f t="shared" si="87"/>
        <v>0</v>
      </c>
      <c r="P87" s="110">
        <f t="shared" si="87"/>
        <v>0</v>
      </c>
      <c r="Q87" s="110">
        <f t="shared" si="87"/>
        <v>0</v>
      </c>
      <c r="R87" s="110">
        <f t="shared" si="87"/>
        <v>0</v>
      </c>
      <c r="S87" s="110">
        <f t="shared" si="87"/>
        <v>0</v>
      </c>
      <c r="T87" s="110">
        <f t="shared" si="44"/>
        <v>0</v>
      </c>
      <c r="U87" s="110">
        <f t="shared" si="87"/>
        <v>0</v>
      </c>
      <c r="V87" s="110">
        <f t="shared" si="87"/>
        <v>0</v>
      </c>
      <c r="W87" s="110">
        <f t="shared" si="87"/>
        <v>0</v>
      </c>
      <c r="X87" s="110">
        <f t="shared" si="87"/>
        <v>0</v>
      </c>
      <c r="Y87" s="110">
        <f t="shared" si="87"/>
        <v>0</v>
      </c>
      <c r="Z87" s="110">
        <f t="shared" si="87"/>
        <v>0</v>
      </c>
      <c r="AA87" s="110">
        <f t="shared" si="87"/>
        <v>0</v>
      </c>
      <c r="AB87" s="110">
        <f t="shared" si="87"/>
        <v>0</v>
      </c>
      <c r="AC87" s="110">
        <f t="shared" si="87"/>
        <v>0</v>
      </c>
    </row>
    <row r="88" spans="1:29" s="98" customFormat="1">
      <c r="A88" s="211" t="s">
        <v>50</v>
      </c>
      <c r="B88" s="112">
        <f t="shared" si="39"/>
        <v>-66403764.939999975</v>
      </c>
      <c r="C88" s="112">
        <f t="shared" si="90"/>
        <v>-46850917.32</v>
      </c>
      <c r="D88" s="112">
        <f t="shared" si="87"/>
        <v>-40601343.630000003</v>
      </c>
      <c r="E88" s="112">
        <f t="shared" si="87"/>
        <v>61370390.716666684</v>
      </c>
      <c r="F88" s="112">
        <f t="shared" si="87"/>
        <v>591413.66526261833</v>
      </c>
      <c r="G88" s="112">
        <f t="shared" si="87"/>
        <v>-40741396.685818657</v>
      </c>
      <c r="H88" s="112">
        <f t="shared" si="87"/>
        <v>-70947325.573333338</v>
      </c>
      <c r="I88" s="112">
        <f t="shared" si="87"/>
        <v>-2317393.71</v>
      </c>
      <c r="J88" s="112">
        <f t="shared" ref="J88:K88" si="99">J25+J58</f>
        <v>32523322.59751467</v>
      </c>
      <c r="K88" s="112">
        <f t="shared" si="99"/>
        <v>25237166.045533676</v>
      </c>
      <c r="L88" s="112">
        <f t="shared" si="87"/>
        <v>12117430.247594126</v>
      </c>
      <c r="M88" s="112">
        <f t="shared" si="87"/>
        <v>10282158.661272889</v>
      </c>
      <c r="N88" s="112">
        <f t="shared" ref="N88" si="100">N25+N58</f>
        <v>1817597.6366666663</v>
      </c>
      <c r="O88" s="112">
        <f t="shared" si="87"/>
        <v>1019979.5</v>
      </c>
      <c r="P88" s="112">
        <f t="shared" si="87"/>
        <v>-18824103.911644302</v>
      </c>
      <c r="Q88" s="112">
        <f t="shared" si="87"/>
        <v>-20398865.818828173</v>
      </c>
      <c r="R88" s="112">
        <f t="shared" si="87"/>
        <v>1574761.9071838709</v>
      </c>
      <c r="S88" s="112">
        <f t="shared" si="87"/>
        <v>-1889474.73</v>
      </c>
      <c r="T88" s="112">
        <f t="shared" si="44"/>
        <v>-3207571.69</v>
      </c>
      <c r="U88" s="112">
        <f t="shared" si="87"/>
        <v>-1302490.24</v>
      </c>
      <c r="V88" s="112">
        <f t="shared" si="87"/>
        <v>-1028829.35</v>
      </c>
      <c r="W88" s="112">
        <f t="shared" si="87"/>
        <v>-147761.23000000001</v>
      </c>
      <c r="X88" s="112">
        <f t="shared" si="87"/>
        <v>-267748.06</v>
      </c>
      <c r="Y88" s="112">
        <f t="shared" si="87"/>
        <v>-297408.64000000001</v>
      </c>
      <c r="Z88" s="112">
        <f t="shared" si="87"/>
        <v>-163334.17000000001</v>
      </c>
      <c r="AA88" s="112">
        <f t="shared" si="87"/>
        <v>0</v>
      </c>
      <c r="AB88" s="112">
        <f t="shared" si="87"/>
        <v>-599475.30000000005</v>
      </c>
      <c r="AC88" s="112">
        <f t="shared" si="87"/>
        <v>-888452.1</v>
      </c>
    </row>
    <row r="89" spans="1:29" s="98" customFormat="1">
      <c r="A89" s="212" t="s">
        <v>69</v>
      </c>
      <c r="B89" s="110">
        <f t="shared" si="39"/>
        <v>-13428931.34</v>
      </c>
      <c r="C89" s="111">
        <f t="shared" si="90"/>
        <v>-16867648.140000001</v>
      </c>
      <c r="D89" s="111">
        <f t="shared" si="87"/>
        <v>3438716.8</v>
      </c>
      <c r="E89" s="111">
        <f t="shared" si="87"/>
        <v>0</v>
      </c>
      <c r="F89" s="111">
        <f t="shared" si="87"/>
        <v>0</v>
      </c>
      <c r="G89" s="111">
        <f t="shared" si="87"/>
        <v>0</v>
      </c>
      <c r="H89" s="111">
        <f t="shared" si="87"/>
        <v>0</v>
      </c>
      <c r="I89" s="111">
        <f t="shared" si="87"/>
        <v>0</v>
      </c>
      <c r="J89" s="111">
        <f t="shared" ref="J89:K89" si="101">J26+J59</f>
        <v>0</v>
      </c>
      <c r="K89" s="111">
        <f t="shared" si="101"/>
        <v>0</v>
      </c>
      <c r="L89" s="111">
        <f t="shared" si="87"/>
        <v>0</v>
      </c>
      <c r="M89" s="111">
        <f t="shared" si="87"/>
        <v>0</v>
      </c>
      <c r="N89" s="111">
        <f t="shared" ref="N89" si="102">N26+N59</f>
        <v>0</v>
      </c>
      <c r="O89" s="111">
        <f t="shared" si="87"/>
        <v>0</v>
      </c>
      <c r="P89" s="111">
        <f t="shared" si="87"/>
        <v>0</v>
      </c>
      <c r="Q89" s="111">
        <f t="shared" si="87"/>
        <v>0</v>
      </c>
      <c r="R89" s="111">
        <f t="shared" si="87"/>
        <v>0</v>
      </c>
      <c r="S89" s="111">
        <f t="shared" si="87"/>
        <v>0</v>
      </c>
      <c r="T89" s="111">
        <f t="shared" si="44"/>
        <v>0</v>
      </c>
      <c r="U89" s="111">
        <f t="shared" si="87"/>
        <v>0</v>
      </c>
      <c r="V89" s="111">
        <f t="shared" si="87"/>
        <v>0</v>
      </c>
      <c r="W89" s="111">
        <f t="shared" si="87"/>
        <v>0</v>
      </c>
      <c r="X89" s="111">
        <f t="shared" si="87"/>
        <v>0</v>
      </c>
      <c r="Y89" s="111">
        <f t="shared" si="87"/>
        <v>0</v>
      </c>
      <c r="Z89" s="111">
        <f t="shared" si="87"/>
        <v>0</v>
      </c>
      <c r="AA89" s="111">
        <f t="shared" si="87"/>
        <v>0</v>
      </c>
      <c r="AB89" s="111">
        <f t="shared" si="87"/>
        <v>0</v>
      </c>
      <c r="AC89" s="111">
        <f t="shared" si="87"/>
        <v>0</v>
      </c>
    </row>
    <row r="90" spans="1:29" s="98" customFormat="1">
      <c r="A90" s="211" t="s">
        <v>52</v>
      </c>
      <c r="B90" s="112">
        <f t="shared" si="39"/>
        <v>-52974833.599999979</v>
      </c>
      <c r="C90" s="112">
        <f t="shared" si="90"/>
        <v>-29983269.18</v>
      </c>
      <c r="D90" s="112">
        <f t="shared" si="87"/>
        <v>-44040060.43</v>
      </c>
      <c r="E90" s="112">
        <f t="shared" si="87"/>
        <v>61370390.716666684</v>
      </c>
      <c r="F90" s="112">
        <f t="shared" si="87"/>
        <v>591413.66526261833</v>
      </c>
      <c r="G90" s="112">
        <f t="shared" si="87"/>
        <v>-40741396.685818657</v>
      </c>
      <c r="H90" s="112">
        <f t="shared" si="87"/>
        <v>-70947325.573333338</v>
      </c>
      <c r="I90" s="112">
        <f t="shared" si="87"/>
        <v>-2317393.71</v>
      </c>
      <c r="J90" s="112">
        <f t="shared" ref="J90:K90" si="103">J27+J60</f>
        <v>32523322.59751467</v>
      </c>
      <c r="K90" s="112">
        <f t="shared" si="103"/>
        <v>25237166.045533676</v>
      </c>
      <c r="L90" s="112">
        <f t="shared" si="87"/>
        <v>12117430.247594126</v>
      </c>
      <c r="M90" s="112">
        <f t="shared" si="87"/>
        <v>10282158.661272889</v>
      </c>
      <c r="N90" s="112">
        <f t="shared" ref="N90" si="104">N27+N60</f>
        <v>1817597.6366666663</v>
      </c>
      <c r="O90" s="112">
        <f t="shared" si="87"/>
        <v>1019979.5</v>
      </c>
      <c r="P90" s="112">
        <f t="shared" si="87"/>
        <v>-18824103.911644302</v>
      </c>
      <c r="Q90" s="112">
        <f t="shared" si="87"/>
        <v>-20398865.818828173</v>
      </c>
      <c r="R90" s="112">
        <f t="shared" si="87"/>
        <v>1574761.9071838709</v>
      </c>
      <c r="S90" s="112">
        <f t="shared" si="87"/>
        <v>-1889474.73</v>
      </c>
      <c r="T90" s="112">
        <f t="shared" si="44"/>
        <v>-3207571.69</v>
      </c>
      <c r="U90" s="112">
        <f t="shared" si="87"/>
        <v>-1302490.24</v>
      </c>
      <c r="V90" s="112">
        <f t="shared" si="87"/>
        <v>-1028829.35</v>
      </c>
      <c r="W90" s="112">
        <f t="shared" si="87"/>
        <v>-147761.23000000001</v>
      </c>
      <c r="X90" s="112">
        <f t="shared" si="87"/>
        <v>-267748.06</v>
      </c>
      <c r="Y90" s="112">
        <f t="shared" si="87"/>
        <v>-297408.64000000001</v>
      </c>
      <c r="Z90" s="112">
        <f t="shared" si="87"/>
        <v>-163334.17000000001</v>
      </c>
      <c r="AA90" s="112">
        <f t="shared" si="87"/>
        <v>0</v>
      </c>
      <c r="AB90" s="112">
        <f t="shared" si="87"/>
        <v>-599475.30000000005</v>
      </c>
      <c r="AC90" s="112">
        <f t="shared" si="87"/>
        <v>-888452.1</v>
      </c>
    </row>
    <row r="91" spans="1:29" s="227" customFormat="1">
      <c r="A91" s="225" t="s">
        <v>443</v>
      </c>
      <c r="B91" s="226">
        <f t="shared" si="39"/>
        <v>9.9999997764825821E-3</v>
      </c>
      <c r="C91" s="226">
        <f t="shared" si="90"/>
        <v>0</v>
      </c>
      <c r="D91" s="226">
        <f t="shared" si="87"/>
        <v>0</v>
      </c>
      <c r="E91" s="226">
        <f t="shared" si="87"/>
        <v>0</v>
      </c>
      <c r="F91" s="226">
        <f t="shared" si="87"/>
        <v>0</v>
      </c>
      <c r="G91" s="226">
        <f t="shared" si="87"/>
        <v>0</v>
      </c>
      <c r="H91" s="226">
        <f t="shared" si="87"/>
        <v>0</v>
      </c>
      <c r="I91" s="226">
        <f t="shared" si="87"/>
        <v>0</v>
      </c>
      <c r="J91" s="226">
        <f>J28+J61</f>
        <v>0</v>
      </c>
      <c r="K91" s="226">
        <f t="shared" ref="K91" si="105">K28+K61</f>
        <v>9.9999997764825821E-3</v>
      </c>
      <c r="L91" s="226">
        <f t="shared" si="87"/>
        <v>9.9999997764825821E-3</v>
      </c>
      <c r="M91" s="226">
        <f t="shared" si="87"/>
        <v>0</v>
      </c>
      <c r="N91" s="226">
        <f t="shared" ref="N91" si="106">N28+N61</f>
        <v>0</v>
      </c>
      <c r="O91" s="226">
        <f t="shared" si="87"/>
        <v>0</v>
      </c>
      <c r="P91" s="226">
        <f t="shared" si="87"/>
        <v>0</v>
      </c>
      <c r="Q91" s="226">
        <f t="shared" si="87"/>
        <v>0</v>
      </c>
      <c r="R91" s="226">
        <f t="shared" si="87"/>
        <v>0</v>
      </c>
      <c r="S91" s="226">
        <f t="shared" si="87"/>
        <v>0</v>
      </c>
      <c r="T91" s="226">
        <f t="shared" si="44"/>
        <v>0</v>
      </c>
      <c r="U91" s="226">
        <f t="shared" si="87"/>
        <v>0</v>
      </c>
      <c r="V91" s="226">
        <f t="shared" si="87"/>
        <v>0</v>
      </c>
      <c r="W91" s="226">
        <f t="shared" si="87"/>
        <v>0</v>
      </c>
      <c r="X91" s="226">
        <f t="shared" si="87"/>
        <v>0</v>
      </c>
      <c r="Y91" s="226">
        <f t="shared" si="87"/>
        <v>0</v>
      </c>
      <c r="Z91" s="226">
        <f t="shared" si="87"/>
        <v>0</v>
      </c>
      <c r="AA91" s="226">
        <f t="shared" si="87"/>
        <v>0</v>
      </c>
      <c r="AB91" s="226">
        <f t="shared" si="87"/>
        <v>0</v>
      </c>
      <c r="AC91" s="226">
        <f t="shared" si="87"/>
        <v>0</v>
      </c>
    </row>
    <row r="92" spans="1:29" s="227" customFormat="1">
      <c r="A92" s="225" t="s">
        <v>444</v>
      </c>
      <c r="B92" s="226">
        <f t="shared" si="39"/>
        <v>-52974833.589999966</v>
      </c>
      <c r="C92" s="226">
        <f>C29+C62</f>
        <v>-29983269.18</v>
      </c>
      <c r="D92" s="226">
        <f t="shared" ref="D92:AC93" si="107">D29+D62</f>
        <v>-44040060.43</v>
      </c>
      <c r="E92" s="226">
        <f t="shared" si="107"/>
        <v>61370390.716666684</v>
      </c>
      <c r="F92" s="226">
        <f t="shared" si="107"/>
        <v>591413.66526261833</v>
      </c>
      <c r="G92" s="226">
        <f t="shared" si="107"/>
        <v>-40741396.68581865</v>
      </c>
      <c r="H92" s="226">
        <f t="shared" si="107"/>
        <v>-70947325.573333323</v>
      </c>
      <c r="I92" s="226">
        <f t="shared" si="107"/>
        <v>-2317393.71</v>
      </c>
      <c r="J92" s="226">
        <f t="shared" ref="J92:K92" si="108">J29+J62</f>
        <v>32523322.59751467</v>
      </c>
      <c r="K92" s="226">
        <f t="shared" si="108"/>
        <v>25237166.055533677</v>
      </c>
      <c r="L92" s="226">
        <f t="shared" si="107"/>
        <v>12117430.257594123</v>
      </c>
      <c r="M92" s="226">
        <f t="shared" si="107"/>
        <v>10282158.661272889</v>
      </c>
      <c r="N92" s="226">
        <f t="shared" ref="N92" si="109">N29+N62</f>
        <v>1817597.6366666665</v>
      </c>
      <c r="O92" s="226">
        <f t="shared" si="107"/>
        <v>1019979.5</v>
      </c>
      <c r="P92" s="226">
        <f t="shared" si="107"/>
        <v>-18824103.911644302</v>
      </c>
      <c r="Q92" s="226">
        <f t="shared" si="107"/>
        <v>-20398865.818828173</v>
      </c>
      <c r="R92" s="226">
        <f t="shared" si="107"/>
        <v>1574761.9071838709</v>
      </c>
      <c r="S92" s="226">
        <f t="shared" si="107"/>
        <v>-1889474.73</v>
      </c>
      <c r="T92" s="226">
        <f t="shared" si="44"/>
        <v>-3207571.69</v>
      </c>
      <c r="U92" s="226">
        <f t="shared" si="107"/>
        <v>-1302490.24</v>
      </c>
      <c r="V92" s="226">
        <f t="shared" si="107"/>
        <v>-1028829.35</v>
      </c>
      <c r="W92" s="226">
        <f t="shared" si="107"/>
        <v>-147761.23000000001</v>
      </c>
      <c r="X92" s="226">
        <f t="shared" si="107"/>
        <v>-267748.06</v>
      </c>
      <c r="Y92" s="226">
        <f t="shared" si="107"/>
        <v>-297408.64000000001</v>
      </c>
      <c r="Z92" s="226">
        <f t="shared" si="107"/>
        <v>-163334.17000000001</v>
      </c>
      <c r="AA92" s="226">
        <f t="shared" si="107"/>
        <v>0</v>
      </c>
      <c r="AB92" s="226">
        <f t="shared" si="107"/>
        <v>-599475.30000000005</v>
      </c>
      <c r="AC92" s="226">
        <f t="shared" si="107"/>
        <v>-888452.1</v>
      </c>
    </row>
    <row r="93" spans="1:29" s="227" customFormat="1">
      <c r="A93" s="225" t="s">
        <v>571</v>
      </c>
      <c r="B93" s="226">
        <f t="shared" si="39"/>
        <v>48504565.634962626</v>
      </c>
      <c r="C93" s="226">
        <f>SUMIF(资金!$A:$A,累计利润调整表!C3,资金!$B:$B)*$F$2/12*$G$2</f>
        <v>0</v>
      </c>
      <c r="D93" s="226">
        <f>SUMIF(资金!$A:$A,累计利润调整表!D3,资金!$B:$B)*$F$2/12*$G$2</f>
        <v>0</v>
      </c>
      <c r="E93" s="226">
        <f>SUMIF(资金!$A:$A,累计利润调整表!E3,资金!$B:$B)*$F$2/12*$G$2</f>
        <v>30640464.516129036</v>
      </c>
      <c r="F93" s="226">
        <f>SUMIF(资金!$A:$A,累计利润调整表!F3,资金!$B:$B)*$F$2/12*$G$2</f>
        <v>5002.4128458333353</v>
      </c>
      <c r="G93" s="226">
        <f>SUM(H93:J93)</f>
        <v>8197851.0187291652</v>
      </c>
      <c r="H93" s="226">
        <f>SUMIF(资金!$A:$A,累计利润调整表!H3,资金!$B:$B)*$F$2/12*$G$2</f>
        <v>1982903.7951708331</v>
      </c>
      <c r="I93" s="226">
        <f>SUMIF(资金!$A:$A,累计利润调整表!I3,资金!$B:$B)*$F$2/12*$G$2</f>
        <v>339457.21104166668</v>
      </c>
      <c r="J93" s="226">
        <f>SUMIF(资金!$A:$A,累计利润调整表!J3,资金!$B:$B)*$F$2/12*$G$2</f>
        <v>5875490.0125166653</v>
      </c>
      <c r="K93" s="226">
        <f>SUM(L93:O93)</f>
        <v>7042452.8807357494</v>
      </c>
      <c r="L93" s="226">
        <f>SUMIF(资金!$A:$A,累计利润调整表!L3,资金!$B:$B)*$F$2/12*$G$2</f>
        <v>2572295.8821541658</v>
      </c>
      <c r="M93" s="226">
        <f>SUMIF(资金!$A:$A,累计利润调整表!M3,资金!$B:$B)*$F$2/12*$G$2</f>
        <v>3199096.5332732503</v>
      </c>
      <c r="N93" s="226">
        <f>SUMIF(资金!$A:$A,累计利润调整表!N3,资金!$B:$B)*$F$2/12*$G$2</f>
        <v>854133.18865416653</v>
      </c>
      <c r="O93" s="226">
        <f>SUMIF(资金!$A:$A,累计利润调整表!O3,资金!$B:$B)*$F$2/12*$G$2</f>
        <v>416927.27665416664</v>
      </c>
      <c r="P93" s="226">
        <f>SUM(Q93:R93)</f>
        <v>2618794.806522849</v>
      </c>
      <c r="Q93" s="226">
        <f>SUMIF(资金!$A:$A,累计利润调整表!Q3,资金!$B:$B)*$F$2/12*$G$2</f>
        <v>1742229.1159684137</v>
      </c>
      <c r="R93" s="226">
        <f>SUMIF(资金!$A:$A,累计利润调整表!R3,资金!$B:$B)*$F$2/12*$G$2</f>
        <v>876565.69055443548</v>
      </c>
      <c r="S93" s="226">
        <f>SUMIF(资金!$A:$A,累计利润调整表!S3,资金!$B:$B)*$F$2/12*$G$2</f>
        <v>0</v>
      </c>
      <c r="T93" s="226">
        <f>SUM(U93:Z93)</f>
        <v>0</v>
      </c>
      <c r="U93" s="226">
        <f t="shared" si="107"/>
        <v>0</v>
      </c>
      <c r="V93" s="226">
        <f t="shared" si="107"/>
        <v>0</v>
      </c>
      <c r="W93" s="226">
        <f t="shared" si="107"/>
        <v>0</v>
      </c>
      <c r="X93" s="226">
        <f t="shared" si="107"/>
        <v>0</v>
      </c>
      <c r="Y93" s="226">
        <f t="shared" si="107"/>
        <v>0</v>
      </c>
      <c r="Z93" s="226">
        <f t="shared" si="107"/>
        <v>0</v>
      </c>
      <c r="AA93" s="226">
        <f t="shared" si="107"/>
        <v>0</v>
      </c>
      <c r="AB93" s="226">
        <f t="shared" si="107"/>
        <v>0</v>
      </c>
      <c r="AC93" s="226">
        <f t="shared" si="107"/>
        <v>0</v>
      </c>
    </row>
    <row r="94" spans="1:29" s="227" customFormat="1">
      <c r="A94" s="225" t="s">
        <v>572</v>
      </c>
      <c r="B94" s="226">
        <f>B92-B93</f>
        <v>-101479399.22496259</v>
      </c>
      <c r="C94" s="226">
        <f t="shared" ref="C94:AC94" si="110">C92-C93</f>
        <v>-29983269.18</v>
      </c>
      <c r="D94" s="226">
        <f t="shared" si="110"/>
        <v>-44040060.43</v>
      </c>
      <c r="E94" s="226">
        <f t="shared" si="110"/>
        <v>30729926.200537648</v>
      </c>
      <c r="F94" s="226">
        <f t="shared" si="110"/>
        <v>586411.25241678499</v>
      </c>
      <c r="G94" s="226">
        <f t="shared" si="110"/>
        <v>-48939247.704547815</v>
      </c>
      <c r="H94" s="226">
        <f t="shared" si="110"/>
        <v>-72930229.368504152</v>
      </c>
      <c r="I94" s="226">
        <f t="shared" si="110"/>
        <v>-2656850.9210416665</v>
      </c>
      <c r="J94" s="226">
        <f t="shared" si="110"/>
        <v>26647832.584998004</v>
      </c>
      <c r="K94" s="226">
        <f t="shared" si="110"/>
        <v>18194713.17479793</v>
      </c>
      <c r="L94" s="226">
        <f t="shared" si="110"/>
        <v>9545134.3754399568</v>
      </c>
      <c r="M94" s="226">
        <f t="shared" si="110"/>
        <v>7083062.1279996391</v>
      </c>
      <c r="N94" s="226">
        <f t="shared" si="110"/>
        <v>963464.44801249995</v>
      </c>
      <c r="O94" s="226">
        <f t="shared" si="110"/>
        <v>603052.22334583336</v>
      </c>
      <c r="P94" s="226">
        <f t="shared" si="110"/>
        <v>-21442898.718167152</v>
      </c>
      <c r="Q94" s="226">
        <f t="shared" si="110"/>
        <v>-22141094.934796587</v>
      </c>
      <c r="R94" s="226">
        <f t="shared" si="110"/>
        <v>698196.21662943542</v>
      </c>
      <c r="S94" s="226">
        <f t="shared" si="110"/>
        <v>-1889474.73</v>
      </c>
      <c r="T94" s="226">
        <f t="shared" si="110"/>
        <v>-3207571.69</v>
      </c>
      <c r="U94" s="226">
        <f t="shared" si="110"/>
        <v>-1302490.24</v>
      </c>
      <c r="V94" s="226">
        <f t="shared" si="110"/>
        <v>-1028829.35</v>
      </c>
      <c r="W94" s="226">
        <f t="shared" si="110"/>
        <v>-147761.23000000001</v>
      </c>
      <c r="X94" s="226">
        <f t="shared" si="110"/>
        <v>-267748.06</v>
      </c>
      <c r="Y94" s="226">
        <f t="shared" si="110"/>
        <v>-297408.64000000001</v>
      </c>
      <c r="Z94" s="226">
        <f t="shared" si="110"/>
        <v>-163334.17000000001</v>
      </c>
      <c r="AA94" s="226">
        <f t="shared" si="110"/>
        <v>0</v>
      </c>
      <c r="AB94" s="226">
        <f t="shared" si="110"/>
        <v>-599475.30000000005</v>
      </c>
      <c r="AC94" s="226">
        <f t="shared" si="110"/>
        <v>-888452.1</v>
      </c>
    </row>
    <row r="95" spans="1:29" s="224" customFormat="1">
      <c r="A95" s="228"/>
      <c r="B95" s="229"/>
      <c r="C95" s="229"/>
      <c r="D95" s="229"/>
      <c r="E95" s="230"/>
      <c r="F95" s="229"/>
      <c r="G95" s="229"/>
      <c r="H95" s="229"/>
      <c r="I95" s="229"/>
      <c r="J95" s="229"/>
      <c r="K95" s="229"/>
      <c r="L95" s="229"/>
      <c r="M95" s="229"/>
      <c r="N95" s="229"/>
      <c r="O95" s="229"/>
      <c r="P95" s="229"/>
      <c r="Q95" s="229"/>
      <c r="R95" s="229"/>
      <c r="S95" s="229"/>
      <c r="T95" s="229"/>
      <c r="U95" s="229"/>
      <c r="V95" s="229"/>
      <c r="W95" s="229"/>
      <c r="X95" s="229"/>
      <c r="Y95" s="229"/>
      <c r="Z95" s="229"/>
      <c r="AA95" s="229"/>
      <c r="AB95" s="229"/>
      <c r="AC95" s="229"/>
    </row>
    <row r="96" spans="1:29" hidden="1">
      <c r="A96" s="212" t="s">
        <v>49</v>
      </c>
      <c r="B96" s="96">
        <f t="shared" ref="B96:B101" si="111">B85</f>
        <v>-66406420.729999982</v>
      </c>
      <c r="C96" s="96" t="e">
        <f>C85+#REF!</f>
        <v>#REF!</v>
      </c>
      <c r="D96" s="96">
        <f t="shared" ref="D96:E101" si="112">D85</f>
        <v>-40601343.630000003</v>
      </c>
      <c r="E96" s="96">
        <f t="shared" si="112"/>
        <v>61367734.926666684</v>
      </c>
      <c r="F96" s="96" t="e">
        <f>#REF!</f>
        <v>#REF!</v>
      </c>
      <c r="G96" s="96"/>
      <c r="H96" s="96"/>
      <c r="I96" s="96"/>
      <c r="J96" s="96"/>
      <c r="K96" s="96">
        <f t="shared" ref="K96:M101" si="113">J85</f>
        <v>32523322.59751467</v>
      </c>
      <c r="L96" s="96"/>
      <c r="M96" s="96">
        <f t="shared" si="113"/>
        <v>12117430.247594126</v>
      </c>
      <c r="N96" s="96"/>
      <c r="O96" s="96"/>
      <c r="P96" s="96">
        <f t="shared" ref="P96:P101" si="114">P85+Q85</f>
        <v>-39222969.730472475</v>
      </c>
      <c r="Q96" s="114">
        <f t="shared" ref="Q96:Q101" si="115">R85</f>
        <v>1574761.9071838709</v>
      </c>
      <c r="R96" s="114" t="e">
        <f>#REF!</f>
        <v>#REF!</v>
      </c>
      <c r="S96" s="96">
        <f t="shared" ref="S96:S101" si="116">S85</f>
        <v>-1889474.73</v>
      </c>
      <c r="T96" s="96">
        <f t="shared" ref="T96:T101" si="117">U85</f>
        <v>-1302490.24</v>
      </c>
      <c r="U96" s="96">
        <f t="shared" ref="U96:U101" si="118">U85</f>
        <v>-1302490.24</v>
      </c>
      <c r="V96" s="96" t="e">
        <f>#REF!</f>
        <v>#REF!</v>
      </c>
      <c r="W96" s="96">
        <f t="shared" ref="W96:W101" si="119">AB85</f>
        <v>-599475.30000000005</v>
      </c>
      <c r="X96" s="96" t="e">
        <f>#REF!</f>
        <v>#REF!</v>
      </c>
      <c r="Y96" s="96"/>
      <c r="Z96" s="96"/>
      <c r="AA96" s="96"/>
      <c r="AB96" s="96"/>
      <c r="AC96" s="96" t="e">
        <f>#REF!</f>
        <v>#REF!</v>
      </c>
    </row>
    <row r="97" spans="1:30" hidden="1">
      <c r="A97" s="211" t="s">
        <v>50</v>
      </c>
      <c r="B97" s="96">
        <f t="shared" si="111"/>
        <v>13595.79</v>
      </c>
      <c r="C97" s="96" t="e">
        <f>C86+#REF!</f>
        <v>#REF!</v>
      </c>
      <c r="D97" s="96">
        <f t="shared" si="112"/>
        <v>0</v>
      </c>
      <c r="E97" s="96">
        <f t="shared" si="112"/>
        <v>13595.79</v>
      </c>
      <c r="F97" s="96" t="e">
        <f>#REF!</f>
        <v>#REF!</v>
      </c>
      <c r="G97" s="96"/>
      <c r="H97" s="96"/>
      <c r="I97" s="96"/>
      <c r="J97" s="96"/>
      <c r="K97" s="96">
        <f t="shared" si="113"/>
        <v>0</v>
      </c>
      <c r="L97" s="96"/>
      <c r="M97" s="96">
        <f t="shared" si="113"/>
        <v>0</v>
      </c>
      <c r="N97" s="96"/>
      <c r="O97" s="96"/>
      <c r="P97" s="96">
        <f t="shared" si="114"/>
        <v>0</v>
      </c>
      <c r="Q97" s="114">
        <f t="shared" si="115"/>
        <v>0</v>
      </c>
      <c r="R97" s="114" t="e">
        <f>#REF!</f>
        <v>#REF!</v>
      </c>
      <c r="S97" s="96">
        <f t="shared" si="116"/>
        <v>0</v>
      </c>
      <c r="T97" s="96">
        <f t="shared" si="117"/>
        <v>0</v>
      </c>
      <c r="U97" s="96">
        <f t="shared" si="118"/>
        <v>0</v>
      </c>
      <c r="V97" s="96" t="e">
        <f>#REF!</f>
        <v>#REF!</v>
      </c>
      <c r="W97" s="96">
        <f t="shared" si="119"/>
        <v>0</v>
      </c>
      <c r="X97" s="96" t="e">
        <f>#REF!</f>
        <v>#REF!</v>
      </c>
      <c r="Y97" s="96"/>
      <c r="Z97" s="96"/>
      <c r="AA97" s="96"/>
      <c r="AB97" s="96"/>
      <c r="AC97" s="96" t="e">
        <f>#REF!</f>
        <v>#REF!</v>
      </c>
    </row>
    <row r="98" spans="1:30" hidden="1">
      <c r="A98" s="212" t="s">
        <v>51</v>
      </c>
      <c r="B98" s="96">
        <f t="shared" si="111"/>
        <v>10940</v>
      </c>
      <c r="C98" s="96" t="e">
        <f>C87+#REF!</f>
        <v>#REF!</v>
      </c>
      <c r="D98" s="96">
        <f t="shared" si="112"/>
        <v>0</v>
      </c>
      <c r="E98" s="96">
        <f t="shared" si="112"/>
        <v>10940</v>
      </c>
      <c r="F98" s="96" t="e">
        <f>#REF!</f>
        <v>#REF!</v>
      </c>
      <c r="G98" s="96"/>
      <c r="H98" s="96"/>
      <c r="I98" s="96"/>
      <c r="J98" s="96"/>
      <c r="K98" s="96">
        <f t="shared" si="113"/>
        <v>0</v>
      </c>
      <c r="L98" s="96"/>
      <c r="M98" s="96">
        <f t="shared" si="113"/>
        <v>0</v>
      </c>
      <c r="N98" s="96"/>
      <c r="O98" s="96"/>
      <c r="P98" s="96">
        <f t="shared" si="114"/>
        <v>0</v>
      </c>
      <c r="Q98" s="114">
        <f t="shared" si="115"/>
        <v>0</v>
      </c>
      <c r="R98" s="114" t="e">
        <f>#REF!</f>
        <v>#REF!</v>
      </c>
      <c r="S98" s="96">
        <f t="shared" si="116"/>
        <v>0</v>
      </c>
      <c r="T98" s="96">
        <f t="shared" si="117"/>
        <v>0</v>
      </c>
      <c r="U98" s="96">
        <f t="shared" si="118"/>
        <v>0</v>
      </c>
      <c r="V98" s="96" t="e">
        <f>#REF!</f>
        <v>#REF!</v>
      </c>
      <c r="W98" s="96">
        <f t="shared" si="119"/>
        <v>0</v>
      </c>
      <c r="X98" s="96" t="e">
        <f>#REF!</f>
        <v>#REF!</v>
      </c>
      <c r="Y98" s="96"/>
      <c r="Z98" s="96"/>
      <c r="AA98" s="96"/>
      <c r="AB98" s="96"/>
      <c r="AC98" s="96" t="e">
        <f>#REF!</f>
        <v>#REF!</v>
      </c>
    </row>
    <row r="99" spans="1:30" hidden="1">
      <c r="A99" s="211" t="s">
        <v>52</v>
      </c>
      <c r="B99" s="96">
        <f t="shared" si="111"/>
        <v>-66403764.939999975</v>
      </c>
      <c r="C99" s="96" t="e">
        <f>C88+#REF!</f>
        <v>#REF!</v>
      </c>
      <c r="D99" s="96">
        <f t="shared" si="112"/>
        <v>-40601343.630000003</v>
      </c>
      <c r="E99" s="96">
        <f t="shared" si="112"/>
        <v>61370390.716666684</v>
      </c>
      <c r="F99" s="96" t="e">
        <f>#REF!</f>
        <v>#REF!</v>
      </c>
      <c r="G99" s="96"/>
      <c r="H99" s="96"/>
      <c r="I99" s="96"/>
      <c r="J99" s="96"/>
      <c r="K99" s="96">
        <f t="shared" si="113"/>
        <v>32523322.59751467</v>
      </c>
      <c r="L99" s="96"/>
      <c r="M99" s="96">
        <f t="shared" si="113"/>
        <v>12117430.247594126</v>
      </c>
      <c r="N99" s="96"/>
      <c r="O99" s="96"/>
      <c r="P99" s="96">
        <f t="shared" si="114"/>
        <v>-39222969.730472475</v>
      </c>
      <c r="Q99" s="114">
        <f t="shared" si="115"/>
        <v>1574761.9071838709</v>
      </c>
      <c r="R99" s="114" t="e">
        <f>#REF!</f>
        <v>#REF!</v>
      </c>
      <c r="S99" s="96">
        <f t="shared" si="116"/>
        <v>-1889474.73</v>
      </c>
      <c r="T99" s="96">
        <f t="shared" si="117"/>
        <v>-1302490.24</v>
      </c>
      <c r="U99" s="96">
        <f t="shared" si="118"/>
        <v>-1302490.24</v>
      </c>
      <c r="V99" s="96" t="e">
        <f>#REF!</f>
        <v>#REF!</v>
      </c>
      <c r="W99" s="96">
        <f t="shared" si="119"/>
        <v>-599475.30000000005</v>
      </c>
      <c r="X99" s="96" t="e">
        <f>#REF!</f>
        <v>#REF!</v>
      </c>
      <c r="Y99" s="96"/>
      <c r="Z99" s="96"/>
      <c r="AA99" s="96"/>
      <c r="AB99" s="96"/>
      <c r="AC99" s="96" t="e">
        <f>#REF!</f>
        <v>#REF!</v>
      </c>
    </row>
    <row r="100" spans="1:30" hidden="1">
      <c r="A100" s="216" t="s">
        <v>53</v>
      </c>
      <c r="B100" s="96">
        <f t="shared" si="111"/>
        <v>-13428931.34</v>
      </c>
      <c r="C100" s="96" t="e">
        <f>C89+#REF!</f>
        <v>#REF!</v>
      </c>
      <c r="D100" s="96">
        <f t="shared" si="112"/>
        <v>3438716.8</v>
      </c>
      <c r="E100" s="96">
        <f t="shared" si="112"/>
        <v>0</v>
      </c>
      <c r="F100" s="96" t="e">
        <f>#REF!</f>
        <v>#REF!</v>
      </c>
      <c r="G100" s="96"/>
      <c r="H100" s="96"/>
      <c r="I100" s="96"/>
      <c r="J100" s="96"/>
      <c r="K100" s="96">
        <f t="shared" si="113"/>
        <v>0</v>
      </c>
      <c r="L100" s="96"/>
      <c r="M100" s="96">
        <f t="shared" si="113"/>
        <v>0</v>
      </c>
      <c r="N100" s="96"/>
      <c r="O100" s="96"/>
      <c r="P100" s="96">
        <f t="shared" si="114"/>
        <v>0</v>
      </c>
      <c r="Q100" s="114">
        <f t="shared" si="115"/>
        <v>0</v>
      </c>
      <c r="R100" s="114" t="e">
        <f>#REF!</f>
        <v>#REF!</v>
      </c>
      <c r="S100" s="96">
        <f t="shared" si="116"/>
        <v>0</v>
      </c>
      <c r="T100" s="96">
        <f t="shared" si="117"/>
        <v>0</v>
      </c>
      <c r="U100" s="96">
        <f t="shared" si="118"/>
        <v>0</v>
      </c>
      <c r="V100" s="96" t="e">
        <f>#REF!</f>
        <v>#REF!</v>
      </c>
      <c r="W100" s="96">
        <f t="shared" si="119"/>
        <v>0</v>
      </c>
      <c r="X100" s="96" t="e">
        <f>#REF!</f>
        <v>#REF!</v>
      </c>
      <c r="Y100" s="96"/>
      <c r="Z100" s="96"/>
      <c r="AA100" s="96"/>
      <c r="AB100" s="96"/>
      <c r="AC100" s="96" t="e">
        <f>#REF!</f>
        <v>#REF!</v>
      </c>
    </row>
    <row r="101" spans="1:30" hidden="1">
      <c r="A101" s="213" t="s">
        <v>54</v>
      </c>
      <c r="B101" s="96">
        <f t="shared" si="111"/>
        <v>-52974833.599999979</v>
      </c>
      <c r="C101" s="96" t="e">
        <f>C90+#REF!</f>
        <v>#REF!</v>
      </c>
      <c r="D101" s="96">
        <f t="shared" si="112"/>
        <v>-44040060.43</v>
      </c>
      <c r="E101" s="96">
        <f t="shared" si="112"/>
        <v>61370390.716666684</v>
      </c>
      <c r="F101" s="96" t="e">
        <f>#REF!</f>
        <v>#REF!</v>
      </c>
      <c r="G101" s="96"/>
      <c r="H101" s="96"/>
      <c r="I101" s="96"/>
      <c r="J101" s="96"/>
      <c r="K101" s="96">
        <f t="shared" si="113"/>
        <v>32523322.59751467</v>
      </c>
      <c r="L101" s="96"/>
      <c r="M101" s="96">
        <f t="shared" si="113"/>
        <v>12117430.247594126</v>
      </c>
      <c r="N101" s="96"/>
      <c r="O101" s="96"/>
      <c r="P101" s="96">
        <f t="shared" si="114"/>
        <v>-39222969.730472475</v>
      </c>
      <c r="Q101" s="114">
        <f t="shared" si="115"/>
        <v>1574761.9071838709</v>
      </c>
      <c r="R101" s="114" t="e">
        <f>#REF!</f>
        <v>#REF!</v>
      </c>
      <c r="S101" s="96">
        <f t="shared" si="116"/>
        <v>-1889474.73</v>
      </c>
      <c r="T101" s="96">
        <f t="shared" si="117"/>
        <v>-1302490.24</v>
      </c>
      <c r="U101" s="96">
        <f t="shared" si="118"/>
        <v>-1302490.24</v>
      </c>
      <c r="V101" s="96" t="e">
        <f>#REF!</f>
        <v>#REF!</v>
      </c>
      <c r="W101" s="96">
        <f t="shared" si="119"/>
        <v>-599475.30000000005</v>
      </c>
      <c r="X101" s="96" t="e">
        <f>#REF!</f>
        <v>#REF!</v>
      </c>
      <c r="Y101" s="96"/>
      <c r="Z101" s="96"/>
      <c r="AA101" s="96"/>
      <c r="AB101" s="96"/>
      <c r="AC101" s="96" t="e">
        <f>#REF!</f>
        <v>#REF!</v>
      </c>
    </row>
    <row r="102" spans="1:30" hidden="1">
      <c r="A102" s="214"/>
      <c r="B102" s="96" t="e">
        <f>#REF!</f>
        <v>#REF!</v>
      </c>
      <c r="C102" s="96" t="e">
        <f>#REF!+#REF!</f>
        <v>#REF!</v>
      </c>
      <c r="D102" s="96" t="e">
        <f>#REF!</f>
        <v>#REF!</v>
      </c>
      <c r="E102" s="96" t="e">
        <f>#REF!</f>
        <v>#REF!</v>
      </c>
      <c r="F102" s="96" t="e">
        <f>#REF!</f>
        <v>#REF!</v>
      </c>
      <c r="G102" s="96"/>
      <c r="H102" s="96"/>
      <c r="I102" s="96"/>
      <c r="J102" s="96"/>
      <c r="K102" s="96" t="e">
        <f>#REF!</f>
        <v>#REF!</v>
      </c>
      <c r="L102" s="96"/>
      <c r="M102" s="96" t="e">
        <f>#REF!</f>
        <v>#REF!</v>
      </c>
      <c r="N102" s="96"/>
      <c r="O102" s="96"/>
      <c r="P102" s="96" t="e">
        <f>#REF!+#REF!</f>
        <v>#REF!</v>
      </c>
      <c r="Q102" s="114" t="e">
        <f>#REF!</f>
        <v>#REF!</v>
      </c>
      <c r="R102" s="114" t="e">
        <f>#REF!</f>
        <v>#REF!</v>
      </c>
      <c r="S102" s="96" t="e">
        <f>#REF!</f>
        <v>#REF!</v>
      </c>
      <c r="T102" s="96" t="e">
        <f>#REF!</f>
        <v>#REF!</v>
      </c>
      <c r="U102" s="96" t="e">
        <f>#REF!</f>
        <v>#REF!</v>
      </c>
      <c r="V102" s="96" t="e">
        <f>#REF!</f>
        <v>#REF!</v>
      </c>
      <c r="W102" s="96" t="e">
        <f>#REF!</f>
        <v>#REF!</v>
      </c>
      <c r="X102" s="96" t="e">
        <f>#REF!</f>
        <v>#REF!</v>
      </c>
      <c r="Y102" s="96"/>
      <c r="Z102" s="96"/>
      <c r="AA102" s="96"/>
      <c r="AB102" s="96"/>
      <c r="AC102" s="96" t="e">
        <f>#REF!</f>
        <v>#REF!</v>
      </c>
    </row>
    <row r="103" spans="1:30" hidden="1">
      <c r="A103" s="215" t="s">
        <v>70</v>
      </c>
      <c r="B103" s="96" t="e">
        <f>#REF!</f>
        <v>#REF!</v>
      </c>
      <c r="C103" s="96" t="e">
        <f>#REF!+#REF!</f>
        <v>#REF!</v>
      </c>
      <c r="D103" s="96" t="e">
        <f>#REF!</f>
        <v>#REF!</v>
      </c>
      <c r="E103" s="96" t="e">
        <f>#REF!</f>
        <v>#REF!</v>
      </c>
      <c r="F103" s="96" t="e">
        <f>#REF!</f>
        <v>#REF!</v>
      </c>
      <c r="G103" s="96"/>
      <c r="H103" s="96"/>
      <c r="I103" s="96"/>
      <c r="J103" s="96"/>
      <c r="K103" s="96" t="e">
        <f>#REF!</f>
        <v>#REF!</v>
      </c>
      <c r="L103" s="96"/>
      <c r="M103" s="96" t="e">
        <f>#REF!</f>
        <v>#REF!</v>
      </c>
      <c r="N103" s="96"/>
      <c r="O103" s="96"/>
      <c r="P103" s="96" t="e">
        <f>#REF!+#REF!</f>
        <v>#REF!</v>
      </c>
      <c r="Q103" s="114" t="e">
        <f>#REF!</f>
        <v>#REF!</v>
      </c>
      <c r="R103" s="114" t="e">
        <f>#REF!</f>
        <v>#REF!</v>
      </c>
      <c r="S103" s="96" t="e">
        <f>#REF!</f>
        <v>#REF!</v>
      </c>
      <c r="T103" s="96" t="e">
        <f>#REF!</f>
        <v>#REF!</v>
      </c>
      <c r="U103" s="96" t="e">
        <f>#REF!</f>
        <v>#REF!</v>
      </c>
      <c r="V103" s="96" t="e">
        <f>#REF!</f>
        <v>#REF!</v>
      </c>
      <c r="W103" s="96" t="e">
        <f>#REF!</f>
        <v>#REF!</v>
      </c>
      <c r="X103" s="96" t="e">
        <f>#REF!</f>
        <v>#REF!</v>
      </c>
      <c r="Y103" s="96"/>
      <c r="Z103" s="96"/>
      <c r="AA103" s="96"/>
      <c r="AB103" s="96"/>
      <c r="AC103" s="96" t="e">
        <f>#REF!</f>
        <v>#REF!</v>
      </c>
    </row>
    <row r="104" spans="1:30" hidden="1">
      <c r="A104" s="217" t="s">
        <v>73</v>
      </c>
      <c r="B104" s="96" t="e">
        <f>#REF!</f>
        <v>#REF!</v>
      </c>
      <c r="C104" s="96" t="e">
        <f>#REF!+#REF!</f>
        <v>#REF!</v>
      </c>
      <c r="D104" s="96" t="e">
        <f>#REF!</f>
        <v>#REF!</v>
      </c>
      <c r="E104" s="96" t="e">
        <f>#REF!</f>
        <v>#REF!</v>
      </c>
      <c r="F104" s="96" t="e">
        <f>#REF!</f>
        <v>#REF!</v>
      </c>
      <c r="G104" s="96"/>
      <c r="H104" s="96"/>
      <c r="I104" s="96"/>
      <c r="J104" s="96"/>
      <c r="K104" s="96" t="e">
        <f>#REF!</f>
        <v>#REF!</v>
      </c>
      <c r="L104" s="96"/>
      <c r="M104" s="96" t="e">
        <f>#REF!</f>
        <v>#REF!</v>
      </c>
      <c r="N104" s="96"/>
      <c r="O104" s="96"/>
      <c r="P104" s="96" t="e">
        <f>#REF!+#REF!</f>
        <v>#REF!</v>
      </c>
      <c r="Q104" s="114" t="e">
        <f>#REF!</f>
        <v>#REF!</v>
      </c>
      <c r="R104" s="114" t="e">
        <f>#REF!</f>
        <v>#REF!</v>
      </c>
      <c r="S104" s="96" t="e">
        <f>#REF!</f>
        <v>#REF!</v>
      </c>
      <c r="T104" s="96" t="e">
        <f>#REF!</f>
        <v>#REF!</v>
      </c>
      <c r="U104" s="96" t="e">
        <f>#REF!</f>
        <v>#REF!</v>
      </c>
      <c r="V104" s="96" t="e">
        <f>#REF!</f>
        <v>#REF!</v>
      </c>
      <c r="W104" s="96" t="e">
        <f>#REF!</f>
        <v>#REF!</v>
      </c>
      <c r="X104" s="96" t="e">
        <f>#REF!</f>
        <v>#REF!</v>
      </c>
      <c r="Y104" s="96"/>
      <c r="Z104" s="96"/>
      <c r="AA104" s="96"/>
      <c r="AB104" s="96"/>
      <c r="AC104" s="96" t="e">
        <f>#REF!</f>
        <v>#REF!</v>
      </c>
    </row>
    <row r="105" spans="1:30">
      <c r="B105" s="96"/>
      <c r="E105" s="96"/>
      <c r="K105" s="114"/>
      <c r="L105" s="114"/>
      <c r="M105" s="114"/>
      <c r="N105" s="114"/>
      <c r="O105" s="114"/>
      <c r="P105" s="114"/>
      <c r="Q105" s="114"/>
      <c r="R105" s="114"/>
      <c r="S105" s="114"/>
      <c r="T105" s="114"/>
      <c r="U105" s="114"/>
      <c r="V105" s="114"/>
      <c r="W105" s="114"/>
      <c r="X105" s="114"/>
      <c r="Y105" s="114"/>
      <c r="Z105" s="114"/>
      <c r="AA105" s="114"/>
      <c r="AB105" s="114"/>
      <c r="AC105" s="114"/>
      <c r="AD105" s="114"/>
    </row>
    <row r="106" spans="1:30">
      <c r="A106" s="218" t="s">
        <v>583</v>
      </c>
      <c r="B106" s="96">
        <f>B93-资金!B17*累计利润调整表!F2/12*累计利润调整表!G2</f>
        <v>0</v>
      </c>
      <c r="E106" s="96"/>
      <c r="J106" s="96"/>
      <c r="M106" s="96"/>
      <c r="P106" s="96"/>
    </row>
    <row r="107" spans="1:30">
      <c r="B107" s="96"/>
    </row>
    <row r="108" spans="1:30">
      <c r="M108" s="96"/>
    </row>
    <row r="109" spans="1:30">
      <c r="M109" s="96"/>
    </row>
  </sheetData>
  <mergeCells count="1">
    <mergeCell ref="A1:AC1"/>
  </mergeCells>
  <phoneticPr fontId="36" type="noConversion"/>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53"/>
  <sheetViews>
    <sheetView showGridLines="0" workbookViewId="0">
      <selection activeCell="C24" sqref="C24"/>
    </sheetView>
  </sheetViews>
  <sheetFormatPr defaultRowHeight="13.5"/>
  <cols>
    <col min="1" max="1" width="68.5" bestFit="1" customWidth="1"/>
    <col min="2" max="3" width="15.125" bestFit="1" customWidth="1"/>
    <col min="4" max="6" width="14.125" bestFit="1" customWidth="1"/>
    <col min="7" max="9" width="15.125" bestFit="1" customWidth="1"/>
    <col min="10" max="10" width="10.25" bestFit="1" customWidth="1"/>
    <col min="11" max="11" width="12.25" bestFit="1" customWidth="1"/>
    <col min="12" max="12" width="15.125" bestFit="1" customWidth="1"/>
    <col min="13" max="13" width="14.125" bestFit="1" customWidth="1"/>
    <col min="14" max="14" width="15.125" bestFit="1" customWidth="1"/>
    <col min="15" max="15" width="14.125" bestFit="1" customWidth="1"/>
    <col min="16" max="19" width="12.25" bestFit="1" customWidth="1"/>
    <col min="20" max="21" width="15.125" bestFit="1" customWidth="1"/>
    <col min="22" max="22" width="14.125" bestFit="1" customWidth="1"/>
    <col min="23" max="24" width="16.125" bestFit="1" customWidth="1"/>
    <col min="25" max="25" width="15.125" bestFit="1" customWidth="1"/>
    <col min="26" max="26" width="14.125" bestFit="1" customWidth="1"/>
    <col min="27" max="27" width="15.125" bestFit="1" customWidth="1"/>
    <col min="28" max="28" width="12.25" bestFit="1" customWidth="1"/>
    <col min="29" max="29" width="16.125" bestFit="1" customWidth="1"/>
    <col min="30" max="33" width="14.125" bestFit="1" customWidth="1"/>
    <col min="34" max="36" width="18" bestFit="1" customWidth="1"/>
    <col min="37" max="37" width="16.125" bestFit="1" customWidth="1"/>
    <col min="38" max="38" width="12.25" bestFit="1" customWidth="1"/>
    <col min="39" max="40" width="16.125" bestFit="1" customWidth="1"/>
    <col min="41" max="41" width="14.125" bestFit="1" customWidth="1"/>
    <col min="42" max="42" width="12.25" bestFit="1" customWidth="1"/>
    <col min="43" max="43" width="14.125" bestFit="1" customWidth="1"/>
    <col min="44" max="44" width="12.25" bestFit="1" customWidth="1"/>
    <col min="45" max="45" width="15.125" bestFit="1" customWidth="1"/>
    <col min="46" max="46" width="12.25" bestFit="1" customWidth="1"/>
    <col min="47" max="47" width="15.125" bestFit="1" customWidth="1"/>
    <col min="48" max="52" width="16.125" bestFit="1" customWidth="1"/>
    <col min="53" max="53" width="14.125" bestFit="1" customWidth="1"/>
    <col min="54" max="54" width="12.25" bestFit="1" customWidth="1"/>
    <col min="55" max="55" width="14.125" bestFit="1" customWidth="1"/>
    <col min="56" max="57" width="18" bestFit="1" customWidth="1"/>
    <col min="58" max="59" width="14.125" bestFit="1" customWidth="1"/>
    <col min="60" max="60" width="20" bestFit="1" customWidth="1"/>
    <col min="61" max="61" width="16.125" bestFit="1" customWidth="1"/>
    <col min="62" max="62" width="12.25" bestFit="1" customWidth="1"/>
    <col min="63" max="63" width="14.125" bestFit="1" customWidth="1"/>
    <col min="64" max="68" width="12.25" bestFit="1" customWidth="1"/>
    <col min="69" max="69" width="16.125" bestFit="1" customWidth="1"/>
    <col min="70" max="70" width="18" bestFit="1" customWidth="1"/>
    <col min="71" max="76" width="12.25" bestFit="1" customWidth="1"/>
    <col min="77" max="77" width="16.125" bestFit="1" customWidth="1"/>
    <col min="78" max="81" width="12.25" bestFit="1" customWidth="1"/>
    <col min="82" max="82" width="16.125" bestFit="1" customWidth="1"/>
    <col min="83" max="83" width="12.25" bestFit="1" customWidth="1"/>
    <col min="84" max="84" width="15.125" bestFit="1" customWidth="1"/>
    <col min="85" max="85" width="18" bestFit="1" customWidth="1"/>
    <col min="86" max="97" width="12.25" bestFit="1" customWidth="1"/>
    <col min="98" max="98" width="14.125" bestFit="1" customWidth="1"/>
    <col min="99" max="99" width="12.25" bestFit="1" customWidth="1"/>
    <col min="100" max="100" width="14.125" bestFit="1" customWidth="1"/>
    <col min="101" max="107" width="12.25" bestFit="1" customWidth="1"/>
    <col min="108" max="108" width="16.125" bestFit="1" customWidth="1"/>
    <col min="109" max="110" width="12.25" bestFit="1" customWidth="1"/>
    <col min="111" max="111" width="16.125" bestFit="1" customWidth="1"/>
    <col min="112" max="112" width="18" bestFit="1" customWidth="1"/>
    <col min="113" max="113" width="16.125" bestFit="1" customWidth="1"/>
  </cols>
  <sheetData>
    <row r="1" spans="1:117" ht="14.25" thickBot="1">
      <c r="A1" s="252" t="s">
        <v>455</v>
      </c>
      <c r="B1" s="253"/>
      <c r="C1" s="253"/>
      <c r="D1" s="254"/>
      <c r="E1" s="255"/>
      <c r="F1" s="255"/>
      <c r="G1" s="255"/>
      <c r="H1" s="255"/>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254"/>
      <c r="AM1" s="254"/>
      <c r="AN1" s="254"/>
      <c r="AO1" s="254"/>
      <c r="AP1" s="254"/>
      <c r="AQ1" s="254"/>
      <c r="AR1" s="254"/>
      <c r="AS1" s="254"/>
      <c r="AT1" s="254"/>
      <c r="AU1" s="254"/>
      <c r="AV1" s="254"/>
      <c r="AW1" s="254"/>
      <c r="AX1" s="254"/>
      <c r="AY1" s="254"/>
      <c r="AZ1" s="254"/>
      <c r="BA1" s="254"/>
      <c r="BB1" s="254"/>
      <c r="BC1" s="254"/>
      <c r="BD1" s="254"/>
      <c r="BE1" s="254"/>
      <c r="BF1" s="254"/>
      <c r="BG1" s="254"/>
      <c r="BH1" s="254"/>
      <c r="BI1" s="254"/>
      <c r="BJ1" s="254"/>
      <c r="BK1" s="254"/>
      <c r="BL1" s="254"/>
      <c r="BM1" s="254"/>
      <c r="BN1" s="254"/>
      <c r="BO1" s="254"/>
      <c r="BP1" s="254"/>
      <c r="BQ1" s="254"/>
      <c r="BR1" s="254"/>
      <c r="BS1" s="254"/>
      <c r="BT1" s="254"/>
      <c r="BU1" s="254"/>
      <c r="BV1" s="254"/>
      <c r="BW1" s="254"/>
      <c r="BX1" s="254"/>
      <c r="BY1" s="254"/>
      <c r="BZ1" s="254"/>
      <c r="CA1" s="254"/>
      <c r="CB1" s="254"/>
      <c r="CC1" s="254"/>
      <c r="CD1" s="254"/>
      <c r="CE1" s="254"/>
      <c r="CF1" s="254"/>
      <c r="CG1" s="254"/>
      <c r="CH1" s="254"/>
      <c r="CI1" s="254"/>
      <c r="CJ1" s="254"/>
      <c r="CK1" s="254"/>
      <c r="CL1" s="254"/>
      <c r="CM1" s="254"/>
      <c r="CN1" s="254"/>
      <c r="CO1" s="254"/>
      <c r="CP1" s="254"/>
      <c r="CQ1" s="254"/>
      <c r="CR1" s="254"/>
      <c r="CS1" s="254"/>
      <c r="CT1" s="254"/>
      <c r="CU1" s="254"/>
      <c r="CV1" s="254"/>
      <c r="CW1" s="254"/>
      <c r="CX1" s="254"/>
      <c r="CY1" s="254"/>
      <c r="CZ1" s="254"/>
      <c r="DA1" s="254"/>
      <c r="DB1" s="254"/>
      <c r="DC1" s="254"/>
      <c r="DD1" s="254"/>
      <c r="DE1" s="254"/>
      <c r="DF1" s="254"/>
      <c r="DG1" s="254"/>
      <c r="DH1" s="254"/>
      <c r="DI1" s="254"/>
      <c r="DJ1" s="254"/>
      <c r="DK1" s="254"/>
      <c r="DL1" s="254"/>
      <c r="DM1" s="254"/>
    </row>
    <row r="2" spans="1:117">
      <c r="A2" s="256"/>
      <c r="B2" s="257"/>
      <c r="C2" s="257"/>
      <c r="D2" s="257"/>
      <c r="E2" s="257"/>
      <c r="F2" s="257"/>
      <c r="G2" s="257"/>
      <c r="H2" s="257"/>
      <c r="I2" s="468" t="s">
        <v>456</v>
      </c>
      <c r="J2" s="468"/>
      <c r="K2" s="468"/>
      <c r="L2" s="468"/>
      <c r="M2" s="468"/>
      <c r="N2" s="468"/>
      <c r="O2" s="468"/>
      <c r="P2" s="468"/>
      <c r="Q2" s="468"/>
      <c r="R2" s="468"/>
      <c r="S2" s="468"/>
      <c r="T2" s="468"/>
      <c r="U2" s="258"/>
      <c r="V2" s="468" t="s">
        <v>457</v>
      </c>
      <c r="W2" s="468"/>
      <c r="X2" s="468"/>
      <c r="Y2" s="468"/>
      <c r="Z2" s="468"/>
      <c r="AA2" s="468"/>
      <c r="AB2" s="468"/>
      <c r="AC2" s="468" t="s">
        <v>458</v>
      </c>
      <c r="AD2" s="468"/>
      <c r="AE2" s="468"/>
      <c r="AF2" s="468"/>
      <c r="AG2" s="258"/>
      <c r="AH2" s="258"/>
      <c r="AI2" s="258"/>
      <c r="AJ2" s="258"/>
      <c r="AK2" s="258"/>
      <c r="AL2" s="468" t="s">
        <v>8</v>
      </c>
      <c r="AM2" s="468"/>
      <c r="AN2" s="468"/>
      <c r="AO2" s="468" t="s">
        <v>459</v>
      </c>
      <c r="AP2" s="468"/>
      <c r="AQ2" s="468" t="s">
        <v>460</v>
      </c>
      <c r="AR2" s="468"/>
      <c r="AS2" s="468"/>
      <c r="AT2" s="468"/>
      <c r="AU2" s="468"/>
      <c r="AV2" s="468" t="s">
        <v>461</v>
      </c>
      <c r="AW2" s="468"/>
      <c r="AX2" s="468"/>
      <c r="AY2" s="468"/>
      <c r="AZ2" s="468"/>
      <c r="BA2" s="468"/>
      <c r="BB2" s="468"/>
      <c r="BC2" s="468"/>
      <c r="BD2" s="468"/>
      <c r="BE2" s="468"/>
      <c r="BF2" s="468"/>
      <c r="BG2" s="468"/>
      <c r="BH2" s="468"/>
      <c r="BI2" s="468"/>
      <c r="BJ2" s="468"/>
      <c r="BK2" s="468"/>
      <c r="BL2" s="468"/>
      <c r="BM2" s="468"/>
      <c r="BN2" s="468"/>
      <c r="BO2" s="468"/>
      <c r="BP2" s="468"/>
      <c r="BQ2" s="468"/>
      <c r="BR2" s="468"/>
      <c r="BS2" s="468"/>
      <c r="BT2" s="468"/>
      <c r="BU2" s="468"/>
      <c r="BV2" s="468"/>
      <c r="BW2" s="468"/>
      <c r="BX2" s="468"/>
      <c r="BY2" s="468"/>
      <c r="BZ2" s="468"/>
      <c r="CA2" s="468"/>
      <c r="CB2" s="468"/>
      <c r="CC2" s="468"/>
      <c r="CD2" s="468"/>
      <c r="CE2" s="468"/>
      <c r="CF2" s="468"/>
      <c r="CG2" s="468"/>
      <c r="CH2" s="468"/>
      <c r="CI2" s="468"/>
      <c r="CJ2" s="468"/>
      <c r="CK2" s="468"/>
      <c r="CL2" s="468"/>
      <c r="CM2" s="468"/>
      <c r="CN2" s="468"/>
      <c r="CO2" s="468"/>
      <c r="CP2" s="468"/>
      <c r="CQ2" s="468"/>
      <c r="CR2" s="468"/>
      <c r="CS2" s="468"/>
      <c r="CT2" s="468"/>
      <c r="CU2" s="468"/>
      <c r="CV2" s="468"/>
      <c r="CW2" s="468"/>
      <c r="CX2" s="468"/>
      <c r="CY2" s="468"/>
      <c r="CZ2" s="468"/>
      <c r="DA2" s="468"/>
      <c r="DB2" s="468"/>
      <c r="DC2" s="468"/>
      <c r="DD2" s="468"/>
      <c r="DE2" s="468"/>
      <c r="DF2" s="258"/>
      <c r="DG2" s="258"/>
      <c r="DH2" s="258"/>
      <c r="DI2" s="258"/>
      <c r="DJ2" s="258"/>
      <c r="DK2" s="258"/>
      <c r="DL2" s="258"/>
      <c r="DM2" s="258"/>
    </row>
    <row r="3" spans="1:117">
      <c r="A3" s="259"/>
      <c r="B3" s="255" t="s">
        <v>462</v>
      </c>
      <c r="C3" s="255" t="s">
        <v>328</v>
      </c>
      <c r="D3" s="255" t="s">
        <v>463</v>
      </c>
      <c r="E3" s="255" t="s">
        <v>464</v>
      </c>
      <c r="F3" s="255" t="s">
        <v>465</v>
      </c>
      <c r="G3" s="255" t="s">
        <v>466</v>
      </c>
      <c r="H3" s="255" t="s">
        <v>467</v>
      </c>
      <c r="I3" s="255" t="s">
        <v>468</v>
      </c>
      <c r="J3" s="255" t="s">
        <v>347</v>
      </c>
      <c r="K3" s="255" t="s">
        <v>469</v>
      </c>
      <c r="L3" s="255" t="s">
        <v>331</v>
      </c>
      <c r="M3" s="255" t="s">
        <v>470</v>
      </c>
      <c r="N3" s="255" t="s">
        <v>471</v>
      </c>
      <c r="O3" s="255" t="s">
        <v>141</v>
      </c>
      <c r="P3" s="255" t="s">
        <v>472</v>
      </c>
      <c r="Q3" s="255" t="s">
        <v>142</v>
      </c>
      <c r="R3" s="255" t="s">
        <v>473</v>
      </c>
      <c r="S3" s="255" t="s">
        <v>474</v>
      </c>
      <c r="T3" s="255" t="s">
        <v>329</v>
      </c>
      <c r="U3" s="255"/>
      <c r="V3" s="255" t="s">
        <v>20</v>
      </c>
      <c r="W3" s="255" t="s">
        <v>475</v>
      </c>
      <c r="X3" s="255" t="s">
        <v>476</v>
      </c>
      <c r="Y3" s="255" t="s">
        <v>17</v>
      </c>
      <c r="Z3" s="255" t="s">
        <v>19</v>
      </c>
      <c r="AA3" s="255" t="s">
        <v>18</v>
      </c>
      <c r="AB3" s="255" t="s">
        <v>16</v>
      </c>
      <c r="AC3" s="255" t="s">
        <v>477</v>
      </c>
      <c r="AD3" s="255" t="s">
        <v>478</v>
      </c>
      <c r="AE3" s="255" t="s">
        <v>479</v>
      </c>
      <c r="AF3" s="255" t="s">
        <v>480</v>
      </c>
      <c r="AG3" s="255" t="s">
        <v>25</v>
      </c>
      <c r="AH3" s="255" t="s">
        <v>26</v>
      </c>
      <c r="AI3" s="255" t="s">
        <v>27</v>
      </c>
      <c r="AJ3" s="255" t="s">
        <v>481</v>
      </c>
      <c r="AK3" s="255" t="s">
        <v>12</v>
      </c>
      <c r="AL3" s="255" t="s">
        <v>9</v>
      </c>
      <c r="AM3" s="255" t="s">
        <v>10</v>
      </c>
      <c r="AN3" s="255" t="s">
        <v>11</v>
      </c>
      <c r="AO3" s="255" t="s">
        <v>352</v>
      </c>
      <c r="AP3" s="255" t="s">
        <v>140</v>
      </c>
      <c r="AQ3" s="255" t="s">
        <v>353</v>
      </c>
      <c r="AR3" s="255" t="s">
        <v>354</v>
      </c>
      <c r="AS3" s="255" t="s">
        <v>482</v>
      </c>
      <c r="AT3" s="255" t="s">
        <v>356</v>
      </c>
      <c r="AU3" s="255" t="s">
        <v>483</v>
      </c>
      <c r="AV3" s="255" t="s">
        <v>357</v>
      </c>
      <c r="AW3" s="255" t="s">
        <v>358</v>
      </c>
      <c r="AX3" s="255" t="s">
        <v>359</v>
      </c>
      <c r="AY3" s="255" t="s">
        <v>360</v>
      </c>
      <c r="AZ3" s="255" t="s">
        <v>361</v>
      </c>
      <c r="BA3" s="255" t="s">
        <v>362</v>
      </c>
      <c r="BB3" s="255" t="s">
        <v>363</v>
      </c>
      <c r="BC3" s="255" t="s">
        <v>364</v>
      </c>
      <c r="BD3" s="255" t="s">
        <v>365</v>
      </c>
      <c r="BE3" s="255" t="s">
        <v>366</v>
      </c>
      <c r="BF3" s="255" t="s">
        <v>367</v>
      </c>
      <c r="BG3" s="255" t="s">
        <v>368</v>
      </c>
      <c r="BH3" s="255" t="s">
        <v>484</v>
      </c>
      <c r="BI3" s="255" t="s">
        <v>370</v>
      </c>
      <c r="BJ3" s="255" t="s">
        <v>371</v>
      </c>
      <c r="BK3" s="255" t="s">
        <v>372</v>
      </c>
      <c r="BL3" s="260" t="s">
        <v>374</v>
      </c>
      <c r="BM3" s="260" t="s">
        <v>373</v>
      </c>
      <c r="BN3" s="255" t="s">
        <v>375</v>
      </c>
      <c r="BO3" s="255" t="s">
        <v>376</v>
      </c>
      <c r="BP3" s="255" t="s">
        <v>377</v>
      </c>
      <c r="BQ3" s="255" t="s">
        <v>378</v>
      </c>
      <c r="BR3" s="255" t="s">
        <v>485</v>
      </c>
      <c r="BS3" s="255" t="s">
        <v>380</v>
      </c>
      <c r="BT3" s="255" t="s">
        <v>381</v>
      </c>
      <c r="BU3" s="255" t="s">
        <v>382</v>
      </c>
      <c r="BV3" s="255" t="s">
        <v>383</v>
      </c>
      <c r="BW3" s="255" t="s">
        <v>384</v>
      </c>
      <c r="BX3" s="255" t="s">
        <v>385</v>
      </c>
      <c r="BY3" s="255" t="s">
        <v>386</v>
      </c>
      <c r="BZ3" s="255" t="s">
        <v>387</v>
      </c>
      <c r="CA3" s="255" t="s">
        <v>388</v>
      </c>
      <c r="CB3" s="255" t="s">
        <v>389</v>
      </c>
      <c r="CC3" s="255" t="s">
        <v>390</v>
      </c>
      <c r="CD3" s="255" t="s">
        <v>391</v>
      </c>
      <c r="CE3" s="255" t="s">
        <v>392</v>
      </c>
      <c r="CF3" s="255" t="s">
        <v>393</v>
      </c>
      <c r="CG3" s="255" t="s">
        <v>394</v>
      </c>
      <c r="CH3" s="255" t="s">
        <v>395</v>
      </c>
      <c r="CI3" s="255" t="s">
        <v>396</v>
      </c>
      <c r="CJ3" s="255" t="s">
        <v>398</v>
      </c>
      <c r="CK3" s="255" t="s">
        <v>397</v>
      </c>
      <c r="CL3" s="255" t="s">
        <v>399</v>
      </c>
      <c r="CM3" s="255" t="s">
        <v>400</v>
      </c>
      <c r="CN3" s="255" t="s">
        <v>401</v>
      </c>
      <c r="CO3" s="255" t="s">
        <v>402</v>
      </c>
      <c r="CP3" s="255" t="s">
        <v>403</v>
      </c>
      <c r="CQ3" s="255" t="s">
        <v>404</v>
      </c>
      <c r="CR3" s="255" t="s">
        <v>405</v>
      </c>
      <c r="CS3" s="255" t="s">
        <v>406</v>
      </c>
      <c r="CT3" s="255" t="s">
        <v>407</v>
      </c>
      <c r="CU3" s="255" t="s">
        <v>408</v>
      </c>
      <c r="CV3" s="255" t="s">
        <v>409</v>
      </c>
      <c r="CW3" s="255" t="s">
        <v>410</v>
      </c>
      <c r="CX3" s="255" t="s">
        <v>411</v>
      </c>
      <c r="CY3" s="255" t="s">
        <v>412</v>
      </c>
      <c r="CZ3" s="255" t="s">
        <v>413</v>
      </c>
      <c r="DA3" s="255" t="s">
        <v>414</v>
      </c>
      <c r="DB3" s="255" t="s">
        <v>415</v>
      </c>
      <c r="DC3" s="255" t="s">
        <v>416</v>
      </c>
      <c r="DD3" s="255" t="s">
        <v>417</v>
      </c>
      <c r="DE3" s="255" t="s">
        <v>418</v>
      </c>
      <c r="DF3" s="255" t="s">
        <v>486</v>
      </c>
      <c r="DG3" s="255" t="s">
        <v>487</v>
      </c>
      <c r="DH3" s="255" t="s">
        <v>488</v>
      </c>
      <c r="DI3" s="255" t="s">
        <v>489</v>
      </c>
      <c r="DJ3" s="255" t="s">
        <v>490</v>
      </c>
      <c r="DK3" s="255" t="s">
        <v>491</v>
      </c>
      <c r="DL3" s="255" t="s">
        <v>492</v>
      </c>
      <c r="DM3" s="255" t="s">
        <v>493</v>
      </c>
    </row>
    <row r="4" spans="1:117">
      <c r="A4" s="261" t="s">
        <v>31</v>
      </c>
      <c r="B4" s="262">
        <v>-35834927.750000119</v>
      </c>
      <c r="C4" s="262">
        <v>45062698.459999993</v>
      </c>
      <c r="D4" s="262">
        <v>4075297.9699999988</v>
      </c>
      <c r="E4" s="262">
        <v>3369502.97</v>
      </c>
      <c r="F4" s="262">
        <v>2316220.65</v>
      </c>
      <c r="G4" s="262">
        <v>-87115187.38000001</v>
      </c>
      <c r="H4" s="262">
        <v>-3543460.4200001117</v>
      </c>
      <c r="I4" s="262">
        <v>-29609982.870000001</v>
      </c>
      <c r="J4" s="262">
        <v>4.9000000000000004</v>
      </c>
      <c r="K4" s="262">
        <v>0</v>
      </c>
      <c r="L4" s="262">
        <v>-14595021.629999999</v>
      </c>
      <c r="M4" s="262">
        <v>594981.51</v>
      </c>
      <c r="N4" s="262">
        <v>4894444.0799999991</v>
      </c>
      <c r="O4" s="262">
        <v>0</v>
      </c>
      <c r="P4" s="262">
        <v>-621.5</v>
      </c>
      <c r="Q4" s="262">
        <v>-400</v>
      </c>
      <c r="R4" s="262">
        <v>0</v>
      </c>
      <c r="S4" s="262">
        <v>0</v>
      </c>
      <c r="T4" s="262">
        <v>83779293.970000014</v>
      </c>
      <c r="U4" s="262">
        <f>T4+Q4+P4+O4</f>
        <v>83778272.470000014</v>
      </c>
      <c r="V4" s="262">
        <v>-50</v>
      </c>
      <c r="W4" s="262">
        <v>6201353.1699999999</v>
      </c>
      <c r="X4" s="262">
        <v>11023453.189999998</v>
      </c>
      <c r="Y4" s="262">
        <v>35223739.960000001</v>
      </c>
      <c r="Z4" s="262">
        <v>1969239.58</v>
      </c>
      <c r="AA4" s="262">
        <v>-69107872.549999997</v>
      </c>
      <c r="AB4" s="262">
        <v>95115.02</v>
      </c>
      <c r="AC4" s="262">
        <v>0</v>
      </c>
      <c r="AD4" s="262">
        <v>-104796.51</v>
      </c>
      <c r="AE4" s="262">
        <v>188679.25</v>
      </c>
      <c r="AF4" s="262">
        <v>511097.17</v>
      </c>
      <c r="AG4" s="262">
        <v>0</v>
      </c>
      <c r="AH4" s="262">
        <v>0</v>
      </c>
      <c r="AI4" s="262">
        <v>1.6</v>
      </c>
      <c r="AJ4" s="262">
        <v>0</v>
      </c>
      <c r="AK4" s="262">
        <v>531986.43999999994</v>
      </c>
      <c r="AL4" s="262">
        <v>632751.64</v>
      </c>
      <c r="AM4" s="262">
        <v>2030396.58</v>
      </c>
      <c r="AN4" s="262">
        <v>1699309.42</v>
      </c>
      <c r="AO4" s="262">
        <v>-621.5</v>
      </c>
      <c r="AP4" s="262">
        <v>0</v>
      </c>
      <c r="AQ4" s="262">
        <v>379116.83999999997</v>
      </c>
      <c r="AR4" s="262">
        <v>0</v>
      </c>
      <c r="AS4" s="262">
        <v>40500918.809999995</v>
      </c>
      <c r="AT4" s="262">
        <v>0</v>
      </c>
      <c r="AU4" s="262">
        <v>42899258.320000008</v>
      </c>
      <c r="AV4" s="262">
        <v>1580924.2999999998</v>
      </c>
      <c r="AW4" s="262">
        <v>2243880.54</v>
      </c>
      <c r="AX4" s="262">
        <v>1775052.86</v>
      </c>
      <c r="AY4" s="262">
        <v>1768521.21</v>
      </c>
      <c r="AZ4" s="262">
        <v>1928669.81</v>
      </c>
      <c r="BA4" s="262">
        <v>1607351.5999999999</v>
      </c>
      <c r="BB4" s="262">
        <v>587218.42999999993</v>
      </c>
      <c r="BC4" s="262">
        <v>2059726.6199999999</v>
      </c>
      <c r="BD4" s="262">
        <v>704430.37</v>
      </c>
      <c r="BE4" s="262">
        <v>562689.17000000004</v>
      </c>
      <c r="BF4" s="262">
        <v>2152318.5099999998</v>
      </c>
      <c r="BG4" s="262">
        <v>6041993.2599999998</v>
      </c>
      <c r="BH4" s="262">
        <v>1359882.92</v>
      </c>
      <c r="BI4" s="262">
        <v>458032.76999999996</v>
      </c>
      <c r="BJ4" s="262">
        <v>563490.93000000005</v>
      </c>
      <c r="BK4" s="262">
        <v>539143.92999999993</v>
      </c>
      <c r="BL4" s="262">
        <v>589811.1399999999</v>
      </c>
      <c r="BM4" s="262">
        <v>623961.68999999994</v>
      </c>
      <c r="BN4" s="262">
        <v>466150.43</v>
      </c>
      <c r="BO4" s="262">
        <v>341169.45</v>
      </c>
      <c r="BP4" s="262">
        <v>450552.7</v>
      </c>
      <c r="BQ4" s="262">
        <v>589939.31000000006</v>
      </c>
      <c r="BR4" s="262">
        <v>123192</v>
      </c>
      <c r="BS4" s="262">
        <v>168507.26</v>
      </c>
      <c r="BT4" s="262">
        <v>189203.69999999998</v>
      </c>
      <c r="BU4" s="262">
        <v>184553.11</v>
      </c>
      <c r="BV4" s="262">
        <v>126660.73999999999</v>
      </c>
      <c r="BW4" s="262">
        <v>273134.03000000003</v>
      </c>
      <c r="BX4" s="262">
        <v>189175.6</v>
      </c>
      <c r="BY4" s="262">
        <v>22436.489999999998</v>
      </c>
      <c r="BZ4" s="262">
        <v>44065.42</v>
      </c>
      <c r="CA4" s="262">
        <v>106513.38</v>
      </c>
      <c r="CB4" s="262">
        <v>54690.95</v>
      </c>
      <c r="CC4" s="262">
        <v>96674.64</v>
      </c>
      <c r="CD4" s="262">
        <v>159191.32</v>
      </c>
      <c r="CE4" s="262">
        <v>138322.09999999998</v>
      </c>
      <c r="CF4" s="262">
        <v>10532075.789999999</v>
      </c>
      <c r="CG4" s="262">
        <v>99115.58</v>
      </c>
      <c r="CH4" s="262">
        <v>18170.61</v>
      </c>
      <c r="CI4" s="262">
        <v>14660.08</v>
      </c>
      <c r="CJ4" s="262">
        <v>83090.75</v>
      </c>
      <c r="CK4" s="262">
        <v>31775.99</v>
      </c>
      <c r="CL4" s="262">
        <v>37186.97</v>
      </c>
      <c r="CM4" s="262">
        <v>61412.800000000003</v>
      </c>
      <c r="CN4" s="262">
        <v>24398.74</v>
      </c>
      <c r="CO4" s="262">
        <v>29877.88</v>
      </c>
      <c r="CP4" s="262">
        <v>39521.879999999997</v>
      </c>
      <c r="CQ4" s="262">
        <v>14928.8</v>
      </c>
      <c r="CR4" s="262">
        <v>53884.86</v>
      </c>
      <c r="CS4" s="262">
        <v>35236.800000000003</v>
      </c>
      <c r="CT4" s="262">
        <v>27040.1</v>
      </c>
      <c r="CU4" s="262">
        <v>-4183.4799999999996</v>
      </c>
      <c r="CV4" s="262">
        <v>28919.65</v>
      </c>
      <c r="CW4" s="262">
        <v>25440.42</v>
      </c>
      <c r="CX4" s="262">
        <v>9016.39</v>
      </c>
      <c r="CY4" s="262">
        <v>3682.16</v>
      </c>
      <c r="CZ4" s="262">
        <v>14029.7</v>
      </c>
      <c r="DA4" s="262">
        <v>11949.07</v>
      </c>
      <c r="DB4" s="262">
        <v>36860.800000000003</v>
      </c>
      <c r="DC4" s="262">
        <v>162419.43</v>
      </c>
      <c r="DD4" s="262">
        <v>281453.94999999995</v>
      </c>
      <c r="DE4" s="262">
        <v>153662.65</v>
      </c>
      <c r="DF4" s="262">
        <v>10502.54</v>
      </c>
      <c r="DG4" s="262">
        <v>47346.559999999998</v>
      </c>
      <c r="DH4" s="262">
        <v>74940.179999999993</v>
      </c>
      <c r="DI4" s="262">
        <v>69607.98000000001</v>
      </c>
      <c r="DJ4" s="262">
        <v>0</v>
      </c>
      <c r="DK4" s="262">
        <v>0</v>
      </c>
      <c r="DL4" s="262">
        <v>0</v>
      </c>
      <c r="DM4" s="262">
        <v>0</v>
      </c>
    </row>
    <row r="5" spans="1:117">
      <c r="A5" s="259" t="s">
        <v>494</v>
      </c>
      <c r="B5" s="262">
        <v>49614681.630000003</v>
      </c>
      <c r="C5" s="263">
        <v>48058084</v>
      </c>
      <c r="D5" s="263">
        <v>3410051.75</v>
      </c>
      <c r="E5" s="263">
        <v>-1837.6</v>
      </c>
      <c r="F5" s="263">
        <v>542083.42000000004</v>
      </c>
      <c r="G5" s="264">
        <v>0</v>
      </c>
      <c r="H5" s="265">
        <v>-2393699.9400000004</v>
      </c>
      <c r="I5" s="264">
        <v>-46026.61</v>
      </c>
      <c r="J5" s="264">
        <v>0</v>
      </c>
      <c r="K5" s="264">
        <v>0</v>
      </c>
      <c r="L5" s="264">
        <v>-385443.32</v>
      </c>
      <c r="M5" s="262">
        <v>594979.91</v>
      </c>
      <c r="N5" s="264">
        <v>4713187.5599999996</v>
      </c>
      <c r="O5" s="264">
        <v>0</v>
      </c>
      <c r="P5" s="264">
        <v>-621.5</v>
      </c>
      <c r="Q5" s="264">
        <v>-400</v>
      </c>
      <c r="R5" s="264">
        <v>0</v>
      </c>
      <c r="S5" s="264">
        <v>0</v>
      </c>
      <c r="T5" s="264">
        <v>43182407.960000001</v>
      </c>
      <c r="U5" s="264">
        <f t="shared" ref="U5:U50" si="0">T5+Q5+P5+O5</f>
        <v>43181386.460000001</v>
      </c>
      <c r="V5" s="264">
        <v>-50</v>
      </c>
      <c r="W5" s="264">
        <v>-508829.91</v>
      </c>
      <c r="X5" s="264">
        <v>28321.57</v>
      </c>
      <c r="Y5" s="264">
        <v>0</v>
      </c>
      <c r="Z5" s="264">
        <v>0</v>
      </c>
      <c r="AA5" s="264">
        <v>0</v>
      </c>
      <c r="AB5" s="264">
        <v>95115.02</v>
      </c>
      <c r="AC5" s="264">
        <v>0</v>
      </c>
      <c r="AD5" s="264">
        <v>-104796.51</v>
      </c>
      <c r="AE5" s="264">
        <v>188679.25</v>
      </c>
      <c r="AF5" s="264">
        <v>511097.17</v>
      </c>
      <c r="AG5" s="264">
        <v>0</v>
      </c>
      <c r="AH5" s="264">
        <v>0</v>
      </c>
      <c r="AI5" s="264">
        <v>0</v>
      </c>
      <c r="AJ5" s="264">
        <v>0</v>
      </c>
      <c r="AK5" s="264">
        <v>531986.43999999994</v>
      </c>
      <c r="AL5" s="264">
        <v>451495.12</v>
      </c>
      <c r="AM5" s="264">
        <v>2030396.58</v>
      </c>
      <c r="AN5" s="264">
        <v>1699309.42</v>
      </c>
      <c r="AO5" s="264">
        <v>-621.5</v>
      </c>
      <c r="AP5" s="264">
        <v>0</v>
      </c>
      <c r="AQ5" s="264">
        <v>-1230.93</v>
      </c>
      <c r="AR5" s="264">
        <v>0</v>
      </c>
      <c r="AS5" s="264">
        <v>1079.54</v>
      </c>
      <c r="AT5" s="264">
        <v>0</v>
      </c>
      <c r="AU5" s="264">
        <v>43182559.350000001</v>
      </c>
      <c r="AV5" s="264">
        <v>1613950.96</v>
      </c>
      <c r="AW5" s="264">
        <v>2264199.56</v>
      </c>
      <c r="AX5" s="264">
        <v>1790745.84</v>
      </c>
      <c r="AY5" s="264">
        <v>1800574.72</v>
      </c>
      <c r="AZ5" s="264">
        <v>1973356.07</v>
      </c>
      <c r="BA5" s="264">
        <v>1639060.39</v>
      </c>
      <c r="BB5" s="264">
        <v>587269.37</v>
      </c>
      <c r="BC5" s="264">
        <v>2081530.2</v>
      </c>
      <c r="BD5" s="264">
        <v>717631.26</v>
      </c>
      <c r="BE5" s="264">
        <v>571207.46</v>
      </c>
      <c r="BF5" s="264">
        <v>1998221.87</v>
      </c>
      <c r="BG5" s="264">
        <v>6083556.79</v>
      </c>
      <c r="BH5" s="264">
        <v>1479900.83</v>
      </c>
      <c r="BI5" s="264">
        <v>506377.67</v>
      </c>
      <c r="BJ5" s="264">
        <v>563491.9</v>
      </c>
      <c r="BK5" s="264">
        <v>537153.19999999995</v>
      </c>
      <c r="BL5" s="264">
        <v>590617.07999999996</v>
      </c>
      <c r="BM5" s="264">
        <v>625230.94999999995</v>
      </c>
      <c r="BN5" s="264">
        <v>466798.2</v>
      </c>
      <c r="BO5" s="264">
        <v>341251.42</v>
      </c>
      <c r="BP5" s="264">
        <v>450603.39</v>
      </c>
      <c r="BQ5" s="264">
        <v>594145.30000000005</v>
      </c>
      <c r="BR5" s="264">
        <v>123192</v>
      </c>
      <c r="BS5" s="264">
        <v>168508.07</v>
      </c>
      <c r="BT5" s="264">
        <v>189345.86</v>
      </c>
      <c r="BU5" s="264">
        <v>184543.71</v>
      </c>
      <c r="BV5" s="264">
        <v>126676.31</v>
      </c>
      <c r="BW5" s="264">
        <v>273139.45</v>
      </c>
      <c r="BX5" s="264">
        <v>189175.76</v>
      </c>
      <c r="BY5" s="264">
        <v>22576.51</v>
      </c>
      <c r="BZ5" s="264">
        <v>44079.27</v>
      </c>
      <c r="CA5" s="264">
        <v>106513.38</v>
      </c>
      <c r="CB5" s="264">
        <v>54690.95</v>
      </c>
      <c r="CC5" s="264">
        <v>96674.64</v>
      </c>
      <c r="CD5" s="264">
        <v>159212.13</v>
      </c>
      <c r="CE5" s="264">
        <v>138343.35999999999</v>
      </c>
      <c r="CF5" s="264">
        <v>10532216.76</v>
      </c>
      <c r="CG5" s="264">
        <v>99115.58</v>
      </c>
      <c r="CH5" s="264">
        <v>18172.12</v>
      </c>
      <c r="CI5" s="264">
        <v>14660.08</v>
      </c>
      <c r="CJ5" s="264">
        <v>83090.75</v>
      </c>
      <c r="CK5" s="264">
        <v>31775.99</v>
      </c>
      <c r="CL5" s="264">
        <v>37186.97</v>
      </c>
      <c r="CM5" s="264">
        <v>61392.800000000003</v>
      </c>
      <c r="CN5" s="264">
        <v>24398.74</v>
      </c>
      <c r="CO5" s="264">
        <v>29868.45</v>
      </c>
      <c r="CP5" s="264">
        <v>39521.879999999997</v>
      </c>
      <c r="CQ5" s="264">
        <v>14930.56</v>
      </c>
      <c r="CR5" s="264">
        <v>53884.86</v>
      </c>
      <c r="CS5" s="264">
        <v>35236.800000000003</v>
      </c>
      <c r="CT5" s="264">
        <v>27030.1</v>
      </c>
      <c r="CU5" s="264">
        <v>-4183.4799999999996</v>
      </c>
      <c r="CV5" s="264">
        <v>28919.65</v>
      </c>
      <c r="CW5" s="264">
        <v>25440.42</v>
      </c>
      <c r="CX5" s="264">
        <v>9016.39</v>
      </c>
      <c r="CY5" s="264">
        <v>3682.16</v>
      </c>
      <c r="CZ5" s="264">
        <v>14029.7</v>
      </c>
      <c r="DA5" s="264">
        <v>11949.07</v>
      </c>
      <c r="DB5" s="264">
        <v>36860.800000000003</v>
      </c>
      <c r="DC5" s="264">
        <v>162419.43</v>
      </c>
      <c r="DD5" s="264">
        <v>282343.65999999997</v>
      </c>
      <c r="DE5" s="264">
        <v>153664.79</v>
      </c>
      <c r="DF5" s="264">
        <v>10502.54</v>
      </c>
      <c r="DG5" s="264">
        <v>47346.559999999998</v>
      </c>
      <c r="DH5" s="264">
        <v>74930.179999999993</v>
      </c>
      <c r="DI5" s="264">
        <v>69609.210000000006</v>
      </c>
      <c r="DJ5" s="264">
        <v>0</v>
      </c>
      <c r="DK5" s="264">
        <v>0</v>
      </c>
      <c r="DL5" s="264">
        <v>0</v>
      </c>
      <c r="DM5" s="264">
        <v>0</v>
      </c>
    </row>
    <row r="6" spans="1:117">
      <c r="A6" s="259" t="s">
        <v>33</v>
      </c>
      <c r="B6" s="262">
        <v>43271482.590000004</v>
      </c>
      <c r="C6" s="263">
        <v>43271482.590000004</v>
      </c>
      <c r="D6" s="263">
        <v>0</v>
      </c>
      <c r="E6" s="263">
        <v>0</v>
      </c>
      <c r="F6" s="263">
        <v>0</v>
      </c>
      <c r="G6" s="264">
        <v>0</v>
      </c>
      <c r="H6" s="265">
        <v>0</v>
      </c>
      <c r="I6" s="264">
        <v>0</v>
      </c>
      <c r="J6" s="264">
        <v>0</v>
      </c>
      <c r="K6" s="264">
        <v>0</v>
      </c>
      <c r="L6" s="264">
        <v>0</v>
      </c>
      <c r="M6" s="262">
        <v>0</v>
      </c>
      <c r="N6" s="264">
        <v>77441.47</v>
      </c>
      <c r="O6" s="264">
        <v>0</v>
      </c>
      <c r="P6" s="264">
        <v>0</v>
      </c>
      <c r="Q6" s="264">
        <v>0</v>
      </c>
      <c r="R6" s="264">
        <v>0</v>
      </c>
      <c r="S6" s="264">
        <v>0</v>
      </c>
      <c r="T6" s="264">
        <v>43194041.119999997</v>
      </c>
      <c r="U6" s="264">
        <f t="shared" si="0"/>
        <v>43194041.119999997</v>
      </c>
      <c r="V6" s="264">
        <v>0</v>
      </c>
      <c r="W6" s="264">
        <v>0</v>
      </c>
      <c r="X6" s="264">
        <v>0</v>
      </c>
      <c r="Y6" s="264">
        <v>0</v>
      </c>
      <c r="Z6" s="264">
        <v>0</v>
      </c>
      <c r="AA6" s="264">
        <v>0</v>
      </c>
      <c r="AB6" s="264">
        <v>0</v>
      </c>
      <c r="AC6" s="264">
        <v>0</v>
      </c>
      <c r="AD6" s="264">
        <v>0</v>
      </c>
      <c r="AE6" s="264">
        <v>0</v>
      </c>
      <c r="AF6" s="264">
        <v>0</v>
      </c>
      <c r="AG6" s="264">
        <v>0</v>
      </c>
      <c r="AH6" s="264">
        <v>0</v>
      </c>
      <c r="AI6" s="264">
        <v>0</v>
      </c>
      <c r="AJ6" s="264">
        <v>0</v>
      </c>
      <c r="AK6" s="264">
        <v>76911.429999999993</v>
      </c>
      <c r="AL6" s="264">
        <v>530.04</v>
      </c>
      <c r="AM6" s="264">
        <v>0</v>
      </c>
      <c r="AN6" s="264">
        <v>0</v>
      </c>
      <c r="AO6" s="264">
        <v>0</v>
      </c>
      <c r="AP6" s="264">
        <v>0</v>
      </c>
      <c r="AQ6" s="264">
        <v>0</v>
      </c>
      <c r="AR6" s="264">
        <v>0</v>
      </c>
      <c r="AS6" s="264">
        <v>1079.54</v>
      </c>
      <c r="AT6" s="264">
        <v>0</v>
      </c>
      <c r="AU6" s="264">
        <v>43192961.579999998</v>
      </c>
      <c r="AV6" s="264">
        <v>1612515.11</v>
      </c>
      <c r="AW6" s="264">
        <v>2264580.69</v>
      </c>
      <c r="AX6" s="264">
        <v>1791362.82</v>
      </c>
      <c r="AY6" s="264">
        <v>1800616.23</v>
      </c>
      <c r="AZ6" s="264">
        <v>1972974.94</v>
      </c>
      <c r="BA6" s="264">
        <v>1640346.9</v>
      </c>
      <c r="BB6" s="264">
        <v>587167.48</v>
      </c>
      <c r="BC6" s="264">
        <v>2081473.41</v>
      </c>
      <c r="BD6" s="264">
        <v>718148.24</v>
      </c>
      <c r="BE6" s="264">
        <v>572031.99</v>
      </c>
      <c r="BF6" s="264">
        <v>1998170.17</v>
      </c>
      <c r="BG6" s="264">
        <v>6083577.54</v>
      </c>
      <c r="BH6" s="264">
        <v>1480877.81</v>
      </c>
      <c r="BI6" s="264">
        <v>506709.75</v>
      </c>
      <c r="BJ6" s="264">
        <v>563816.43000000005</v>
      </c>
      <c r="BK6" s="264">
        <v>537423.01</v>
      </c>
      <c r="BL6" s="264">
        <v>590790.66</v>
      </c>
      <c r="BM6" s="264">
        <v>624857.37</v>
      </c>
      <c r="BN6" s="264">
        <v>465869.9</v>
      </c>
      <c r="BO6" s="264">
        <v>341868.4</v>
      </c>
      <c r="BP6" s="264">
        <v>450307.16</v>
      </c>
      <c r="BQ6" s="264">
        <v>593878.6</v>
      </c>
      <c r="BR6" s="264">
        <v>123176.91</v>
      </c>
      <c r="BS6" s="264">
        <v>168825.05</v>
      </c>
      <c r="BT6" s="264">
        <v>189745.86</v>
      </c>
      <c r="BU6" s="264">
        <v>184536.16</v>
      </c>
      <c r="BV6" s="264">
        <v>126606.5</v>
      </c>
      <c r="BW6" s="264">
        <v>273426.24</v>
      </c>
      <c r="BX6" s="264">
        <v>189575.76</v>
      </c>
      <c r="BY6" s="264">
        <v>22576.51</v>
      </c>
      <c r="BZ6" s="264">
        <v>43956.63</v>
      </c>
      <c r="CA6" s="264">
        <v>106777.53</v>
      </c>
      <c r="CB6" s="264">
        <v>54690.95</v>
      </c>
      <c r="CC6" s="264">
        <v>97674.64</v>
      </c>
      <c r="CD6" s="264">
        <v>159068.73000000001</v>
      </c>
      <c r="CE6" s="264">
        <v>138935.44</v>
      </c>
      <c r="CF6" s="264">
        <v>10528796.01</v>
      </c>
      <c r="CG6" s="264">
        <v>99507.58</v>
      </c>
      <c r="CH6" s="264">
        <v>18572.12</v>
      </c>
      <c r="CI6" s="264">
        <v>15260.08</v>
      </c>
      <c r="CJ6" s="264">
        <v>83474.75</v>
      </c>
      <c r="CK6" s="264">
        <v>32175.99</v>
      </c>
      <c r="CL6" s="264">
        <v>37479.42</v>
      </c>
      <c r="CM6" s="264">
        <v>61984.800000000003</v>
      </c>
      <c r="CN6" s="264">
        <v>24390.74</v>
      </c>
      <c r="CO6" s="264">
        <v>30268.45</v>
      </c>
      <c r="CP6" s="264">
        <v>39521.879999999997</v>
      </c>
      <c r="CQ6" s="264">
        <v>15330.56</v>
      </c>
      <c r="CR6" s="264">
        <v>54268.86</v>
      </c>
      <c r="CS6" s="264">
        <v>35236.800000000003</v>
      </c>
      <c r="CT6" s="264">
        <v>27476.1</v>
      </c>
      <c r="CU6" s="264">
        <v>-3383.48</v>
      </c>
      <c r="CV6" s="264">
        <v>28977.65</v>
      </c>
      <c r="CW6" s="264">
        <v>26200.42</v>
      </c>
      <c r="CX6" s="264">
        <v>9616.39</v>
      </c>
      <c r="CY6" s="264">
        <v>3882.16</v>
      </c>
      <c r="CZ6" s="264">
        <v>14444.7</v>
      </c>
      <c r="DA6" s="264">
        <v>12549.07</v>
      </c>
      <c r="DB6" s="264">
        <v>36788.800000000003</v>
      </c>
      <c r="DC6" s="264">
        <v>162419.43</v>
      </c>
      <c r="DD6" s="264">
        <v>281466.3</v>
      </c>
      <c r="DE6" s="264">
        <v>153985.99</v>
      </c>
      <c r="DF6" s="264">
        <v>10782.54</v>
      </c>
      <c r="DG6" s="264">
        <v>47618.559999999998</v>
      </c>
      <c r="DH6" s="264">
        <v>75130.179999999993</v>
      </c>
      <c r="DI6" s="264">
        <v>69801.210000000006</v>
      </c>
      <c r="DJ6" s="264">
        <v>0</v>
      </c>
      <c r="DK6" s="264">
        <v>0</v>
      </c>
      <c r="DL6" s="264">
        <v>0</v>
      </c>
      <c r="DM6" s="264">
        <v>0</v>
      </c>
    </row>
    <row r="7" spans="1:117">
      <c r="A7" s="259" t="s">
        <v>34</v>
      </c>
      <c r="B7" s="262">
        <v>594979.91</v>
      </c>
      <c r="C7" s="263">
        <v>594979.91</v>
      </c>
      <c r="D7" s="263">
        <v>0</v>
      </c>
      <c r="E7" s="263">
        <v>0</v>
      </c>
      <c r="F7" s="263">
        <v>0</v>
      </c>
      <c r="G7" s="264">
        <v>0</v>
      </c>
      <c r="H7" s="265">
        <v>0</v>
      </c>
      <c r="I7" s="264">
        <v>0</v>
      </c>
      <c r="J7" s="264">
        <v>0</v>
      </c>
      <c r="K7" s="264">
        <v>0</v>
      </c>
      <c r="L7" s="264">
        <v>0</v>
      </c>
      <c r="M7" s="262">
        <v>594979.91</v>
      </c>
      <c r="N7" s="264">
        <v>0</v>
      </c>
      <c r="O7" s="264">
        <v>0</v>
      </c>
      <c r="P7" s="264">
        <v>0</v>
      </c>
      <c r="Q7" s="264">
        <v>0</v>
      </c>
      <c r="R7" s="264">
        <v>0</v>
      </c>
      <c r="S7" s="264">
        <v>0</v>
      </c>
      <c r="T7" s="264">
        <v>0</v>
      </c>
      <c r="U7" s="264">
        <f t="shared" si="0"/>
        <v>0</v>
      </c>
      <c r="V7" s="264">
        <v>0</v>
      </c>
      <c r="W7" s="264">
        <v>0</v>
      </c>
      <c r="X7" s="264">
        <v>0</v>
      </c>
      <c r="Y7" s="264">
        <v>0</v>
      </c>
      <c r="Z7" s="264">
        <v>0</v>
      </c>
      <c r="AA7" s="264">
        <v>0</v>
      </c>
      <c r="AB7" s="264">
        <v>0</v>
      </c>
      <c r="AC7" s="264">
        <v>0</v>
      </c>
      <c r="AD7" s="264">
        <v>-104796.51</v>
      </c>
      <c r="AE7" s="264">
        <v>188679.25</v>
      </c>
      <c r="AF7" s="264">
        <v>511097.17</v>
      </c>
      <c r="AG7" s="264">
        <v>0</v>
      </c>
      <c r="AH7" s="264">
        <v>0</v>
      </c>
      <c r="AI7" s="264">
        <v>0</v>
      </c>
      <c r="AJ7" s="264">
        <v>0</v>
      </c>
      <c r="AK7" s="264">
        <v>0</v>
      </c>
      <c r="AL7" s="264">
        <v>0</v>
      </c>
      <c r="AM7" s="264">
        <v>0</v>
      </c>
      <c r="AN7" s="264">
        <v>0</v>
      </c>
      <c r="AO7" s="264">
        <v>0</v>
      </c>
      <c r="AP7" s="264">
        <v>0</v>
      </c>
      <c r="AQ7" s="264">
        <v>0</v>
      </c>
      <c r="AR7" s="264">
        <v>0</v>
      </c>
      <c r="AS7" s="264">
        <v>0</v>
      </c>
      <c r="AT7" s="264">
        <v>0</v>
      </c>
      <c r="AU7" s="264">
        <v>0</v>
      </c>
      <c r="AV7" s="264">
        <v>0</v>
      </c>
      <c r="AW7" s="264">
        <v>0</v>
      </c>
      <c r="AX7" s="264">
        <v>0</v>
      </c>
      <c r="AY7" s="264">
        <v>0</v>
      </c>
      <c r="AZ7" s="264">
        <v>0</v>
      </c>
      <c r="BA7" s="264">
        <v>0</v>
      </c>
      <c r="BB7" s="264">
        <v>0</v>
      </c>
      <c r="BC7" s="264">
        <v>0</v>
      </c>
      <c r="BD7" s="264">
        <v>0</v>
      </c>
      <c r="BE7" s="264">
        <v>0</v>
      </c>
      <c r="BF7" s="264">
        <v>0</v>
      </c>
      <c r="BG7" s="264">
        <v>0</v>
      </c>
      <c r="BH7" s="264">
        <v>0</v>
      </c>
      <c r="BI7" s="264">
        <v>0</v>
      </c>
      <c r="BJ7" s="264">
        <v>0</v>
      </c>
      <c r="BK7" s="264">
        <v>0</v>
      </c>
      <c r="BL7" s="264">
        <v>0</v>
      </c>
      <c r="BM7" s="264">
        <v>0</v>
      </c>
      <c r="BN7" s="264">
        <v>0</v>
      </c>
      <c r="BO7" s="264">
        <v>0</v>
      </c>
      <c r="BP7" s="264">
        <v>0</v>
      </c>
      <c r="BQ7" s="264">
        <v>0</v>
      </c>
      <c r="BR7" s="264">
        <v>0</v>
      </c>
      <c r="BS7" s="264">
        <v>0</v>
      </c>
      <c r="BT7" s="264">
        <v>0</v>
      </c>
      <c r="BU7" s="264">
        <v>0</v>
      </c>
      <c r="BV7" s="264">
        <v>0</v>
      </c>
      <c r="BW7" s="264">
        <v>0</v>
      </c>
      <c r="BX7" s="264">
        <v>0</v>
      </c>
      <c r="BY7" s="264">
        <v>0</v>
      </c>
      <c r="BZ7" s="264">
        <v>0</v>
      </c>
      <c r="CA7" s="264">
        <v>0</v>
      </c>
      <c r="CB7" s="264">
        <v>0</v>
      </c>
      <c r="CC7" s="264">
        <v>0</v>
      </c>
      <c r="CD7" s="264">
        <v>0</v>
      </c>
      <c r="CE7" s="264">
        <v>0</v>
      </c>
      <c r="CF7" s="264">
        <v>0</v>
      </c>
      <c r="CG7" s="264">
        <v>0</v>
      </c>
      <c r="CH7" s="264">
        <v>0</v>
      </c>
      <c r="CI7" s="264">
        <v>0</v>
      </c>
      <c r="CJ7" s="264">
        <v>0</v>
      </c>
      <c r="CK7" s="264">
        <v>0</v>
      </c>
      <c r="CL7" s="264">
        <v>0</v>
      </c>
      <c r="CM7" s="264">
        <v>0</v>
      </c>
      <c r="CN7" s="264">
        <v>0</v>
      </c>
      <c r="CO7" s="264">
        <v>0</v>
      </c>
      <c r="CP7" s="264">
        <v>0</v>
      </c>
      <c r="CQ7" s="264">
        <v>0</v>
      </c>
      <c r="CR7" s="264">
        <v>0</v>
      </c>
      <c r="CS7" s="264">
        <v>0</v>
      </c>
      <c r="CT7" s="264">
        <v>0</v>
      </c>
      <c r="CU7" s="264">
        <v>0</v>
      </c>
      <c r="CV7" s="264">
        <v>0</v>
      </c>
      <c r="CW7" s="264">
        <v>0</v>
      </c>
      <c r="CX7" s="264">
        <v>0</v>
      </c>
      <c r="CY7" s="264">
        <v>0</v>
      </c>
      <c r="CZ7" s="264">
        <v>0</v>
      </c>
      <c r="DA7" s="264">
        <v>0</v>
      </c>
      <c r="DB7" s="264">
        <v>0</v>
      </c>
      <c r="DC7" s="264">
        <v>0</v>
      </c>
      <c r="DD7" s="264">
        <v>0</v>
      </c>
      <c r="DE7" s="264">
        <v>0</v>
      </c>
      <c r="DF7" s="264">
        <v>0</v>
      </c>
      <c r="DG7" s="264">
        <v>0</v>
      </c>
      <c r="DH7" s="264">
        <v>0</v>
      </c>
      <c r="DI7" s="264">
        <v>0</v>
      </c>
      <c r="DJ7" s="264">
        <v>0</v>
      </c>
      <c r="DK7" s="264">
        <v>0</v>
      </c>
      <c r="DL7" s="264">
        <v>0</v>
      </c>
      <c r="DM7" s="264">
        <v>0</v>
      </c>
    </row>
    <row r="8" spans="1:117">
      <c r="A8" s="259" t="s">
        <v>35</v>
      </c>
      <c r="B8" s="262">
        <v>5179638.9000000004</v>
      </c>
      <c r="C8" s="263">
        <v>4635746.09</v>
      </c>
      <c r="D8" s="263">
        <v>0</v>
      </c>
      <c r="E8" s="263">
        <v>0</v>
      </c>
      <c r="F8" s="263">
        <v>543892.81000000006</v>
      </c>
      <c r="G8" s="264">
        <v>0</v>
      </c>
      <c r="H8" s="265">
        <v>0</v>
      </c>
      <c r="I8" s="264">
        <v>0</v>
      </c>
      <c r="J8" s="264">
        <v>0</v>
      </c>
      <c r="K8" s="264">
        <v>0</v>
      </c>
      <c r="L8" s="264">
        <v>0</v>
      </c>
      <c r="M8" s="262">
        <v>0</v>
      </c>
      <c r="N8" s="264">
        <v>4635746.09</v>
      </c>
      <c r="O8" s="264">
        <v>0</v>
      </c>
      <c r="P8" s="264">
        <v>0</v>
      </c>
      <c r="Q8" s="264">
        <v>0</v>
      </c>
      <c r="R8" s="264">
        <v>0</v>
      </c>
      <c r="S8" s="264">
        <v>0</v>
      </c>
      <c r="T8" s="264">
        <v>0</v>
      </c>
      <c r="U8" s="264">
        <f t="shared" si="0"/>
        <v>0</v>
      </c>
      <c r="V8" s="264">
        <v>0</v>
      </c>
      <c r="W8" s="264">
        <v>0</v>
      </c>
      <c r="X8" s="264">
        <v>0</v>
      </c>
      <c r="Y8" s="264">
        <v>0</v>
      </c>
      <c r="Z8" s="264">
        <v>0</v>
      </c>
      <c r="AA8" s="264">
        <v>0</v>
      </c>
      <c r="AB8" s="264">
        <v>0</v>
      </c>
      <c r="AC8" s="264">
        <v>0</v>
      </c>
      <c r="AD8" s="264">
        <v>0</v>
      </c>
      <c r="AE8" s="264">
        <v>0</v>
      </c>
      <c r="AF8" s="264">
        <v>0</v>
      </c>
      <c r="AG8" s="264">
        <v>0</v>
      </c>
      <c r="AH8" s="264">
        <v>0</v>
      </c>
      <c r="AI8" s="264">
        <v>0</v>
      </c>
      <c r="AJ8" s="264">
        <v>0</v>
      </c>
      <c r="AK8" s="264">
        <v>455075.01</v>
      </c>
      <c r="AL8" s="264">
        <v>450965.08</v>
      </c>
      <c r="AM8" s="264">
        <v>2030396.58</v>
      </c>
      <c r="AN8" s="264">
        <v>1699309.42</v>
      </c>
      <c r="AO8" s="264">
        <v>0</v>
      </c>
      <c r="AP8" s="264">
        <v>0</v>
      </c>
      <c r="AQ8" s="264">
        <v>0</v>
      </c>
      <c r="AR8" s="264">
        <v>0</v>
      </c>
      <c r="AS8" s="264">
        <v>0</v>
      </c>
      <c r="AT8" s="264">
        <v>0</v>
      </c>
      <c r="AU8" s="264">
        <v>0</v>
      </c>
      <c r="AV8" s="264">
        <v>0</v>
      </c>
      <c r="AW8" s="264">
        <v>0</v>
      </c>
      <c r="AX8" s="264">
        <v>0</v>
      </c>
      <c r="AY8" s="264">
        <v>0</v>
      </c>
      <c r="AZ8" s="264">
        <v>0</v>
      </c>
      <c r="BA8" s="264">
        <v>0</v>
      </c>
      <c r="BB8" s="264">
        <v>0</v>
      </c>
      <c r="BC8" s="264">
        <v>0</v>
      </c>
      <c r="BD8" s="264">
        <v>0</v>
      </c>
      <c r="BE8" s="264">
        <v>0</v>
      </c>
      <c r="BF8" s="264">
        <v>0</v>
      </c>
      <c r="BG8" s="264">
        <v>0</v>
      </c>
      <c r="BH8" s="264">
        <v>0</v>
      </c>
      <c r="BI8" s="264">
        <v>0</v>
      </c>
      <c r="BJ8" s="264">
        <v>0</v>
      </c>
      <c r="BK8" s="264">
        <v>0</v>
      </c>
      <c r="BL8" s="264">
        <v>0</v>
      </c>
      <c r="BM8" s="264">
        <v>0</v>
      </c>
      <c r="BN8" s="264">
        <v>0</v>
      </c>
      <c r="BO8" s="264">
        <v>0</v>
      </c>
      <c r="BP8" s="264">
        <v>0</v>
      </c>
      <c r="BQ8" s="264">
        <v>0</v>
      </c>
      <c r="BR8" s="264">
        <v>0</v>
      </c>
      <c r="BS8" s="264">
        <v>0</v>
      </c>
      <c r="BT8" s="264">
        <v>0</v>
      </c>
      <c r="BU8" s="264">
        <v>0</v>
      </c>
      <c r="BV8" s="264">
        <v>0</v>
      </c>
      <c r="BW8" s="264">
        <v>0</v>
      </c>
      <c r="BX8" s="264">
        <v>0</v>
      </c>
      <c r="BY8" s="264">
        <v>0</v>
      </c>
      <c r="BZ8" s="264">
        <v>0</v>
      </c>
      <c r="CA8" s="264">
        <v>0</v>
      </c>
      <c r="CB8" s="264">
        <v>0</v>
      </c>
      <c r="CC8" s="264">
        <v>0</v>
      </c>
      <c r="CD8" s="264">
        <v>0</v>
      </c>
      <c r="CE8" s="264">
        <v>0</v>
      </c>
      <c r="CF8" s="264">
        <v>0</v>
      </c>
      <c r="CG8" s="264">
        <v>0</v>
      </c>
      <c r="CH8" s="264">
        <v>0</v>
      </c>
      <c r="CI8" s="264">
        <v>0</v>
      </c>
      <c r="CJ8" s="264">
        <v>0</v>
      </c>
      <c r="CK8" s="264">
        <v>0</v>
      </c>
      <c r="CL8" s="264">
        <v>0</v>
      </c>
      <c r="CM8" s="264">
        <v>0</v>
      </c>
      <c r="CN8" s="264">
        <v>0</v>
      </c>
      <c r="CO8" s="264">
        <v>0</v>
      </c>
      <c r="CP8" s="264">
        <v>0</v>
      </c>
      <c r="CQ8" s="264">
        <v>0</v>
      </c>
      <c r="CR8" s="264">
        <v>0</v>
      </c>
      <c r="CS8" s="264">
        <v>0</v>
      </c>
      <c r="CT8" s="264">
        <v>0</v>
      </c>
      <c r="CU8" s="264">
        <v>0</v>
      </c>
      <c r="CV8" s="264">
        <v>0</v>
      </c>
      <c r="CW8" s="264">
        <v>0</v>
      </c>
      <c r="CX8" s="264">
        <v>0</v>
      </c>
      <c r="CY8" s="264">
        <v>0</v>
      </c>
      <c r="CZ8" s="264">
        <v>0</v>
      </c>
      <c r="DA8" s="264">
        <v>0</v>
      </c>
      <c r="DB8" s="264">
        <v>0</v>
      </c>
      <c r="DC8" s="264">
        <v>0</v>
      </c>
      <c r="DD8" s="264">
        <v>0</v>
      </c>
      <c r="DE8" s="264">
        <v>0</v>
      </c>
      <c r="DF8" s="264">
        <v>0</v>
      </c>
      <c r="DG8" s="264">
        <v>0</v>
      </c>
      <c r="DH8" s="264">
        <v>0</v>
      </c>
      <c r="DI8" s="264">
        <v>0</v>
      </c>
      <c r="DJ8" s="264">
        <v>0</v>
      </c>
      <c r="DK8" s="264">
        <v>0</v>
      </c>
      <c r="DL8" s="264">
        <v>0</v>
      </c>
      <c r="DM8" s="264">
        <v>0</v>
      </c>
    </row>
    <row r="9" spans="1:117">
      <c r="A9" s="259" t="s">
        <v>495</v>
      </c>
      <c r="B9" s="262">
        <v>13473266.829999886</v>
      </c>
      <c r="C9" s="263">
        <v>13586661.42</v>
      </c>
      <c r="D9" s="263">
        <v>205336.20999999909</v>
      </c>
      <c r="E9" s="263">
        <v>3371520.97</v>
      </c>
      <c r="F9" s="263">
        <v>1774137.23</v>
      </c>
      <c r="G9" s="264">
        <v>799405.55999999994</v>
      </c>
      <c r="H9" s="265">
        <v>-6263794.5600001104</v>
      </c>
      <c r="I9" s="264">
        <v>-29611597.25</v>
      </c>
      <c r="J9" s="264">
        <v>4.9000000000000004</v>
      </c>
      <c r="K9" s="264">
        <v>0</v>
      </c>
      <c r="L9" s="264">
        <v>2629545.87</v>
      </c>
      <c r="M9" s="262">
        <v>1.6</v>
      </c>
      <c r="N9" s="264">
        <v>181256.52</v>
      </c>
      <c r="O9" s="264">
        <v>0</v>
      </c>
      <c r="P9" s="264">
        <v>0</v>
      </c>
      <c r="Q9" s="264">
        <v>0</v>
      </c>
      <c r="R9" s="264">
        <v>0</v>
      </c>
      <c r="S9" s="264">
        <v>0</v>
      </c>
      <c r="T9" s="264">
        <v>40387449.780000001</v>
      </c>
      <c r="U9" s="264">
        <f t="shared" si="0"/>
        <v>40387449.780000001</v>
      </c>
      <c r="V9" s="264">
        <v>0</v>
      </c>
      <c r="W9" s="264">
        <v>0</v>
      </c>
      <c r="X9" s="264">
        <v>439059.23</v>
      </c>
      <c r="Y9" s="264">
        <v>2084605.18</v>
      </c>
      <c r="Z9" s="264">
        <v>105881.46</v>
      </c>
      <c r="AA9" s="264">
        <v>0</v>
      </c>
      <c r="AB9" s="264">
        <v>0</v>
      </c>
      <c r="AC9" s="264">
        <v>0</v>
      </c>
      <c r="AD9" s="264">
        <v>0</v>
      </c>
      <c r="AE9" s="264">
        <v>0</v>
      </c>
      <c r="AF9" s="264">
        <v>0</v>
      </c>
      <c r="AG9" s="264">
        <v>0</v>
      </c>
      <c r="AH9" s="264">
        <v>0</v>
      </c>
      <c r="AI9" s="264">
        <v>1.6</v>
      </c>
      <c r="AJ9" s="264">
        <v>0</v>
      </c>
      <c r="AK9" s="264">
        <v>0</v>
      </c>
      <c r="AL9" s="264">
        <v>181256.52</v>
      </c>
      <c r="AM9" s="264">
        <v>0</v>
      </c>
      <c r="AN9" s="264">
        <v>0</v>
      </c>
      <c r="AO9" s="264">
        <v>0</v>
      </c>
      <c r="AP9" s="264">
        <v>0</v>
      </c>
      <c r="AQ9" s="264">
        <v>2351.6</v>
      </c>
      <c r="AR9" s="264">
        <v>0</v>
      </c>
      <c r="AS9" s="264">
        <v>40395688.329999998</v>
      </c>
      <c r="AT9" s="264">
        <v>0</v>
      </c>
      <c r="AU9" s="264">
        <v>-10590.15</v>
      </c>
      <c r="AV9" s="264">
        <v>-16.989999999999998</v>
      </c>
      <c r="AW9" s="264">
        <v>-7061.52</v>
      </c>
      <c r="AX9" s="264">
        <v>-250.39</v>
      </c>
      <c r="AY9" s="264">
        <v>-2.1</v>
      </c>
      <c r="AZ9" s="264">
        <v>-3.42</v>
      </c>
      <c r="BA9" s="264">
        <v>-41.6</v>
      </c>
      <c r="BB9" s="264">
        <v>-1.8</v>
      </c>
      <c r="BC9" s="264">
        <v>-64.67</v>
      </c>
      <c r="BD9" s="264">
        <v>-0.26</v>
      </c>
      <c r="BE9" s="264">
        <v>-145.32</v>
      </c>
      <c r="BF9" s="264">
        <v>-20.04</v>
      </c>
      <c r="BG9" s="264">
        <v>-1418.8</v>
      </c>
      <c r="BH9" s="264">
        <v>-80.510000000000005</v>
      </c>
      <c r="BI9" s="264">
        <v>-148.19</v>
      </c>
      <c r="BJ9" s="264">
        <v>-0.45</v>
      </c>
      <c r="BK9" s="264">
        <v>0</v>
      </c>
      <c r="BL9" s="264">
        <v>-0.04</v>
      </c>
      <c r="BM9" s="264">
        <v>0</v>
      </c>
      <c r="BN9" s="264">
        <v>-8.52</v>
      </c>
      <c r="BO9" s="264">
        <v>-0.79</v>
      </c>
      <c r="BP9" s="264">
        <v>-0.01</v>
      </c>
      <c r="BQ9" s="264">
        <v>-0.01</v>
      </c>
      <c r="BR9" s="264">
        <v>0</v>
      </c>
      <c r="BS9" s="264">
        <v>0</v>
      </c>
      <c r="BT9" s="264">
        <v>-142.16</v>
      </c>
      <c r="BU9" s="264">
        <v>-0.03</v>
      </c>
      <c r="BV9" s="264">
        <v>0</v>
      </c>
      <c r="BW9" s="264">
        <v>-5.42</v>
      </c>
      <c r="BX9" s="264">
        <v>-0.16</v>
      </c>
      <c r="BY9" s="264">
        <v>-161.88999999999999</v>
      </c>
      <c r="BZ9" s="264">
        <v>-13.85</v>
      </c>
      <c r="CA9" s="264">
        <v>0</v>
      </c>
      <c r="CB9" s="264">
        <v>0</v>
      </c>
      <c r="CC9" s="264">
        <v>0</v>
      </c>
      <c r="CD9" s="264">
        <v>0</v>
      </c>
      <c r="CE9" s="264">
        <v>-1.5</v>
      </c>
      <c r="CF9" s="264">
        <v>-159.84</v>
      </c>
      <c r="CG9" s="264">
        <v>0</v>
      </c>
      <c r="CH9" s="264">
        <v>-1.51</v>
      </c>
      <c r="CI9" s="264">
        <v>0</v>
      </c>
      <c r="CJ9" s="264">
        <v>0</v>
      </c>
      <c r="CK9" s="264">
        <v>0</v>
      </c>
      <c r="CL9" s="264">
        <v>0</v>
      </c>
      <c r="CM9" s="264">
        <v>0</v>
      </c>
      <c r="CN9" s="264">
        <v>0</v>
      </c>
      <c r="CO9" s="264">
        <v>0</v>
      </c>
      <c r="CP9" s="264">
        <v>0</v>
      </c>
      <c r="CQ9" s="264">
        <v>-1.76</v>
      </c>
      <c r="CR9" s="264">
        <v>0</v>
      </c>
      <c r="CS9" s="264">
        <v>0</v>
      </c>
      <c r="CT9" s="264">
        <v>0</v>
      </c>
      <c r="CU9" s="264">
        <v>0</v>
      </c>
      <c r="CV9" s="264">
        <v>0</v>
      </c>
      <c r="CW9" s="264">
        <v>0</v>
      </c>
      <c r="CX9" s="264">
        <v>0</v>
      </c>
      <c r="CY9" s="264">
        <v>0</v>
      </c>
      <c r="CZ9" s="264">
        <v>0</v>
      </c>
      <c r="DA9" s="264">
        <v>0</v>
      </c>
      <c r="DB9" s="264">
        <v>0</v>
      </c>
      <c r="DC9" s="264">
        <v>0</v>
      </c>
      <c r="DD9" s="264">
        <v>-832.84</v>
      </c>
      <c r="DE9" s="264">
        <v>-2.5299999999999998</v>
      </c>
      <c r="DF9" s="264">
        <v>0</v>
      </c>
      <c r="DG9" s="264">
        <v>0</v>
      </c>
      <c r="DH9" s="264">
        <v>0</v>
      </c>
      <c r="DI9" s="264">
        <v>-1.23</v>
      </c>
      <c r="DJ9" s="264">
        <v>0</v>
      </c>
      <c r="DK9" s="264">
        <v>0</v>
      </c>
      <c r="DL9" s="264">
        <v>0</v>
      </c>
      <c r="DM9" s="264">
        <v>0</v>
      </c>
    </row>
    <row r="10" spans="1:117">
      <c r="A10" s="259" t="s">
        <v>496</v>
      </c>
      <c r="B10" s="262">
        <v>-33558521.740000002</v>
      </c>
      <c r="C10" s="263">
        <v>-30489840.420000002</v>
      </c>
      <c r="D10" s="263">
        <v>211637.50999999998</v>
      </c>
      <c r="E10" s="263">
        <v>-180.4</v>
      </c>
      <c r="F10" s="263">
        <v>0</v>
      </c>
      <c r="G10" s="264">
        <v>-3282172.51</v>
      </c>
      <c r="H10" s="265">
        <v>2034.08</v>
      </c>
      <c r="I10" s="264">
        <v>0</v>
      </c>
      <c r="J10" s="264">
        <v>0</v>
      </c>
      <c r="K10" s="264">
        <v>0</v>
      </c>
      <c r="L10" s="264">
        <v>-30593991.359999999</v>
      </c>
      <c r="M10" s="262">
        <v>0</v>
      </c>
      <c r="N10" s="264">
        <v>0</v>
      </c>
      <c r="O10" s="264">
        <v>0</v>
      </c>
      <c r="P10" s="264">
        <v>0</v>
      </c>
      <c r="Q10" s="264">
        <v>0</v>
      </c>
      <c r="R10" s="264">
        <v>0</v>
      </c>
      <c r="S10" s="264">
        <v>0</v>
      </c>
      <c r="T10" s="264">
        <v>104150.94</v>
      </c>
      <c r="U10" s="264">
        <f t="shared" si="0"/>
        <v>104150.94</v>
      </c>
      <c r="V10" s="264">
        <v>0</v>
      </c>
      <c r="W10" s="264">
        <v>4801683.08</v>
      </c>
      <c r="X10" s="264">
        <v>-48841162.68</v>
      </c>
      <c r="Y10" s="264">
        <v>14078562.59</v>
      </c>
      <c r="Z10" s="264">
        <v>-593018.63</v>
      </c>
      <c r="AA10" s="264">
        <v>-40055.72</v>
      </c>
      <c r="AB10" s="264">
        <v>0</v>
      </c>
      <c r="AC10" s="264">
        <v>0</v>
      </c>
      <c r="AD10" s="264">
        <v>0</v>
      </c>
      <c r="AE10" s="264">
        <v>0</v>
      </c>
      <c r="AF10" s="264">
        <v>0</v>
      </c>
      <c r="AG10" s="264">
        <v>0</v>
      </c>
      <c r="AH10" s="264">
        <v>0</v>
      </c>
      <c r="AI10" s="264">
        <v>0</v>
      </c>
      <c r="AJ10" s="264">
        <v>0</v>
      </c>
      <c r="AK10" s="264">
        <v>0</v>
      </c>
      <c r="AL10" s="264">
        <v>0</v>
      </c>
      <c r="AM10" s="264">
        <v>0</v>
      </c>
      <c r="AN10" s="264">
        <v>0</v>
      </c>
      <c r="AO10" s="264">
        <v>0</v>
      </c>
      <c r="AP10" s="264">
        <v>0</v>
      </c>
      <c r="AQ10" s="264">
        <v>0</v>
      </c>
      <c r="AR10" s="264">
        <v>0</v>
      </c>
      <c r="AS10" s="264">
        <v>104150.94</v>
      </c>
      <c r="AT10" s="264">
        <v>0</v>
      </c>
      <c r="AU10" s="264">
        <v>0</v>
      </c>
      <c r="AV10" s="264">
        <v>0</v>
      </c>
      <c r="AW10" s="264">
        <v>0</v>
      </c>
      <c r="AX10" s="264">
        <v>0</v>
      </c>
      <c r="AY10" s="264">
        <v>0</v>
      </c>
      <c r="AZ10" s="264">
        <v>0</v>
      </c>
      <c r="BA10" s="264">
        <v>0</v>
      </c>
      <c r="BB10" s="264">
        <v>0</v>
      </c>
      <c r="BC10" s="264">
        <v>0</v>
      </c>
      <c r="BD10" s="264">
        <v>0</v>
      </c>
      <c r="BE10" s="264">
        <v>0</v>
      </c>
      <c r="BF10" s="264">
        <v>0</v>
      </c>
      <c r="BG10" s="264">
        <v>0</v>
      </c>
      <c r="BH10" s="264">
        <v>0</v>
      </c>
      <c r="BI10" s="264">
        <v>0</v>
      </c>
      <c r="BJ10" s="264">
        <v>0</v>
      </c>
      <c r="BK10" s="264">
        <v>0</v>
      </c>
      <c r="BL10" s="264">
        <v>0</v>
      </c>
      <c r="BM10" s="264">
        <v>0</v>
      </c>
      <c r="BN10" s="264">
        <v>0</v>
      </c>
      <c r="BO10" s="264">
        <v>0</v>
      </c>
      <c r="BP10" s="264">
        <v>0</v>
      </c>
      <c r="BQ10" s="264">
        <v>0</v>
      </c>
      <c r="BR10" s="264">
        <v>0</v>
      </c>
      <c r="BS10" s="264">
        <v>0</v>
      </c>
      <c r="BT10" s="264">
        <v>0</v>
      </c>
      <c r="BU10" s="264">
        <v>0</v>
      </c>
      <c r="BV10" s="264">
        <v>0</v>
      </c>
      <c r="BW10" s="264">
        <v>0</v>
      </c>
      <c r="BX10" s="264">
        <v>0</v>
      </c>
      <c r="BY10" s="264">
        <v>0</v>
      </c>
      <c r="BZ10" s="264">
        <v>0</v>
      </c>
      <c r="CA10" s="264">
        <v>0</v>
      </c>
      <c r="CB10" s="264">
        <v>0</v>
      </c>
      <c r="CC10" s="264">
        <v>0</v>
      </c>
      <c r="CD10" s="264">
        <v>0</v>
      </c>
      <c r="CE10" s="264">
        <v>0</v>
      </c>
      <c r="CF10" s="264">
        <v>0</v>
      </c>
      <c r="CG10" s="264">
        <v>0</v>
      </c>
      <c r="CH10" s="264">
        <v>0</v>
      </c>
      <c r="CI10" s="264">
        <v>0</v>
      </c>
      <c r="CJ10" s="264">
        <v>0</v>
      </c>
      <c r="CK10" s="264">
        <v>0</v>
      </c>
      <c r="CL10" s="264">
        <v>0</v>
      </c>
      <c r="CM10" s="264">
        <v>0</v>
      </c>
      <c r="CN10" s="264">
        <v>0</v>
      </c>
      <c r="CO10" s="264">
        <v>0</v>
      </c>
      <c r="CP10" s="264">
        <v>0</v>
      </c>
      <c r="CQ10" s="264">
        <v>0</v>
      </c>
      <c r="CR10" s="264">
        <v>0</v>
      </c>
      <c r="CS10" s="264">
        <v>0</v>
      </c>
      <c r="CT10" s="264">
        <v>0</v>
      </c>
      <c r="CU10" s="264">
        <v>0</v>
      </c>
      <c r="CV10" s="264">
        <v>0</v>
      </c>
      <c r="CW10" s="264">
        <v>0</v>
      </c>
      <c r="CX10" s="264">
        <v>0</v>
      </c>
      <c r="CY10" s="264">
        <v>0</v>
      </c>
      <c r="CZ10" s="264">
        <v>0</v>
      </c>
      <c r="DA10" s="264">
        <v>0</v>
      </c>
      <c r="DB10" s="264">
        <v>0</v>
      </c>
      <c r="DC10" s="264">
        <v>0</v>
      </c>
      <c r="DD10" s="264">
        <v>0</v>
      </c>
      <c r="DE10" s="264">
        <v>0</v>
      </c>
      <c r="DF10" s="264">
        <v>0</v>
      </c>
      <c r="DG10" s="264">
        <v>0</v>
      </c>
      <c r="DH10" s="264">
        <v>0</v>
      </c>
      <c r="DI10" s="264">
        <v>0</v>
      </c>
      <c r="DJ10" s="264">
        <v>0</v>
      </c>
      <c r="DK10" s="264">
        <v>0</v>
      </c>
      <c r="DL10" s="264">
        <v>0</v>
      </c>
      <c r="DM10" s="264">
        <v>0</v>
      </c>
    </row>
    <row r="11" spans="1:117">
      <c r="A11" s="259" t="s">
        <v>497</v>
      </c>
      <c r="B11" s="262">
        <v>-180.4</v>
      </c>
      <c r="C11" s="263">
        <v>0</v>
      </c>
      <c r="D11" s="263">
        <v>0</v>
      </c>
      <c r="E11" s="263">
        <v>-180.4</v>
      </c>
      <c r="F11" s="263">
        <v>0</v>
      </c>
      <c r="G11" s="264">
        <v>0</v>
      </c>
      <c r="H11" s="265">
        <v>0</v>
      </c>
      <c r="I11" s="264">
        <v>0</v>
      </c>
      <c r="J11" s="264">
        <v>0</v>
      </c>
      <c r="K11" s="264">
        <v>0</v>
      </c>
      <c r="L11" s="264">
        <v>0</v>
      </c>
      <c r="M11" s="262">
        <v>0</v>
      </c>
      <c r="N11" s="264">
        <v>0</v>
      </c>
      <c r="O11" s="264">
        <v>0</v>
      </c>
      <c r="P11" s="264">
        <v>0</v>
      </c>
      <c r="Q11" s="264">
        <v>0</v>
      </c>
      <c r="R11" s="264">
        <v>0</v>
      </c>
      <c r="S11" s="264">
        <v>0</v>
      </c>
      <c r="T11" s="264">
        <v>0</v>
      </c>
      <c r="U11" s="264">
        <f t="shared" si="0"/>
        <v>0</v>
      </c>
      <c r="V11" s="264">
        <v>0</v>
      </c>
      <c r="W11" s="264">
        <v>0</v>
      </c>
      <c r="X11" s="264">
        <v>0</v>
      </c>
      <c r="Y11" s="264">
        <v>0</v>
      </c>
      <c r="Z11" s="264">
        <v>0</v>
      </c>
      <c r="AA11" s="264">
        <v>0</v>
      </c>
      <c r="AB11" s="264">
        <v>0</v>
      </c>
      <c r="AC11" s="264">
        <v>0</v>
      </c>
      <c r="AD11" s="264">
        <v>0</v>
      </c>
      <c r="AE11" s="264">
        <v>0</v>
      </c>
      <c r="AF11" s="264">
        <v>0</v>
      </c>
      <c r="AG11" s="264">
        <v>0</v>
      </c>
      <c r="AH11" s="264">
        <v>0</v>
      </c>
      <c r="AI11" s="264">
        <v>0</v>
      </c>
      <c r="AJ11" s="264">
        <v>0</v>
      </c>
      <c r="AK11" s="264">
        <v>0</v>
      </c>
      <c r="AL11" s="264">
        <v>0</v>
      </c>
      <c r="AM11" s="264">
        <v>0</v>
      </c>
      <c r="AN11" s="264">
        <v>0</v>
      </c>
      <c r="AO11" s="264">
        <v>0</v>
      </c>
      <c r="AP11" s="264">
        <v>0</v>
      </c>
      <c r="AQ11" s="264">
        <v>0</v>
      </c>
      <c r="AR11" s="264">
        <v>0</v>
      </c>
      <c r="AS11" s="264">
        <v>0</v>
      </c>
      <c r="AT11" s="264">
        <v>0</v>
      </c>
      <c r="AU11" s="264">
        <v>0</v>
      </c>
      <c r="AV11" s="264">
        <v>0</v>
      </c>
      <c r="AW11" s="264">
        <v>0</v>
      </c>
      <c r="AX11" s="264">
        <v>0</v>
      </c>
      <c r="AY11" s="264">
        <v>0</v>
      </c>
      <c r="AZ11" s="264">
        <v>0</v>
      </c>
      <c r="BA11" s="264">
        <v>0</v>
      </c>
      <c r="BB11" s="264">
        <v>0</v>
      </c>
      <c r="BC11" s="264">
        <v>0</v>
      </c>
      <c r="BD11" s="264">
        <v>0</v>
      </c>
      <c r="BE11" s="264">
        <v>0</v>
      </c>
      <c r="BF11" s="264">
        <v>0</v>
      </c>
      <c r="BG11" s="264">
        <v>0</v>
      </c>
      <c r="BH11" s="264">
        <v>0</v>
      </c>
      <c r="BI11" s="264">
        <v>0</v>
      </c>
      <c r="BJ11" s="264">
        <v>0</v>
      </c>
      <c r="BK11" s="264">
        <v>0</v>
      </c>
      <c r="BL11" s="264">
        <v>0</v>
      </c>
      <c r="BM11" s="264">
        <v>0</v>
      </c>
      <c r="BN11" s="264">
        <v>0</v>
      </c>
      <c r="BO11" s="264">
        <v>0</v>
      </c>
      <c r="BP11" s="264">
        <v>0</v>
      </c>
      <c r="BQ11" s="264">
        <v>0</v>
      </c>
      <c r="BR11" s="264">
        <v>0</v>
      </c>
      <c r="BS11" s="264">
        <v>0</v>
      </c>
      <c r="BT11" s="264">
        <v>0</v>
      </c>
      <c r="BU11" s="264">
        <v>0</v>
      </c>
      <c r="BV11" s="264">
        <v>0</v>
      </c>
      <c r="BW11" s="264">
        <v>0</v>
      </c>
      <c r="BX11" s="264">
        <v>0</v>
      </c>
      <c r="BY11" s="264">
        <v>0</v>
      </c>
      <c r="BZ11" s="264">
        <v>0</v>
      </c>
      <c r="CA11" s="264">
        <v>0</v>
      </c>
      <c r="CB11" s="264">
        <v>0</v>
      </c>
      <c r="CC11" s="264">
        <v>0</v>
      </c>
      <c r="CD11" s="264">
        <v>0</v>
      </c>
      <c r="CE11" s="264">
        <v>0</v>
      </c>
      <c r="CF11" s="264">
        <v>0</v>
      </c>
      <c r="CG11" s="264">
        <v>0</v>
      </c>
      <c r="CH11" s="264">
        <v>0</v>
      </c>
      <c r="CI11" s="264">
        <v>0</v>
      </c>
      <c r="CJ11" s="264">
        <v>0</v>
      </c>
      <c r="CK11" s="264">
        <v>0</v>
      </c>
      <c r="CL11" s="264">
        <v>0</v>
      </c>
      <c r="CM11" s="264">
        <v>0</v>
      </c>
      <c r="CN11" s="264">
        <v>0</v>
      </c>
      <c r="CO11" s="264">
        <v>0</v>
      </c>
      <c r="CP11" s="264">
        <v>0</v>
      </c>
      <c r="CQ11" s="264">
        <v>0</v>
      </c>
      <c r="CR11" s="264">
        <v>0</v>
      </c>
      <c r="CS11" s="264">
        <v>0</v>
      </c>
      <c r="CT11" s="264">
        <v>0</v>
      </c>
      <c r="CU11" s="264">
        <v>0</v>
      </c>
      <c r="CV11" s="264">
        <v>0</v>
      </c>
      <c r="CW11" s="264">
        <v>0</v>
      </c>
      <c r="CX11" s="264">
        <v>0</v>
      </c>
      <c r="CY11" s="264">
        <v>0</v>
      </c>
      <c r="CZ11" s="264">
        <v>0</v>
      </c>
      <c r="DA11" s="264">
        <v>0</v>
      </c>
      <c r="DB11" s="264">
        <v>0</v>
      </c>
      <c r="DC11" s="264">
        <v>0</v>
      </c>
      <c r="DD11" s="264">
        <v>0</v>
      </c>
      <c r="DE11" s="264">
        <v>0</v>
      </c>
      <c r="DF11" s="264">
        <v>0</v>
      </c>
      <c r="DG11" s="264">
        <v>0</v>
      </c>
      <c r="DH11" s="264">
        <v>0</v>
      </c>
      <c r="DI11" s="264">
        <v>0</v>
      </c>
      <c r="DJ11" s="264">
        <v>0</v>
      </c>
      <c r="DK11" s="264">
        <v>0</v>
      </c>
      <c r="DL11" s="264">
        <v>0</v>
      </c>
      <c r="DM11" s="264">
        <v>0</v>
      </c>
    </row>
    <row r="12" spans="1:117">
      <c r="A12" s="259" t="s">
        <v>498</v>
      </c>
      <c r="B12" s="262">
        <v>-65521541.730000004</v>
      </c>
      <c r="C12" s="263">
        <v>13754867.18</v>
      </c>
      <c r="D12" s="263">
        <v>244011.51999999999</v>
      </c>
      <c r="E12" s="263">
        <v>0</v>
      </c>
      <c r="F12" s="263">
        <v>0</v>
      </c>
      <c r="G12" s="264">
        <v>-84632420.430000007</v>
      </c>
      <c r="H12" s="265">
        <v>5112000</v>
      </c>
      <c r="I12" s="264">
        <v>0</v>
      </c>
      <c r="J12" s="264">
        <v>0</v>
      </c>
      <c r="K12" s="264">
        <v>0</v>
      </c>
      <c r="L12" s="264">
        <v>13754867.18</v>
      </c>
      <c r="M12" s="262">
        <v>0</v>
      </c>
      <c r="N12" s="264">
        <v>0</v>
      </c>
      <c r="O12" s="264">
        <v>0</v>
      </c>
      <c r="P12" s="264">
        <v>0</v>
      </c>
      <c r="Q12" s="264">
        <v>0</v>
      </c>
      <c r="R12" s="264">
        <v>0</v>
      </c>
      <c r="S12" s="264">
        <v>0</v>
      </c>
      <c r="T12" s="264">
        <v>0</v>
      </c>
      <c r="U12" s="264">
        <f t="shared" si="0"/>
        <v>0</v>
      </c>
      <c r="V12" s="264">
        <v>0</v>
      </c>
      <c r="W12" s="264">
        <v>1908500</v>
      </c>
      <c r="X12" s="264">
        <v>59397235.07</v>
      </c>
      <c r="Y12" s="264">
        <v>19060572.190000001</v>
      </c>
      <c r="Z12" s="264">
        <v>2456376.75</v>
      </c>
      <c r="AA12" s="264">
        <v>-69067816.829999998</v>
      </c>
      <c r="AB12" s="264">
        <v>0</v>
      </c>
      <c r="AC12" s="264">
        <v>0</v>
      </c>
      <c r="AD12" s="264">
        <v>0</v>
      </c>
      <c r="AE12" s="264">
        <v>0</v>
      </c>
      <c r="AF12" s="264">
        <v>0</v>
      </c>
      <c r="AG12" s="264">
        <v>0</v>
      </c>
      <c r="AH12" s="264">
        <v>0</v>
      </c>
      <c r="AI12" s="264">
        <v>0</v>
      </c>
      <c r="AJ12" s="264">
        <v>0</v>
      </c>
      <c r="AK12" s="264">
        <v>0</v>
      </c>
      <c r="AL12" s="264">
        <v>0</v>
      </c>
      <c r="AM12" s="264">
        <v>0</v>
      </c>
      <c r="AN12" s="264">
        <v>0</v>
      </c>
      <c r="AO12" s="264">
        <v>0</v>
      </c>
      <c r="AP12" s="264">
        <v>0</v>
      </c>
      <c r="AQ12" s="264">
        <v>0</v>
      </c>
      <c r="AR12" s="264">
        <v>0</v>
      </c>
      <c r="AS12" s="264">
        <v>0</v>
      </c>
      <c r="AT12" s="264">
        <v>0</v>
      </c>
      <c r="AU12" s="264">
        <v>0</v>
      </c>
      <c r="AV12" s="264">
        <v>0</v>
      </c>
      <c r="AW12" s="264">
        <v>0</v>
      </c>
      <c r="AX12" s="264">
        <v>0</v>
      </c>
      <c r="AY12" s="264">
        <v>0</v>
      </c>
      <c r="AZ12" s="264">
        <v>0</v>
      </c>
      <c r="BA12" s="264">
        <v>0</v>
      </c>
      <c r="BB12" s="264">
        <v>0</v>
      </c>
      <c r="BC12" s="264">
        <v>0</v>
      </c>
      <c r="BD12" s="264">
        <v>0</v>
      </c>
      <c r="BE12" s="264">
        <v>0</v>
      </c>
      <c r="BF12" s="264">
        <v>0</v>
      </c>
      <c r="BG12" s="264">
        <v>0</v>
      </c>
      <c r="BH12" s="264">
        <v>0</v>
      </c>
      <c r="BI12" s="264">
        <v>0</v>
      </c>
      <c r="BJ12" s="264">
        <v>0</v>
      </c>
      <c r="BK12" s="264">
        <v>0</v>
      </c>
      <c r="BL12" s="264">
        <v>0</v>
      </c>
      <c r="BM12" s="264">
        <v>0</v>
      </c>
      <c r="BN12" s="264">
        <v>0</v>
      </c>
      <c r="BO12" s="264">
        <v>0</v>
      </c>
      <c r="BP12" s="264">
        <v>0</v>
      </c>
      <c r="BQ12" s="264">
        <v>0</v>
      </c>
      <c r="BR12" s="264">
        <v>0</v>
      </c>
      <c r="BS12" s="264">
        <v>0</v>
      </c>
      <c r="BT12" s="264">
        <v>0</v>
      </c>
      <c r="BU12" s="264">
        <v>0</v>
      </c>
      <c r="BV12" s="264">
        <v>0</v>
      </c>
      <c r="BW12" s="264">
        <v>0</v>
      </c>
      <c r="BX12" s="264">
        <v>0</v>
      </c>
      <c r="BY12" s="264">
        <v>0</v>
      </c>
      <c r="BZ12" s="264">
        <v>0</v>
      </c>
      <c r="CA12" s="264">
        <v>0</v>
      </c>
      <c r="CB12" s="264">
        <v>0</v>
      </c>
      <c r="CC12" s="264">
        <v>0</v>
      </c>
      <c r="CD12" s="264">
        <v>0</v>
      </c>
      <c r="CE12" s="264">
        <v>0</v>
      </c>
      <c r="CF12" s="264">
        <v>0</v>
      </c>
      <c r="CG12" s="264">
        <v>0</v>
      </c>
      <c r="CH12" s="264">
        <v>0</v>
      </c>
      <c r="CI12" s="264">
        <v>0</v>
      </c>
      <c r="CJ12" s="264">
        <v>0</v>
      </c>
      <c r="CK12" s="264">
        <v>0</v>
      </c>
      <c r="CL12" s="264">
        <v>0</v>
      </c>
      <c r="CM12" s="264">
        <v>0</v>
      </c>
      <c r="CN12" s="264">
        <v>0</v>
      </c>
      <c r="CO12" s="264">
        <v>0</v>
      </c>
      <c r="CP12" s="264">
        <v>0</v>
      </c>
      <c r="CQ12" s="264">
        <v>0</v>
      </c>
      <c r="CR12" s="264">
        <v>0</v>
      </c>
      <c r="CS12" s="264">
        <v>0</v>
      </c>
      <c r="CT12" s="264">
        <v>0</v>
      </c>
      <c r="CU12" s="264">
        <v>0</v>
      </c>
      <c r="CV12" s="264">
        <v>0</v>
      </c>
      <c r="CW12" s="264">
        <v>0</v>
      </c>
      <c r="CX12" s="264">
        <v>0</v>
      </c>
      <c r="CY12" s="264">
        <v>0</v>
      </c>
      <c r="CZ12" s="264">
        <v>0</v>
      </c>
      <c r="DA12" s="264">
        <v>0</v>
      </c>
      <c r="DB12" s="264">
        <v>0</v>
      </c>
      <c r="DC12" s="264">
        <v>0</v>
      </c>
      <c r="DD12" s="264">
        <v>0</v>
      </c>
      <c r="DE12" s="264">
        <v>0</v>
      </c>
      <c r="DF12" s="264">
        <v>0</v>
      </c>
      <c r="DG12" s="264">
        <v>0</v>
      </c>
      <c r="DH12" s="264">
        <v>0</v>
      </c>
      <c r="DI12" s="264">
        <v>0</v>
      </c>
      <c r="DJ12" s="264">
        <v>0</v>
      </c>
      <c r="DK12" s="264">
        <v>0</v>
      </c>
      <c r="DL12" s="264">
        <v>0</v>
      </c>
      <c r="DM12" s="264">
        <v>0</v>
      </c>
    </row>
    <row r="13" spans="1:117">
      <c r="A13" s="259" t="s">
        <v>499</v>
      </c>
      <c r="B13" s="262">
        <v>-422493.59</v>
      </c>
      <c r="C13" s="263">
        <v>-422493.59</v>
      </c>
      <c r="D13" s="263">
        <v>0</v>
      </c>
      <c r="E13" s="263">
        <v>0</v>
      </c>
      <c r="F13" s="263">
        <v>0</v>
      </c>
      <c r="G13" s="264">
        <v>0</v>
      </c>
      <c r="H13" s="265">
        <v>0</v>
      </c>
      <c r="I13" s="264">
        <v>47640.99</v>
      </c>
      <c r="J13" s="264">
        <v>0</v>
      </c>
      <c r="K13" s="264">
        <v>0</v>
      </c>
      <c r="L13" s="264">
        <v>0</v>
      </c>
      <c r="M13" s="262">
        <v>0</v>
      </c>
      <c r="N13" s="264">
        <v>0</v>
      </c>
      <c r="O13" s="264">
        <v>0</v>
      </c>
      <c r="P13" s="264">
        <v>0</v>
      </c>
      <c r="Q13" s="264">
        <v>0</v>
      </c>
      <c r="R13" s="264">
        <v>0</v>
      </c>
      <c r="S13" s="264">
        <v>0</v>
      </c>
      <c r="T13" s="264">
        <v>-470134.58</v>
      </c>
      <c r="U13" s="264">
        <f t="shared" si="0"/>
        <v>-470134.58</v>
      </c>
      <c r="V13" s="264">
        <v>0</v>
      </c>
      <c r="W13" s="264">
        <v>0</v>
      </c>
      <c r="X13" s="264">
        <v>0</v>
      </c>
      <c r="Y13" s="264">
        <v>0</v>
      </c>
      <c r="Z13" s="264">
        <v>0</v>
      </c>
      <c r="AA13" s="264">
        <v>0</v>
      </c>
      <c r="AB13" s="264">
        <v>0</v>
      </c>
      <c r="AC13" s="264">
        <v>0</v>
      </c>
      <c r="AD13" s="264">
        <v>0</v>
      </c>
      <c r="AE13" s="264">
        <v>0</v>
      </c>
      <c r="AF13" s="264">
        <v>0</v>
      </c>
      <c r="AG13" s="264">
        <v>0</v>
      </c>
      <c r="AH13" s="264">
        <v>0</v>
      </c>
      <c r="AI13" s="264">
        <v>0</v>
      </c>
      <c r="AJ13" s="264">
        <v>0</v>
      </c>
      <c r="AK13" s="264">
        <v>0</v>
      </c>
      <c r="AL13" s="264">
        <v>0</v>
      </c>
      <c r="AM13" s="264">
        <v>0</v>
      </c>
      <c r="AN13" s="264">
        <v>0</v>
      </c>
      <c r="AO13" s="264">
        <v>0</v>
      </c>
      <c r="AP13" s="264">
        <v>0</v>
      </c>
      <c r="AQ13" s="264">
        <v>0</v>
      </c>
      <c r="AR13" s="264">
        <v>0</v>
      </c>
      <c r="AS13" s="264">
        <v>0</v>
      </c>
      <c r="AT13" s="264">
        <v>0</v>
      </c>
      <c r="AU13" s="264">
        <v>-470134.58</v>
      </c>
      <c r="AV13" s="264">
        <v>-33019.1</v>
      </c>
      <c r="AW13" s="264">
        <v>-13402.92</v>
      </c>
      <c r="AX13" s="264">
        <v>-15537.22</v>
      </c>
      <c r="AY13" s="264">
        <v>-32070.28</v>
      </c>
      <c r="AZ13" s="264">
        <v>-62700.86</v>
      </c>
      <c r="BA13" s="264">
        <v>-31686.06</v>
      </c>
      <c r="BB13" s="264">
        <v>-49.14</v>
      </c>
      <c r="BC13" s="264">
        <v>-21748.34</v>
      </c>
      <c r="BD13" s="264">
        <v>-13421.81</v>
      </c>
      <c r="BE13" s="264">
        <v>-8391.84</v>
      </c>
      <c r="BF13" s="264">
        <v>-24533.07</v>
      </c>
      <c r="BG13" s="264">
        <v>-40191.9</v>
      </c>
      <c r="BH13" s="264">
        <v>-119946.83</v>
      </c>
      <c r="BI13" s="264">
        <v>-48206.14</v>
      </c>
      <c r="BJ13" s="264">
        <v>-0.52</v>
      </c>
      <c r="BK13" s="264">
        <v>1990.73</v>
      </c>
      <c r="BL13" s="264">
        <v>-824.77</v>
      </c>
      <c r="BM13" s="264">
        <v>-1269.26</v>
      </c>
      <c r="BN13" s="264">
        <v>-658.12</v>
      </c>
      <c r="BO13" s="264">
        <v>-81.180000000000007</v>
      </c>
      <c r="BP13" s="264">
        <v>-50.68</v>
      </c>
      <c r="BQ13" s="264">
        <v>-4215.41</v>
      </c>
      <c r="BR13" s="264">
        <v>0</v>
      </c>
      <c r="BS13" s="264">
        <v>-0.81</v>
      </c>
      <c r="BT13" s="264">
        <v>0</v>
      </c>
      <c r="BU13" s="264">
        <v>0</v>
      </c>
      <c r="BV13" s="264">
        <v>-15.57</v>
      </c>
      <c r="BW13" s="264">
        <v>0</v>
      </c>
      <c r="BX13" s="264">
        <v>0</v>
      </c>
      <c r="BY13" s="264">
        <v>3</v>
      </c>
      <c r="BZ13" s="264">
        <v>0</v>
      </c>
      <c r="CA13" s="264">
        <v>0</v>
      </c>
      <c r="CB13" s="264">
        <v>0</v>
      </c>
      <c r="CC13" s="264">
        <v>0</v>
      </c>
      <c r="CD13" s="264">
        <v>-20.81</v>
      </c>
      <c r="CE13" s="264">
        <v>-19.760000000000002</v>
      </c>
      <c r="CF13" s="264">
        <v>0</v>
      </c>
      <c r="CG13" s="264">
        <v>0</v>
      </c>
      <c r="CH13" s="264">
        <v>0</v>
      </c>
      <c r="CI13" s="264">
        <v>0</v>
      </c>
      <c r="CJ13" s="264">
        <v>0</v>
      </c>
      <c r="CK13" s="264">
        <v>0</v>
      </c>
      <c r="CL13" s="264">
        <v>0</v>
      </c>
      <c r="CM13" s="264">
        <v>0</v>
      </c>
      <c r="CN13" s="264">
        <v>0</v>
      </c>
      <c r="CO13" s="264">
        <v>0</v>
      </c>
      <c r="CP13" s="264">
        <v>0</v>
      </c>
      <c r="CQ13" s="264">
        <v>0</v>
      </c>
      <c r="CR13" s="264">
        <v>0</v>
      </c>
      <c r="CS13" s="264">
        <v>0</v>
      </c>
      <c r="CT13" s="264">
        <v>0</v>
      </c>
      <c r="CU13" s="264">
        <v>0</v>
      </c>
      <c r="CV13" s="264">
        <v>0</v>
      </c>
      <c r="CW13" s="264">
        <v>0</v>
      </c>
      <c r="CX13" s="264">
        <v>0</v>
      </c>
      <c r="CY13" s="264">
        <v>0</v>
      </c>
      <c r="CZ13" s="264">
        <v>0</v>
      </c>
      <c r="DA13" s="264">
        <v>0</v>
      </c>
      <c r="DB13" s="264">
        <v>0</v>
      </c>
      <c r="DC13" s="264">
        <v>0</v>
      </c>
      <c r="DD13" s="264">
        <v>-56.87</v>
      </c>
      <c r="DE13" s="264">
        <v>-9.0399999999999991</v>
      </c>
      <c r="DF13" s="264">
        <v>0</v>
      </c>
      <c r="DG13" s="264">
        <v>0</v>
      </c>
      <c r="DH13" s="264">
        <v>0</v>
      </c>
      <c r="DI13" s="264">
        <v>0</v>
      </c>
      <c r="DJ13" s="264">
        <v>0</v>
      </c>
      <c r="DK13" s="264">
        <v>0</v>
      </c>
      <c r="DL13" s="264">
        <v>0</v>
      </c>
      <c r="DM13" s="264">
        <v>0</v>
      </c>
    </row>
    <row r="14" spans="1:117">
      <c r="A14" s="259" t="s">
        <v>500</v>
      </c>
      <c r="B14" s="262">
        <v>579680.85</v>
      </c>
      <c r="C14" s="263">
        <v>575419.87</v>
      </c>
      <c r="D14" s="263">
        <v>4260.9799999999959</v>
      </c>
      <c r="E14" s="263">
        <v>0</v>
      </c>
      <c r="F14" s="263">
        <v>0</v>
      </c>
      <c r="G14" s="264">
        <v>0</v>
      </c>
      <c r="H14" s="265">
        <v>0</v>
      </c>
      <c r="I14" s="264">
        <v>0</v>
      </c>
      <c r="J14" s="264">
        <v>0</v>
      </c>
      <c r="K14" s="264">
        <v>0</v>
      </c>
      <c r="L14" s="264">
        <v>0</v>
      </c>
      <c r="M14" s="262">
        <v>0</v>
      </c>
      <c r="N14" s="264">
        <v>0</v>
      </c>
      <c r="O14" s="264">
        <v>0</v>
      </c>
      <c r="P14" s="264">
        <v>0</v>
      </c>
      <c r="Q14" s="264">
        <v>0</v>
      </c>
      <c r="R14" s="264">
        <v>0</v>
      </c>
      <c r="S14" s="264">
        <v>0</v>
      </c>
      <c r="T14" s="264">
        <v>575419.87</v>
      </c>
      <c r="U14" s="264">
        <f t="shared" si="0"/>
        <v>575419.87</v>
      </c>
      <c r="V14" s="264">
        <v>0</v>
      </c>
      <c r="W14" s="264">
        <v>0</v>
      </c>
      <c r="X14" s="264">
        <v>0</v>
      </c>
      <c r="Y14" s="264">
        <v>0</v>
      </c>
      <c r="Z14" s="264">
        <v>0</v>
      </c>
      <c r="AA14" s="264">
        <v>0</v>
      </c>
      <c r="AB14" s="264">
        <v>0</v>
      </c>
      <c r="AC14" s="264">
        <v>0</v>
      </c>
      <c r="AD14" s="264">
        <v>0</v>
      </c>
      <c r="AE14" s="264">
        <v>0</v>
      </c>
      <c r="AF14" s="264">
        <v>0</v>
      </c>
      <c r="AG14" s="264">
        <v>0</v>
      </c>
      <c r="AH14" s="264">
        <v>0</v>
      </c>
      <c r="AI14" s="264">
        <v>0</v>
      </c>
      <c r="AJ14" s="264">
        <v>0</v>
      </c>
      <c r="AK14" s="264">
        <v>0</v>
      </c>
      <c r="AL14" s="264">
        <v>0</v>
      </c>
      <c r="AM14" s="264">
        <v>0</v>
      </c>
      <c r="AN14" s="264">
        <v>0</v>
      </c>
      <c r="AO14" s="264">
        <v>0</v>
      </c>
      <c r="AP14" s="264">
        <v>0</v>
      </c>
      <c r="AQ14" s="264">
        <v>377996.17</v>
      </c>
      <c r="AR14" s="264">
        <v>0</v>
      </c>
      <c r="AS14" s="264">
        <v>0</v>
      </c>
      <c r="AT14" s="264">
        <v>0</v>
      </c>
      <c r="AU14" s="264">
        <v>197423.7</v>
      </c>
      <c r="AV14" s="264">
        <v>9.43</v>
      </c>
      <c r="AW14" s="264">
        <v>145.41999999999999</v>
      </c>
      <c r="AX14" s="264">
        <v>94.63</v>
      </c>
      <c r="AY14" s="264">
        <v>18.87</v>
      </c>
      <c r="AZ14" s="264">
        <v>18018.02</v>
      </c>
      <c r="BA14" s="264">
        <v>18.87</v>
      </c>
      <c r="BB14" s="264">
        <v>0</v>
      </c>
      <c r="BC14" s="264">
        <v>9.43</v>
      </c>
      <c r="BD14" s="264">
        <v>221.18</v>
      </c>
      <c r="BE14" s="264">
        <v>18.87</v>
      </c>
      <c r="BF14" s="264">
        <v>178649.75</v>
      </c>
      <c r="BG14" s="264">
        <v>47.17</v>
      </c>
      <c r="BH14" s="264">
        <v>9.43</v>
      </c>
      <c r="BI14" s="264">
        <v>9.43</v>
      </c>
      <c r="BJ14" s="264">
        <v>0</v>
      </c>
      <c r="BK14" s="264">
        <v>0</v>
      </c>
      <c r="BL14" s="264">
        <v>18.87</v>
      </c>
      <c r="BM14" s="264">
        <v>0</v>
      </c>
      <c r="BN14" s="264">
        <v>18.87</v>
      </c>
      <c r="BO14" s="264">
        <v>0</v>
      </c>
      <c r="BP14" s="264">
        <v>0</v>
      </c>
      <c r="BQ14" s="264">
        <v>9.43</v>
      </c>
      <c r="BR14" s="264">
        <v>0</v>
      </c>
      <c r="BS14" s="264">
        <v>0</v>
      </c>
      <c r="BT14" s="264">
        <v>0</v>
      </c>
      <c r="BU14" s="264">
        <v>9.43</v>
      </c>
      <c r="BV14" s="264">
        <v>0</v>
      </c>
      <c r="BW14" s="264">
        <v>0</v>
      </c>
      <c r="BX14" s="264">
        <v>0</v>
      </c>
      <c r="BY14" s="264">
        <v>18.87</v>
      </c>
      <c r="BZ14" s="264">
        <v>0</v>
      </c>
      <c r="CA14" s="264">
        <v>0</v>
      </c>
      <c r="CB14" s="264">
        <v>0</v>
      </c>
      <c r="CC14" s="264">
        <v>0</v>
      </c>
      <c r="CD14" s="264">
        <v>0</v>
      </c>
      <c r="CE14" s="264">
        <v>0</v>
      </c>
      <c r="CF14" s="264">
        <v>18.87</v>
      </c>
      <c r="CG14" s="264">
        <v>0</v>
      </c>
      <c r="CH14" s="264">
        <v>0</v>
      </c>
      <c r="CI14" s="264">
        <v>0</v>
      </c>
      <c r="CJ14" s="264">
        <v>0</v>
      </c>
      <c r="CK14" s="264">
        <v>0</v>
      </c>
      <c r="CL14" s="264">
        <v>0</v>
      </c>
      <c r="CM14" s="264">
        <v>20</v>
      </c>
      <c r="CN14" s="264">
        <v>0</v>
      </c>
      <c r="CO14" s="264">
        <v>9.43</v>
      </c>
      <c r="CP14" s="264">
        <v>0</v>
      </c>
      <c r="CQ14" s="264">
        <v>0</v>
      </c>
      <c r="CR14" s="264">
        <v>0</v>
      </c>
      <c r="CS14" s="264">
        <v>0</v>
      </c>
      <c r="CT14" s="264">
        <v>10</v>
      </c>
      <c r="CU14" s="264">
        <v>0</v>
      </c>
      <c r="CV14" s="264">
        <v>0</v>
      </c>
      <c r="CW14" s="264">
        <v>0</v>
      </c>
      <c r="CX14" s="264">
        <v>0</v>
      </c>
      <c r="CY14" s="264">
        <v>0</v>
      </c>
      <c r="CZ14" s="264">
        <v>0</v>
      </c>
      <c r="DA14" s="264">
        <v>0</v>
      </c>
      <c r="DB14" s="264">
        <v>0</v>
      </c>
      <c r="DC14" s="264">
        <v>0</v>
      </c>
      <c r="DD14" s="264">
        <v>0</v>
      </c>
      <c r="DE14" s="264">
        <v>9.43</v>
      </c>
      <c r="DF14" s="264">
        <v>0</v>
      </c>
      <c r="DG14" s="264">
        <v>0</v>
      </c>
      <c r="DH14" s="264">
        <v>10</v>
      </c>
      <c r="DI14" s="264">
        <v>0</v>
      </c>
      <c r="DJ14" s="264">
        <v>0</v>
      </c>
      <c r="DK14" s="264">
        <v>0</v>
      </c>
      <c r="DL14" s="264">
        <v>0</v>
      </c>
      <c r="DM14" s="264">
        <v>0</v>
      </c>
    </row>
    <row r="15" spans="1:117">
      <c r="A15" s="259" t="s">
        <v>501</v>
      </c>
      <c r="B15" s="262">
        <v>0</v>
      </c>
      <c r="C15" s="263">
        <v>0</v>
      </c>
      <c r="D15" s="263">
        <v>0</v>
      </c>
      <c r="E15" s="263"/>
      <c r="F15" s="263">
        <v>0</v>
      </c>
      <c r="G15" s="264">
        <v>0</v>
      </c>
      <c r="H15" s="265">
        <v>0</v>
      </c>
      <c r="I15" s="264">
        <v>0</v>
      </c>
      <c r="J15" s="264">
        <v>0</v>
      </c>
      <c r="K15" s="264">
        <v>0</v>
      </c>
      <c r="L15" s="264">
        <v>0</v>
      </c>
      <c r="M15" s="262">
        <v>0</v>
      </c>
      <c r="N15" s="264">
        <v>0</v>
      </c>
      <c r="O15" s="264">
        <v>0</v>
      </c>
      <c r="P15" s="264">
        <v>0</v>
      </c>
      <c r="Q15" s="264">
        <v>0</v>
      </c>
      <c r="R15" s="264">
        <v>0</v>
      </c>
      <c r="S15" s="264">
        <v>0</v>
      </c>
      <c r="T15" s="264">
        <v>0</v>
      </c>
      <c r="U15" s="264">
        <f t="shared" si="0"/>
        <v>0</v>
      </c>
      <c r="V15" s="264">
        <v>0</v>
      </c>
      <c r="W15" s="264">
        <v>0</v>
      </c>
      <c r="X15" s="264">
        <v>0</v>
      </c>
      <c r="Y15" s="264">
        <v>0</v>
      </c>
      <c r="Z15" s="264">
        <v>0</v>
      </c>
      <c r="AA15" s="264">
        <v>0</v>
      </c>
      <c r="AB15" s="264">
        <v>0</v>
      </c>
      <c r="AC15" s="264">
        <v>0</v>
      </c>
      <c r="AD15" s="264">
        <v>0</v>
      </c>
      <c r="AE15" s="264">
        <v>0</v>
      </c>
      <c r="AF15" s="264">
        <v>0</v>
      </c>
      <c r="AG15" s="264">
        <v>0</v>
      </c>
      <c r="AH15" s="264">
        <v>0</v>
      </c>
      <c r="AI15" s="264">
        <v>0</v>
      </c>
      <c r="AJ15" s="264">
        <v>0</v>
      </c>
      <c r="AK15" s="264">
        <v>0</v>
      </c>
      <c r="AL15" s="264">
        <v>0</v>
      </c>
      <c r="AM15" s="264">
        <v>0</v>
      </c>
      <c r="AN15" s="264">
        <v>0</v>
      </c>
      <c r="AO15" s="264">
        <v>0</v>
      </c>
      <c r="AP15" s="264">
        <v>0</v>
      </c>
      <c r="AQ15" s="264">
        <v>0</v>
      </c>
      <c r="AR15" s="264">
        <v>0</v>
      </c>
      <c r="AS15" s="264">
        <v>0</v>
      </c>
      <c r="AT15" s="264">
        <v>0</v>
      </c>
      <c r="AU15" s="264">
        <v>0</v>
      </c>
      <c r="AV15" s="264">
        <v>0</v>
      </c>
      <c r="AW15" s="264">
        <v>0</v>
      </c>
      <c r="AX15" s="264">
        <v>0</v>
      </c>
      <c r="AY15" s="264">
        <v>0</v>
      </c>
      <c r="AZ15" s="264">
        <v>0</v>
      </c>
      <c r="BA15" s="264">
        <v>0</v>
      </c>
      <c r="BB15" s="264">
        <v>0</v>
      </c>
      <c r="BC15" s="264">
        <v>0</v>
      </c>
      <c r="BD15" s="264">
        <v>0</v>
      </c>
      <c r="BE15" s="264">
        <v>0</v>
      </c>
      <c r="BF15" s="264">
        <v>0</v>
      </c>
      <c r="BG15" s="264">
        <v>0</v>
      </c>
      <c r="BH15" s="264">
        <v>0</v>
      </c>
      <c r="BI15" s="264">
        <v>0</v>
      </c>
      <c r="BJ15" s="264">
        <v>0</v>
      </c>
      <c r="BK15" s="264">
        <v>0</v>
      </c>
      <c r="BL15" s="264">
        <v>0</v>
      </c>
      <c r="BM15" s="264">
        <v>0</v>
      </c>
      <c r="BN15" s="264">
        <v>0</v>
      </c>
      <c r="BO15" s="264">
        <v>0</v>
      </c>
      <c r="BP15" s="264">
        <v>0</v>
      </c>
      <c r="BQ15" s="264">
        <v>0</v>
      </c>
      <c r="BR15" s="264">
        <v>0</v>
      </c>
      <c r="BS15" s="264">
        <v>0</v>
      </c>
      <c r="BT15" s="264">
        <v>0</v>
      </c>
      <c r="BU15" s="264">
        <v>0</v>
      </c>
      <c r="BV15" s="264">
        <v>0</v>
      </c>
      <c r="BW15" s="264">
        <v>0</v>
      </c>
      <c r="BX15" s="264">
        <v>0</v>
      </c>
      <c r="BY15" s="264">
        <v>0</v>
      </c>
      <c r="BZ15" s="264">
        <v>0</v>
      </c>
      <c r="CA15" s="264">
        <v>0</v>
      </c>
      <c r="CB15" s="264">
        <v>0</v>
      </c>
      <c r="CC15" s="264">
        <v>0</v>
      </c>
      <c r="CD15" s="264">
        <v>0</v>
      </c>
      <c r="CE15" s="264">
        <v>0</v>
      </c>
      <c r="CF15" s="264">
        <v>0</v>
      </c>
      <c r="CG15" s="264">
        <v>0</v>
      </c>
      <c r="CH15" s="264">
        <v>0</v>
      </c>
      <c r="CI15" s="264">
        <v>0</v>
      </c>
      <c r="CJ15" s="264">
        <v>0</v>
      </c>
      <c r="CK15" s="264">
        <v>0</v>
      </c>
      <c r="CL15" s="264">
        <v>0</v>
      </c>
      <c r="CM15" s="264">
        <v>0</v>
      </c>
      <c r="CN15" s="264">
        <v>0</v>
      </c>
      <c r="CO15" s="264">
        <v>0</v>
      </c>
      <c r="CP15" s="264">
        <v>0</v>
      </c>
      <c r="CQ15" s="264">
        <v>0</v>
      </c>
      <c r="CR15" s="264">
        <v>0</v>
      </c>
      <c r="CS15" s="264">
        <v>0</v>
      </c>
      <c r="CT15" s="264">
        <v>0</v>
      </c>
      <c r="CU15" s="264">
        <v>0</v>
      </c>
      <c r="CV15" s="264">
        <v>0</v>
      </c>
      <c r="CW15" s="264">
        <v>0</v>
      </c>
      <c r="CX15" s="264">
        <v>0</v>
      </c>
      <c r="CY15" s="264">
        <v>0</v>
      </c>
      <c r="CZ15" s="264">
        <v>0</v>
      </c>
      <c r="DA15" s="264">
        <v>0</v>
      </c>
      <c r="DB15" s="264">
        <v>0</v>
      </c>
      <c r="DC15" s="264">
        <v>0</v>
      </c>
      <c r="DD15" s="264">
        <v>0</v>
      </c>
      <c r="DE15" s="264">
        <v>0</v>
      </c>
      <c r="DF15" s="264">
        <v>0</v>
      </c>
      <c r="DG15" s="264">
        <v>0</v>
      </c>
      <c r="DH15" s="264">
        <v>0</v>
      </c>
      <c r="DI15" s="264">
        <v>0</v>
      </c>
      <c r="DJ15" s="264">
        <v>0</v>
      </c>
      <c r="DK15" s="264">
        <v>0</v>
      </c>
      <c r="DL15" s="264">
        <v>0</v>
      </c>
      <c r="DM15" s="264">
        <v>0</v>
      </c>
    </row>
    <row r="16" spans="1:117">
      <c r="A16" s="259" t="s">
        <v>502</v>
      </c>
      <c r="B16" s="262">
        <v>0</v>
      </c>
      <c r="C16" s="263">
        <v>0</v>
      </c>
      <c r="D16" s="263">
        <v>0</v>
      </c>
      <c r="E16" s="263"/>
      <c r="F16" s="263">
        <v>0</v>
      </c>
      <c r="G16" s="264">
        <v>0</v>
      </c>
      <c r="H16" s="265">
        <v>0</v>
      </c>
      <c r="I16" s="264">
        <v>0</v>
      </c>
      <c r="J16" s="264">
        <v>0</v>
      </c>
      <c r="K16" s="264">
        <v>0</v>
      </c>
      <c r="L16" s="264">
        <v>0</v>
      </c>
      <c r="M16" s="262">
        <v>0</v>
      </c>
      <c r="N16" s="264">
        <v>0</v>
      </c>
      <c r="O16" s="264">
        <v>0</v>
      </c>
      <c r="P16" s="264">
        <v>0</v>
      </c>
      <c r="Q16" s="264">
        <v>0</v>
      </c>
      <c r="R16" s="264">
        <v>0</v>
      </c>
      <c r="S16" s="264">
        <v>0</v>
      </c>
      <c r="T16" s="264">
        <v>0</v>
      </c>
      <c r="U16" s="264">
        <f t="shared" si="0"/>
        <v>0</v>
      </c>
      <c r="V16" s="264">
        <v>0</v>
      </c>
      <c r="W16" s="264">
        <v>0</v>
      </c>
      <c r="X16" s="264">
        <v>0</v>
      </c>
      <c r="Y16" s="264">
        <v>0</v>
      </c>
      <c r="Z16" s="264">
        <v>0</v>
      </c>
      <c r="AA16" s="264">
        <v>0</v>
      </c>
      <c r="AB16" s="264">
        <v>0</v>
      </c>
      <c r="AC16" s="264">
        <v>0</v>
      </c>
      <c r="AD16" s="264">
        <v>0</v>
      </c>
      <c r="AE16" s="264">
        <v>0</v>
      </c>
      <c r="AF16" s="264">
        <v>0</v>
      </c>
      <c r="AG16" s="264">
        <v>0</v>
      </c>
      <c r="AH16" s="264">
        <v>0</v>
      </c>
      <c r="AI16" s="264">
        <v>0</v>
      </c>
      <c r="AJ16" s="264">
        <v>0</v>
      </c>
      <c r="AK16" s="264">
        <v>0</v>
      </c>
      <c r="AL16" s="264">
        <v>0</v>
      </c>
      <c r="AM16" s="264">
        <v>0</v>
      </c>
      <c r="AN16" s="264">
        <v>0</v>
      </c>
      <c r="AO16" s="264">
        <v>0</v>
      </c>
      <c r="AP16" s="264">
        <v>0</v>
      </c>
      <c r="AQ16" s="264">
        <v>0</v>
      </c>
      <c r="AR16" s="264">
        <v>0</v>
      </c>
      <c r="AS16" s="264">
        <v>0</v>
      </c>
      <c r="AT16" s="264">
        <v>0</v>
      </c>
      <c r="AU16" s="264">
        <v>0</v>
      </c>
      <c r="AV16" s="264">
        <v>0</v>
      </c>
      <c r="AW16" s="264">
        <v>0</v>
      </c>
      <c r="AX16" s="264">
        <v>0</v>
      </c>
      <c r="AY16" s="264">
        <v>0</v>
      </c>
      <c r="AZ16" s="264">
        <v>0</v>
      </c>
      <c r="BA16" s="264">
        <v>0</v>
      </c>
      <c r="BB16" s="264">
        <v>0</v>
      </c>
      <c r="BC16" s="264">
        <v>0</v>
      </c>
      <c r="BD16" s="264">
        <v>0</v>
      </c>
      <c r="BE16" s="264">
        <v>0</v>
      </c>
      <c r="BF16" s="264">
        <v>0</v>
      </c>
      <c r="BG16" s="264">
        <v>0</v>
      </c>
      <c r="BH16" s="264">
        <v>0</v>
      </c>
      <c r="BI16" s="264">
        <v>0</v>
      </c>
      <c r="BJ16" s="264">
        <v>0</v>
      </c>
      <c r="BK16" s="264">
        <v>0</v>
      </c>
      <c r="BL16" s="264">
        <v>0</v>
      </c>
      <c r="BM16" s="264">
        <v>0</v>
      </c>
      <c r="BN16" s="264">
        <v>0</v>
      </c>
      <c r="BO16" s="264">
        <v>0</v>
      </c>
      <c r="BP16" s="264">
        <v>0</v>
      </c>
      <c r="BQ16" s="264">
        <v>0</v>
      </c>
      <c r="BR16" s="264">
        <v>0</v>
      </c>
      <c r="BS16" s="264">
        <v>0</v>
      </c>
      <c r="BT16" s="264">
        <v>0</v>
      </c>
      <c r="BU16" s="264">
        <v>0</v>
      </c>
      <c r="BV16" s="264">
        <v>0</v>
      </c>
      <c r="BW16" s="264">
        <v>0</v>
      </c>
      <c r="BX16" s="264">
        <v>0</v>
      </c>
      <c r="BY16" s="264">
        <v>0</v>
      </c>
      <c r="BZ16" s="264">
        <v>0</v>
      </c>
      <c r="CA16" s="264">
        <v>0</v>
      </c>
      <c r="CB16" s="264">
        <v>0</v>
      </c>
      <c r="CC16" s="264">
        <v>0</v>
      </c>
      <c r="CD16" s="264">
        <v>0</v>
      </c>
      <c r="CE16" s="264">
        <v>0</v>
      </c>
      <c r="CF16" s="264">
        <v>0</v>
      </c>
      <c r="CG16" s="264">
        <v>0</v>
      </c>
      <c r="CH16" s="264">
        <v>0</v>
      </c>
      <c r="CI16" s="264">
        <v>0</v>
      </c>
      <c r="CJ16" s="264">
        <v>0</v>
      </c>
      <c r="CK16" s="264">
        <v>0</v>
      </c>
      <c r="CL16" s="264">
        <v>0</v>
      </c>
      <c r="CM16" s="264">
        <v>0</v>
      </c>
      <c r="CN16" s="264">
        <v>0</v>
      </c>
      <c r="CO16" s="264">
        <v>0</v>
      </c>
      <c r="CP16" s="264">
        <v>0</v>
      </c>
      <c r="CQ16" s="264">
        <v>0</v>
      </c>
      <c r="CR16" s="264">
        <v>0</v>
      </c>
      <c r="CS16" s="264">
        <v>0</v>
      </c>
      <c r="CT16" s="264">
        <v>0</v>
      </c>
      <c r="CU16" s="264">
        <v>0</v>
      </c>
      <c r="CV16" s="264">
        <v>0</v>
      </c>
      <c r="CW16" s="264">
        <v>0</v>
      </c>
      <c r="CX16" s="264">
        <v>0</v>
      </c>
      <c r="CY16" s="264">
        <v>0</v>
      </c>
      <c r="CZ16" s="264">
        <v>0</v>
      </c>
      <c r="DA16" s="264">
        <v>0</v>
      </c>
      <c r="DB16" s="264">
        <v>0</v>
      </c>
      <c r="DC16" s="264">
        <v>0</v>
      </c>
      <c r="DD16" s="264">
        <v>0</v>
      </c>
      <c r="DE16" s="264">
        <v>0</v>
      </c>
      <c r="DF16" s="264">
        <v>0</v>
      </c>
      <c r="DG16" s="264">
        <v>0</v>
      </c>
      <c r="DH16" s="264">
        <v>0</v>
      </c>
      <c r="DI16" s="264">
        <v>0</v>
      </c>
      <c r="DJ16" s="264">
        <v>0</v>
      </c>
      <c r="DK16" s="264">
        <v>0</v>
      </c>
      <c r="DL16" s="264">
        <v>0</v>
      </c>
      <c r="DM16" s="264">
        <v>0</v>
      </c>
    </row>
    <row r="17" spans="1:117">
      <c r="A17" s="261" t="s">
        <v>42</v>
      </c>
      <c r="B17" s="262">
        <v>50151721.880000003</v>
      </c>
      <c r="C17" s="262">
        <v>43998526.630000003</v>
      </c>
      <c r="D17" s="262">
        <v>4595026.8800000008</v>
      </c>
      <c r="E17" s="262">
        <v>1089702.1299999999</v>
      </c>
      <c r="F17" s="262">
        <v>180287.72999999998</v>
      </c>
      <c r="G17" s="262">
        <v>2742176.3799999901</v>
      </c>
      <c r="H17" s="262">
        <v>-2453997.8700000006</v>
      </c>
      <c r="I17" s="262">
        <v>8742645.7799999993</v>
      </c>
      <c r="J17" s="262">
        <v>0</v>
      </c>
      <c r="K17" s="262">
        <v>0</v>
      </c>
      <c r="L17" s="262">
        <v>3612148.8</v>
      </c>
      <c r="M17" s="262">
        <v>4178106.09</v>
      </c>
      <c r="N17" s="262">
        <v>1303238.3900000001</v>
      </c>
      <c r="O17" s="262">
        <v>1054055.8699999999</v>
      </c>
      <c r="P17" s="262">
        <v>345308.74</v>
      </c>
      <c r="Q17" s="262">
        <v>341105.14</v>
      </c>
      <c r="R17" s="262">
        <v>0</v>
      </c>
      <c r="S17" s="262">
        <v>888452.1</v>
      </c>
      <c r="T17" s="262">
        <v>23533465.719999999</v>
      </c>
      <c r="U17" s="262">
        <f t="shared" si="0"/>
        <v>25273935.469999999</v>
      </c>
      <c r="V17" s="262">
        <v>1889424.73</v>
      </c>
      <c r="W17" s="262">
        <v>366987.28</v>
      </c>
      <c r="X17" s="262">
        <v>668561.72</v>
      </c>
      <c r="Y17" s="262">
        <v>1184141.23</v>
      </c>
      <c r="Z17" s="262">
        <v>329217.16000000003</v>
      </c>
      <c r="AA17" s="262">
        <v>-918323.91</v>
      </c>
      <c r="AB17" s="262">
        <v>92140.590000000011</v>
      </c>
      <c r="AC17" s="262">
        <v>599475.30000000005</v>
      </c>
      <c r="AD17" s="262">
        <v>1197693.73</v>
      </c>
      <c r="AE17" s="262">
        <v>1033489.73</v>
      </c>
      <c r="AF17" s="262">
        <v>618954.86</v>
      </c>
      <c r="AG17" s="262">
        <v>267748.06</v>
      </c>
      <c r="AH17" s="262">
        <v>297408.64000000001</v>
      </c>
      <c r="AI17" s="262">
        <v>163335.77000000002</v>
      </c>
      <c r="AJ17" s="262">
        <v>0</v>
      </c>
      <c r="AK17" s="262">
        <v>275645.07</v>
      </c>
      <c r="AL17" s="262">
        <v>343165.2</v>
      </c>
      <c r="AM17" s="262">
        <v>389355.26</v>
      </c>
      <c r="AN17" s="262">
        <v>295072.86000000004</v>
      </c>
      <c r="AO17" s="262">
        <v>273122.88</v>
      </c>
      <c r="AP17" s="262">
        <v>72185.86</v>
      </c>
      <c r="AQ17" s="262">
        <v>5490741.3499999996</v>
      </c>
      <c r="AR17" s="262">
        <v>362627.39</v>
      </c>
      <c r="AS17" s="262">
        <v>1214838.93</v>
      </c>
      <c r="AT17" s="262">
        <v>430269.52999999997</v>
      </c>
      <c r="AU17" s="262">
        <v>16034988.52</v>
      </c>
      <c r="AV17" s="262">
        <v>674906.62999999989</v>
      </c>
      <c r="AW17" s="262">
        <v>613159.97000000009</v>
      </c>
      <c r="AX17" s="262">
        <v>728467.37</v>
      </c>
      <c r="AY17" s="262">
        <v>665069.09</v>
      </c>
      <c r="AZ17" s="262">
        <v>661699.79</v>
      </c>
      <c r="BA17" s="262">
        <v>616174.28</v>
      </c>
      <c r="BB17" s="262">
        <v>245217.83</v>
      </c>
      <c r="BC17" s="262">
        <v>639514.57999999996</v>
      </c>
      <c r="BD17" s="262">
        <v>462528.11</v>
      </c>
      <c r="BE17" s="262">
        <v>358722.23000000004</v>
      </c>
      <c r="BF17" s="262">
        <v>909190.12999999989</v>
      </c>
      <c r="BG17" s="262">
        <v>519799.79</v>
      </c>
      <c r="BH17" s="262">
        <v>632019.63</v>
      </c>
      <c r="BI17" s="262">
        <v>274514.33</v>
      </c>
      <c r="BJ17" s="262">
        <v>229858.99000000002</v>
      </c>
      <c r="BK17" s="262">
        <v>215391.1</v>
      </c>
      <c r="BL17" s="262">
        <v>262072.38</v>
      </c>
      <c r="BM17" s="262">
        <v>298780.17</v>
      </c>
      <c r="BN17" s="262">
        <v>178814.62</v>
      </c>
      <c r="BO17" s="262">
        <v>212218.72</v>
      </c>
      <c r="BP17" s="262">
        <v>261243.90999999997</v>
      </c>
      <c r="BQ17" s="262">
        <v>345409.36</v>
      </c>
      <c r="BR17" s="262">
        <v>165298.05000000002</v>
      </c>
      <c r="BS17" s="262">
        <v>130634.93</v>
      </c>
      <c r="BT17" s="262">
        <v>126159.48000000001</v>
      </c>
      <c r="BU17" s="262">
        <v>179995.71999999997</v>
      </c>
      <c r="BV17" s="262">
        <v>131038.99</v>
      </c>
      <c r="BW17" s="262">
        <v>195957.23</v>
      </c>
      <c r="BX17" s="262">
        <v>132291.18</v>
      </c>
      <c r="BY17" s="262">
        <v>351020.74</v>
      </c>
      <c r="BZ17" s="262">
        <v>76795.37999999999</v>
      </c>
      <c r="CA17" s="262">
        <v>114274.38</v>
      </c>
      <c r="CB17" s="262">
        <v>58409.99</v>
      </c>
      <c r="CC17" s="262">
        <v>86221.590000000011</v>
      </c>
      <c r="CD17" s="262">
        <v>97788.87999999999</v>
      </c>
      <c r="CE17" s="262">
        <v>300611.38</v>
      </c>
      <c r="CF17" s="262">
        <v>757504.84000000008</v>
      </c>
      <c r="CG17" s="262">
        <v>88072.639999999999</v>
      </c>
      <c r="CH17" s="262">
        <v>83457.84</v>
      </c>
      <c r="CI17" s="262">
        <v>49402.26</v>
      </c>
      <c r="CJ17" s="262">
        <v>114882</v>
      </c>
      <c r="CK17" s="262">
        <v>46816.619999999995</v>
      </c>
      <c r="CL17" s="262">
        <v>89196.900000000009</v>
      </c>
      <c r="CM17" s="262">
        <v>105068.01</v>
      </c>
      <c r="CN17" s="262">
        <v>113747.46</v>
      </c>
      <c r="CO17" s="262">
        <v>85570.459999999992</v>
      </c>
      <c r="CP17" s="262">
        <v>109899.77</v>
      </c>
      <c r="CQ17" s="262">
        <v>156124.59</v>
      </c>
      <c r="CR17" s="262">
        <v>123814.05</v>
      </c>
      <c r="CS17" s="262">
        <v>75215.42</v>
      </c>
      <c r="CT17" s="262">
        <v>102125.67</v>
      </c>
      <c r="CU17" s="262">
        <v>85987.839999999997</v>
      </c>
      <c r="CV17" s="262">
        <v>85275.62</v>
      </c>
      <c r="CW17" s="262">
        <v>103365.23</v>
      </c>
      <c r="CX17" s="262">
        <v>58269</v>
      </c>
      <c r="CY17" s="262">
        <v>77550.850000000006</v>
      </c>
      <c r="CZ17" s="262">
        <v>130052.42</v>
      </c>
      <c r="DA17" s="262">
        <v>78036.17</v>
      </c>
      <c r="DB17" s="262">
        <v>112449.97</v>
      </c>
      <c r="DC17" s="262">
        <v>150059.21</v>
      </c>
      <c r="DD17" s="262">
        <v>276523.59000000003</v>
      </c>
      <c r="DE17" s="262">
        <v>138544.10999999999</v>
      </c>
      <c r="DF17" s="262">
        <v>137762.78</v>
      </c>
      <c r="DG17" s="262">
        <v>70321.14</v>
      </c>
      <c r="DH17" s="262">
        <v>201673.68</v>
      </c>
      <c r="DI17" s="262">
        <v>76947.45</v>
      </c>
      <c r="DJ17" s="262">
        <v>0</v>
      </c>
      <c r="DK17" s="262">
        <v>0</v>
      </c>
      <c r="DL17" s="262">
        <v>0</v>
      </c>
      <c r="DM17" s="262">
        <v>0</v>
      </c>
    </row>
    <row r="18" spans="1:117">
      <c r="A18" s="259" t="s">
        <v>433</v>
      </c>
      <c r="B18" s="262">
        <v>1078283.4099999904</v>
      </c>
      <c r="C18" s="263">
        <v>583589.53</v>
      </c>
      <c r="D18" s="263">
        <v>169766.02999999997</v>
      </c>
      <c r="E18" s="263">
        <v>314408.92</v>
      </c>
      <c r="F18" s="263">
        <v>8344.89</v>
      </c>
      <c r="G18" s="264">
        <v>2174.0399999903989</v>
      </c>
      <c r="H18" s="265">
        <v>0</v>
      </c>
      <c r="I18" s="264">
        <v>-27216.639999999999</v>
      </c>
      <c r="J18" s="264">
        <v>0</v>
      </c>
      <c r="K18" s="264">
        <v>0</v>
      </c>
      <c r="L18" s="264">
        <v>-102276.52</v>
      </c>
      <c r="M18" s="262">
        <v>3603.78</v>
      </c>
      <c r="N18" s="264">
        <v>33904.269999999997</v>
      </c>
      <c r="O18" s="264">
        <v>-379.33</v>
      </c>
      <c r="P18" s="264">
        <v>20</v>
      </c>
      <c r="Q18" s="264">
        <v>15</v>
      </c>
      <c r="R18" s="264">
        <v>0</v>
      </c>
      <c r="S18" s="264">
        <v>-122.16</v>
      </c>
      <c r="T18" s="264">
        <v>676041.13</v>
      </c>
      <c r="U18" s="264">
        <f t="shared" si="0"/>
        <v>675696.8</v>
      </c>
      <c r="V18" s="264">
        <v>20</v>
      </c>
      <c r="W18" s="264">
        <v>107730.91</v>
      </c>
      <c r="X18" s="264">
        <v>-305719.61</v>
      </c>
      <c r="Y18" s="264">
        <v>99705.24</v>
      </c>
      <c r="Z18" s="264">
        <v>-4390.54</v>
      </c>
      <c r="AA18" s="264">
        <v>-300.87</v>
      </c>
      <c r="AB18" s="264">
        <v>678.35</v>
      </c>
      <c r="AC18" s="264">
        <v>-114.96</v>
      </c>
      <c r="AD18" s="264">
        <v>-863.52</v>
      </c>
      <c r="AE18" s="264">
        <v>1345.77</v>
      </c>
      <c r="AF18" s="264">
        <v>3322.73</v>
      </c>
      <c r="AG18" s="264">
        <v>-6.99</v>
      </c>
      <c r="AH18" s="264">
        <v>-72.069999999999993</v>
      </c>
      <c r="AI18" s="264">
        <v>-7.18</v>
      </c>
      <c r="AJ18" s="264">
        <v>0</v>
      </c>
      <c r="AK18" s="264">
        <v>3813.24</v>
      </c>
      <c r="AL18" s="264">
        <v>3244.51</v>
      </c>
      <c r="AM18" s="264">
        <v>14611.49</v>
      </c>
      <c r="AN18" s="264">
        <v>12235.03</v>
      </c>
      <c r="AO18" s="264">
        <v>20</v>
      </c>
      <c r="AP18" s="264">
        <v>0</v>
      </c>
      <c r="AQ18" s="264">
        <v>-14238.19</v>
      </c>
      <c r="AR18" s="264">
        <v>-4.9400000000000004</v>
      </c>
      <c r="AS18" s="264">
        <v>313108.21999999997</v>
      </c>
      <c r="AT18" s="264">
        <v>-21.44</v>
      </c>
      <c r="AU18" s="264">
        <v>377197.48</v>
      </c>
      <c r="AV18" s="264">
        <v>15425.44</v>
      </c>
      <c r="AW18" s="264">
        <v>20166.64</v>
      </c>
      <c r="AX18" s="264">
        <v>17118.79</v>
      </c>
      <c r="AY18" s="264">
        <v>15554.83</v>
      </c>
      <c r="AZ18" s="264">
        <v>17106.91</v>
      </c>
      <c r="BA18" s="264">
        <v>13400.8</v>
      </c>
      <c r="BB18" s="264">
        <v>5160.1899999999996</v>
      </c>
      <c r="BC18" s="264">
        <v>16993.509999999998</v>
      </c>
      <c r="BD18" s="264">
        <v>6955.44</v>
      </c>
      <c r="BE18" s="264">
        <v>4819.33</v>
      </c>
      <c r="BF18" s="264">
        <v>16176.7</v>
      </c>
      <c r="BG18" s="264">
        <v>50042.36</v>
      </c>
      <c r="BH18" s="264">
        <v>11882.87</v>
      </c>
      <c r="BI18" s="264">
        <v>7636.86</v>
      </c>
      <c r="BJ18" s="264">
        <v>3715.75</v>
      </c>
      <c r="BK18" s="264">
        <v>4657.41</v>
      </c>
      <c r="BL18" s="264">
        <v>6339.22</v>
      </c>
      <c r="BM18" s="264">
        <v>4783.3100000000004</v>
      </c>
      <c r="BN18" s="264">
        <v>4790.57</v>
      </c>
      <c r="BO18" s="264">
        <v>2868.25</v>
      </c>
      <c r="BP18" s="264">
        <v>4449.6099999999997</v>
      </c>
      <c r="BQ18" s="264">
        <v>4198.4799999999996</v>
      </c>
      <c r="BR18" s="264">
        <v>1354.92</v>
      </c>
      <c r="BS18" s="264">
        <v>2049.34</v>
      </c>
      <c r="BT18" s="264">
        <v>1854.02</v>
      </c>
      <c r="BU18" s="264">
        <v>1638.08</v>
      </c>
      <c r="BV18" s="264">
        <v>1167.02</v>
      </c>
      <c r="BW18" s="264">
        <v>2125.2199999999998</v>
      </c>
      <c r="BX18" s="264">
        <v>1446.9</v>
      </c>
      <c r="BY18" s="264">
        <v>1903.18</v>
      </c>
      <c r="BZ18" s="264">
        <v>0</v>
      </c>
      <c r="CA18" s="264">
        <v>1301.0999999999999</v>
      </c>
      <c r="CB18" s="264">
        <v>206.06</v>
      </c>
      <c r="CC18" s="264">
        <v>738.82</v>
      </c>
      <c r="CD18" s="264">
        <v>2053.42</v>
      </c>
      <c r="CE18" s="264">
        <v>804.74</v>
      </c>
      <c r="CF18" s="264">
        <v>93476.31</v>
      </c>
      <c r="CG18" s="264">
        <v>30.1</v>
      </c>
      <c r="CH18" s="264">
        <v>206.8</v>
      </c>
      <c r="CI18" s="264">
        <v>253</v>
      </c>
      <c r="CJ18" s="264">
        <v>140</v>
      </c>
      <c r="CK18" s="264">
        <v>323.89</v>
      </c>
      <c r="CL18" s="264">
        <v>108.96</v>
      </c>
      <c r="CM18" s="264">
        <v>0</v>
      </c>
      <c r="CN18" s="264">
        <v>0</v>
      </c>
      <c r="CO18" s="264">
        <v>349.81</v>
      </c>
      <c r="CP18" s="264">
        <v>0</v>
      </c>
      <c r="CQ18" s="264">
        <v>0</v>
      </c>
      <c r="CR18" s="264">
        <v>0</v>
      </c>
      <c r="CS18" s="264">
        <v>10</v>
      </c>
      <c r="CT18" s="264">
        <v>105</v>
      </c>
      <c r="CU18" s="264">
        <v>0</v>
      </c>
      <c r="CV18" s="264">
        <v>96.9</v>
      </c>
      <c r="CW18" s="264">
        <v>15</v>
      </c>
      <c r="CX18" s="264">
        <v>0</v>
      </c>
      <c r="CY18" s="264">
        <v>20</v>
      </c>
      <c r="CZ18" s="264">
        <v>82</v>
      </c>
      <c r="DA18" s="264">
        <v>0</v>
      </c>
      <c r="DB18" s="264">
        <v>115</v>
      </c>
      <c r="DC18" s="264">
        <v>3001.43</v>
      </c>
      <c r="DD18" s="264">
        <v>4009.76</v>
      </c>
      <c r="DE18" s="264">
        <v>1442.43</v>
      </c>
      <c r="DF18" s="264">
        <v>495</v>
      </c>
      <c r="DG18" s="264">
        <v>10</v>
      </c>
      <c r="DH18" s="264">
        <v>10</v>
      </c>
      <c r="DI18" s="264">
        <v>10</v>
      </c>
      <c r="DJ18" s="264">
        <v>0</v>
      </c>
      <c r="DK18" s="264">
        <v>0</v>
      </c>
      <c r="DL18" s="264">
        <v>0</v>
      </c>
      <c r="DM18" s="264">
        <v>0</v>
      </c>
    </row>
    <row r="19" spans="1:117">
      <c r="A19" s="259" t="s">
        <v>434</v>
      </c>
      <c r="B19" s="262">
        <v>48689684.210000016</v>
      </c>
      <c r="C19" s="263">
        <v>43031182.840000004</v>
      </c>
      <c r="D19" s="263">
        <v>4425260.8500000006</v>
      </c>
      <c r="E19" s="263">
        <v>775293.21</v>
      </c>
      <c r="F19" s="263">
        <v>171942.84</v>
      </c>
      <c r="G19" s="264">
        <v>2740002.34</v>
      </c>
      <c r="H19" s="265">
        <v>-2453997.8700000006</v>
      </c>
      <c r="I19" s="264">
        <v>8769862.4199999999</v>
      </c>
      <c r="J19" s="264">
        <v>0</v>
      </c>
      <c r="K19" s="264">
        <v>0</v>
      </c>
      <c r="L19" s="264">
        <v>3714425.32</v>
      </c>
      <c r="M19" s="262">
        <v>4174502.31</v>
      </c>
      <c r="N19" s="264">
        <v>1269334.1200000001</v>
      </c>
      <c r="O19" s="264">
        <v>1054435.2</v>
      </c>
      <c r="P19" s="264">
        <v>345288.74</v>
      </c>
      <c r="Q19" s="264">
        <v>341090.14</v>
      </c>
      <c r="R19" s="264">
        <v>0</v>
      </c>
      <c r="S19" s="264">
        <v>888574.26</v>
      </c>
      <c r="T19" s="264">
        <v>22473670.329999998</v>
      </c>
      <c r="U19" s="264">
        <f t="shared" si="0"/>
        <v>24214484.409999996</v>
      </c>
      <c r="V19" s="264">
        <v>1889404.73</v>
      </c>
      <c r="W19" s="264">
        <v>259256.37</v>
      </c>
      <c r="X19" s="264">
        <v>974281.33</v>
      </c>
      <c r="Y19" s="264">
        <v>1084435.99</v>
      </c>
      <c r="Z19" s="264">
        <v>333607.7</v>
      </c>
      <c r="AA19" s="264">
        <v>-918023.04</v>
      </c>
      <c r="AB19" s="264">
        <v>91462.24</v>
      </c>
      <c r="AC19" s="264">
        <v>599590.26</v>
      </c>
      <c r="AD19" s="264">
        <v>1198557.25</v>
      </c>
      <c r="AE19" s="264">
        <v>1032143.96</v>
      </c>
      <c r="AF19" s="264">
        <v>615632.13</v>
      </c>
      <c r="AG19" s="264">
        <v>267755.05</v>
      </c>
      <c r="AH19" s="264">
        <v>297480.71000000002</v>
      </c>
      <c r="AI19" s="264">
        <v>163342.95000000001</v>
      </c>
      <c r="AJ19" s="264">
        <v>0</v>
      </c>
      <c r="AK19" s="264">
        <v>271831.83</v>
      </c>
      <c r="AL19" s="264">
        <v>339920.69</v>
      </c>
      <c r="AM19" s="264">
        <v>374743.77</v>
      </c>
      <c r="AN19" s="264">
        <v>282837.83</v>
      </c>
      <c r="AO19" s="264">
        <v>273102.88</v>
      </c>
      <c r="AP19" s="264">
        <v>72185.86</v>
      </c>
      <c r="AQ19" s="264">
        <v>5504979.54</v>
      </c>
      <c r="AR19" s="264">
        <v>362632.33</v>
      </c>
      <c r="AS19" s="264">
        <v>901730.71</v>
      </c>
      <c r="AT19" s="264">
        <v>430290.97</v>
      </c>
      <c r="AU19" s="264">
        <v>15274036.779999999</v>
      </c>
      <c r="AV19" s="264">
        <v>657879.96</v>
      </c>
      <c r="AW19" s="264">
        <v>591289.65</v>
      </c>
      <c r="AX19" s="264">
        <v>709516.89</v>
      </c>
      <c r="AY19" s="264">
        <v>648328.79</v>
      </c>
      <c r="AZ19" s="264">
        <v>643002.31000000006</v>
      </c>
      <c r="BA19" s="264">
        <v>601280.46</v>
      </c>
      <c r="BB19" s="264">
        <v>239187.83</v>
      </c>
      <c r="BC19" s="264">
        <v>621578.32999999996</v>
      </c>
      <c r="BD19" s="264">
        <v>455217.11</v>
      </c>
      <c r="BE19" s="264">
        <v>353619.32</v>
      </c>
      <c r="BF19" s="264">
        <v>892678.24</v>
      </c>
      <c r="BG19" s="264">
        <v>467673.94</v>
      </c>
      <c r="BH19" s="264">
        <v>619499.68000000005</v>
      </c>
      <c r="BI19" s="264">
        <v>266149.83</v>
      </c>
      <c r="BJ19" s="264">
        <v>225086.64</v>
      </c>
      <c r="BK19" s="264">
        <v>207184.63</v>
      </c>
      <c r="BL19" s="264">
        <v>255089.2</v>
      </c>
      <c r="BM19" s="264">
        <v>292219.5</v>
      </c>
      <c r="BN19" s="264">
        <v>173234.8</v>
      </c>
      <c r="BO19" s="264">
        <v>203076.89</v>
      </c>
      <c r="BP19" s="264">
        <v>254535.81</v>
      </c>
      <c r="BQ19" s="264">
        <v>340149.28</v>
      </c>
      <c r="BR19" s="264">
        <v>163152.56</v>
      </c>
      <c r="BS19" s="264">
        <v>127689.36</v>
      </c>
      <c r="BT19" s="264">
        <v>123897.91</v>
      </c>
      <c r="BU19" s="264">
        <v>177414.9</v>
      </c>
      <c r="BV19" s="264">
        <v>127811.59</v>
      </c>
      <c r="BW19" s="264">
        <v>187256.54</v>
      </c>
      <c r="BX19" s="264">
        <v>128931.07</v>
      </c>
      <c r="BY19" s="264">
        <v>347900.01</v>
      </c>
      <c r="BZ19" s="264">
        <v>76280.289999999994</v>
      </c>
      <c r="CA19" s="264">
        <v>112709.13</v>
      </c>
      <c r="CB19" s="264">
        <v>56236.01</v>
      </c>
      <c r="CC19" s="264">
        <v>85246.92</v>
      </c>
      <c r="CD19" s="264">
        <v>95209.04</v>
      </c>
      <c r="CE19" s="264">
        <v>299304.75</v>
      </c>
      <c r="CF19" s="264">
        <v>359054.38</v>
      </c>
      <c r="CG19" s="264">
        <v>87806.54</v>
      </c>
      <c r="CH19" s="264">
        <v>83013.039999999994</v>
      </c>
      <c r="CI19" s="264">
        <v>49093.26</v>
      </c>
      <c r="CJ19" s="264">
        <v>113192</v>
      </c>
      <c r="CK19" s="264">
        <v>46388.959999999999</v>
      </c>
      <c r="CL19" s="264">
        <v>85904.92</v>
      </c>
      <c r="CM19" s="264">
        <v>103784.01</v>
      </c>
      <c r="CN19" s="264">
        <v>113509.46</v>
      </c>
      <c r="CO19" s="264">
        <v>84993.01</v>
      </c>
      <c r="CP19" s="264">
        <v>109553.77</v>
      </c>
      <c r="CQ19" s="264">
        <v>154938.59</v>
      </c>
      <c r="CR19" s="264">
        <v>122722.05</v>
      </c>
      <c r="CS19" s="264">
        <v>71679.42</v>
      </c>
      <c r="CT19" s="264">
        <v>101539.67</v>
      </c>
      <c r="CU19" s="264">
        <v>85091.839999999997</v>
      </c>
      <c r="CV19" s="264">
        <v>84814.720000000001</v>
      </c>
      <c r="CW19" s="264">
        <v>102944.23</v>
      </c>
      <c r="CX19" s="264">
        <v>58101</v>
      </c>
      <c r="CY19" s="264">
        <v>76494.850000000006</v>
      </c>
      <c r="CZ19" s="264">
        <v>129454.42</v>
      </c>
      <c r="DA19" s="264">
        <v>74342.17</v>
      </c>
      <c r="DB19" s="264">
        <v>111942.97</v>
      </c>
      <c r="DC19" s="264">
        <v>145712.5</v>
      </c>
      <c r="DD19" s="264">
        <v>270762.89</v>
      </c>
      <c r="DE19" s="264">
        <v>136713.66</v>
      </c>
      <c r="DF19" s="264">
        <v>136964.01</v>
      </c>
      <c r="DG19" s="264">
        <v>69417.14</v>
      </c>
      <c r="DH19" s="264">
        <v>201546.68</v>
      </c>
      <c r="DI19" s="264">
        <v>76041.45</v>
      </c>
      <c r="DJ19" s="264">
        <v>0</v>
      </c>
      <c r="DK19" s="264">
        <v>0</v>
      </c>
      <c r="DL19" s="264">
        <v>0</v>
      </c>
      <c r="DM19" s="264">
        <v>0</v>
      </c>
    </row>
    <row r="20" spans="1:117">
      <c r="A20" s="259" t="s">
        <v>435</v>
      </c>
      <c r="B20" s="262">
        <v>0</v>
      </c>
      <c r="C20" s="263">
        <v>0</v>
      </c>
      <c r="D20" s="263">
        <v>0</v>
      </c>
      <c r="E20" s="263">
        <v>0</v>
      </c>
      <c r="F20" s="263">
        <v>0</v>
      </c>
      <c r="G20" s="264">
        <v>0</v>
      </c>
      <c r="H20" s="265">
        <v>0</v>
      </c>
      <c r="I20" s="264">
        <v>0</v>
      </c>
      <c r="J20" s="264">
        <v>0</v>
      </c>
      <c r="K20" s="264">
        <v>0</v>
      </c>
      <c r="L20" s="264">
        <v>0</v>
      </c>
      <c r="M20" s="262">
        <v>0</v>
      </c>
      <c r="N20" s="264">
        <v>0</v>
      </c>
      <c r="O20" s="264">
        <v>0</v>
      </c>
      <c r="P20" s="264">
        <v>0</v>
      </c>
      <c r="Q20" s="264">
        <v>0</v>
      </c>
      <c r="R20" s="264">
        <v>0</v>
      </c>
      <c r="S20" s="264">
        <v>0</v>
      </c>
      <c r="T20" s="264">
        <v>0</v>
      </c>
      <c r="U20" s="264">
        <f t="shared" si="0"/>
        <v>0</v>
      </c>
      <c r="V20" s="264">
        <v>0</v>
      </c>
      <c r="W20" s="264">
        <v>0</v>
      </c>
      <c r="X20" s="264">
        <v>0</v>
      </c>
      <c r="Y20" s="264">
        <v>0</v>
      </c>
      <c r="Z20" s="264">
        <v>0</v>
      </c>
      <c r="AA20" s="264">
        <v>0</v>
      </c>
      <c r="AB20" s="264">
        <v>0</v>
      </c>
      <c r="AC20" s="264">
        <v>0</v>
      </c>
      <c r="AD20" s="264">
        <v>0</v>
      </c>
      <c r="AE20" s="264">
        <v>0</v>
      </c>
      <c r="AF20" s="264">
        <v>0</v>
      </c>
      <c r="AG20" s="264">
        <v>0</v>
      </c>
      <c r="AH20" s="264">
        <v>0</v>
      </c>
      <c r="AI20" s="264">
        <v>0</v>
      </c>
      <c r="AJ20" s="264">
        <v>0</v>
      </c>
      <c r="AK20" s="264">
        <v>0</v>
      </c>
      <c r="AL20" s="264">
        <v>0</v>
      </c>
      <c r="AM20" s="264">
        <v>0</v>
      </c>
      <c r="AN20" s="264">
        <v>0</v>
      </c>
      <c r="AO20" s="264">
        <v>0</v>
      </c>
      <c r="AP20" s="264">
        <v>0</v>
      </c>
      <c r="AQ20" s="264">
        <v>0</v>
      </c>
      <c r="AR20" s="264">
        <v>0</v>
      </c>
      <c r="AS20" s="264">
        <v>0</v>
      </c>
      <c r="AT20" s="264">
        <v>0</v>
      </c>
      <c r="AU20" s="264">
        <v>0</v>
      </c>
      <c r="AV20" s="264">
        <v>0</v>
      </c>
      <c r="AW20" s="264">
        <v>0</v>
      </c>
      <c r="AX20" s="264">
        <v>0</v>
      </c>
      <c r="AY20" s="264">
        <v>0</v>
      </c>
      <c r="AZ20" s="264">
        <v>0</v>
      </c>
      <c r="BA20" s="264">
        <v>0</v>
      </c>
      <c r="BB20" s="264">
        <v>0</v>
      </c>
      <c r="BC20" s="264">
        <v>0</v>
      </c>
      <c r="BD20" s="264">
        <v>0</v>
      </c>
      <c r="BE20" s="264">
        <v>0</v>
      </c>
      <c r="BF20" s="264">
        <v>0</v>
      </c>
      <c r="BG20" s="264">
        <v>0</v>
      </c>
      <c r="BH20" s="264">
        <v>0</v>
      </c>
      <c r="BI20" s="264">
        <v>0</v>
      </c>
      <c r="BJ20" s="264">
        <v>0</v>
      </c>
      <c r="BK20" s="264">
        <v>0</v>
      </c>
      <c r="BL20" s="264">
        <v>0</v>
      </c>
      <c r="BM20" s="264">
        <v>0</v>
      </c>
      <c r="BN20" s="264">
        <v>0</v>
      </c>
      <c r="BO20" s="264">
        <v>0</v>
      </c>
      <c r="BP20" s="264">
        <v>0</v>
      </c>
      <c r="BQ20" s="264">
        <v>0</v>
      </c>
      <c r="BR20" s="264">
        <v>0</v>
      </c>
      <c r="BS20" s="264">
        <v>0</v>
      </c>
      <c r="BT20" s="264">
        <v>0</v>
      </c>
      <c r="BU20" s="264">
        <v>0</v>
      </c>
      <c r="BV20" s="264">
        <v>0</v>
      </c>
      <c r="BW20" s="264">
        <v>0</v>
      </c>
      <c r="BX20" s="264">
        <v>0</v>
      </c>
      <c r="BY20" s="264">
        <v>0</v>
      </c>
      <c r="BZ20" s="264">
        <v>0</v>
      </c>
      <c r="CA20" s="264">
        <v>0</v>
      </c>
      <c r="CB20" s="264">
        <v>0</v>
      </c>
      <c r="CC20" s="264">
        <v>0</v>
      </c>
      <c r="CD20" s="264">
        <v>0</v>
      </c>
      <c r="CE20" s="264">
        <v>0</v>
      </c>
      <c r="CF20" s="264">
        <v>0</v>
      </c>
      <c r="CG20" s="264">
        <v>0</v>
      </c>
      <c r="CH20" s="264">
        <v>0</v>
      </c>
      <c r="CI20" s="264">
        <v>0</v>
      </c>
      <c r="CJ20" s="264">
        <v>0</v>
      </c>
      <c r="CK20" s="264">
        <v>0</v>
      </c>
      <c r="CL20" s="264">
        <v>0</v>
      </c>
      <c r="CM20" s="264">
        <v>0</v>
      </c>
      <c r="CN20" s="264">
        <v>0</v>
      </c>
      <c r="CO20" s="264">
        <v>0</v>
      </c>
      <c r="CP20" s="264">
        <v>0</v>
      </c>
      <c r="CQ20" s="264">
        <v>0</v>
      </c>
      <c r="CR20" s="264">
        <v>0</v>
      </c>
      <c r="CS20" s="264">
        <v>0</v>
      </c>
      <c r="CT20" s="264">
        <v>0</v>
      </c>
      <c r="CU20" s="264">
        <v>0</v>
      </c>
      <c r="CV20" s="264">
        <v>0</v>
      </c>
      <c r="CW20" s="264">
        <v>0</v>
      </c>
      <c r="CX20" s="264">
        <v>0</v>
      </c>
      <c r="CY20" s="264">
        <v>0</v>
      </c>
      <c r="CZ20" s="264">
        <v>0</v>
      </c>
      <c r="DA20" s="264">
        <v>0</v>
      </c>
      <c r="DB20" s="264">
        <v>0</v>
      </c>
      <c r="DC20" s="264">
        <v>0</v>
      </c>
      <c r="DD20" s="264">
        <v>0</v>
      </c>
      <c r="DE20" s="264">
        <v>0</v>
      </c>
      <c r="DF20" s="264">
        <v>0</v>
      </c>
      <c r="DG20" s="264">
        <v>0</v>
      </c>
      <c r="DH20" s="264">
        <v>0</v>
      </c>
      <c r="DI20" s="264">
        <v>0</v>
      </c>
      <c r="DJ20" s="264">
        <v>0</v>
      </c>
      <c r="DK20" s="264">
        <v>0</v>
      </c>
      <c r="DL20" s="264">
        <v>0</v>
      </c>
      <c r="DM20" s="264">
        <v>0</v>
      </c>
    </row>
    <row r="21" spans="1:117">
      <c r="A21" s="259" t="s">
        <v>436</v>
      </c>
      <c r="B21" s="262">
        <v>383754.26</v>
      </c>
      <c r="C21" s="263">
        <v>383754.26</v>
      </c>
      <c r="D21" s="263">
        <v>0</v>
      </c>
      <c r="E21" s="263">
        <v>0</v>
      </c>
      <c r="F21" s="263">
        <v>0</v>
      </c>
      <c r="G21" s="264">
        <v>0</v>
      </c>
      <c r="H21" s="265">
        <v>0</v>
      </c>
      <c r="I21" s="264">
        <v>0</v>
      </c>
      <c r="J21" s="264">
        <v>0</v>
      </c>
      <c r="K21" s="264">
        <v>0</v>
      </c>
      <c r="L21" s="264">
        <v>0</v>
      </c>
      <c r="M21" s="262">
        <v>0</v>
      </c>
      <c r="N21" s="264">
        <v>0</v>
      </c>
      <c r="O21" s="264">
        <v>0</v>
      </c>
      <c r="P21" s="264">
        <v>0</v>
      </c>
      <c r="Q21" s="264">
        <v>0</v>
      </c>
      <c r="R21" s="264">
        <v>0</v>
      </c>
      <c r="S21" s="264">
        <v>0</v>
      </c>
      <c r="T21" s="264">
        <v>383754.26</v>
      </c>
      <c r="U21" s="264">
        <f t="shared" si="0"/>
        <v>383754.26</v>
      </c>
      <c r="V21" s="264">
        <v>0</v>
      </c>
      <c r="W21" s="264">
        <v>0</v>
      </c>
      <c r="X21" s="264">
        <v>0</v>
      </c>
      <c r="Y21" s="264">
        <v>0</v>
      </c>
      <c r="Z21" s="264">
        <v>0</v>
      </c>
      <c r="AA21" s="264">
        <v>0</v>
      </c>
      <c r="AB21" s="264">
        <v>0</v>
      </c>
      <c r="AC21" s="264">
        <v>0</v>
      </c>
      <c r="AD21" s="264">
        <v>0</v>
      </c>
      <c r="AE21" s="264">
        <v>0</v>
      </c>
      <c r="AF21" s="264">
        <v>0</v>
      </c>
      <c r="AG21" s="264">
        <v>0</v>
      </c>
      <c r="AH21" s="264">
        <v>0</v>
      </c>
      <c r="AI21" s="264">
        <v>0</v>
      </c>
      <c r="AJ21" s="264">
        <v>0</v>
      </c>
      <c r="AK21" s="264">
        <v>0</v>
      </c>
      <c r="AL21" s="264">
        <v>0</v>
      </c>
      <c r="AM21" s="264">
        <v>0</v>
      </c>
      <c r="AN21" s="264">
        <v>0</v>
      </c>
      <c r="AO21" s="264">
        <v>0</v>
      </c>
      <c r="AP21" s="264">
        <v>0</v>
      </c>
      <c r="AQ21" s="264">
        <v>0</v>
      </c>
      <c r="AR21" s="264">
        <v>0</v>
      </c>
      <c r="AS21" s="264">
        <v>0</v>
      </c>
      <c r="AT21" s="264">
        <v>0</v>
      </c>
      <c r="AU21" s="264">
        <v>383754.26</v>
      </c>
      <c r="AV21" s="264">
        <v>1601.23</v>
      </c>
      <c r="AW21" s="264">
        <v>1703.68</v>
      </c>
      <c r="AX21" s="264">
        <v>1831.69</v>
      </c>
      <c r="AY21" s="264">
        <v>1185.47</v>
      </c>
      <c r="AZ21" s="264">
        <v>1590.57</v>
      </c>
      <c r="BA21" s="264">
        <v>1493.02</v>
      </c>
      <c r="BB21" s="264">
        <v>869.81</v>
      </c>
      <c r="BC21" s="264">
        <v>942.74</v>
      </c>
      <c r="BD21" s="264">
        <v>355.56</v>
      </c>
      <c r="BE21" s="264">
        <v>283.58</v>
      </c>
      <c r="BF21" s="264">
        <v>335.19</v>
      </c>
      <c r="BG21" s="264">
        <v>2083.4899999999998</v>
      </c>
      <c r="BH21" s="264">
        <v>637.08000000000004</v>
      </c>
      <c r="BI21" s="264">
        <v>727.64</v>
      </c>
      <c r="BJ21" s="264">
        <v>1056.5999999999999</v>
      </c>
      <c r="BK21" s="264">
        <v>3549.06</v>
      </c>
      <c r="BL21" s="264">
        <v>643.96</v>
      </c>
      <c r="BM21" s="264">
        <v>1777.36</v>
      </c>
      <c r="BN21" s="264">
        <v>789.25</v>
      </c>
      <c r="BO21" s="264">
        <v>6273.58</v>
      </c>
      <c r="BP21" s="264">
        <v>2258.4899999999998</v>
      </c>
      <c r="BQ21" s="264">
        <v>1061.5999999999999</v>
      </c>
      <c r="BR21" s="264">
        <v>790.57</v>
      </c>
      <c r="BS21" s="264">
        <v>896.23</v>
      </c>
      <c r="BT21" s="264">
        <v>407.55</v>
      </c>
      <c r="BU21" s="264">
        <v>942.74</v>
      </c>
      <c r="BV21" s="264">
        <v>2060.38</v>
      </c>
      <c r="BW21" s="264">
        <v>6575.47</v>
      </c>
      <c r="BX21" s="264">
        <v>1913.21</v>
      </c>
      <c r="BY21" s="264">
        <v>1217.55</v>
      </c>
      <c r="BZ21" s="264">
        <v>515.09</v>
      </c>
      <c r="CA21" s="264">
        <v>264.14999999999998</v>
      </c>
      <c r="CB21" s="264">
        <v>1967.92</v>
      </c>
      <c r="CC21" s="264">
        <v>235.85</v>
      </c>
      <c r="CD21" s="264">
        <v>526.41999999999996</v>
      </c>
      <c r="CE21" s="264">
        <v>501.89</v>
      </c>
      <c r="CF21" s="264">
        <v>304974.15000000002</v>
      </c>
      <c r="CG21" s="264">
        <v>236</v>
      </c>
      <c r="CH21" s="264">
        <v>238</v>
      </c>
      <c r="CI21" s="264">
        <v>56</v>
      </c>
      <c r="CJ21" s="264">
        <v>1550</v>
      </c>
      <c r="CK21" s="264">
        <v>103.77</v>
      </c>
      <c r="CL21" s="264">
        <v>3183.02</v>
      </c>
      <c r="CM21" s="264">
        <v>1284</v>
      </c>
      <c r="CN21" s="264">
        <v>238</v>
      </c>
      <c r="CO21" s="264">
        <v>227.64</v>
      </c>
      <c r="CP21" s="264">
        <v>346</v>
      </c>
      <c r="CQ21" s="264">
        <v>1186</v>
      </c>
      <c r="CR21" s="264">
        <v>1092</v>
      </c>
      <c r="CS21" s="264">
        <v>3526</v>
      </c>
      <c r="CT21" s="264">
        <v>481</v>
      </c>
      <c r="CU21" s="264">
        <v>896</v>
      </c>
      <c r="CV21" s="264">
        <v>364</v>
      </c>
      <c r="CW21" s="264">
        <v>406</v>
      </c>
      <c r="CX21" s="264">
        <v>168</v>
      </c>
      <c r="CY21" s="264">
        <v>1036</v>
      </c>
      <c r="CZ21" s="264">
        <v>516</v>
      </c>
      <c r="DA21" s="264">
        <v>3694</v>
      </c>
      <c r="DB21" s="264">
        <v>392</v>
      </c>
      <c r="DC21" s="264">
        <v>1345.28</v>
      </c>
      <c r="DD21" s="264">
        <v>1750.94</v>
      </c>
      <c r="DE21" s="264">
        <v>388.02</v>
      </c>
      <c r="DF21" s="264">
        <v>303.77</v>
      </c>
      <c r="DG21" s="264">
        <v>894</v>
      </c>
      <c r="DH21" s="264">
        <v>117</v>
      </c>
      <c r="DI21" s="264">
        <v>896</v>
      </c>
      <c r="DJ21" s="264">
        <v>0</v>
      </c>
      <c r="DK21" s="264">
        <v>0</v>
      </c>
      <c r="DL21" s="264">
        <v>0</v>
      </c>
      <c r="DM21" s="264">
        <v>0</v>
      </c>
    </row>
    <row r="22" spans="1:117">
      <c r="A22" s="261" t="s">
        <v>437</v>
      </c>
      <c r="B22" s="262">
        <v>-85986649.630000114</v>
      </c>
      <c r="C22" s="262">
        <v>1064171.8299999908</v>
      </c>
      <c r="D22" s="262">
        <v>-519728.91000000201</v>
      </c>
      <c r="E22" s="262">
        <v>2279800.8400000003</v>
      </c>
      <c r="F22" s="262">
        <v>2135932.92</v>
      </c>
      <c r="G22" s="262">
        <v>-89857363.760000005</v>
      </c>
      <c r="H22" s="262">
        <v>-1089462.5500001111</v>
      </c>
      <c r="I22" s="262">
        <v>-38352628.649999999</v>
      </c>
      <c r="J22" s="262">
        <v>4.9000000000000004</v>
      </c>
      <c r="K22" s="262">
        <v>0</v>
      </c>
      <c r="L22" s="262">
        <v>-18207170.43</v>
      </c>
      <c r="M22" s="262">
        <v>-3583124.58</v>
      </c>
      <c r="N22" s="262">
        <v>3591205.689999999</v>
      </c>
      <c r="O22" s="262">
        <v>-1054055.8699999999</v>
      </c>
      <c r="P22" s="262">
        <v>-345930.23999999999</v>
      </c>
      <c r="Q22" s="262">
        <v>-341505.14</v>
      </c>
      <c r="R22" s="262">
        <v>0</v>
      </c>
      <c r="S22" s="262">
        <v>-888452.1</v>
      </c>
      <c r="T22" s="262">
        <v>60245828.250000015</v>
      </c>
      <c r="U22" s="262">
        <f t="shared" si="0"/>
        <v>58504337.000000015</v>
      </c>
      <c r="V22" s="262">
        <v>-1889474.73</v>
      </c>
      <c r="W22" s="262">
        <v>5834365.8899999997</v>
      </c>
      <c r="X22" s="262">
        <v>10354891.469999997</v>
      </c>
      <c r="Y22" s="262">
        <v>34039598.730000004</v>
      </c>
      <c r="Z22" s="262">
        <v>1640022.42</v>
      </c>
      <c r="AA22" s="262">
        <v>-68189548.640000001</v>
      </c>
      <c r="AB22" s="262">
        <v>2974.429999999993</v>
      </c>
      <c r="AC22" s="262">
        <v>-599475.30000000005</v>
      </c>
      <c r="AD22" s="262">
        <v>-1302490.24</v>
      </c>
      <c r="AE22" s="262">
        <v>-844810.48</v>
      </c>
      <c r="AF22" s="262">
        <v>-107857.69</v>
      </c>
      <c r="AG22" s="262">
        <v>-267748.06</v>
      </c>
      <c r="AH22" s="262">
        <v>-297408.64000000001</v>
      </c>
      <c r="AI22" s="262">
        <v>-163334.17000000001</v>
      </c>
      <c r="AJ22" s="262">
        <v>0</v>
      </c>
      <c r="AK22" s="262">
        <v>256341.36999999994</v>
      </c>
      <c r="AL22" s="262">
        <v>289586.44</v>
      </c>
      <c r="AM22" s="262">
        <v>1641041.32</v>
      </c>
      <c r="AN22" s="262">
        <v>1404236.5599999998</v>
      </c>
      <c r="AO22" s="262">
        <v>-273744.38</v>
      </c>
      <c r="AP22" s="262">
        <v>-72185.86</v>
      </c>
      <c r="AQ22" s="262">
        <v>-5111624.51</v>
      </c>
      <c r="AR22" s="262">
        <v>-362627.39</v>
      </c>
      <c r="AS22" s="262">
        <v>39286079.879999995</v>
      </c>
      <c r="AT22" s="262">
        <v>-430269.52999999997</v>
      </c>
      <c r="AU22" s="262">
        <v>26864269.800000008</v>
      </c>
      <c r="AV22" s="262">
        <v>906017.66999999993</v>
      </c>
      <c r="AW22" s="262">
        <v>1630720.5699999998</v>
      </c>
      <c r="AX22" s="262">
        <v>1046585.4900000001</v>
      </c>
      <c r="AY22" s="262">
        <v>1103452.1200000001</v>
      </c>
      <c r="AZ22" s="262">
        <v>1266970.02</v>
      </c>
      <c r="BA22" s="262">
        <v>991177.31999999983</v>
      </c>
      <c r="BB22" s="262">
        <v>342000.6</v>
      </c>
      <c r="BC22" s="262">
        <v>1420212.04</v>
      </c>
      <c r="BD22" s="262">
        <v>241902.26</v>
      </c>
      <c r="BE22" s="262">
        <v>203966.94</v>
      </c>
      <c r="BF22" s="262">
        <v>1243128.3799999999</v>
      </c>
      <c r="BG22" s="262">
        <v>5522193.4699999997</v>
      </c>
      <c r="BH22" s="262">
        <v>727863.28999999992</v>
      </c>
      <c r="BI22" s="262">
        <v>183518.43999999994</v>
      </c>
      <c r="BJ22" s="262">
        <v>333631.94000000006</v>
      </c>
      <c r="BK22" s="262">
        <v>323752.82999999996</v>
      </c>
      <c r="BL22" s="262">
        <v>327738.75999999989</v>
      </c>
      <c r="BM22" s="262">
        <v>325181.51999999996</v>
      </c>
      <c r="BN22" s="262">
        <v>287335.81</v>
      </c>
      <c r="BO22" s="262">
        <v>128950.73000000001</v>
      </c>
      <c r="BP22" s="262">
        <v>189308.79000000004</v>
      </c>
      <c r="BQ22" s="262">
        <v>244529.95000000007</v>
      </c>
      <c r="BR22" s="262">
        <v>-42106.050000000017</v>
      </c>
      <c r="BS22" s="262">
        <v>37872.330000000016</v>
      </c>
      <c r="BT22" s="262">
        <v>63044.219999999972</v>
      </c>
      <c r="BU22" s="262">
        <v>4557.390000000014</v>
      </c>
      <c r="BV22" s="262">
        <v>-4378.2500000000146</v>
      </c>
      <c r="BW22" s="262">
        <v>77176.800000000017</v>
      </c>
      <c r="BX22" s="262">
        <v>56884.420000000013</v>
      </c>
      <c r="BY22" s="262">
        <v>-328584.25</v>
      </c>
      <c r="BZ22" s="262">
        <v>-32729.959999999992</v>
      </c>
      <c r="CA22" s="262">
        <v>-7761</v>
      </c>
      <c r="CB22" s="262">
        <v>-3719.0400000000009</v>
      </c>
      <c r="CC22" s="262">
        <v>10453.049999999988</v>
      </c>
      <c r="CD22" s="262">
        <v>61402.440000000017</v>
      </c>
      <c r="CE22" s="262">
        <v>-162289.28000000003</v>
      </c>
      <c r="CF22" s="262">
        <v>9774570.9499999993</v>
      </c>
      <c r="CG22" s="262">
        <v>11042.940000000002</v>
      </c>
      <c r="CH22" s="262">
        <v>-65287.229999999996</v>
      </c>
      <c r="CI22" s="262">
        <v>-34742.18</v>
      </c>
      <c r="CJ22" s="262">
        <v>-31791.25</v>
      </c>
      <c r="CK22" s="262">
        <v>-15040.629999999994</v>
      </c>
      <c r="CL22" s="262">
        <v>-52009.930000000008</v>
      </c>
      <c r="CM22" s="262">
        <v>-43655.209999999992</v>
      </c>
      <c r="CN22" s="262">
        <v>-89348.72</v>
      </c>
      <c r="CO22" s="262">
        <v>-55692.579999999987</v>
      </c>
      <c r="CP22" s="262">
        <v>-70377.890000000014</v>
      </c>
      <c r="CQ22" s="262">
        <v>-141195.79</v>
      </c>
      <c r="CR22" s="262">
        <v>-69929.19</v>
      </c>
      <c r="CS22" s="262">
        <v>-39978.619999999995</v>
      </c>
      <c r="CT22" s="262">
        <v>-75085.570000000007</v>
      </c>
      <c r="CU22" s="262">
        <v>-90171.319999999992</v>
      </c>
      <c r="CV22" s="262">
        <v>-56355.969999999994</v>
      </c>
      <c r="CW22" s="262">
        <v>-77924.81</v>
      </c>
      <c r="CX22" s="262">
        <v>-49252.61</v>
      </c>
      <c r="CY22" s="262">
        <v>-73868.69</v>
      </c>
      <c r="CZ22" s="262">
        <v>-116022.72</v>
      </c>
      <c r="DA22" s="262">
        <v>-66087.100000000006</v>
      </c>
      <c r="DB22" s="262">
        <v>-75589.17</v>
      </c>
      <c r="DC22" s="262">
        <v>12360.220000000001</v>
      </c>
      <c r="DD22" s="262">
        <v>4930.3599999999278</v>
      </c>
      <c r="DE22" s="262">
        <v>15118.540000000008</v>
      </c>
      <c r="DF22" s="262">
        <v>-127260.23999999999</v>
      </c>
      <c r="DG22" s="262">
        <v>-22974.58</v>
      </c>
      <c r="DH22" s="262">
        <v>-126733.5</v>
      </c>
      <c r="DI22" s="262">
        <v>-7339.4699999999866</v>
      </c>
      <c r="DJ22" s="262">
        <v>0</v>
      </c>
      <c r="DK22" s="262">
        <v>0</v>
      </c>
      <c r="DL22" s="262">
        <v>0</v>
      </c>
      <c r="DM22" s="262">
        <v>0</v>
      </c>
    </row>
    <row r="23" spans="1:117">
      <c r="A23" s="259" t="s">
        <v>438</v>
      </c>
      <c r="B23" s="262">
        <v>13595.85</v>
      </c>
      <c r="C23" s="263">
        <v>13595.79</v>
      </c>
      <c r="D23" s="263">
        <v>0.06</v>
      </c>
      <c r="E23" s="263">
        <v>0</v>
      </c>
      <c r="F23" s="263">
        <v>0</v>
      </c>
      <c r="G23" s="264">
        <v>0</v>
      </c>
      <c r="H23" s="265">
        <v>0</v>
      </c>
      <c r="I23" s="264">
        <v>0</v>
      </c>
      <c r="J23" s="264">
        <v>0</v>
      </c>
      <c r="K23" s="264">
        <v>0</v>
      </c>
      <c r="L23" s="264">
        <v>0</v>
      </c>
      <c r="M23" s="262">
        <v>0</v>
      </c>
      <c r="N23" s="264">
        <v>0</v>
      </c>
      <c r="O23" s="264">
        <v>0</v>
      </c>
      <c r="P23" s="264">
        <v>0</v>
      </c>
      <c r="Q23" s="264">
        <v>0</v>
      </c>
      <c r="R23" s="264">
        <v>0</v>
      </c>
      <c r="S23" s="264">
        <v>0</v>
      </c>
      <c r="T23" s="264">
        <v>13595.79</v>
      </c>
      <c r="U23" s="264">
        <f t="shared" si="0"/>
        <v>13595.79</v>
      </c>
      <c r="V23" s="264">
        <v>0</v>
      </c>
      <c r="W23" s="264">
        <v>0</v>
      </c>
      <c r="X23" s="264">
        <v>0</v>
      </c>
      <c r="Y23" s="264">
        <v>0</v>
      </c>
      <c r="Z23" s="264">
        <v>0</v>
      </c>
      <c r="AA23" s="264">
        <v>0</v>
      </c>
      <c r="AB23" s="264">
        <v>0</v>
      </c>
      <c r="AC23" s="264">
        <v>0</v>
      </c>
      <c r="AD23" s="264">
        <v>0</v>
      </c>
      <c r="AE23" s="264">
        <v>0</v>
      </c>
      <c r="AF23" s="264">
        <v>0</v>
      </c>
      <c r="AG23" s="264">
        <v>0</v>
      </c>
      <c r="AH23" s="264">
        <v>0</v>
      </c>
      <c r="AI23" s="264">
        <v>0</v>
      </c>
      <c r="AJ23" s="264">
        <v>0</v>
      </c>
      <c r="AK23" s="264">
        <v>0</v>
      </c>
      <c r="AL23" s="264">
        <v>0</v>
      </c>
      <c r="AM23" s="264">
        <v>0</v>
      </c>
      <c r="AN23" s="264">
        <v>0</v>
      </c>
      <c r="AO23" s="264">
        <v>0</v>
      </c>
      <c r="AP23" s="264">
        <v>0</v>
      </c>
      <c r="AQ23" s="264">
        <v>0</v>
      </c>
      <c r="AR23" s="264">
        <v>0</v>
      </c>
      <c r="AS23" s="264">
        <v>0</v>
      </c>
      <c r="AT23" s="264">
        <v>0</v>
      </c>
      <c r="AU23" s="264">
        <v>13595.79</v>
      </c>
      <c r="AV23" s="264">
        <v>0</v>
      </c>
      <c r="AW23" s="264">
        <v>0</v>
      </c>
      <c r="AX23" s="264">
        <v>0</v>
      </c>
      <c r="AY23" s="264">
        <v>0</v>
      </c>
      <c r="AZ23" s="264">
        <v>0</v>
      </c>
      <c r="BA23" s="264">
        <v>0</v>
      </c>
      <c r="BB23" s="264">
        <v>0</v>
      </c>
      <c r="BC23" s="264">
        <v>0</v>
      </c>
      <c r="BD23" s="264">
        <v>0</v>
      </c>
      <c r="BE23" s="264">
        <v>0</v>
      </c>
      <c r="BF23" s="264">
        <v>0.09</v>
      </c>
      <c r="BG23" s="264">
        <v>0</v>
      </c>
      <c r="BH23" s="264">
        <v>1995.7</v>
      </c>
      <c r="BI23" s="264">
        <v>0</v>
      </c>
      <c r="BJ23" s="264">
        <v>0</v>
      </c>
      <c r="BK23" s="264">
        <v>0</v>
      </c>
      <c r="BL23" s="264">
        <v>0</v>
      </c>
      <c r="BM23" s="264">
        <v>0</v>
      </c>
      <c r="BN23" s="264">
        <v>0</v>
      </c>
      <c r="BO23" s="264">
        <v>0</v>
      </c>
      <c r="BP23" s="264">
        <v>660</v>
      </c>
      <c r="BQ23" s="264">
        <v>0</v>
      </c>
      <c r="BR23" s="264">
        <v>0</v>
      </c>
      <c r="BS23" s="264">
        <v>0</v>
      </c>
      <c r="BT23" s="264">
        <v>0</v>
      </c>
      <c r="BU23" s="264">
        <v>0</v>
      </c>
      <c r="BV23" s="264">
        <v>0</v>
      </c>
      <c r="BW23" s="264">
        <v>10940</v>
      </c>
      <c r="BX23" s="264">
        <v>0</v>
      </c>
      <c r="BY23" s="264">
        <v>0</v>
      </c>
      <c r="BZ23" s="264">
        <v>0</v>
      </c>
      <c r="CA23" s="264">
        <v>0</v>
      </c>
      <c r="CB23" s="264">
        <v>0</v>
      </c>
      <c r="CC23" s="264">
        <v>0</v>
      </c>
      <c r="CD23" s="264">
        <v>0</v>
      </c>
      <c r="CE23" s="264">
        <v>0</v>
      </c>
      <c r="CF23" s="264">
        <v>0</v>
      </c>
      <c r="CG23" s="264">
        <v>0</v>
      </c>
      <c r="CH23" s="264">
        <v>0</v>
      </c>
      <c r="CI23" s="264">
        <v>0</v>
      </c>
      <c r="CJ23" s="264">
        <v>0</v>
      </c>
      <c r="CK23" s="264">
        <v>0</v>
      </c>
      <c r="CL23" s="264">
        <v>0</v>
      </c>
      <c r="CM23" s="264">
        <v>0</v>
      </c>
      <c r="CN23" s="264">
        <v>0</v>
      </c>
      <c r="CO23" s="264">
        <v>0</v>
      </c>
      <c r="CP23" s="264">
        <v>0</v>
      </c>
      <c r="CQ23" s="264">
        <v>0</v>
      </c>
      <c r="CR23" s="264">
        <v>0</v>
      </c>
      <c r="CS23" s="264">
        <v>0</v>
      </c>
      <c r="CT23" s="264">
        <v>0</v>
      </c>
      <c r="CU23" s="264">
        <v>0</v>
      </c>
      <c r="CV23" s="264">
        <v>0</v>
      </c>
      <c r="CW23" s="264">
        <v>0</v>
      </c>
      <c r="CX23" s="264">
        <v>0</v>
      </c>
      <c r="CY23" s="264">
        <v>0</v>
      </c>
      <c r="CZ23" s="264">
        <v>0</v>
      </c>
      <c r="DA23" s="264">
        <v>0</v>
      </c>
      <c r="DB23" s="264">
        <v>0</v>
      </c>
      <c r="DC23" s="264">
        <v>0</v>
      </c>
      <c r="DD23" s="264">
        <v>0</v>
      </c>
      <c r="DE23" s="264">
        <v>0</v>
      </c>
      <c r="DF23" s="264">
        <v>0</v>
      </c>
      <c r="DG23" s="264">
        <v>0</v>
      </c>
      <c r="DH23" s="264">
        <v>0</v>
      </c>
      <c r="DI23" s="264">
        <v>0</v>
      </c>
      <c r="DJ23" s="264">
        <v>0</v>
      </c>
      <c r="DK23" s="264">
        <v>0</v>
      </c>
      <c r="DL23" s="264">
        <v>0</v>
      </c>
      <c r="DM23" s="264">
        <v>0</v>
      </c>
    </row>
    <row r="24" spans="1:117">
      <c r="A24" s="259" t="s">
        <v>439</v>
      </c>
      <c r="B24" s="262">
        <v>2556691.0100000002</v>
      </c>
      <c r="C24" s="263">
        <v>10940</v>
      </c>
      <c r="D24" s="263">
        <v>86374.35</v>
      </c>
      <c r="E24" s="263">
        <v>2459376.66</v>
      </c>
      <c r="F24" s="263">
        <v>0</v>
      </c>
      <c r="G24" s="264">
        <v>0</v>
      </c>
      <c r="H24" s="265">
        <v>0</v>
      </c>
      <c r="I24" s="264">
        <v>0</v>
      </c>
      <c r="J24" s="264">
        <v>0</v>
      </c>
      <c r="K24" s="264">
        <v>0</v>
      </c>
      <c r="L24" s="264">
        <v>0</v>
      </c>
      <c r="M24" s="262">
        <v>0</v>
      </c>
      <c r="N24" s="264">
        <v>0</v>
      </c>
      <c r="O24" s="264">
        <v>0</v>
      </c>
      <c r="P24" s="264">
        <v>0</v>
      </c>
      <c r="Q24" s="264">
        <v>0</v>
      </c>
      <c r="R24" s="264">
        <v>0</v>
      </c>
      <c r="S24" s="264">
        <v>0</v>
      </c>
      <c r="T24" s="264">
        <v>10940</v>
      </c>
      <c r="U24" s="264">
        <f t="shared" si="0"/>
        <v>10940</v>
      </c>
      <c r="V24" s="264">
        <v>0</v>
      </c>
      <c r="W24" s="264">
        <v>0</v>
      </c>
      <c r="X24" s="264">
        <v>0</v>
      </c>
      <c r="Y24" s="264">
        <v>0</v>
      </c>
      <c r="Z24" s="264">
        <v>0</v>
      </c>
      <c r="AA24" s="264">
        <v>0</v>
      </c>
      <c r="AB24" s="264">
        <v>0</v>
      </c>
      <c r="AC24" s="264">
        <v>0</v>
      </c>
      <c r="AD24" s="264">
        <v>0</v>
      </c>
      <c r="AE24" s="264">
        <v>0</v>
      </c>
      <c r="AF24" s="264">
        <v>0</v>
      </c>
      <c r="AG24" s="264">
        <v>0</v>
      </c>
      <c r="AH24" s="264">
        <v>0</v>
      </c>
      <c r="AI24" s="264">
        <v>0</v>
      </c>
      <c r="AJ24" s="264">
        <v>0</v>
      </c>
      <c r="AK24" s="264">
        <v>0</v>
      </c>
      <c r="AL24" s="264">
        <v>0</v>
      </c>
      <c r="AM24" s="264">
        <v>0</v>
      </c>
      <c r="AN24" s="264">
        <v>0</v>
      </c>
      <c r="AO24" s="264">
        <v>0</v>
      </c>
      <c r="AP24" s="264">
        <v>0</v>
      </c>
      <c r="AQ24" s="264">
        <v>0</v>
      </c>
      <c r="AR24" s="264">
        <v>0</v>
      </c>
      <c r="AS24" s="264">
        <v>0</v>
      </c>
      <c r="AT24" s="264">
        <v>0</v>
      </c>
      <c r="AU24" s="264">
        <v>10940</v>
      </c>
      <c r="AV24" s="264">
        <v>0</v>
      </c>
      <c r="AW24" s="264">
        <v>0</v>
      </c>
      <c r="AX24" s="264">
        <v>0</v>
      </c>
      <c r="AY24" s="264">
        <v>0</v>
      </c>
      <c r="AZ24" s="264">
        <v>0</v>
      </c>
      <c r="BA24" s="264">
        <v>0</v>
      </c>
      <c r="BB24" s="264">
        <v>0</v>
      </c>
      <c r="BC24" s="264">
        <v>0</v>
      </c>
      <c r="BD24" s="264">
        <v>0</v>
      </c>
      <c r="BE24" s="264">
        <v>0</v>
      </c>
      <c r="BF24" s="264">
        <v>0</v>
      </c>
      <c r="BG24" s="264">
        <v>0</v>
      </c>
      <c r="BH24" s="264">
        <v>0</v>
      </c>
      <c r="BI24" s="264">
        <v>0</v>
      </c>
      <c r="BJ24" s="264">
        <v>0</v>
      </c>
      <c r="BK24" s="264">
        <v>0</v>
      </c>
      <c r="BL24" s="264">
        <v>0</v>
      </c>
      <c r="BM24" s="264">
        <v>0</v>
      </c>
      <c r="BN24" s="264">
        <v>0</v>
      </c>
      <c r="BO24" s="264">
        <v>0</v>
      </c>
      <c r="BP24" s="264">
        <v>0</v>
      </c>
      <c r="BQ24" s="264">
        <v>0</v>
      </c>
      <c r="BR24" s="264">
        <v>0</v>
      </c>
      <c r="BS24" s="264">
        <v>0</v>
      </c>
      <c r="BT24" s="264">
        <v>0</v>
      </c>
      <c r="BU24" s="264">
        <v>0</v>
      </c>
      <c r="BV24" s="264">
        <v>0</v>
      </c>
      <c r="BW24" s="264">
        <v>10940</v>
      </c>
      <c r="BX24" s="264">
        <v>0</v>
      </c>
      <c r="BY24" s="264">
        <v>0</v>
      </c>
      <c r="BZ24" s="264">
        <v>0</v>
      </c>
      <c r="CA24" s="264">
        <v>0</v>
      </c>
      <c r="CB24" s="264">
        <v>0</v>
      </c>
      <c r="CC24" s="264">
        <v>0</v>
      </c>
      <c r="CD24" s="264">
        <v>0</v>
      </c>
      <c r="CE24" s="264">
        <v>0</v>
      </c>
      <c r="CF24" s="264">
        <v>0</v>
      </c>
      <c r="CG24" s="264">
        <v>0</v>
      </c>
      <c r="CH24" s="264">
        <v>0</v>
      </c>
      <c r="CI24" s="264">
        <v>0</v>
      </c>
      <c r="CJ24" s="264">
        <v>0</v>
      </c>
      <c r="CK24" s="264">
        <v>0</v>
      </c>
      <c r="CL24" s="264">
        <v>0</v>
      </c>
      <c r="CM24" s="264">
        <v>0</v>
      </c>
      <c r="CN24" s="264">
        <v>0</v>
      </c>
      <c r="CO24" s="264">
        <v>0</v>
      </c>
      <c r="CP24" s="264">
        <v>0</v>
      </c>
      <c r="CQ24" s="264">
        <v>0</v>
      </c>
      <c r="CR24" s="264">
        <v>0</v>
      </c>
      <c r="CS24" s="264">
        <v>0</v>
      </c>
      <c r="CT24" s="264">
        <v>0</v>
      </c>
      <c r="CU24" s="264">
        <v>0</v>
      </c>
      <c r="CV24" s="264">
        <v>0</v>
      </c>
      <c r="CW24" s="264">
        <v>0</v>
      </c>
      <c r="CX24" s="264">
        <v>0</v>
      </c>
      <c r="CY24" s="264">
        <v>0</v>
      </c>
      <c r="CZ24" s="264">
        <v>0</v>
      </c>
      <c r="DA24" s="264">
        <v>0</v>
      </c>
      <c r="DB24" s="264">
        <v>0</v>
      </c>
      <c r="DC24" s="264">
        <v>0</v>
      </c>
      <c r="DD24" s="264">
        <v>0</v>
      </c>
      <c r="DE24" s="264">
        <v>0</v>
      </c>
      <c r="DF24" s="264">
        <v>0</v>
      </c>
      <c r="DG24" s="264">
        <v>0</v>
      </c>
      <c r="DH24" s="264">
        <v>0</v>
      </c>
      <c r="DI24" s="264">
        <v>0</v>
      </c>
      <c r="DJ24" s="264">
        <v>0</v>
      </c>
      <c r="DK24" s="264">
        <v>0</v>
      </c>
      <c r="DL24" s="264">
        <v>0</v>
      </c>
      <c r="DM24" s="264">
        <v>0</v>
      </c>
    </row>
    <row r="25" spans="1:117">
      <c r="A25" s="261" t="s">
        <v>440</v>
      </c>
      <c r="B25" s="262">
        <v>-88529744.790000126</v>
      </c>
      <c r="C25" s="262">
        <v>1066827.6199999908</v>
      </c>
      <c r="D25" s="262">
        <v>-606103.20000000205</v>
      </c>
      <c r="E25" s="262">
        <v>-179575.81999999983</v>
      </c>
      <c r="F25" s="262">
        <v>2135932.92</v>
      </c>
      <c r="G25" s="262">
        <v>-89857363.760000005</v>
      </c>
      <c r="H25" s="262">
        <v>-1089462.5500001111</v>
      </c>
      <c r="I25" s="262">
        <v>-38352628.649999999</v>
      </c>
      <c r="J25" s="262">
        <v>4.9000000000000004</v>
      </c>
      <c r="K25" s="262">
        <v>0</v>
      </c>
      <c r="L25" s="262">
        <v>-18207170.43</v>
      </c>
      <c r="M25" s="262">
        <v>-3583124.58</v>
      </c>
      <c r="N25" s="262">
        <v>3591205.689999999</v>
      </c>
      <c r="O25" s="262">
        <v>-1054055.8699999999</v>
      </c>
      <c r="P25" s="262">
        <v>-345930.23999999999</v>
      </c>
      <c r="Q25" s="262">
        <v>-341505.14</v>
      </c>
      <c r="R25" s="262">
        <v>0</v>
      </c>
      <c r="S25" s="262">
        <v>-888452.1</v>
      </c>
      <c r="T25" s="262">
        <v>60248484.040000014</v>
      </c>
      <c r="U25" s="262">
        <f t="shared" si="0"/>
        <v>58506992.790000014</v>
      </c>
      <c r="V25" s="262">
        <v>-1889474.73</v>
      </c>
      <c r="W25" s="262">
        <v>5834365.8899999997</v>
      </c>
      <c r="X25" s="262">
        <v>10354891.469999997</v>
      </c>
      <c r="Y25" s="262">
        <v>34039598.730000004</v>
      </c>
      <c r="Z25" s="262">
        <v>1640022.42</v>
      </c>
      <c r="AA25" s="262">
        <v>-68189548.640000001</v>
      </c>
      <c r="AB25" s="262">
        <v>2974.429999999993</v>
      </c>
      <c r="AC25" s="262">
        <v>-599475.30000000005</v>
      </c>
      <c r="AD25" s="262">
        <v>-1302490.24</v>
      </c>
      <c r="AE25" s="262">
        <v>-844810.48</v>
      </c>
      <c r="AF25" s="262">
        <v>-107857.69</v>
      </c>
      <c r="AG25" s="262">
        <v>-267748.06</v>
      </c>
      <c r="AH25" s="262">
        <v>-297408.64000000001</v>
      </c>
      <c r="AI25" s="262">
        <v>-163334.17000000001</v>
      </c>
      <c r="AJ25" s="262">
        <v>0</v>
      </c>
      <c r="AK25" s="262">
        <v>256341.36999999994</v>
      </c>
      <c r="AL25" s="262">
        <v>289586.44</v>
      </c>
      <c r="AM25" s="262">
        <v>1641041.32</v>
      </c>
      <c r="AN25" s="262">
        <v>1404236.5599999998</v>
      </c>
      <c r="AO25" s="262">
        <v>-273744.38</v>
      </c>
      <c r="AP25" s="262">
        <v>-72185.86</v>
      </c>
      <c r="AQ25" s="262">
        <v>-5111624.51</v>
      </c>
      <c r="AR25" s="262">
        <v>-362627.39</v>
      </c>
      <c r="AS25" s="262">
        <v>39286079.879999995</v>
      </c>
      <c r="AT25" s="262">
        <v>-430269.52999999997</v>
      </c>
      <c r="AU25" s="262">
        <v>26866925.590000007</v>
      </c>
      <c r="AV25" s="262">
        <v>906017.66999999993</v>
      </c>
      <c r="AW25" s="262">
        <v>1630720.5699999998</v>
      </c>
      <c r="AX25" s="262">
        <v>1046585.4900000001</v>
      </c>
      <c r="AY25" s="262">
        <v>1103452.1200000001</v>
      </c>
      <c r="AZ25" s="262">
        <v>1266970.02</v>
      </c>
      <c r="BA25" s="262">
        <v>991177.31999999983</v>
      </c>
      <c r="BB25" s="262">
        <v>342000.6</v>
      </c>
      <c r="BC25" s="262">
        <v>1420212.04</v>
      </c>
      <c r="BD25" s="262">
        <v>241902.26</v>
      </c>
      <c r="BE25" s="262">
        <v>203966.94</v>
      </c>
      <c r="BF25" s="262">
        <v>1243128.47</v>
      </c>
      <c r="BG25" s="262">
        <v>5522193.4699999997</v>
      </c>
      <c r="BH25" s="262">
        <v>729858.98999999987</v>
      </c>
      <c r="BI25" s="262">
        <v>183518.43999999994</v>
      </c>
      <c r="BJ25" s="262">
        <v>333631.94000000006</v>
      </c>
      <c r="BK25" s="262">
        <v>323752.82999999996</v>
      </c>
      <c r="BL25" s="262">
        <v>327738.75999999989</v>
      </c>
      <c r="BM25" s="262">
        <v>325181.51999999996</v>
      </c>
      <c r="BN25" s="262">
        <v>287335.81</v>
      </c>
      <c r="BO25" s="262">
        <v>128950.73000000001</v>
      </c>
      <c r="BP25" s="262">
        <v>189968.79000000004</v>
      </c>
      <c r="BQ25" s="262">
        <v>244529.95000000007</v>
      </c>
      <c r="BR25" s="262">
        <v>-42106.050000000017</v>
      </c>
      <c r="BS25" s="262">
        <v>37872.330000000016</v>
      </c>
      <c r="BT25" s="262">
        <v>63044.219999999972</v>
      </c>
      <c r="BU25" s="262">
        <v>4557.390000000014</v>
      </c>
      <c r="BV25" s="262">
        <v>-4378.2500000000146</v>
      </c>
      <c r="BW25" s="262">
        <v>77176.800000000017</v>
      </c>
      <c r="BX25" s="262">
        <v>56884.420000000013</v>
      </c>
      <c r="BY25" s="262">
        <v>-328584.25</v>
      </c>
      <c r="BZ25" s="262">
        <v>-32729.959999999992</v>
      </c>
      <c r="CA25" s="262">
        <v>-7761</v>
      </c>
      <c r="CB25" s="262">
        <v>-3719.0400000000009</v>
      </c>
      <c r="CC25" s="262">
        <v>10453.049999999988</v>
      </c>
      <c r="CD25" s="262">
        <v>61402.440000000017</v>
      </c>
      <c r="CE25" s="262">
        <v>-162289.28000000003</v>
      </c>
      <c r="CF25" s="262">
        <v>9774570.9499999993</v>
      </c>
      <c r="CG25" s="262">
        <v>11042.940000000002</v>
      </c>
      <c r="CH25" s="262">
        <v>-65287.229999999996</v>
      </c>
      <c r="CI25" s="262">
        <v>-34742.18</v>
      </c>
      <c r="CJ25" s="262">
        <v>-31791.25</v>
      </c>
      <c r="CK25" s="262">
        <v>-15040.629999999994</v>
      </c>
      <c r="CL25" s="262">
        <v>-52009.930000000008</v>
      </c>
      <c r="CM25" s="262">
        <v>-43655.209999999992</v>
      </c>
      <c r="CN25" s="262">
        <v>-89348.72</v>
      </c>
      <c r="CO25" s="262">
        <v>-55692.579999999987</v>
      </c>
      <c r="CP25" s="262">
        <v>-70377.890000000014</v>
      </c>
      <c r="CQ25" s="262">
        <v>-141195.79</v>
      </c>
      <c r="CR25" s="262">
        <v>-69929.19</v>
      </c>
      <c r="CS25" s="262">
        <v>-39978.619999999995</v>
      </c>
      <c r="CT25" s="262">
        <v>-75085.570000000007</v>
      </c>
      <c r="CU25" s="262">
        <v>-90171.319999999992</v>
      </c>
      <c r="CV25" s="262">
        <v>-56355.969999999994</v>
      </c>
      <c r="CW25" s="262">
        <v>-77924.81</v>
      </c>
      <c r="CX25" s="262">
        <v>-49252.61</v>
      </c>
      <c r="CY25" s="262">
        <v>-73868.69</v>
      </c>
      <c r="CZ25" s="262">
        <v>-116022.72</v>
      </c>
      <c r="DA25" s="262">
        <v>-66087.100000000006</v>
      </c>
      <c r="DB25" s="262">
        <v>-75589.17</v>
      </c>
      <c r="DC25" s="262">
        <v>12360.220000000001</v>
      </c>
      <c r="DD25" s="262">
        <v>4930.3599999999278</v>
      </c>
      <c r="DE25" s="262">
        <v>15118.540000000008</v>
      </c>
      <c r="DF25" s="262">
        <v>-127260.23999999999</v>
      </c>
      <c r="DG25" s="262">
        <v>-22974.58</v>
      </c>
      <c r="DH25" s="262">
        <v>-126733.5</v>
      </c>
      <c r="DI25" s="262">
        <v>-7339.4699999999866</v>
      </c>
      <c r="DJ25" s="262">
        <v>0</v>
      </c>
      <c r="DK25" s="262">
        <v>0</v>
      </c>
      <c r="DL25" s="262">
        <v>0</v>
      </c>
      <c r="DM25" s="262">
        <v>0</v>
      </c>
    </row>
    <row r="26" spans="1:117">
      <c r="A26" s="259" t="s">
        <v>503</v>
      </c>
      <c r="B26" s="262">
        <v>-18251944.969999954</v>
      </c>
      <c r="C26" s="264">
        <v>3438716.8</v>
      </c>
      <c r="D26" s="264">
        <v>78725.600000000006</v>
      </c>
      <c r="E26" s="264">
        <v>0</v>
      </c>
      <c r="F26" s="264">
        <v>534161.43000000005</v>
      </c>
      <c r="G26" s="264">
        <v>0</v>
      </c>
      <c r="H26" s="265">
        <v>-22303548.799999952</v>
      </c>
      <c r="I26" s="264">
        <v>3438716.8</v>
      </c>
      <c r="J26" s="264">
        <v>0</v>
      </c>
      <c r="K26" s="264">
        <v>0</v>
      </c>
      <c r="L26" s="264">
        <v>0</v>
      </c>
      <c r="M26" s="262">
        <v>0</v>
      </c>
      <c r="N26" s="264">
        <v>0</v>
      </c>
      <c r="O26" s="264">
        <v>0</v>
      </c>
      <c r="P26" s="264">
        <v>0</v>
      </c>
      <c r="Q26" s="264">
        <v>0</v>
      </c>
      <c r="R26" s="264">
        <v>0</v>
      </c>
      <c r="S26" s="264">
        <v>0</v>
      </c>
      <c r="T26" s="264">
        <v>0</v>
      </c>
      <c r="U26" s="264">
        <f t="shared" si="0"/>
        <v>0</v>
      </c>
      <c r="V26" s="264">
        <v>0</v>
      </c>
      <c r="W26" s="264">
        <v>0</v>
      </c>
      <c r="X26" s="264">
        <v>0</v>
      </c>
      <c r="Y26" s="264">
        <v>0</v>
      </c>
      <c r="Z26" s="264">
        <v>0</v>
      </c>
      <c r="AA26" s="264">
        <v>0</v>
      </c>
      <c r="AB26" s="264">
        <v>0</v>
      </c>
      <c r="AC26" s="264">
        <v>0</v>
      </c>
      <c r="AD26" s="264">
        <v>0</v>
      </c>
      <c r="AE26" s="264">
        <v>0</v>
      </c>
      <c r="AF26" s="264">
        <v>0</v>
      </c>
      <c r="AG26" s="264">
        <v>0</v>
      </c>
      <c r="AH26" s="264">
        <v>0</v>
      </c>
      <c r="AI26" s="264">
        <v>0</v>
      </c>
      <c r="AJ26" s="264">
        <v>0</v>
      </c>
      <c r="AK26" s="264">
        <v>0</v>
      </c>
      <c r="AL26" s="264">
        <v>0</v>
      </c>
      <c r="AM26" s="264">
        <v>0</v>
      </c>
      <c r="AN26" s="264">
        <v>0</v>
      </c>
      <c r="AO26" s="264">
        <v>0</v>
      </c>
      <c r="AP26" s="264">
        <v>0</v>
      </c>
      <c r="AQ26" s="264">
        <v>0</v>
      </c>
      <c r="AR26" s="264">
        <v>0</v>
      </c>
      <c r="AS26" s="264">
        <v>0</v>
      </c>
      <c r="AT26" s="264">
        <v>0</v>
      </c>
      <c r="AU26" s="264">
        <v>0</v>
      </c>
      <c r="AV26" s="264">
        <v>0</v>
      </c>
      <c r="AW26" s="264">
        <v>0</v>
      </c>
      <c r="AX26" s="264">
        <v>0</v>
      </c>
      <c r="AY26" s="264">
        <v>0</v>
      </c>
      <c r="AZ26" s="264">
        <v>0</v>
      </c>
      <c r="BA26" s="264">
        <v>0</v>
      </c>
      <c r="BB26" s="264">
        <v>0</v>
      </c>
      <c r="BC26" s="264">
        <v>0</v>
      </c>
      <c r="BD26" s="264">
        <v>0</v>
      </c>
      <c r="BE26" s="264">
        <v>0</v>
      </c>
      <c r="BF26" s="264">
        <v>0</v>
      </c>
      <c r="BG26" s="264">
        <v>0</v>
      </c>
      <c r="BH26" s="264">
        <v>0</v>
      </c>
      <c r="BI26" s="264">
        <v>0</v>
      </c>
      <c r="BJ26" s="264">
        <v>0</v>
      </c>
      <c r="BK26" s="264">
        <v>0</v>
      </c>
      <c r="BL26" s="264">
        <v>0</v>
      </c>
      <c r="BM26" s="264">
        <v>0</v>
      </c>
      <c r="BN26" s="264">
        <v>0</v>
      </c>
      <c r="BO26" s="264">
        <v>0</v>
      </c>
      <c r="BP26" s="264">
        <v>0</v>
      </c>
      <c r="BQ26" s="264">
        <v>0</v>
      </c>
      <c r="BR26" s="264">
        <v>0</v>
      </c>
      <c r="BS26" s="264">
        <v>0</v>
      </c>
      <c r="BT26" s="264">
        <v>0</v>
      </c>
      <c r="BU26" s="264">
        <v>0</v>
      </c>
      <c r="BV26" s="264">
        <v>0</v>
      </c>
      <c r="BW26" s="264">
        <v>0</v>
      </c>
      <c r="BX26" s="264">
        <v>0</v>
      </c>
      <c r="BY26" s="264">
        <v>0</v>
      </c>
      <c r="BZ26" s="264">
        <v>0</v>
      </c>
      <c r="CA26" s="264">
        <v>0</v>
      </c>
      <c r="CB26" s="264">
        <v>0</v>
      </c>
      <c r="CC26" s="264">
        <v>0</v>
      </c>
      <c r="CD26" s="264">
        <v>0</v>
      </c>
      <c r="CE26" s="264">
        <v>0</v>
      </c>
      <c r="CF26" s="264">
        <v>0</v>
      </c>
      <c r="CG26" s="264">
        <v>0</v>
      </c>
      <c r="CH26" s="264">
        <v>0</v>
      </c>
      <c r="CI26" s="264">
        <v>0</v>
      </c>
      <c r="CJ26" s="264">
        <v>0</v>
      </c>
      <c r="CK26" s="264">
        <v>0</v>
      </c>
      <c r="CL26" s="264">
        <v>0</v>
      </c>
      <c r="CM26" s="264">
        <v>0</v>
      </c>
      <c r="CN26" s="264">
        <v>0</v>
      </c>
      <c r="CO26" s="264">
        <v>0</v>
      </c>
      <c r="CP26" s="264">
        <v>0</v>
      </c>
      <c r="CQ26" s="264">
        <v>0</v>
      </c>
      <c r="CR26" s="264">
        <v>0</v>
      </c>
      <c r="CS26" s="264">
        <v>0</v>
      </c>
      <c r="CT26" s="264">
        <v>0</v>
      </c>
      <c r="CU26" s="264">
        <v>0</v>
      </c>
      <c r="CV26" s="264">
        <v>0</v>
      </c>
      <c r="CW26" s="264">
        <v>0</v>
      </c>
      <c r="CX26" s="264">
        <v>0</v>
      </c>
      <c r="CY26" s="264">
        <v>0</v>
      </c>
      <c r="CZ26" s="264">
        <v>0</v>
      </c>
      <c r="DA26" s="264">
        <v>0</v>
      </c>
      <c r="DB26" s="264">
        <v>0</v>
      </c>
      <c r="DC26" s="264">
        <v>0</v>
      </c>
      <c r="DD26" s="264">
        <v>0</v>
      </c>
      <c r="DE26" s="264">
        <v>0</v>
      </c>
      <c r="DF26" s="264">
        <v>0</v>
      </c>
      <c r="DG26" s="264">
        <v>0</v>
      </c>
      <c r="DH26" s="264">
        <v>0</v>
      </c>
      <c r="DI26" s="264">
        <v>0</v>
      </c>
      <c r="DJ26" s="264">
        <v>0</v>
      </c>
      <c r="DK26" s="264">
        <v>0</v>
      </c>
      <c r="DL26" s="264">
        <v>0</v>
      </c>
      <c r="DM26" s="264">
        <v>0</v>
      </c>
    </row>
    <row r="27" spans="1:117">
      <c r="A27" s="261" t="s">
        <v>442</v>
      </c>
      <c r="B27" s="262">
        <v>-70277799.820000172</v>
      </c>
      <c r="C27" s="262">
        <v>-2371889.180000009</v>
      </c>
      <c r="D27" s="262">
        <v>-684828.80000000203</v>
      </c>
      <c r="E27" s="262">
        <v>-179575.81999999983</v>
      </c>
      <c r="F27" s="262">
        <v>1601771.4899999998</v>
      </c>
      <c r="G27" s="262">
        <v>-89857363.760000005</v>
      </c>
      <c r="H27" s="262">
        <v>21214086.24999984</v>
      </c>
      <c r="I27" s="262">
        <v>-41791345.449999996</v>
      </c>
      <c r="J27" s="262">
        <v>4.9000000000000004</v>
      </c>
      <c r="K27" s="262">
        <v>0</v>
      </c>
      <c r="L27" s="262">
        <v>-18207170.43</v>
      </c>
      <c r="M27" s="262">
        <v>-3583124.58</v>
      </c>
      <c r="N27" s="262">
        <v>3591205.689999999</v>
      </c>
      <c r="O27" s="262">
        <v>-1054055.8699999999</v>
      </c>
      <c r="P27" s="262">
        <v>-345930.23999999999</v>
      </c>
      <c r="Q27" s="262">
        <v>-341505.14</v>
      </c>
      <c r="R27" s="262">
        <v>0</v>
      </c>
      <c r="S27" s="262">
        <v>-888452.1</v>
      </c>
      <c r="T27" s="262">
        <v>60248484.040000014</v>
      </c>
      <c r="U27" s="262">
        <f t="shared" si="0"/>
        <v>58506992.790000014</v>
      </c>
      <c r="V27" s="262">
        <v>-1889474.73</v>
      </c>
      <c r="W27" s="262">
        <v>5834365.8899999997</v>
      </c>
      <c r="X27" s="262">
        <v>10354891.469999997</v>
      </c>
      <c r="Y27" s="262">
        <v>34039598.730000004</v>
      </c>
      <c r="Z27" s="262">
        <v>1640022.42</v>
      </c>
      <c r="AA27" s="262">
        <v>-68189548.640000001</v>
      </c>
      <c r="AB27" s="262">
        <v>2974.429999999993</v>
      </c>
      <c r="AC27" s="262">
        <v>-599475.30000000005</v>
      </c>
      <c r="AD27" s="262">
        <v>-1302490.24</v>
      </c>
      <c r="AE27" s="262">
        <v>-844810.48</v>
      </c>
      <c r="AF27" s="262">
        <v>-107857.69</v>
      </c>
      <c r="AG27" s="262">
        <v>-267748.06</v>
      </c>
      <c r="AH27" s="262">
        <v>-297408.64000000001</v>
      </c>
      <c r="AI27" s="262">
        <v>-163334.17000000001</v>
      </c>
      <c r="AJ27" s="262">
        <v>0</v>
      </c>
      <c r="AK27" s="262">
        <v>256341.36999999994</v>
      </c>
      <c r="AL27" s="262">
        <v>289586.44</v>
      </c>
      <c r="AM27" s="262">
        <v>1641041.32</v>
      </c>
      <c r="AN27" s="262">
        <v>1404236.5599999998</v>
      </c>
      <c r="AO27" s="262">
        <v>-273744.38</v>
      </c>
      <c r="AP27" s="262">
        <v>-72185.86</v>
      </c>
      <c r="AQ27" s="262">
        <v>-5111624.51</v>
      </c>
      <c r="AR27" s="262">
        <v>-362627.39</v>
      </c>
      <c r="AS27" s="262">
        <v>39286079.879999995</v>
      </c>
      <c r="AT27" s="262">
        <v>-430269.52999999997</v>
      </c>
      <c r="AU27" s="262">
        <v>26866925.590000007</v>
      </c>
      <c r="AV27" s="262">
        <v>906017.66999999993</v>
      </c>
      <c r="AW27" s="262">
        <v>1630720.5699999998</v>
      </c>
      <c r="AX27" s="262">
        <v>1046585.4900000001</v>
      </c>
      <c r="AY27" s="262">
        <v>1103452.1200000001</v>
      </c>
      <c r="AZ27" s="262">
        <v>1266970.02</v>
      </c>
      <c r="BA27" s="262">
        <v>991177.31999999983</v>
      </c>
      <c r="BB27" s="262">
        <v>342000.6</v>
      </c>
      <c r="BC27" s="262">
        <v>1420212.04</v>
      </c>
      <c r="BD27" s="262">
        <v>241902.26</v>
      </c>
      <c r="BE27" s="262">
        <v>203966.94</v>
      </c>
      <c r="BF27" s="262">
        <v>1243128.47</v>
      </c>
      <c r="BG27" s="262">
        <v>5522193.4699999997</v>
      </c>
      <c r="BH27" s="262">
        <v>729858.98999999987</v>
      </c>
      <c r="BI27" s="262">
        <v>183518.43999999994</v>
      </c>
      <c r="BJ27" s="262">
        <v>333631.94000000006</v>
      </c>
      <c r="BK27" s="262">
        <v>323752.82999999996</v>
      </c>
      <c r="BL27" s="262">
        <v>327738.75999999989</v>
      </c>
      <c r="BM27" s="262">
        <v>325181.51999999996</v>
      </c>
      <c r="BN27" s="262">
        <v>287335.81</v>
      </c>
      <c r="BO27" s="262">
        <v>128950.73000000001</v>
      </c>
      <c r="BP27" s="262">
        <v>189968.79000000004</v>
      </c>
      <c r="BQ27" s="262">
        <v>244529.95000000007</v>
      </c>
      <c r="BR27" s="262">
        <v>-42106.050000000017</v>
      </c>
      <c r="BS27" s="262">
        <v>37872.330000000016</v>
      </c>
      <c r="BT27" s="262">
        <v>63044.219999999972</v>
      </c>
      <c r="BU27" s="262">
        <v>4557.390000000014</v>
      </c>
      <c r="BV27" s="262">
        <v>-4378.2500000000146</v>
      </c>
      <c r="BW27" s="262">
        <v>77176.800000000017</v>
      </c>
      <c r="BX27" s="262">
        <v>56884.420000000013</v>
      </c>
      <c r="BY27" s="262">
        <v>-328584.25</v>
      </c>
      <c r="BZ27" s="262">
        <v>-32729.959999999992</v>
      </c>
      <c r="CA27" s="262">
        <v>-7761</v>
      </c>
      <c r="CB27" s="262">
        <v>-3719.0400000000009</v>
      </c>
      <c r="CC27" s="262">
        <v>10453.049999999988</v>
      </c>
      <c r="CD27" s="262">
        <v>61402.440000000017</v>
      </c>
      <c r="CE27" s="262">
        <v>-162289.28000000003</v>
      </c>
      <c r="CF27" s="262">
        <v>9774570.9499999993</v>
      </c>
      <c r="CG27" s="262">
        <v>11042.940000000002</v>
      </c>
      <c r="CH27" s="262">
        <v>-65287.229999999996</v>
      </c>
      <c r="CI27" s="262">
        <v>-34742.18</v>
      </c>
      <c r="CJ27" s="262">
        <v>-31791.25</v>
      </c>
      <c r="CK27" s="262">
        <v>-15040.629999999994</v>
      </c>
      <c r="CL27" s="262">
        <v>-52009.930000000008</v>
      </c>
      <c r="CM27" s="262">
        <v>-43655.209999999992</v>
      </c>
      <c r="CN27" s="262">
        <v>-89348.72</v>
      </c>
      <c r="CO27" s="262">
        <v>-55692.579999999987</v>
      </c>
      <c r="CP27" s="262">
        <v>-70377.890000000014</v>
      </c>
      <c r="CQ27" s="262">
        <v>-141195.79</v>
      </c>
      <c r="CR27" s="262">
        <v>-69929.19</v>
      </c>
      <c r="CS27" s="262">
        <v>-39978.619999999995</v>
      </c>
      <c r="CT27" s="262">
        <v>-75085.570000000007</v>
      </c>
      <c r="CU27" s="262">
        <v>-90171.319999999992</v>
      </c>
      <c r="CV27" s="262">
        <v>-56355.969999999994</v>
      </c>
      <c r="CW27" s="262">
        <v>-77924.81</v>
      </c>
      <c r="CX27" s="262">
        <v>-49252.61</v>
      </c>
      <c r="CY27" s="262">
        <v>-73868.69</v>
      </c>
      <c r="CZ27" s="262">
        <v>-116022.72</v>
      </c>
      <c r="DA27" s="262">
        <v>-66087.100000000006</v>
      </c>
      <c r="DB27" s="262">
        <v>-75589.17</v>
      </c>
      <c r="DC27" s="262">
        <v>12360.220000000001</v>
      </c>
      <c r="DD27" s="262">
        <v>4930.3599999999278</v>
      </c>
      <c r="DE27" s="262">
        <v>15118.540000000008</v>
      </c>
      <c r="DF27" s="262">
        <v>-127260.23999999999</v>
      </c>
      <c r="DG27" s="262">
        <v>-22974.58</v>
      </c>
      <c r="DH27" s="262">
        <v>-126733.5</v>
      </c>
      <c r="DI27" s="262">
        <v>-7339.4699999999866</v>
      </c>
      <c r="DJ27" s="262">
        <v>0</v>
      </c>
      <c r="DK27" s="262">
        <v>0</v>
      </c>
      <c r="DL27" s="262">
        <v>0</v>
      </c>
      <c r="DM27" s="262">
        <v>0</v>
      </c>
    </row>
    <row r="28" spans="1:117">
      <c r="A28" s="261" t="s">
        <v>504</v>
      </c>
      <c r="B28" s="262"/>
      <c r="C28" s="262"/>
      <c r="D28" s="262">
        <v>0</v>
      </c>
      <c r="E28" s="262"/>
      <c r="F28" s="262"/>
      <c r="G28" s="262"/>
      <c r="H28" s="262"/>
      <c r="I28" s="262"/>
      <c r="J28" s="262"/>
      <c r="K28" s="262"/>
      <c r="L28" s="262"/>
      <c r="M28" s="262"/>
      <c r="N28" s="262"/>
      <c r="O28" s="262"/>
      <c r="P28" s="262"/>
      <c r="Q28" s="262"/>
      <c r="R28" s="262"/>
      <c r="S28" s="262"/>
      <c r="T28" s="262"/>
      <c r="U28" s="262">
        <f t="shared" si="0"/>
        <v>0</v>
      </c>
      <c r="V28" s="262"/>
      <c r="W28" s="262"/>
      <c r="X28" s="262"/>
      <c r="Y28" s="262"/>
      <c r="Z28" s="262"/>
      <c r="AA28" s="262"/>
      <c r="AB28" s="262"/>
      <c r="AC28" s="262"/>
      <c r="AD28" s="262"/>
      <c r="AE28" s="262"/>
      <c r="AF28" s="262"/>
      <c r="AG28" s="262"/>
      <c r="AH28" s="262"/>
      <c r="AI28" s="262"/>
      <c r="AJ28" s="262"/>
      <c r="AK28" s="262"/>
      <c r="AL28" s="262"/>
      <c r="AM28" s="262"/>
      <c r="AN28" s="262"/>
      <c r="AO28" s="262"/>
      <c r="AP28" s="262"/>
      <c r="AQ28" s="262"/>
      <c r="AR28" s="262"/>
      <c r="AS28" s="262"/>
      <c r="AT28" s="262"/>
      <c r="AU28" s="262"/>
      <c r="AV28" s="262"/>
      <c r="AW28" s="262"/>
      <c r="AX28" s="262"/>
      <c r="AY28" s="262"/>
      <c r="AZ28" s="262"/>
      <c r="BA28" s="262"/>
      <c r="BB28" s="262"/>
      <c r="BC28" s="262"/>
      <c r="BD28" s="262"/>
      <c r="BE28" s="262"/>
      <c r="BF28" s="262"/>
      <c r="BG28" s="262"/>
      <c r="BH28" s="262"/>
      <c r="BI28" s="262"/>
      <c r="BJ28" s="262"/>
      <c r="BK28" s="262"/>
      <c r="BL28" s="262"/>
      <c r="BM28" s="262"/>
      <c r="BN28" s="262"/>
      <c r="BO28" s="262"/>
      <c r="BP28" s="262"/>
      <c r="BQ28" s="262"/>
      <c r="BR28" s="262"/>
      <c r="BS28" s="262"/>
      <c r="BT28" s="262"/>
      <c r="BU28" s="262"/>
      <c r="BV28" s="262"/>
      <c r="BW28" s="262"/>
      <c r="BX28" s="262"/>
      <c r="BY28" s="262"/>
      <c r="BZ28" s="262"/>
      <c r="CA28" s="262"/>
      <c r="CB28" s="262"/>
      <c r="CC28" s="262"/>
      <c r="CD28" s="262"/>
      <c r="CE28" s="262"/>
      <c r="CF28" s="262"/>
      <c r="CG28" s="262"/>
      <c r="CH28" s="262"/>
      <c r="CI28" s="262"/>
      <c r="CJ28" s="262"/>
      <c r="CK28" s="262"/>
      <c r="CL28" s="262"/>
      <c r="CM28" s="262"/>
      <c r="CN28" s="262"/>
      <c r="CO28" s="262"/>
      <c r="CP28" s="262"/>
      <c r="CQ28" s="262"/>
      <c r="CR28" s="262"/>
      <c r="CS28" s="262"/>
      <c r="CT28" s="262"/>
      <c r="CU28" s="262"/>
      <c r="CV28" s="262"/>
      <c r="CW28" s="262"/>
      <c r="CX28" s="262"/>
      <c r="CY28" s="262"/>
      <c r="CZ28" s="262"/>
      <c r="DA28" s="262"/>
      <c r="DB28" s="262"/>
      <c r="DC28" s="262"/>
      <c r="DD28" s="262"/>
      <c r="DE28" s="262"/>
      <c r="DF28" s="262"/>
      <c r="DG28" s="262"/>
      <c r="DH28" s="262"/>
      <c r="DI28" s="262"/>
      <c r="DJ28" s="262"/>
      <c r="DK28" s="262"/>
      <c r="DL28" s="262"/>
      <c r="DM28" s="262"/>
    </row>
    <row r="29" spans="1:117">
      <c r="A29" s="259" t="s">
        <v>505</v>
      </c>
      <c r="B29" s="266"/>
      <c r="C29" s="264">
        <v>0</v>
      </c>
      <c r="D29" s="264">
        <v>0</v>
      </c>
      <c r="E29" s="264"/>
      <c r="F29" s="264">
        <v>0</v>
      </c>
      <c r="G29" s="264">
        <v>0</v>
      </c>
      <c r="H29" s="265">
        <v>0</v>
      </c>
      <c r="I29" s="264">
        <v>0</v>
      </c>
      <c r="J29" s="264">
        <v>0</v>
      </c>
      <c r="K29" s="264">
        <v>0</v>
      </c>
      <c r="L29" s="264">
        <v>0</v>
      </c>
      <c r="M29" s="262">
        <v>0</v>
      </c>
      <c r="N29" s="264">
        <v>0</v>
      </c>
      <c r="O29" s="264">
        <v>0</v>
      </c>
      <c r="P29" s="264">
        <v>0</v>
      </c>
      <c r="Q29" s="264">
        <v>0</v>
      </c>
      <c r="R29" s="264">
        <v>0</v>
      </c>
      <c r="S29" s="264">
        <v>0</v>
      </c>
      <c r="T29" s="264">
        <v>0</v>
      </c>
      <c r="U29" s="264">
        <f t="shared" si="0"/>
        <v>0</v>
      </c>
      <c r="V29" s="264">
        <v>0</v>
      </c>
      <c r="W29" s="264">
        <v>0</v>
      </c>
      <c r="X29" s="264">
        <v>0</v>
      </c>
      <c r="Y29" s="264">
        <v>0</v>
      </c>
      <c r="Z29" s="264">
        <v>0</v>
      </c>
      <c r="AA29" s="264">
        <v>0</v>
      </c>
      <c r="AB29" s="264">
        <v>0</v>
      </c>
      <c r="AC29" s="264">
        <v>0</v>
      </c>
      <c r="AD29" s="264">
        <v>0</v>
      </c>
      <c r="AE29" s="264">
        <v>0</v>
      </c>
      <c r="AF29" s="264">
        <v>0</v>
      </c>
      <c r="AG29" s="264">
        <v>0</v>
      </c>
      <c r="AH29" s="264">
        <v>0</v>
      </c>
      <c r="AI29" s="264">
        <v>0</v>
      </c>
      <c r="AJ29" s="264">
        <v>0</v>
      </c>
      <c r="AK29" s="264">
        <v>0</v>
      </c>
      <c r="AL29" s="264">
        <v>0</v>
      </c>
      <c r="AM29" s="264">
        <v>0</v>
      </c>
      <c r="AN29" s="264">
        <v>0</v>
      </c>
      <c r="AO29" s="264">
        <v>0</v>
      </c>
      <c r="AP29" s="264">
        <v>0</v>
      </c>
      <c r="AQ29" s="264">
        <v>0</v>
      </c>
      <c r="AR29" s="264">
        <v>0</v>
      </c>
      <c r="AS29" s="264">
        <v>0</v>
      </c>
      <c r="AT29" s="264">
        <v>0</v>
      </c>
      <c r="AU29" s="264">
        <v>0</v>
      </c>
      <c r="AV29" s="264">
        <v>0</v>
      </c>
      <c r="AW29" s="264">
        <v>0</v>
      </c>
      <c r="AX29" s="264">
        <v>0</v>
      </c>
      <c r="AY29" s="264">
        <v>0</v>
      </c>
      <c r="AZ29" s="264">
        <v>0</v>
      </c>
      <c r="BA29" s="264">
        <v>0</v>
      </c>
      <c r="BB29" s="264">
        <v>0</v>
      </c>
      <c r="BC29" s="264">
        <v>0</v>
      </c>
      <c r="BD29" s="264">
        <v>0</v>
      </c>
      <c r="BE29" s="264">
        <v>0</v>
      </c>
      <c r="BF29" s="264">
        <v>0</v>
      </c>
      <c r="BG29" s="264">
        <v>0</v>
      </c>
      <c r="BH29" s="264">
        <v>0</v>
      </c>
      <c r="BI29" s="264">
        <v>0</v>
      </c>
      <c r="BJ29" s="264">
        <v>0</v>
      </c>
      <c r="BK29" s="264">
        <v>0</v>
      </c>
      <c r="BL29" s="264">
        <v>0</v>
      </c>
      <c r="BM29" s="264">
        <v>0</v>
      </c>
      <c r="BN29" s="264">
        <v>0</v>
      </c>
      <c r="BO29" s="264">
        <v>0</v>
      </c>
      <c r="BP29" s="264">
        <v>0</v>
      </c>
      <c r="BQ29" s="264">
        <v>0</v>
      </c>
      <c r="BR29" s="264">
        <v>0</v>
      </c>
      <c r="BS29" s="264">
        <v>0</v>
      </c>
      <c r="BT29" s="264">
        <v>0</v>
      </c>
      <c r="BU29" s="264">
        <v>0</v>
      </c>
      <c r="BV29" s="264">
        <v>0</v>
      </c>
      <c r="BW29" s="264">
        <v>0</v>
      </c>
      <c r="BX29" s="264">
        <v>0</v>
      </c>
      <c r="BY29" s="264">
        <v>0</v>
      </c>
      <c r="BZ29" s="264">
        <v>0</v>
      </c>
      <c r="CA29" s="264">
        <v>0</v>
      </c>
      <c r="CB29" s="264">
        <v>0</v>
      </c>
      <c r="CC29" s="264">
        <v>0</v>
      </c>
      <c r="CD29" s="264">
        <v>0</v>
      </c>
      <c r="CE29" s="264">
        <v>0</v>
      </c>
      <c r="CF29" s="264">
        <v>0</v>
      </c>
      <c r="CG29" s="264">
        <v>0</v>
      </c>
      <c r="CH29" s="264">
        <v>0</v>
      </c>
      <c r="CI29" s="264">
        <v>0</v>
      </c>
      <c r="CJ29" s="264">
        <v>0</v>
      </c>
      <c r="CK29" s="264">
        <v>0</v>
      </c>
      <c r="CL29" s="264">
        <v>0</v>
      </c>
      <c r="CM29" s="264">
        <v>0</v>
      </c>
      <c r="CN29" s="264">
        <v>0</v>
      </c>
      <c r="CO29" s="264">
        <v>0</v>
      </c>
      <c r="CP29" s="264">
        <v>0</v>
      </c>
      <c r="CQ29" s="264">
        <v>0</v>
      </c>
      <c r="CR29" s="264">
        <v>0</v>
      </c>
      <c r="CS29" s="264">
        <v>0</v>
      </c>
      <c r="CT29" s="264">
        <v>0</v>
      </c>
      <c r="CU29" s="264">
        <v>0</v>
      </c>
      <c r="CV29" s="264">
        <v>0</v>
      </c>
      <c r="CW29" s="264">
        <v>0</v>
      </c>
      <c r="CX29" s="264">
        <v>0</v>
      </c>
      <c r="CY29" s="264">
        <v>0</v>
      </c>
      <c r="CZ29" s="264">
        <v>0</v>
      </c>
      <c r="DA29" s="264">
        <v>0</v>
      </c>
      <c r="DB29" s="264">
        <v>0</v>
      </c>
      <c r="DC29" s="264">
        <v>0</v>
      </c>
      <c r="DD29" s="264">
        <v>0</v>
      </c>
      <c r="DE29" s="264">
        <v>0</v>
      </c>
      <c r="DF29" s="264">
        <v>0</v>
      </c>
      <c r="DG29" s="264">
        <v>0</v>
      </c>
      <c r="DH29" s="264">
        <v>0</v>
      </c>
      <c r="DI29" s="264">
        <v>0</v>
      </c>
      <c r="DJ29" s="264">
        <v>0</v>
      </c>
      <c r="DK29" s="264">
        <v>0</v>
      </c>
      <c r="DL29" s="264">
        <v>0</v>
      </c>
      <c r="DM29" s="264">
        <v>0</v>
      </c>
    </row>
    <row r="30" spans="1:117">
      <c r="A30" s="261" t="s">
        <v>506</v>
      </c>
      <c r="B30" s="266">
        <v>-70277799.820000172</v>
      </c>
      <c r="C30" s="266">
        <v>-2371889.180000009</v>
      </c>
      <c r="D30" s="266">
        <v>-684828.8</v>
      </c>
      <c r="E30" s="266">
        <v>-179575.81999999983</v>
      </c>
      <c r="F30" s="266">
        <v>1601771.4899999998</v>
      </c>
      <c r="G30" s="266">
        <v>-89857363.760000005</v>
      </c>
      <c r="H30" s="266">
        <v>21214086.24999984</v>
      </c>
      <c r="I30" s="266">
        <v>-41791345.449999996</v>
      </c>
      <c r="J30" s="266">
        <v>4.9000000000000004</v>
      </c>
      <c r="K30" s="266">
        <v>0</v>
      </c>
      <c r="L30" s="266">
        <v>-18207170.43</v>
      </c>
      <c r="M30" s="266">
        <v>-3583124.58</v>
      </c>
      <c r="N30" s="266">
        <v>3591205.689999999</v>
      </c>
      <c r="O30" s="266">
        <v>-1054055.8699999999</v>
      </c>
      <c r="P30" s="266">
        <v>-345930.23999999999</v>
      </c>
      <c r="Q30" s="266">
        <v>-341505.14</v>
      </c>
      <c r="R30" s="266">
        <v>0</v>
      </c>
      <c r="S30" s="266">
        <v>-888452.1</v>
      </c>
      <c r="T30" s="266">
        <v>60248484.040000014</v>
      </c>
      <c r="U30" s="266">
        <f t="shared" si="0"/>
        <v>58506992.790000014</v>
      </c>
      <c r="V30" s="266">
        <v>-1889474.73</v>
      </c>
      <c r="W30" s="266">
        <v>5834365.8899999997</v>
      </c>
      <c r="X30" s="266">
        <v>10354891.469999997</v>
      </c>
      <c r="Y30" s="266">
        <v>34039598.730000004</v>
      </c>
      <c r="Z30" s="266">
        <v>1640022.42</v>
      </c>
      <c r="AA30" s="266">
        <v>-68189548.640000001</v>
      </c>
      <c r="AB30" s="266">
        <v>2974.429999999993</v>
      </c>
      <c r="AC30" s="266">
        <v>-599475.30000000005</v>
      </c>
      <c r="AD30" s="266">
        <v>-1302490.24</v>
      </c>
      <c r="AE30" s="266">
        <v>-844810.48</v>
      </c>
      <c r="AF30" s="266">
        <v>-107857.69</v>
      </c>
      <c r="AG30" s="266">
        <v>-267748.06</v>
      </c>
      <c r="AH30" s="266">
        <v>-297408.64000000001</v>
      </c>
      <c r="AI30" s="266">
        <v>-163334.17000000001</v>
      </c>
      <c r="AJ30" s="266">
        <v>0</v>
      </c>
      <c r="AK30" s="266">
        <v>256341.36999999994</v>
      </c>
      <c r="AL30" s="266">
        <v>289586.44</v>
      </c>
      <c r="AM30" s="266">
        <v>1641041.32</v>
      </c>
      <c r="AN30" s="266">
        <v>1404236.5599999998</v>
      </c>
      <c r="AO30" s="266">
        <v>-273744.38</v>
      </c>
      <c r="AP30" s="266">
        <v>-72185.86</v>
      </c>
      <c r="AQ30" s="266">
        <v>-5111624.51</v>
      </c>
      <c r="AR30" s="266">
        <v>-362627.39</v>
      </c>
      <c r="AS30" s="266">
        <v>39286079.879999995</v>
      </c>
      <c r="AT30" s="266">
        <v>-430269.52999999997</v>
      </c>
      <c r="AU30" s="266">
        <v>26866925.590000007</v>
      </c>
      <c r="AV30" s="266">
        <v>906017.66999999993</v>
      </c>
      <c r="AW30" s="266">
        <v>1630720.5699999998</v>
      </c>
      <c r="AX30" s="266">
        <v>1046585.4900000001</v>
      </c>
      <c r="AY30" s="266">
        <v>1103452.1200000001</v>
      </c>
      <c r="AZ30" s="266">
        <v>1266970.02</v>
      </c>
      <c r="BA30" s="266">
        <v>991177.31999999983</v>
      </c>
      <c r="BB30" s="266">
        <v>342000.6</v>
      </c>
      <c r="BC30" s="266">
        <v>1420212.04</v>
      </c>
      <c r="BD30" s="266">
        <v>241902.26</v>
      </c>
      <c r="BE30" s="266">
        <v>203966.94</v>
      </c>
      <c r="BF30" s="266">
        <v>1243128.47</v>
      </c>
      <c r="BG30" s="266">
        <v>5522193.4699999997</v>
      </c>
      <c r="BH30" s="266">
        <v>729858.98999999987</v>
      </c>
      <c r="BI30" s="266">
        <v>183518.43999999994</v>
      </c>
      <c r="BJ30" s="266">
        <v>333631.94000000006</v>
      </c>
      <c r="BK30" s="266">
        <v>323752.82999999996</v>
      </c>
      <c r="BL30" s="266">
        <v>327738.75999999989</v>
      </c>
      <c r="BM30" s="266">
        <v>325181.51999999996</v>
      </c>
      <c r="BN30" s="266">
        <v>287335.81</v>
      </c>
      <c r="BO30" s="266">
        <v>128950.73000000001</v>
      </c>
      <c r="BP30" s="266">
        <v>189968.79000000004</v>
      </c>
      <c r="BQ30" s="266">
        <v>244529.95000000007</v>
      </c>
      <c r="BR30" s="266">
        <v>-42106.050000000017</v>
      </c>
      <c r="BS30" s="266">
        <v>37872.330000000016</v>
      </c>
      <c r="BT30" s="266">
        <v>63044.219999999972</v>
      </c>
      <c r="BU30" s="266">
        <v>4557.390000000014</v>
      </c>
      <c r="BV30" s="266">
        <v>-4378.2500000000146</v>
      </c>
      <c r="BW30" s="266">
        <v>77176.800000000017</v>
      </c>
      <c r="BX30" s="266">
        <v>56884.420000000013</v>
      </c>
      <c r="BY30" s="266">
        <v>-328584.25</v>
      </c>
      <c r="BZ30" s="266">
        <v>-32729.959999999992</v>
      </c>
      <c r="CA30" s="266">
        <v>-7761</v>
      </c>
      <c r="CB30" s="266">
        <v>-3719.0400000000009</v>
      </c>
      <c r="CC30" s="266">
        <v>10453.049999999988</v>
      </c>
      <c r="CD30" s="266">
        <v>61402.440000000017</v>
      </c>
      <c r="CE30" s="266">
        <v>-162289.28000000003</v>
      </c>
      <c r="CF30" s="266">
        <v>9774570.9499999993</v>
      </c>
      <c r="CG30" s="266">
        <v>11042.940000000002</v>
      </c>
      <c r="CH30" s="266">
        <v>-65287.229999999996</v>
      </c>
      <c r="CI30" s="266">
        <v>-34742.18</v>
      </c>
      <c r="CJ30" s="266">
        <v>-31791.25</v>
      </c>
      <c r="CK30" s="266">
        <v>-15040.629999999994</v>
      </c>
      <c r="CL30" s="266">
        <v>-52009.930000000008</v>
      </c>
      <c r="CM30" s="266">
        <v>-43655.209999999992</v>
      </c>
      <c r="CN30" s="266">
        <v>-89348.72</v>
      </c>
      <c r="CO30" s="266">
        <v>-55692.579999999987</v>
      </c>
      <c r="CP30" s="266">
        <v>-70377.890000000014</v>
      </c>
      <c r="CQ30" s="266">
        <v>-141195.79</v>
      </c>
      <c r="CR30" s="266">
        <v>-69929.19</v>
      </c>
      <c r="CS30" s="266">
        <v>-39978.619999999995</v>
      </c>
      <c r="CT30" s="266">
        <v>-75085.570000000007</v>
      </c>
      <c r="CU30" s="266">
        <v>-90171.319999999992</v>
      </c>
      <c r="CV30" s="266">
        <v>-56355.969999999994</v>
      </c>
      <c r="CW30" s="266">
        <v>-77924.81</v>
      </c>
      <c r="CX30" s="266">
        <v>-49252.61</v>
      </c>
      <c r="CY30" s="266">
        <v>-73868.69</v>
      </c>
      <c r="CZ30" s="266">
        <v>-116022.72</v>
      </c>
      <c r="DA30" s="266">
        <v>-66087.100000000006</v>
      </c>
      <c r="DB30" s="266">
        <v>-75589.17</v>
      </c>
      <c r="DC30" s="266">
        <v>12360.220000000001</v>
      </c>
      <c r="DD30" s="266">
        <v>4930.3599999999278</v>
      </c>
      <c r="DE30" s="266">
        <v>15118.540000000008</v>
      </c>
      <c r="DF30" s="266">
        <v>-127260.23999999999</v>
      </c>
      <c r="DG30" s="266">
        <v>-22974.58</v>
      </c>
      <c r="DH30" s="266">
        <v>-126733.5</v>
      </c>
      <c r="DI30" s="266">
        <v>-7339.4699999999866</v>
      </c>
      <c r="DJ30" s="266">
        <v>0</v>
      </c>
      <c r="DK30" s="266">
        <v>0</v>
      </c>
      <c r="DL30" s="266">
        <v>0</v>
      </c>
      <c r="DM30" s="266">
        <v>0</v>
      </c>
    </row>
    <row r="31" spans="1:117">
      <c r="A31" s="261" t="s">
        <v>507</v>
      </c>
      <c r="B31" s="262">
        <v>0</v>
      </c>
      <c r="C31" s="262">
        <v>0</v>
      </c>
      <c r="D31" s="262">
        <v>0</v>
      </c>
      <c r="E31" s="262"/>
      <c r="F31" s="262">
        <v>0</v>
      </c>
      <c r="G31" s="262"/>
      <c r="H31" s="262"/>
      <c r="I31" s="262">
        <v>0</v>
      </c>
      <c r="J31" s="262">
        <v>0</v>
      </c>
      <c r="K31" s="262">
        <v>0</v>
      </c>
      <c r="L31" s="262">
        <v>0</v>
      </c>
      <c r="M31" s="262">
        <v>0</v>
      </c>
      <c r="N31" s="262">
        <v>0</v>
      </c>
      <c r="O31" s="262">
        <v>0</v>
      </c>
      <c r="P31" s="262">
        <v>0</v>
      </c>
      <c r="Q31" s="262">
        <v>0</v>
      </c>
      <c r="R31" s="262">
        <v>0</v>
      </c>
      <c r="S31" s="262">
        <v>0</v>
      </c>
      <c r="T31" s="262">
        <v>0</v>
      </c>
      <c r="U31" s="262">
        <f t="shared" si="0"/>
        <v>0</v>
      </c>
      <c r="V31" s="262">
        <v>0</v>
      </c>
      <c r="W31" s="262">
        <v>0</v>
      </c>
      <c r="X31" s="262">
        <v>0</v>
      </c>
      <c r="Y31" s="262">
        <v>0</v>
      </c>
      <c r="Z31" s="262">
        <v>0</v>
      </c>
      <c r="AA31" s="262">
        <v>0</v>
      </c>
      <c r="AB31" s="262">
        <v>0</v>
      </c>
      <c r="AC31" s="262">
        <v>0</v>
      </c>
      <c r="AD31" s="262">
        <v>0</v>
      </c>
      <c r="AE31" s="262">
        <v>0</v>
      </c>
      <c r="AF31" s="262">
        <v>0</v>
      </c>
      <c r="AG31" s="262">
        <v>0</v>
      </c>
      <c r="AH31" s="262">
        <v>0</v>
      </c>
      <c r="AI31" s="262">
        <v>0</v>
      </c>
      <c r="AJ31" s="262">
        <v>0</v>
      </c>
      <c r="AK31" s="262">
        <v>0</v>
      </c>
      <c r="AL31" s="262">
        <v>0</v>
      </c>
      <c r="AM31" s="262">
        <v>0</v>
      </c>
      <c r="AN31" s="262">
        <v>0</v>
      </c>
      <c r="AO31" s="262">
        <v>0</v>
      </c>
      <c r="AP31" s="262">
        <v>0</v>
      </c>
      <c r="AQ31" s="262">
        <v>0</v>
      </c>
      <c r="AR31" s="262">
        <v>0</v>
      </c>
      <c r="AS31" s="262">
        <v>0</v>
      </c>
      <c r="AT31" s="262">
        <v>0</v>
      </c>
      <c r="AU31" s="262">
        <v>0</v>
      </c>
      <c r="AV31" s="262">
        <v>0</v>
      </c>
      <c r="AW31" s="262">
        <v>0</v>
      </c>
      <c r="AX31" s="262">
        <v>0</v>
      </c>
      <c r="AY31" s="262">
        <v>0</v>
      </c>
      <c r="AZ31" s="262">
        <v>0</v>
      </c>
      <c r="BA31" s="262">
        <v>0</v>
      </c>
      <c r="BB31" s="262">
        <v>0</v>
      </c>
      <c r="BC31" s="262">
        <v>0</v>
      </c>
      <c r="BD31" s="262">
        <v>0</v>
      </c>
      <c r="BE31" s="262">
        <v>0</v>
      </c>
      <c r="BF31" s="262">
        <v>0</v>
      </c>
      <c r="BG31" s="262">
        <v>0</v>
      </c>
      <c r="BH31" s="262">
        <v>0</v>
      </c>
      <c r="BI31" s="262">
        <v>0</v>
      </c>
      <c r="BJ31" s="262">
        <v>0</v>
      </c>
      <c r="BK31" s="262">
        <v>0</v>
      </c>
      <c r="BL31" s="262">
        <v>0</v>
      </c>
      <c r="BM31" s="262">
        <v>0</v>
      </c>
      <c r="BN31" s="262">
        <v>0</v>
      </c>
      <c r="BO31" s="262">
        <v>0</v>
      </c>
      <c r="BP31" s="262">
        <v>0</v>
      </c>
      <c r="BQ31" s="262">
        <v>0</v>
      </c>
      <c r="BR31" s="262">
        <v>0</v>
      </c>
      <c r="BS31" s="262">
        <v>0</v>
      </c>
      <c r="BT31" s="262">
        <v>0</v>
      </c>
      <c r="BU31" s="262">
        <v>0</v>
      </c>
      <c r="BV31" s="262">
        <v>0</v>
      </c>
      <c r="BW31" s="262">
        <v>0</v>
      </c>
      <c r="BX31" s="262">
        <v>0</v>
      </c>
      <c r="BY31" s="262">
        <v>0</v>
      </c>
      <c r="BZ31" s="262">
        <v>0</v>
      </c>
      <c r="CA31" s="262">
        <v>0</v>
      </c>
      <c r="CB31" s="262">
        <v>0</v>
      </c>
      <c r="CC31" s="262">
        <v>0</v>
      </c>
      <c r="CD31" s="262">
        <v>0</v>
      </c>
      <c r="CE31" s="262">
        <v>0</v>
      </c>
      <c r="CF31" s="262">
        <v>0</v>
      </c>
      <c r="CG31" s="262">
        <v>0</v>
      </c>
      <c r="CH31" s="262">
        <v>0</v>
      </c>
      <c r="CI31" s="262">
        <v>0</v>
      </c>
      <c r="CJ31" s="262">
        <v>0</v>
      </c>
      <c r="CK31" s="262">
        <v>0</v>
      </c>
      <c r="CL31" s="262">
        <v>0</v>
      </c>
      <c r="CM31" s="262">
        <v>0</v>
      </c>
      <c r="CN31" s="262">
        <v>0</v>
      </c>
      <c r="CO31" s="262">
        <v>0</v>
      </c>
      <c r="CP31" s="262">
        <v>0</v>
      </c>
      <c r="CQ31" s="262">
        <v>0</v>
      </c>
      <c r="CR31" s="262">
        <v>0</v>
      </c>
      <c r="CS31" s="262">
        <v>0</v>
      </c>
      <c r="CT31" s="262">
        <v>0</v>
      </c>
      <c r="CU31" s="262">
        <v>0</v>
      </c>
      <c r="CV31" s="262">
        <v>0</v>
      </c>
      <c r="CW31" s="262">
        <v>0</v>
      </c>
      <c r="CX31" s="262">
        <v>0</v>
      </c>
      <c r="CY31" s="262">
        <v>0</v>
      </c>
      <c r="CZ31" s="262">
        <v>0</v>
      </c>
      <c r="DA31" s="262">
        <v>0</v>
      </c>
      <c r="DB31" s="262">
        <v>0</v>
      </c>
      <c r="DC31" s="262">
        <v>0</v>
      </c>
      <c r="DD31" s="262">
        <v>0</v>
      </c>
      <c r="DE31" s="262">
        <v>0</v>
      </c>
      <c r="DF31" s="262">
        <v>0</v>
      </c>
      <c r="DG31" s="262">
        <v>0</v>
      </c>
      <c r="DH31" s="262">
        <v>0</v>
      </c>
      <c r="DI31" s="262">
        <v>0</v>
      </c>
      <c r="DJ31" s="262">
        <v>0</v>
      </c>
      <c r="DK31" s="262">
        <v>0</v>
      </c>
      <c r="DL31" s="262">
        <v>0</v>
      </c>
      <c r="DM31" s="262">
        <v>0</v>
      </c>
    </row>
    <row r="32" spans="1:117">
      <c r="A32" s="259" t="s">
        <v>508</v>
      </c>
      <c r="B32" s="266"/>
      <c r="C32" s="264">
        <v>0</v>
      </c>
      <c r="D32" s="264">
        <v>0</v>
      </c>
      <c r="E32" s="264"/>
      <c r="F32" s="264">
        <v>1601771.49</v>
      </c>
      <c r="G32" s="264">
        <v>-89857363.760000005</v>
      </c>
      <c r="H32" s="264">
        <v>21214086.24999984</v>
      </c>
      <c r="I32" s="264">
        <v>0</v>
      </c>
      <c r="J32" s="264">
        <v>0</v>
      </c>
      <c r="K32" s="264">
        <v>0</v>
      </c>
      <c r="L32" s="264">
        <v>0</v>
      </c>
      <c r="M32" s="262">
        <v>0</v>
      </c>
      <c r="N32" s="264">
        <v>0</v>
      </c>
      <c r="O32" s="264">
        <v>0</v>
      </c>
      <c r="P32" s="264">
        <v>0</v>
      </c>
      <c r="Q32" s="264">
        <v>0</v>
      </c>
      <c r="R32" s="264">
        <v>0</v>
      </c>
      <c r="S32" s="264">
        <v>0</v>
      </c>
      <c r="T32" s="264">
        <v>0</v>
      </c>
      <c r="U32" s="264">
        <f t="shared" si="0"/>
        <v>0</v>
      </c>
      <c r="V32" s="264">
        <v>0</v>
      </c>
      <c r="W32" s="264">
        <v>0</v>
      </c>
      <c r="X32" s="264">
        <v>0</v>
      </c>
      <c r="Y32" s="264">
        <v>0</v>
      </c>
      <c r="Z32" s="264">
        <v>0</v>
      </c>
      <c r="AA32" s="264">
        <v>0</v>
      </c>
      <c r="AB32" s="264">
        <v>0</v>
      </c>
      <c r="AC32" s="264">
        <v>0</v>
      </c>
      <c r="AD32" s="264">
        <v>0</v>
      </c>
      <c r="AE32" s="264">
        <v>0</v>
      </c>
      <c r="AF32" s="264">
        <v>0</v>
      </c>
      <c r="AG32" s="264">
        <v>0</v>
      </c>
      <c r="AH32" s="264">
        <v>0</v>
      </c>
      <c r="AI32" s="264">
        <v>0</v>
      </c>
      <c r="AJ32" s="264">
        <v>0</v>
      </c>
      <c r="AK32" s="264">
        <v>0</v>
      </c>
      <c r="AL32" s="264">
        <v>0</v>
      </c>
      <c r="AM32" s="264">
        <v>0</v>
      </c>
      <c r="AN32" s="264">
        <v>0</v>
      </c>
      <c r="AO32" s="264">
        <v>0</v>
      </c>
      <c r="AP32" s="264">
        <v>0</v>
      </c>
      <c r="AQ32" s="264">
        <v>0</v>
      </c>
      <c r="AR32" s="264">
        <v>0</v>
      </c>
      <c r="AS32" s="264">
        <v>0</v>
      </c>
      <c r="AT32" s="264">
        <v>0</v>
      </c>
      <c r="AU32" s="264">
        <v>0</v>
      </c>
      <c r="AV32" s="264">
        <v>0</v>
      </c>
      <c r="AW32" s="264">
        <v>0</v>
      </c>
      <c r="AX32" s="264">
        <v>0</v>
      </c>
      <c r="AY32" s="264">
        <v>0</v>
      </c>
      <c r="AZ32" s="264">
        <v>0</v>
      </c>
      <c r="BA32" s="264">
        <v>0</v>
      </c>
      <c r="BB32" s="264">
        <v>0</v>
      </c>
      <c r="BC32" s="264">
        <v>0</v>
      </c>
      <c r="BD32" s="264">
        <v>0</v>
      </c>
      <c r="BE32" s="264">
        <v>0</v>
      </c>
      <c r="BF32" s="264">
        <v>0</v>
      </c>
      <c r="BG32" s="264">
        <v>0</v>
      </c>
      <c r="BH32" s="264">
        <v>0</v>
      </c>
      <c r="BI32" s="264">
        <v>0</v>
      </c>
      <c r="BJ32" s="264">
        <v>0</v>
      </c>
      <c r="BK32" s="264">
        <v>0</v>
      </c>
      <c r="BL32" s="264">
        <v>0</v>
      </c>
      <c r="BM32" s="264">
        <v>0</v>
      </c>
      <c r="BN32" s="264">
        <v>0</v>
      </c>
      <c r="BO32" s="264">
        <v>0</v>
      </c>
      <c r="BP32" s="264">
        <v>0</v>
      </c>
      <c r="BQ32" s="264">
        <v>0</v>
      </c>
      <c r="BR32" s="264">
        <v>0</v>
      </c>
      <c r="BS32" s="264">
        <v>0</v>
      </c>
      <c r="BT32" s="264">
        <v>0</v>
      </c>
      <c r="BU32" s="264">
        <v>0</v>
      </c>
      <c r="BV32" s="264">
        <v>0</v>
      </c>
      <c r="BW32" s="264">
        <v>0</v>
      </c>
      <c r="BX32" s="264">
        <v>0</v>
      </c>
      <c r="BY32" s="264">
        <v>0</v>
      </c>
      <c r="BZ32" s="264">
        <v>0</v>
      </c>
      <c r="CA32" s="264">
        <v>0</v>
      </c>
      <c r="CB32" s="264">
        <v>0</v>
      </c>
      <c r="CC32" s="264">
        <v>0</v>
      </c>
      <c r="CD32" s="264">
        <v>0</v>
      </c>
      <c r="CE32" s="264">
        <v>0</v>
      </c>
      <c r="CF32" s="264">
        <v>0</v>
      </c>
      <c r="CG32" s="264">
        <v>0</v>
      </c>
      <c r="CH32" s="264">
        <v>0</v>
      </c>
      <c r="CI32" s="264">
        <v>0</v>
      </c>
      <c r="CJ32" s="264">
        <v>0</v>
      </c>
      <c r="CK32" s="264">
        <v>0</v>
      </c>
      <c r="CL32" s="264">
        <v>0</v>
      </c>
      <c r="CM32" s="264">
        <v>0</v>
      </c>
      <c r="CN32" s="264">
        <v>0</v>
      </c>
      <c r="CO32" s="264">
        <v>0</v>
      </c>
      <c r="CP32" s="264">
        <v>0</v>
      </c>
      <c r="CQ32" s="264">
        <v>0</v>
      </c>
      <c r="CR32" s="264">
        <v>0</v>
      </c>
      <c r="CS32" s="264">
        <v>0</v>
      </c>
      <c r="CT32" s="264">
        <v>0</v>
      </c>
      <c r="CU32" s="264">
        <v>0</v>
      </c>
      <c r="CV32" s="264">
        <v>0</v>
      </c>
      <c r="CW32" s="264">
        <v>0</v>
      </c>
      <c r="CX32" s="264">
        <v>0</v>
      </c>
      <c r="CY32" s="264">
        <v>0</v>
      </c>
      <c r="CZ32" s="264">
        <v>0</v>
      </c>
      <c r="DA32" s="264">
        <v>0</v>
      </c>
      <c r="DB32" s="264">
        <v>0</v>
      </c>
      <c r="DC32" s="264">
        <v>0</v>
      </c>
      <c r="DD32" s="264">
        <v>0</v>
      </c>
      <c r="DE32" s="264">
        <v>0</v>
      </c>
      <c r="DF32" s="264">
        <v>0</v>
      </c>
      <c r="DG32" s="264">
        <v>0</v>
      </c>
      <c r="DH32" s="264">
        <v>0</v>
      </c>
      <c r="DI32" s="264">
        <v>0</v>
      </c>
      <c r="DJ32" s="264">
        <v>0</v>
      </c>
      <c r="DK32" s="264">
        <v>0</v>
      </c>
      <c r="DL32" s="264">
        <v>0</v>
      </c>
      <c r="DM32" s="264">
        <v>0</v>
      </c>
    </row>
    <row r="33" spans="1:117">
      <c r="A33" s="261" t="s">
        <v>509</v>
      </c>
      <c r="B33" s="262">
        <v>-584.22</v>
      </c>
      <c r="C33" s="262">
        <v>0</v>
      </c>
      <c r="D33" s="262">
        <v>0</v>
      </c>
      <c r="E33" s="262">
        <v>-4.99</v>
      </c>
      <c r="F33" s="262">
        <v>-584.22</v>
      </c>
      <c r="G33" s="262"/>
      <c r="H33" s="265">
        <v>4.99</v>
      </c>
      <c r="I33" s="262"/>
      <c r="J33" s="262"/>
      <c r="K33" s="262"/>
      <c r="L33" s="262"/>
      <c r="M33" s="262"/>
      <c r="N33" s="262"/>
      <c r="O33" s="262"/>
      <c r="P33" s="262"/>
      <c r="Q33" s="262"/>
      <c r="R33" s="262"/>
      <c r="S33" s="262"/>
      <c r="T33" s="262"/>
      <c r="U33" s="262">
        <f t="shared" si="0"/>
        <v>0</v>
      </c>
      <c r="V33" s="262"/>
      <c r="W33" s="262"/>
      <c r="X33" s="262"/>
      <c r="Y33" s="262"/>
      <c r="Z33" s="262"/>
      <c r="AA33" s="262"/>
      <c r="AB33" s="262"/>
      <c r="AC33" s="262"/>
      <c r="AD33" s="262"/>
      <c r="AE33" s="262"/>
      <c r="AF33" s="262"/>
      <c r="AG33" s="262"/>
      <c r="AH33" s="262"/>
      <c r="AI33" s="262"/>
      <c r="AJ33" s="262"/>
      <c r="AK33" s="262"/>
      <c r="AL33" s="262"/>
      <c r="AM33" s="262"/>
      <c r="AN33" s="262"/>
      <c r="AO33" s="262"/>
      <c r="AP33" s="262"/>
      <c r="AQ33" s="262"/>
      <c r="AR33" s="262"/>
      <c r="AS33" s="262"/>
      <c r="AT33" s="262"/>
      <c r="AU33" s="262"/>
      <c r="AV33" s="262"/>
      <c r="AW33" s="262"/>
      <c r="AX33" s="262"/>
      <c r="AY33" s="262"/>
      <c r="AZ33" s="262"/>
      <c r="BA33" s="262"/>
      <c r="BB33" s="262"/>
      <c r="BC33" s="262"/>
      <c r="BD33" s="262"/>
      <c r="BE33" s="262"/>
      <c r="BF33" s="262"/>
      <c r="BG33" s="262"/>
      <c r="BH33" s="262"/>
      <c r="BI33" s="262"/>
      <c r="BJ33" s="262"/>
      <c r="BK33" s="262"/>
      <c r="BL33" s="262"/>
      <c r="BM33" s="262"/>
      <c r="BN33" s="262"/>
      <c r="BO33" s="262"/>
      <c r="BP33" s="262"/>
      <c r="BQ33" s="262"/>
      <c r="BR33" s="262"/>
      <c r="BS33" s="262"/>
      <c r="BT33" s="262"/>
      <c r="BU33" s="262"/>
      <c r="BV33" s="262"/>
      <c r="BW33" s="262"/>
      <c r="BX33" s="262"/>
      <c r="BY33" s="262"/>
      <c r="BZ33" s="262"/>
      <c r="CA33" s="262"/>
      <c r="CB33" s="262"/>
      <c r="CC33" s="262"/>
      <c r="CD33" s="262"/>
      <c r="CE33" s="262"/>
      <c r="CF33" s="262"/>
      <c r="CG33" s="262"/>
      <c r="CH33" s="262"/>
      <c r="CI33" s="262"/>
      <c r="CJ33" s="262"/>
      <c r="CK33" s="262"/>
      <c r="CL33" s="262"/>
      <c r="CM33" s="262"/>
      <c r="CN33" s="262"/>
      <c r="CO33" s="262"/>
      <c r="CP33" s="262"/>
      <c r="CQ33" s="262"/>
      <c r="CR33" s="262"/>
      <c r="CS33" s="262"/>
      <c r="CT33" s="262"/>
      <c r="CU33" s="262"/>
      <c r="CV33" s="262"/>
      <c r="CW33" s="262"/>
      <c r="CX33" s="262"/>
      <c r="CY33" s="262"/>
      <c r="CZ33" s="262"/>
      <c r="DA33" s="262"/>
      <c r="DB33" s="262"/>
      <c r="DC33" s="262"/>
      <c r="DD33" s="262"/>
      <c r="DE33" s="262"/>
      <c r="DF33" s="262"/>
      <c r="DG33" s="262"/>
      <c r="DH33" s="262"/>
      <c r="DI33" s="262"/>
      <c r="DJ33" s="262"/>
      <c r="DK33" s="262"/>
      <c r="DL33" s="262"/>
      <c r="DM33" s="262"/>
    </row>
    <row r="34" spans="1:117">
      <c r="A34" s="259" t="s">
        <v>510</v>
      </c>
      <c r="B34" s="267">
        <v>-70277215.600000173</v>
      </c>
      <c r="C34" s="267">
        <v>-2371889.180000009</v>
      </c>
      <c r="D34" s="267">
        <v>-684828.8</v>
      </c>
      <c r="E34" s="267">
        <v>-179570.82999999984</v>
      </c>
      <c r="F34" s="267">
        <v>1602355.7099999997</v>
      </c>
      <c r="G34" s="267">
        <v>-89857363.760000005</v>
      </c>
      <c r="H34" s="267">
        <v>21214081.259999841</v>
      </c>
      <c r="I34" s="267">
        <v>-41791345.449999996</v>
      </c>
      <c r="J34" s="267">
        <v>4.9000000000000004</v>
      </c>
      <c r="K34" s="267">
        <v>0</v>
      </c>
      <c r="L34" s="267">
        <v>-18207170.43</v>
      </c>
      <c r="M34" s="267">
        <v>-3583124.58</v>
      </c>
      <c r="N34" s="267">
        <v>3591205.689999999</v>
      </c>
      <c r="O34" s="267">
        <v>-1054055.8699999999</v>
      </c>
      <c r="P34" s="267">
        <v>-345930.23999999999</v>
      </c>
      <c r="Q34" s="267">
        <v>-341505.14</v>
      </c>
      <c r="R34" s="267">
        <v>0</v>
      </c>
      <c r="S34" s="267">
        <v>-888452.1</v>
      </c>
      <c r="T34" s="267">
        <v>60248484.040000014</v>
      </c>
      <c r="U34" s="267">
        <f t="shared" si="0"/>
        <v>58506992.790000014</v>
      </c>
      <c r="V34" s="267">
        <v>-1889474.73</v>
      </c>
      <c r="W34" s="267">
        <v>5834365.8899999997</v>
      </c>
      <c r="X34" s="267">
        <v>10354891.469999997</v>
      </c>
      <c r="Y34" s="267">
        <v>34039598.730000004</v>
      </c>
      <c r="Z34" s="267">
        <v>1640022.42</v>
      </c>
      <c r="AA34" s="267">
        <v>-68189548.640000001</v>
      </c>
      <c r="AB34" s="267">
        <v>2974.429999999993</v>
      </c>
      <c r="AC34" s="267">
        <v>-599475.30000000005</v>
      </c>
      <c r="AD34" s="267">
        <v>-1302490.24</v>
      </c>
      <c r="AE34" s="267">
        <v>-844810.48</v>
      </c>
      <c r="AF34" s="267">
        <v>-107857.69</v>
      </c>
      <c r="AG34" s="267">
        <v>-267748.06</v>
      </c>
      <c r="AH34" s="267">
        <v>-297408.64000000001</v>
      </c>
      <c r="AI34" s="267">
        <v>-163334.17000000001</v>
      </c>
      <c r="AJ34" s="267">
        <v>0</v>
      </c>
      <c r="AK34" s="267">
        <v>256341.36999999994</v>
      </c>
      <c r="AL34" s="267">
        <v>289586.44</v>
      </c>
      <c r="AM34" s="267">
        <v>1641041.32</v>
      </c>
      <c r="AN34" s="267">
        <v>1404236.5599999998</v>
      </c>
      <c r="AO34" s="267">
        <v>-273744.38</v>
      </c>
      <c r="AP34" s="267">
        <v>-72185.86</v>
      </c>
      <c r="AQ34" s="267">
        <v>-5111624.51</v>
      </c>
      <c r="AR34" s="267">
        <v>-362627.39</v>
      </c>
      <c r="AS34" s="267">
        <v>39286079.879999995</v>
      </c>
      <c r="AT34" s="267">
        <v>-430269.52999999997</v>
      </c>
      <c r="AU34" s="267">
        <v>26866925.590000007</v>
      </c>
      <c r="AV34" s="267">
        <v>906017.66999999993</v>
      </c>
      <c r="AW34" s="267">
        <v>1630720.5699999998</v>
      </c>
      <c r="AX34" s="267">
        <v>1046585.4900000001</v>
      </c>
      <c r="AY34" s="267">
        <v>1103452.1200000001</v>
      </c>
      <c r="AZ34" s="267">
        <v>1266970.02</v>
      </c>
      <c r="BA34" s="267">
        <v>991177.31999999983</v>
      </c>
      <c r="BB34" s="267">
        <v>342000.6</v>
      </c>
      <c r="BC34" s="267">
        <v>1420212.04</v>
      </c>
      <c r="BD34" s="267">
        <v>241902.26</v>
      </c>
      <c r="BE34" s="267">
        <v>203966.94</v>
      </c>
      <c r="BF34" s="267">
        <v>1243128.47</v>
      </c>
      <c r="BG34" s="267">
        <v>5522193.4699999997</v>
      </c>
      <c r="BH34" s="267">
        <v>729858.98999999987</v>
      </c>
      <c r="BI34" s="267">
        <v>183518.43999999994</v>
      </c>
      <c r="BJ34" s="267">
        <v>333631.94000000006</v>
      </c>
      <c r="BK34" s="267">
        <v>323752.82999999996</v>
      </c>
      <c r="BL34" s="267">
        <v>327738.75999999989</v>
      </c>
      <c r="BM34" s="267">
        <v>325181.51999999996</v>
      </c>
      <c r="BN34" s="267">
        <v>287335.81</v>
      </c>
      <c r="BO34" s="267">
        <v>128950.73000000001</v>
      </c>
      <c r="BP34" s="267">
        <v>189968.79000000004</v>
      </c>
      <c r="BQ34" s="267">
        <v>244529.95000000007</v>
      </c>
      <c r="BR34" s="267">
        <v>-42106.050000000017</v>
      </c>
      <c r="BS34" s="267">
        <v>37872.330000000016</v>
      </c>
      <c r="BT34" s="267">
        <v>63044.219999999972</v>
      </c>
      <c r="BU34" s="267">
        <v>4557.390000000014</v>
      </c>
      <c r="BV34" s="267">
        <v>-4378.2500000000146</v>
      </c>
      <c r="BW34" s="267">
        <v>77176.800000000017</v>
      </c>
      <c r="BX34" s="267">
        <v>56884.420000000013</v>
      </c>
      <c r="BY34" s="267">
        <v>-328584.25</v>
      </c>
      <c r="BZ34" s="267">
        <v>-32729.959999999992</v>
      </c>
      <c r="CA34" s="267">
        <v>-7761</v>
      </c>
      <c r="CB34" s="267">
        <v>-3719.0400000000009</v>
      </c>
      <c r="CC34" s="267">
        <v>10453.049999999988</v>
      </c>
      <c r="CD34" s="267">
        <v>61402.440000000017</v>
      </c>
      <c r="CE34" s="267">
        <v>-162289.28000000003</v>
      </c>
      <c r="CF34" s="267">
        <v>9774570.9499999993</v>
      </c>
      <c r="CG34" s="267">
        <v>11042.940000000002</v>
      </c>
      <c r="CH34" s="267">
        <v>-65287.229999999996</v>
      </c>
      <c r="CI34" s="267">
        <v>-34742.18</v>
      </c>
      <c r="CJ34" s="267">
        <v>-31791.25</v>
      </c>
      <c r="CK34" s="267">
        <v>-15040.629999999994</v>
      </c>
      <c r="CL34" s="267">
        <v>-52009.930000000008</v>
      </c>
      <c r="CM34" s="267">
        <v>-43655.209999999992</v>
      </c>
      <c r="CN34" s="267">
        <v>-89348.72</v>
      </c>
      <c r="CO34" s="267">
        <v>-55692.579999999987</v>
      </c>
      <c r="CP34" s="267">
        <v>-70377.890000000014</v>
      </c>
      <c r="CQ34" s="267">
        <v>-141195.79</v>
      </c>
      <c r="CR34" s="267">
        <v>-69929.19</v>
      </c>
      <c r="CS34" s="267">
        <v>-39978.619999999995</v>
      </c>
      <c r="CT34" s="267">
        <v>-75085.570000000007</v>
      </c>
      <c r="CU34" s="267">
        <v>-90171.319999999992</v>
      </c>
      <c r="CV34" s="267">
        <v>-56355.969999999994</v>
      </c>
      <c r="CW34" s="267">
        <v>-77924.81</v>
      </c>
      <c r="CX34" s="267">
        <v>-49252.61</v>
      </c>
      <c r="CY34" s="267">
        <v>-73868.69</v>
      </c>
      <c r="CZ34" s="267">
        <v>-116022.72</v>
      </c>
      <c r="DA34" s="267">
        <v>-66087.100000000006</v>
      </c>
      <c r="DB34" s="267">
        <v>-75589.17</v>
      </c>
      <c r="DC34" s="267">
        <v>12360.220000000001</v>
      </c>
      <c r="DD34" s="267">
        <v>4930.3599999999278</v>
      </c>
      <c r="DE34" s="267">
        <v>15118.540000000008</v>
      </c>
      <c r="DF34" s="267">
        <v>-127260.23999999999</v>
      </c>
      <c r="DG34" s="267">
        <v>-22974.58</v>
      </c>
      <c r="DH34" s="267">
        <v>-126733.5</v>
      </c>
      <c r="DI34" s="267">
        <v>-7339.4699999999866</v>
      </c>
      <c r="DJ34" s="267">
        <v>0</v>
      </c>
      <c r="DK34" s="267">
        <v>0</v>
      </c>
      <c r="DL34" s="267">
        <v>0</v>
      </c>
      <c r="DM34" s="267">
        <v>0</v>
      </c>
    </row>
    <row r="35" spans="1:117">
      <c r="A35" s="259" t="s">
        <v>443</v>
      </c>
      <c r="B35" s="268">
        <v>14881583.779999994</v>
      </c>
      <c r="C35" s="268">
        <v>-50602944.409999996</v>
      </c>
      <c r="D35" s="268">
        <v>-444385.23</v>
      </c>
      <c r="E35" s="268">
        <v>-981732.91</v>
      </c>
      <c r="F35" s="268">
        <v>0</v>
      </c>
      <c r="G35" s="268">
        <v>0</v>
      </c>
      <c r="H35" s="268">
        <v>66910646.329999983</v>
      </c>
      <c r="I35" s="268">
        <v>0</v>
      </c>
      <c r="J35" s="268">
        <v>0</v>
      </c>
      <c r="K35" s="268">
        <v>0</v>
      </c>
      <c r="L35" s="268">
        <v>4153566.59</v>
      </c>
      <c r="M35" s="268">
        <v>0</v>
      </c>
      <c r="N35" s="268">
        <v>-55107510.990000002</v>
      </c>
      <c r="O35" s="268">
        <v>0</v>
      </c>
      <c r="P35" s="268">
        <v>0</v>
      </c>
      <c r="Q35" s="268">
        <v>0</v>
      </c>
      <c r="R35" s="268">
        <v>0</v>
      </c>
      <c r="S35" s="268">
        <v>0</v>
      </c>
      <c r="T35" s="268">
        <v>350999.99</v>
      </c>
      <c r="U35" s="268">
        <f t="shared" si="0"/>
        <v>350999.99</v>
      </c>
      <c r="V35" s="268">
        <v>0</v>
      </c>
      <c r="W35" s="268">
        <v>5258766.55</v>
      </c>
      <c r="X35" s="268">
        <v>0</v>
      </c>
      <c r="Y35" s="268">
        <v>-1105199.96</v>
      </c>
      <c r="Z35" s="268">
        <v>0</v>
      </c>
      <c r="AA35" s="268">
        <v>0</v>
      </c>
      <c r="AB35" s="268">
        <v>0</v>
      </c>
      <c r="AC35" s="268">
        <v>0</v>
      </c>
      <c r="AD35" s="268">
        <v>0</v>
      </c>
      <c r="AE35" s="268">
        <v>0</v>
      </c>
      <c r="AF35" s="268">
        <v>0</v>
      </c>
      <c r="AG35" s="268">
        <v>0</v>
      </c>
      <c r="AH35" s="268">
        <v>0</v>
      </c>
      <c r="AI35" s="268">
        <v>0</v>
      </c>
      <c r="AJ35" s="268">
        <v>0</v>
      </c>
      <c r="AK35" s="268">
        <v>-1930301.31</v>
      </c>
      <c r="AL35" s="268">
        <v>-7432.99</v>
      </c>
      <c r="AM35" s="268">
        <v>-54220440.670000002</v>
      </c>
      <c r="AN35" s="268">
        <v>1050663.98</v>
      </c>
      <c r="AO35" s="268">
        <v>0</v>
      </c>
      <c r="AP35" s="268">
        <v>0</v>
      </c>
      <c r="AQ35" s="268">
        <v>0</v>
      </c>
      <c r="AR35" s="268">
        <v>0</v>
      </c>
      <c r="AS35" s="268">
        <v>350999.99</v>
      </c>
      <c r="AT35" s="268">
        <v>0</v>
      </c>
      <c r="AU35" s="268">
        <v>0</v>
      </c>
      <c r="AV35" s="268">
        <v>0</v>
      </c>
      <c r="AW35" s="268">
        <v>0</v>
      </c>
      <c r="AX35" s="268">
        <v>0</v>
      </c>
      <c r="AY35" s="268">
        <v>0</v>
      </c>
      <c r="AZ35" s="268">
        <v>0</v>
      </c>
      <c r="BA35" s="268">
        <v>0</v>
      </c>
      <c r="BB35" s="268">
        <v>0</v>
      </c>
      <c r="BC35" s="268">
        <v>0</v>
      </c>
      <c r="BD35" s="268">
        <v>0</v>
      </c>
      <c r="BE35" s="268">
        <v>0</v>
      </c>
      <c r="BF35" s="268">
        <v>0</v>
      </c>
      <c r="BG35" s="268">
        <v>0</v>
      </c>
      <c r="BH35" s="268">
        <v>0</v>
      </c>
      <c r="BI35" s="268">
        <v>0</v>
      </c>
      <c r="BJ35" s="268">
        <v>0</v>
      </c>
      <c r="BK35" s="268">
        <v>0</v>
      </c>
      <c r="BL35" s="268">
        <v>0</v>
      </c>
      <c r="BM35" s="268">
        <v>0</v>
      </c>
      <c r="BN35" s="268">
        <v>0</v>
      </c>
      <c r="BO35" s="268">
        <v>0</v>
      </c>
      <c r="BP35" s="268">
        <v>0</v>
      </c>
      <c r="BQ35" s="268">
        <v>0</v>
      </c>
      <c r="BR35" s="268">
        <v>0</v>
      </c>
      <c r="BS35" s="268">
        <v>0</v>
      </c>
      <c r="BT35" s="268">
        <v>0</v>
      </c>
      <c r="BU35" s="268">
        <v>0</v>
      </c>
      <c r="BV35" s="268">
        <v>0</v>
      </c>
      <c r="BW35" s="268">
        <v>0</v>
      </c>
      <c r="BX35" s="268">
        <v>0</v>
      </c>
      <c r="BY35" s="268">
        <v>0</v>
      </c>
      <c r="BZ35" s="268">
        <v>0</v>
      </c>
      <c r="CA35" s="268">
        <v>0</v>
      </c>
      <c r="CB35" s="268">
        <v>0</v>
      </c>
      <c r="CC35" s="268">
        <v>0</v>
      </c>
      <c r="CD35" s="268">
        <v>0</v>
      </c>
      <c r="CE35" s="268">
        <v>0</v>
      </c>
      <c r="CF35" s="268">
        <v>0</v>
      </c>
      <c r="CG35" s="268">
        <v>0</v>
      </c>
      <c r="CH35" s="268">
        <v>0</v>
      </c>
      <c r="CI35" s="268">
        <v>0</v>
      </c>
      <c r="CJ35" s="268">
        <v>0</v>
      </c>
      <c r="CK35" s="268">
        <v>0</v>
      </c>
      <c r="CL35" s="268">
        <v>0</v>
      </c>
      <c r="CM35" s="268">
        <v>0</v>
      </c>
      <c r="CN35" s="268">
        <v>0</v>
      </c>
      <c r="CO35" s="268">
        <v>0</v>
      </c>
      <c r="CP35" s="268">
        <v>0</v>
      </c>
      <c r="CQ35" s="268">
        <v>0</v>
      </c>
      <c r="CR35" s="268">
        <v>0</v>
      </c>
      <c r="CS35" s="268">
        <v>0</v>
      </c>
      <c r="CT35" s="268">
        <v>0</v>
      </c>
      <c r="CU35" s="268">
        <v>0</v>
      </c>
      <c r="CV35" s="268">
        <v>0</v>
      </c>
      <c r="CW35" s="268">
        <v>0</v>
      </c>
      <c r="CX35" s="268">
        <v>0</v>
      </c>
      <c r="CY35" s="268">
        <v>0</v>
      </c>
      <c r="CZ35" s="268">
        <v>0</v>
      </c>
      <c r="DA35" s="268">
        <v>0</v>
      </c>
      <c r="DB35" s="268">
        <v>0</v>
      </c>
      <c r="DC35" s="268">
        <v>0</v>
      </c>
      <c r="DD35" s="268">
        <v>0</v>
      </c>
      <c r="DE35" s="268">
        <v>0</v>
      </c>
      <c r="DF35" s="268">
        <v>0</v>
      </c>
      <c r="DG35" s="268">
        <v>0</v>
      </c>
      <c r="DH35" s="268">
        <v>0</v>
      </c>
      <c r="DI35" s="268">
        <v>0</v>
      </c>
      <c r="DJ35" s="268">
        <v>0</v>
      </c>
      <c r="DK35" s="268">
        <v>0</v>
      </c>
      <c r="DL35" s="268">
        <v>0</v>
      </c>
      <c r="DM35" s="268">
        <v>0</v>
      </c>
    </row>
    <row r="36" spans="1:117">
      <c r="A36" s="259" t="s">
        <v>511</v>
      </c>
      <c r="B36" s="268">
        <v>14881583.779999994</v>
      </c>
      <c r="C36" s="268">
        <v>-50602944.409999996</v>
      </c>
      <c r="D36" s="268">
        <v>-444385.23</v>
      </c>
      <c r="E36" s="268">
        <v>-981732.91</v>
      </c>
      <c r="F36" s="268">
        <v>0</v>
      </c>
      <c r="G36" s="268">
        <v>0</v>
      </c>
      <c r="H36" s="268">
        <v>66910646.329999983</v>
      </c>
      <c r="I36" s="268">
        <v>0</v>
      </c>
      <c r="J36" s="268">
        <v>0</v>
      </c>
      <c r="K36" s="268">
        <v>0</v>
      </c>
      <c r="L36" s="268">
        <v>4153566.59</v>
      </c>
      <c r="M36" s="268">
        <v>0</v>
      </c>
      <c r="N36" s="268">
        <v>-55107510.990000002</v>
      </c>
      <c r="O36" s="268">
        <v>0</v>
      </c>
      <c r="P36" s="268">
        <v>0</v>
      </c>
      <c r="Q36" s="268">
        <v>0</v>
      </c>
      <c r="R36" s="268">
        <v>0</v>
      </c>
      <c r="S36" s="268">
        <v>0</v>
      </c>
      <c r="T36" s="268">
        <v>350999.99</v>
      </c>
      <c r="U36" s="268">
        <f t="shared" si="0"/>
        <v>350999.99</v>
      </c>
      <c r="V36" s="268">
        <v>0</v>
      </c>
      <c r="W36" s="268">
        <v>5258766.55</v>
      </c>
      <c r="X36" s="268">
        <v>0</v>
      </c>
      <c r="Y36" s="268">
        <v>-1105199.96</v>
      </c>
      <c r="Z36" s="268">
        <v>0</v>
      </c>
      <c r="AA36" s="268">
        <v>0</v>
      </c>
      <c r="AB36" s="268">
        <v>0</v>
      </c>
      <c r="AC36" s="268">
        <v>0</v>
      </c>
      <c r="AD36" s="268">
        <v>0</v>
      </c>
      <c r="AE36" s="268">
        <v>0</v>
      </c>
      <c r="AF36" s="268">
        <v>0</v>
      </c>
      <c r="AG36" s="268">
        <v>0</v>
      </c>
      <c r="AH36" s="268">
        <v>0</v>
      </c>
      <c r="AI36" s="268">
        <v>0</v>
      </c>
      <c r="AJ36" s="268">
        <v>0</v>
      </c>
      <c r="AK36" s="268">
        <v>-1930301.31</v>
      </c>
      <c r="AL36" s="268">
        <v>-7432.99</v>
      </c>
      <c r="AM36" s="268">
        <v>-54220440.670000002</v>
      </c>
      <c r="AN36" s="268">
        <v>1050663.98</v>
      </c>
      <c r="AO36" s="268">
        <v>0</v>
      </c>
      <c r="AP36" s="268">
        <v>0</v>
      </c>
      <c r="AQ36" s="268">
        <v>0</v>
      </c>
      <c r="AR36" s="268">
        <v>0</v>
      </c>
      <c r="AS36" s="268">
        <v>350999.99</v>
      </c>
      <c r="AT36" s="268">
        <v>0</v>
      </c>
      <c r="AU36" s="268">
        <v>0</v>
      </c>
      <c r="AV36" s="268">
        <v>0</v>
      </c>
      <c r="AW36" s="268">
        <v>0</v>
      </c>
      <c r="AX36" s="268">
        <v>0</v>
      </c>
      <c r="AY36" s="268">
        <v>0</v>
      </c>
      <c r="AZ36" s="268">
        <v>0</v>
      </c>
      <c r="BA36" s="268">
        <v>0</v>
      </c>
      <c r="BB36" s="268">
        <v>0</v>
      </c>
      <c r="BC36" s="268">
        <v>0</v>
      </c>
      <c r="BD36" s="268">
        <v>0</v>
      </c>
      <c r="BE36" s="268">
        <v>0</v>
      </c>
      <c r="BF36" s="268">
        <v>0</v>
      </c>
      <c r="BG36" s="268">
        <v>0</v>
      </c>
      <c r="BH36" s="268">
        <v>0</v>
      </c>
      <c r="BI36" s="268">
        <v>0</v>
      </c>
      <c r="BJ36" s="268">
        <v>0</v>
      </c>
      <c r="BK36" s="268">
        <v>0</v>
      </c>
      <c r="BL36" s="268">
        <v>0</v>
      </c>
      <c r="BM36" s="268">
        <v>0</v>
      </c>
      <c r="BN36" s="268">
        <v>0</v>
      </c>
      <c r="BO36" s="268">
        <v>0</v>
      </c>
      <c r="BP36" s="268">
        <v>0</v>
      </c>
      <c r="BQ36" s="268">
        <v>0</v>
      </c>
      <c r="BR36" s="268">
        <v>0</v>
      </c>
      <c r="BS36" s="268">
        <v>0</v>
      </c>
      <c r="BT36" s="268">
        <v>0</v>
      </c>
      <c r="BU36" s="268">
        <v>0</v>
      </c>
      <c r="BV36" s="268">
        <v>0</v>
      </c>
      <c r="BW36" s="268">
        <v>0</v>
      </c>
      <c r="BX36" s="268">
        <v>0</v>
      </c>
      <c r="BY36" s="268">
        <v>0</v>
      </c>
      <c r="BZ36" s="268">
        <v>0</v>
      </c>
      <c r="CA36" s="268">
        <v>0</v>
      </c>
      <c r="CB36" s="268">
        <v>0</v>
      </c>
      <c r="CC36" s="268">
        <v>0</v>
      </c>
      <c r="CD36" s="268">
        <v>0</v>
      </c>
      <c r="CE36" s="268">
        <v>0</v>
      </c>
      <c r="CF36" s="268">
        <v>0</v>
      </c>
      <c r="CG36" s="268">
        <v>0</v>
      </c>
      <c r="CH36" s="268">
        <v>0</v>
      </c>
      <c r="CI36" s="268">
        <v>0</v>
      </c>
      <c r="CJ36" s="268">
        <v>0</v>
      </c>
      <c r="CK36" s="268">
        <v>0</v>
      </c>
      <c r="CL36" s="268">
        <v>0</v>
      </c>
      <c r="CM36" s="268">
        <v>0</v>
      </c>
      <c r="CN36" s="268">
        <v>0</v>
      </c>
      <c r="CO36" s="268">
        <v>0</v>
      </c>
      <c r="CP36" s="268">
        <v>0</v>
      </c>
      <c r="CQ36" s="268">
        <v>0</v>
      </c>
      <c r="CR36" s="268">
        <v>0</v>
      </c>
      <c r="CS36" s="268">
        <v>0</v>
      </c>
      <c r="CT36" s="268">
        <v>0</v>
      </c>
      <c r="CU36" s="268">
        <v>0</v>
      </c>
      <c r="CV36" s="268">
        <v>0</v>
      </c>
      <c r="CW36" s="268">
        <v>0</v>
      </c>
      <c r="CX36" s="268">
        <v>0</v>
      </c>
      <c r="CY36" s="268">
        <v>0</v>
      </c>
      <c r="CZ36" s="268">
        <v>0</v>
      </c>
      <c r="DA36" s="268">
        <v>0</v>
      </c>
      <c r="DB36" s="268">
        <v>0</v>
      </c>
      <c r="DC36" s="268">
        <v>0</v>
      </c>
      <c r="DD36" s="268">
        <v>0</v>
      </c>
      <c r="DE36" s="268">
        <v>0</v>
      </c>
      <c r="DF36" s="268">
        <v>0</v>
      </c>
      <c r="DG36" s="268">
        <v>0</v>
      </c>
      <c r="DH36" s="268">
        <v>0</v>
      </c>
      <c r="DI36" s="268">
        <v>0</v>
      </c>
      <c r="DJ36" s="268">
        <v>0</v>
      </c>
      <c r="DK36" s="268">
        <v>0</v>
      </c>
      <c r="DL36" s="268">
        <v>0</v>
      </c>
      <c r="DM36" s="268">
        <v>0</v>
      </c>
    </row>
    <row r="37" spans="1:117">
      <c r="A37" s="259" t="s">
        <v>512</v>
      </c>
      <c r="B37" s="268">
        <v>0</v>
      </c>
      <c r="C37" s="264">
        <v>0</v>
      </c>
      <c r="D37" s="264">
        <v>0</v>
      </c>
      <c r="E37" s="264">
        <v>0</v>
      </c>
      <c r="F37" s="264">
        <v>0</v>
      </c>
      <c r="G37" s="264"/>
      <c r="H37" s="264"/>
      <c r="I37" s="264">
        <v>0</v>
      </c>
      <c r="J37" s="264">
        <v>0</v>
      </c>
      <c r="K37" s="264">
        <v>0</v>
      </c>
      <c r="L37" s="264">
        <v>0</v>
      </c>
      <c r="M37" s="264">
        <v>0</v>
      </c>
      <c r="N37" s="264">
        <v>0</v>
      </c>
      <c r="O37" s="264">
        <v>0</v>
      </c>
      <c r="P37" s="264">
        <v>0</v>
      </c>
      <c r="Q37" s="264">
        <v>0</v>
      </c>
      <c r="R37" s="264">
        <v>0</v>
      </c>
      <c r="S37" s="264">
        <v>0</v>
      </c>
      <c r="T37" s="264">
        <v>0</v>
      </c>
      <c r="U37" s="264">
        <f t="shared" si="0"/>
        <v>0</v>
      </c>
      <c r="V37" s="264">
        <v>0</v>
      </c>
      <c r="W37" s="264">
        <v>0</v>
      </c>
      <c r="X37" s="264">
        <v>0</v>
      </c>
      <c r="Y37" s="264">
        <v>0</v>
      </c>
      <c r="Z37" s="264">
        <v>0</v>
      </c>
      <c r="AA37" s="264">
        <v>0</v>
      </c>
      <c r="AB37" s="264">
        <v>0</v>
      </c>
      <c r="AC37" s="264"/>
      <c r="AD37" s="264"/>
      <c r="AE37" s="264"/>
      <c r="AF37" s="264"/>
      <c r="AG37" s="264"/>
      <c r="AH37" s="264"/>
      <c r="AI37" s="264"/>
      <c r="AJ37" s="264"/>
      <c r="AK37" s="264">
        <v>0</v>
      </c>
      <c r="AL37" s="264">
        <v>0</v>
      </c>
      <c r="AM37" s="264">
        <v>0</v>
      </c>
      <c r="AN37" s="264">
        <v>0</v>
      </c>
      <c r="AO37" s="264"/>
      <c r="AP37" s="264"/>
      <c r="AQ37" s="264">
        <v>0</v>
      </c>
      <c r="AR37" s="264">
        <v>0</v>
      </c>
      <c r="AS37" s="264">
        <v>0</v>
      </c>
      <c r="AT37" s="264">
        <v>0</v>
      </c>
      <c r="AU37" s="264">
        <v>0</v>
      </c>
      <c r="AV37" s="264"/>
      <c r="AW37" s="264"/>
      <c r="AX37" s="264"/>
      <c r="AY37" s="264"/>
      <c r="AZ37" s="264"/>
      <c r="BA37" s="264"/>
      <c r="BB37" s="264"/>
      <c r="BC37" s="264"/>
      <c r="BD37" s="264"/>
      <c r="BE37" s="264"/>
      <c r="BF37" s="264"/>
      <c r="BG37" s="264"/>
      <c r="BH37" s="264"/>
      <c r="BI37" s="264"/>
      <c r="BJ37" s="264"/>
      <c r="BK37" s="264"/>
      <c r="BL37" s="264"/>
      <c r="BM37" s="264"/>
      <c r="BN37" s="264"/>
      <c r="BO37" s="264"/>
      <c r="BP37" s="264"/>
      <c r="BQ37" s="264"/>
      <c r="BR37" s="264"/>
      <c r="BS37" s="264"/>
      <c r="BT37" s="264"/>
      <c r="BU37" s="264"/>
      <c r="BV37" s="264"/>
      <c r="BW37" s="264"/>
      <c r="BX37" s="264"/>
      <c r="BY37" s="264"/>
      <c r="BZ37" s="264"/>
      <c r="CA37" s="264"/>
      <c r="CB37" s="264"/>
      <c r="CC37" s="264"/>
      <c r="CD37" s="264"/>
      <c r="CE37" s="264"/>
      <c r="CF37" s="264"/>
      <c r="CG37" s="264"/>
      <c r="CH37" s="264"/>
      <c r="CI37" s="264"/>
      <c r="CJ37" s="264"/>
      <c r="CK37" s="264"/>
      <c r="CL37" s="264"/>
      <c r="CM37" s="264"/>
      <c r="CN37" s="264"/>
      <c r="CO37" s="264"/>
      <c r="CP37" s="264"/>
      <c r="CQ37" s="264"/>
      <c r="CR37" s="264"/>
      <c r="CS37" s="264"/>
      <c r="CT37" s="264"/>
      <c r="CU37" s="264"/>
      <c r="CV37" s="264"/>
      <c r="CW37" s="264"/>
      <c r="CX37" s="264"/>
      <c r="CY37" s="264"/>
      <c r="CZ37" s="264"/>
      <c r="DA37" s="264"/>
      <c r="DB37" s="264"/>
      <c r="DC37" s="264"/>
      <c r="DD37" s="264"/>
      <c r="DE37" s="264"/>
      <c r="DF37" s="264"/>
      <c r="DG37" s="264"/>
      <c r="DH37" s="264"/>
      <c r="DI37" s="264"/>
      <c r="DJ37" s="264"/>
      <c r="DK37" s="264"/>
      <c r="DL37" s="264"/>
      <c r="DM37" s="264"/>
    </row>
    <row r="38" spans="1:117">
      <c r="A38" s="259" t="s">
        <v>513</v>
      </c>
      <c r="B38" s="262">
        <v>0</v>
      </c>
      <c r="C38" s="264">
        <v>0</v>
      </c>
      <c r="D38" s="264">
        <v>0</v>
      </c>
      <c r="E38" s="264">
        <v>0</v>
      </c>
      <c r="F38" s="264">
        <v>0</v>
      </c>
      <c r="G38" s="264"/>
      <c r="H38" s="264"/>
      <c r="I38" s="269">
        <v>0</v>
      </c>
      <c r="J38" s="269">
        <v>0</v>
      </c>
      <c r="K38" s="269">
        <v>0</v>
      </c>
      <c r="L38" s="269">
        <v>0</v>
      </c>
      <c r="M38" s="269">
        <v>0</v>
      </c>
      <c r="N38" s="269">
        <v>0</v>
      </c>
      <c r="O38" s="269">
        <v>0</v>
      </c>
      <c r="P38" s="269">
        <v>0</v>
      </c>
      <c r="Q38" s="269">
        <v>0</v>
      </c>
      <c r="R38" s="269">
        <v>0</v>
      </c>
      <c r="S38" s="269">
        <v>0</v>
      </c>
      <c r="T38" s="269">
        <v>0</v>
      </c>
      <c r="U38" s="269">
        <f t="shared" si="0"/>
        <v>0</v>
      </c>
      <c r="V38" s="269">
        <v>0</v>
      </c>
      <c r="W38" s="269">
        <v>0</v>
      </c>
      <c r="X38" s="269">
        <v>0</v>
      </c>
      <c r="Y38" s="269">
        <v>0</v>
      </c>
      <c r="Z38" s="269">
        <v>0</v>
      </c>
      <c r="AA38" s="269">
        <v>0</v>
      </c>
      <c r="AB38" s="269">
        <v>0</v>
      </c>
      <c r="AC38" s="269"/>
      <c r="AD38" s="269"/>
      <c r="AE38" s="269"/>
      <c r="AF38" s="269"/>
      <c r="AG38" s="269"/>
      <c r="AH38" s="269"/>
      <c r="AI38" s="269"/>
      <c r="AJ38" s="269"/>
      <c r="AK38" s="269">
        <v>0</v>
      </c>
      <c r="AL38" s="269">
        <v>0</v>
      </c>
      <c r="AM38" s="269">
        <v>0</v>
      </c>
      <c r="AN38" s="269">
        <v>0</v>
      </c>
      <c r="AO38" s="255"/>
      <c r="AP38" s="255"/>
      <c r="AQ38" s="255">
        <v>0</v>
      </c>
      <c r="AR38" s="255">
        <v>0</v>
      </c>
      <c r="AS38" s="255">
        <v>0</v>
      </c>
      <c r="AT38" s="255">
        <v>0</v>
      </c>
      <c r="AU38" s="255">
        <v>0</v>
      </c>
      <c r="AV38" s="255"/>
      <c r="AW38" s="255"/>
      <c r="AX38" s="255"/>
      <c r="AY38" s="255"/>
      <c r="AZ38" s="255"/>
      <c r="BA38" s="255"/>
      <c r="BB38" s="255"/>
      <c r="BC38" s="255"/>
      <c r="BD38" s="255"/>
      <c r="BE38" s="255"/>
      <c r="BF38" s="255"/>
      <c r="BG38" s="255"/>
      <c r="BH38" s="255"/>
      <c r="BI38" s="255"/>
      <c r="BJ38" s="255"/>
      <c r="BK38" s="255"/>
      <c r="BL38" s="255"/>
      <c r="BM38" s="255"/>
      <c r="BN38" s="255"/>
      <c r="BO38" s="255"/>
      <c r="BP38" s="255"/>
      <c r="BQ38" s="255"/>
      <c r="BR38" s="255"/>
      <c r="BS38" s="255"/>
      <c r="BT38" s="255"/>
      <c r="BU38" s="255"/>
      <c r="BV38" s="255"/>
      <c r="BW38" s="255"/>
      <c r="BX38" s="255"/>
      <c r="BY38" s="255"/>
      <c r="BZ38" s="255"/>
      <c r="CA38" s="255"/>
      <c r="CB38" s="255"/>
      <c r="CC38" s="255"/>
      <c r="CD38" s="255"/>
      <c r="CE38" s="255"/>
      <c r="CF38" s="255"/>
      <c r="CG38" s="255"/>
      <c r="CH38" s="255"/>
      <c r="CI38" s="255"/>
      <c r="CJ38" s="255"/>
      <c r="CK38" s="255"/>
      <c r="CL38" s="255"/>
      <c r="CM38" s="255"/>
      <c r="CN38" s="255"/>
      <c r="CO38" s="255"/>
      <c r="CP38" s="255"/>
      <c r="CQ38" s="255"/>
      <c r="CR38" s="255"/>
      <c r="CS38" s="255"/>
      <c r="CT38" s="255"/>
      <c r="CU38" s="255"/>
      <c r="CV38" s="255"/>
      <c r="CW38" s="255"/>
      <c r="CX38" s="255"/>
      <c r="CY38" s="255"/>
      <c r="CZ38" s="255"/>
      <c r="DA38" s="255"/>
      <c r="DB38" s="255"/>
      <c r="DC38" s="255"/>
      <c r="DD38" s="255"/>
      <c r="DE38" s="255"/>
      <c r="DF38" s="255"/>
      <c r="DG38" s="255"/>
      <c r="DH38" s="255"/>
      <c r="DI38" s="255"/>
      <c r="DJ38" s="255"/>
      <c r="DK38" s="255"/>
      <c r="DL38" s="255"/>
      <c r="DM38" s="255"/>
    </row>
    <row r="39" spans="1:117">
      <c r="A39" s="259" t="s">
        <v>514</v>
      </c>
      <c r="B39" s="262">
        <v>0</v>
      </c>
      <c r="C39" s="264">
        <v>0</v>
      </c>
      <c r="D39" s="264">
        <v>0</v>
      </c>
      <c r="E39" s="264">
        <v>0</v>
      </c>
      <c r="F39" s="264">
        <v>0</v>
      </c>
      <c r="G39" s="264"/>
      <c r="H39" s="264"/>
      <c r="I39" s="264">
        <v>0</v>
      </c>
      <c r="J39" s="264">
        <v>0</v>
      </c>
      <c r="K39" s="264">
        <v>0</v>
      </c>
      <c r="L39" s="264">
        <v>0</v>
      </c>
      <c r="M39" s="264">
        <v>0</v>
      </c>
      <c r="N39" s="264">
        <v>0</v>
      </c>
      <c r="O39" s="264">
        <v>0</v>
      </c>
      <c r="P39" s="264">
        <v>0</v>
      </c>
      <c r="Q39" s="264">
        <v>0</v>
      </c>
      <c r="R39" s="264">
        <v>0</v>
      </c>
      <c r="S39" s="264">
        <v>0</v>
      </c>
      <c r="T39" s="264">
        <v>0</v>
      </c>
      <c r="U39" s="264">
        <f t="shared" si="0"/>
        <v>0</v>
      </c>
      <c r="V39" s="264">
        <v>0</v>
      </c>
      <c r="W39" s="264">
        <v>0</v>
      </c>
      <c r="X39" s="264">
        <v>0</v>
      </c>
      <c r="Y39" s="264">
        <v>0</v>
      </c>
      <c r="Z39" s="264">
        <v>0</v>
      </c>
      <c r="AA39" s="264">
        <v>0</v>
      </c>
      <c r="AB39" s="264">
        <v>0</v>
      </c>
      <c r="AC39" s="264"/>
      <c r="AD39" s="264"/>
      <c r="AE39" s="264"/>
      <c r="AF39" s="264"/>
      <c r="AG39" s="264"/>
      <c r="AH39" s="264"/>
      <c r="AI39" s="264"/>
      <c r="AJ39" s="264"/>
      <c r="AK39" s="264">
        <v>0</v>
      </c>
      <c r="AL39" s="264">
        <v>0</v>
      </c>
      <c r="AM39" s="264">
        <v>0</v>
      </c>
      <c r="AN39" s="264">
        <v>0</v>
      </c>
      <c r="AO39" s="264"/>
      <c r="AP39" s="264"/>
      <c r="AQ39" s="264">
        <v>0</v>
      </c>
      <c r="AR39" s="264">
        <v>0</v>
      </c>
      <c r="AS39" s="264">
        <v>0</v>
      </c>
      <c r="AT39" s="264">
        <v>0</v>
      </c>
      <c r="AU39" s="264">
        <v>0</v>
      </c>
      <c r="AV39" s="264"/>
      <c r="AW39" s="264"/>
      <c r="AX39" s="264"/>
      <c r="AY39" s="264"/>
      <c r="AZ39" s="264"/>
      <c r="BA39" s="264"/>
      <c r="BB39" s="264"/>
      <c r="BC39" s="264"/>
      <c r="BD39" s="264"/>
      <c r="BE39" s="264"/>
      <c r="BF39" s="264"/>
      <c r="BG39" s="264"/>
      <c r="BH39" s="264"/>
      <c r="BI39" s="264"/>
      <c r="BJ39" s="264"/>
      <c r="BK39" s="264"/>
      <c r="BL39" s="264"/>
      <c r="BM39" s="264"/>
      <c r="BN39" s="264"/>
      <c r="BO39" s="264"/>
      <c r="BP39" s="264"/>
      <c r="BQ39" s="264"/>
      <c r="BR39" s="264"/>
      <c r="BS39" s="264"/>
      <c r="BT39" s="264"/>
      <c r="BU39" s="264"/>
      <c r="BV39" s="264"/>
      <c r="BW39" s="264"/>
      <c r="BX39" s="264"/>
      <c r="BY39" s="264"/>
      <c r="BZ39" s="264"/>
      <c r="CA39" s="264"/>
      <c r="CB39" s="264"/>
      <c r="CC39" s="264"/>
      <c r="CD39" s="264"/>
      <c r="CE39" s="264"/>
      <c r="CF39" s="264"/>
      <c r="CG39" s="264"/>
      <c r="CH39" s="264"/>
      <c r="CI39" s="264"/>
      <c r="CJ39" s="264"/>
      <c r="CK39" s="264"/>
      <c r="CL39" s="264"/>
      <c r="CM39" s="264"/>
      <c r="CN39" s="264"/>
      <c r="CO39" s="264"/>
      <c r="CP39" s="264"/>
      <c r="CQ39" s="264"/>
      <c r="CR39" s="264"/>
      <c r="CS39" s="264"/>
      <c r="CT39" s="264"/>
      <c r="CU39" s="264"/>
      <c r="CV39" s="264"/>
      <c r="CW39" s="264"/>
      <c r="CX39" s="264"/>
      <c r="CY39" s="264"/>
      <c r="CZ39" s="264"/>
      <c r="DA39" s="264"/>
      <c r="DB39" s="264"/>
      <c r="DC39" s="264"/>
      <c r="DD39" s="264"/>
      <c r="DE39" s="264"/>
      <c r="DF39" s="264"/>
      <c r="DG39" s="264"/>
      <c r="DH39" s="264"/>
      <c r="DI39" s="264"/>
      <c r="DJ39" s="264"/>
      <c r="DK39" s="264"/>
      <c r="DL39" s="264"/>
      <c r="DM39" s="264"/>
    </row>
    <row r="40" spans="1:117">
      <c r="A40" s="261" t="s">
        <v>515</v>
      </c>
      <c r="B40" s="268">
        <v>14881583.779999994</v>
      </c>
      <c r="C40" s="268">
        <v>-50602944.409999996</v>
      </c>
      <c r="D40" s="268">
        <v>-444385.23</v>
      </c>
      <c r="E40" s="268">
        <v>-981732.91</v>
      </c>
      <c r="F40" s="268">
        <v>0</v>
      </c>
      <c r="G40" s="268">
        <v>0</v>
      </c>
      <c r="H40" s="268">
        <v>66910646.329999983</v>
      </c>
      <c r="I40" s="268">
        <v>0</v>
      </c>
      <c r="J40" s="268">
        <v>0</v>
      </c>
      <c r="K40" s="268">
        <v>0</v>
      </c>
      <c r="L40" s="268">
        <v>4153566.59</v>
      </c>
      <c r="M40" s="268">
        <v>0</v>
      </c>
      <c r="N40" s="268">
        <v>-55107510.990000002</v>
      </c>
      <c r="O40" s="268">
        <v>0</v>
      </c>
      <c r="P40" s="268">
        <v>0</v>
      </c>
      <c r="Q40" s="268">
        <v>0</v>
      </c>
      <c r="R40" s="268">
        <v>0</v>
      </c>
      <c r="S40" s="268">
        <v>0</v>
      </c>
      <c r="T40" s="268">
        <v>350999.99</v>
      </c>
      <c r="U40" s="268">
        <f t="shared" si="0"/>
        <v>350999.99</v>
      </c>
      <c r="V40" s="268">
        <v>0</v>
      </c>
      <c r="W40" s="268">
        <v>5258766.55</v>
      </c>
      <c r="X40" s="268">
        <v>0</v>
      </c>
      <c r="Y40" s="268">
        <v>-1105199.96</v>
      </c>
      <c r="Z40" s="268">
        <v>0</v>
      </c>
      <c r="AA40" s="268">
        <v>0</v>
      </c>
      <c r="AB40" s="268">
        <v>0</v>
      </c>
      <c r="AC40" s="268">
        <v>0</v>
      </c>
      <c r="AD40" s="268">
        <v>0</v>
      </c>
      <c r="AE40" s="268">
        <v>0</v>
      </c>
      <c r="AF40" s="268">
        <v>0</v>
      </c>
      <c r="AG40" s="268">
        <v>0</v>
      </c>
      <c r="AH40" s="268">
        <v>0</v>
      </c>
      <c r="AI40" s="268">
        <v>0</v>
      </c>
      <c r="AJ40" s="268">
        <v>0</v>
      </c>
      <c r="AK40" s="268">
        <v>-1930301.31</v>
      </c>
      <c r="AL40" s="268">
        <v>-7432.99</v>
      </c>
      <c r="AM40" s="268">
        <v>-54220440.670000002</v>
      </c>
      <c r="AN40" s="268">
        <v>1050663.98</v>
      </c>
      <c r="AO40" s="268">
        <v>0</v>
      </c>
      <c r="AP40" s="268">
        <v>0</v>
      </c>
      <c r="AQ40" s="268">
        <v>0</v>
      </c>
      <c r="AR40" s="268">
        <v>0</v>
      </c>
      <c r="AS40" s="268">
        <v>350999.99</v>
      </c>
      <c r="AT40" s="268">
        <v>0</v>
      </c>
      <c r="AU40" s="268">
        <v>0</v>
      </c>
      <c r="AV40" s="268">
        <v>0</v>
      </c>
      <c r="AW40" s="268">
        <v>0</v>
      </c>
      <c r="AX40" s="268">
        <v>0</v>
      </c>
      <c r="AY40" s="268">
        <v>0</v>
      </c>
      <c r="AZ40" s="268">
        <v>0</v>
      </c>
      <c r="BA40" s="268">
        <v>0</v>
      </c>
      <c r="BB40" s="268">
        <v>0</v>
      </c>
      <c r="BC40" s="268">
        <v>0</v>
      </c>
      <c r="BD40" s="268">
        <v>0</v>
      </c>
      <c r="BE40" s="268">
        <v>0</v>
      </c>
      <c r="BF40" s="268">
        <v>0</v>
      </c>
      <c r="BG40" s="268">
        <v>0</v>
      </c>
      <c r="BH40" s="268">
        <v>0</v>
      </c>
      <c r="BI40" s="268">
        <v>0</v>
      </c>
      <c r="BJ40" s="268">
        <v>0</v>
      </c>
      <c r="BK40" s="268">
        <v>0</v>
      </c>
      <c r="BL40" s="268">
        <v>0</v>
      </c>
      <c r="BM40" s="268">
        <v>0</v>
      </c>
      <c r="BN40" s="268">
        <v>0</v>
      </c>
      <c r="BO40" s="268">
        <v>0</v>
      </c>
      <c r="BP40" s="268">
        <v>0</v>
      </c>
      <c r="BQ40" s="268">
        <v>0</v>
      </c>
      <c r="BR40" s="268">
        <v>0</v>
      </c>
      <c r="BS40" s="268">
        <v>0</v>
      </c>
      <c r="BT40" s="268">
        <v>0</v>
      </c>
      <c r="BU40" s="268">
        <v>0</v>
      </c>
      <c r="BV40" s="268">
        <v>0</v>
      </c>
      <c r="BW40" s="268">
        <v>0</v>
      </c>
      <c r="BX40" s="268">
        <v>0</v>
      </c>
      <c r="BY40" s="268">
        <v>0</v>
      </c>
      <c r="BZ40" s="268">
        <v>0</v>
      </c>
      <c r="CA40" s="268">
        <v>0</v>
      </c>
      <c r="CB40" s="268">
        <v>0</v>
      </c>
      <c r="CC40" s="268">
        <v>0</v>
      </c>
      <c r="CD40" s="268">
        <v>0</v>
      </c>
      <c r="CE40" s="268">
        <v>0</v>
      </c>
      <c r="CF40" s="268">
        <v>0</v>
      </c>
      <c r="CG40" s="268">
        <v>0</v>
      </c>
      <c r="CH40" s="268">
        <v>0</v>
      </c>
      <c r="CI40" s="268">
        <v>0</v>
      </c>
      <c r="CJ40" s="268">
        <v>0</v>
      </c>
      <c r="CK40" s="268">
        <v>0</v>
      </c>
      <c r="CL40" s="268">
        <v>0</v>
      </c>
      <c r="CM40" s="268">
        <v>0</v>
      </c>
      <c r="CN40" s="268">
        <v>0</v>
      </c>
      <c r="CO40" s="268">
        <v>0</v>
      </c>
      <c r="CP40" s="268">
        <v>0</v>
      </c>
      <c r="CQ40" s="268">
        <v>0</v>
      </c>
      <c r="CR40" s="268">
        <v>0</v>
      </c>
      <c r="CS40" s="268">
        <v>0</v>
      </c>
      <c r="CT40" s="268">
        <v>0</v>
      </c>
      <c r="CU40" s="268">
        <v>0</v>
      </c>
      <c r="CV40" s="268">
        <v>0</v>
      </c>
      <c r="CW40" s="268">
        <v>0</v>
      </c>
      <c r="CX40" s="268">
        <v>0</v>
      </c>
      <c r="CY40" s="268">
        <v>0</v>
      </c>
      <c r="CZ40" s="268">
        <v>0</v>
      </c>
      <c r="DA40" s="268">
        <v>0</v>
      </c>
      <c r="DB40" s="268">
        <v>0</v>
      </c>
      <c r="DC40" s="268">
        <v>0</v>
      </c>
      <c r="DD40" s="268">
        <v>0</v>
      </c>
      <c r="DE40" s="268">
        <v>0</v>
      </c>
      <c r="DF40" s="268">
        <v>0</v>
      </c>
      <c r="DG40" s="268">
        <v>0</v>
      </c>
      <c r="DH40" s="268">
        <v>0</v>
      </c>
      <c r="DI40" s="268">
        <v>0</v>
      </c>
      <c r="DJ40" s="268">
        <v>0</v>
      </c>
      <c r="DK40" s="268">
        <v>0</v>
      </c>
      <c r="DL40" s="268">
        <v>0</v>
      </c>
      <c r="DM40" s="268">
        <v>0</v>
      </c>
    </row>
    <row r="41" spans="1:117">
      <c r="A41" s="259" t="s">
        <v>516</v>
      </c>
      <c r="B41" s="262">
        <v>-3000</v>
      </c>
      <c r="C41" s="262">
        <v>0</v>
      </c>
      <c r="D41" s="262">
        <v>0</v>
      </c>
      <c r="E41" s="262">
        <v>-3000</v>
      </c>
      <c r="F41" s="262">
        <v>0</v>
      </c>
      <c r="G41" s="262">
        <v>0</v>
      </c>
      <c r="H41" s="262"/>
      <c r="I41" s="262"/>
      <c r="J41" s="262"/>
      <c r="K41" s="262"/>
      <c r="L41" s="262">
        <v>0</v>
      </c>
      <c r="M41" s="262"/>
      <c r="N41" s="262">
        <v>0</v>
      </c>
      <c r="O41" s="262"/>
      <c r="P41" s="262"/>
      <c r="Q41" s="262"/>
      <c r="R41" s="262"/>
      <c r="S41" s="262"/>
      <c r="T41" s="262">
        <v>0</v>
      </c>
      <c r="U41" s="262">
        <f t="shared" si="0"/>
        <v>0</v>
      </c>
      <c r="V41" s="262"/>
      <c r="W41" s="262">
        <v>0</v>
      </c>
      <c r="X41" s="262"/>
      <c r="Y41" s="262">
        <v>0</v>
      </c>
      <c r="Z41" s="262"/>
      <c r="AA41" s="262"/>
      <c r="AB41" s="262"/>
      <c r="AC41" s="262"/>
      <c r="AD41" s="262"/>
      <c r="AE41" s="262"/>
      <c r="AF41" s="262"/>
      <c r="AG41" s="262"/>
      <c r="AH41" s="262">
        <v>0</v>
      </c>
      <c r="AI41" s="262">
        <v>0</v>
      </c>
      <c r="AJ41" s="262">
        <v>0</v>
      </c>
      <c r="AK41" s="262">
        <v>0</v>
      </c>
      <c r="AL41" s="262">
        <v>0</v>
      </c>
      <c r="AM41" s="262">
        <v>0</v>
      </c>
      <c r="AN41" s="262">
        <v>0</v>
      </c>
      <c r="AO41" s="262"/>
      <c r="AP41" s="262">
        <v>0</v>
      </c>
      <c r="AQ41" s="262"/>
      <c r="AR41" s="262"/>
      <c r="AS41" s="262">
        <v>0</v>
      </c>
      <c r="AT41" s="262">
        <v>0</v>
      </c>
      <c r="AU41" s="262"/>
      <c r="AV41" s="262"/>
      <c r="AW41" s="262"/>
      <c r="AX41" s="262"/>
      <c r="AY41" s="262"/>
      <c r="AZ41" s="262"/>
      <c r="BA41" s="262"/>
      <c r="BB41" s="262"/>
      <c r="BC41" s="262"/>
      <c r="BD41" s="262"/>
      <c r="BE41" s="262"/>
      <c r="BF41" s="262"/>
      <c r="BG41" s="262"/>
      <c r="BH41" s="262"/>
      <c r="BI41" s="262"/>
      <c r="BJ41" s="262"/>
      <c r="BK41" s="262"/>
      <c r="BL41" s="262"/>
      <c r="BM41" s="262"/>
      <c r="BN41" s="262"/>
      <c r="BO41" s="262"/>
      <c r="BP41" s="262"/>
      <c r="BQ41" s="262"/>
      <c r="BR41" s="262"/>
      <c r="BS41" s="262"/>
      <c r="BT41" s="262"/>
      <c r="BU41" s="262"/>
      <c r="BV41" s="262"/>
      <c r="BW41" s="262"/>
      <c r="BX41" s="262"/>
      <c r="BY41" s="262"/>
      <c r="BZ41" s="262"/>
      <c r="CA41" s="262"/>
      <c r="CB41" s="262"/>
      <c r="CC41" s="262"/>
      <c r="CD41" s="262"/>
      <c r="CE41" s="262"/>
      <c r="CF41" s="262"/>
      <c r="CG41" s="262"/>
      <c r="CH41" s="262"/>
      <c r="CI41" s="262"/>
      <c r="CJ41" s="262"/>
      <c r="CK41" s="262"/>
      <c r="CL41" s="262"/>
      <c r="CM41" s="262"/>
      <c r="CN41" s="262"/>
      <c r="CO41" s="262"/>
      <c r="CP41" s="262"/>
      <c r="CQ41" s="262"/>
      <c r="CR41" s="262"/>
      <c r="CS41" s="262"/>
      <c r="CT41" s="262"/>
      <c r="CU41" s="262"/>
      <c r="CV41" s="262"/>
      <c r="CW41" s="262"/>
      <c r="CX41" s="262"/>
      <c r="CY41" s="262"/>
      <c r="CZ41" s="262"/>
      <c r="DA41" s="262"/>
      <c r="DB41" s="262"/>
      <c r="DC41" s="262"/>
      <c r="DD41" s="262"/>
      <c r="DE41" s="262"/>
      <c r="DF41" s="262"/>
      <c r="DG41" s="262"/>
      <c r="DH41" s="262"/>
      <c r="DI41" s="262"/>
      <c r="DJ41" s="262"/>
      <c r="DK41" s="262"/>
      <c r="DL41" s="262"/>
      <c r="DM41" s="262"/>
    </row>
    <row r="42" spans="1:117">
      <c r="A42" s="259" t="s">
        <v>517</v>
      </c>
      <c r="B42" s="262">
        <v>14884583.779999994</v>
      </c>
      <c r="C42" s="262">
        <v>-50602944.409999996</v>
      </c>
      <c r="D42" s="262">
        <v>-444385.23</v>
      </c>
      <c r="E42" s="262">
        <v>-978732.91</v>
      </c>
      <c r="F42" s="262">
        <v>0</v>
      </c>
      <c r="G42" s="262">
        <v>0</v>
      </c>
      <c r="H42" s="265">
        <v>66910646.329999983</v>
      </c>
      <c r="I42" s="262"/>
      <c r="J42" s="262"/>
      <c r="K42" s="262"/>
      <c r="L42" s="262">
        <v>4153566.59</v>
      </c>
      <c r="M42" s="262"/>
      <c r="N42" s="262">
        <v>-55107510.990000002</v>
      </c>
      <c r="O42" s="262"/>
      <c r="P42" s="262"/>
      <c r="Q42" s="262"/>
      <c r="R42" s="262"/>
      <c r="S42" s="262"/>
      <c r="T42" s="262">
        <v>350999.99</v>
      </c>
      <c r="U42" s="262">
        <f t="shared" si="0"/>
        <v>350999.99</v>
      </c>
      <c r="V42" s="262"/>
      <c r="W42" s="262">
        <v>5258766.55</v>
      </c>
      <c r="X42" s="262"/>
      <c r="Y42" s="262">
        <v>-1105199.96</v>
      </c>
      <c r="Z42" s="262"/>
      <c r="AA42" s="262"/>
      <c r="AB42" s="262"/>
      <c r="AC42" s="262"/>
      <c r="AD42" s="262"/>
      <c r="AE42" s="262"/>
      <c r="AF42" s="262"/>
      <c r="AG42" s="262"/>
      <c r="AH42" s="262"/>
      <c r="AI42" s="262"/>
      <c r="AJ42" s="262"/>
      <c r="AK42" s="262">
        <v>-1930301.31</v>
      </c>
      <c r="AL42" s="262">
        <v>-7432.99</v>
      </c>
      <c r="AM42" s="262">
        <v>-54220440.670000002</v>
      </c>
      <c r="AN42" s="262">
        <v>1050663.98</v>
      </c>
      <c r="AO42" s="262"/>
      <c r="AP42" s="262">
        <v>0</v>
      </c>
      <c r="AQ42" s="262"/>
      <c r="AR42" s="262"/>
      <c r="AS42" s="262">
        <v>350999.99</v>
      </c>
      <c r="AT42" s="262">
        <v>0</v>
      </c>
      <c r="AU42" s="262"/>
      <c r="AV42" s="262"/>
      <c r="AW42" s="262"/>
      <c r="AX42" s="262"/>
      <c r="AY42" s="262"/>
      <c r="AZ42" s="262"/>
      <c r="BA42" s="262"/>
      <c r="BB42" s="262"/>
      <c r="BC42" s="262"/>
      <c r="BD42" s="262"/>
      <c r="BE42" s="262"/>
      <c r="BF42" s="262"/>
      <c r="BG42" s="262"/>
      <c r="BH42" s="262"/>
      <c r="BI42" s="262"/>
      <c r="BJ42" s="262"/>
      <c r="BK42" s="262"/>
      <c r="BL42" s="262"/>
      <c r="BM42" s="262"/>
      <c r="BN42" s="262"/>
      <c r="BO42" s="262"/>
      <c r="BP42" s="262"/>
      <c r="BQ42" s="262"/>
      <c r="BR42" s="262"/>
      <c r="BS42" s="262"/>
      <c r="BT42" s="262"/>
      <c r="BU42" s="262"/>
      <c r="BV42" s="262"/>
      <c r="BW42" s="262"/>
      <c r="BX42" s="262"/>
      <c r="BY42" s="262"/>
      <c r="BZ42" s="262"/>
      <c r="CA42" s="262"/>
      <c r="CB42" s="262"/>
      <c r="CC42" s="262"/>
      <c r="CD42" s="262"/>
      <c r="CE42" s="262"/>
      <c r="CF42" s="262"/>
      <c r="CG42" s="262"/>
      <c r="CH42" s="262"/>
      <c r="CI42" s="262"/>
      <c r="CJ42" s="262"/>
      <c r="CK42" s="262"/>
      <c r="CL42" s="262"/>
      <c r="CM42" s="262"/>
      <c r="CN42" s="262"/>
      <c r="CO42" s="262"/>
      <c r="CP42" s="262"/>
      <c r="CQ42" s="262"/>
      <c r="CR42" s="262"/>
      <c r="CS42" s="262"/>
      <c r="CT42" s="262"/>
      <c r="CU42" s="262"/>
      <c r="CV42" s="262"/>
      <c r="CW42" s="262"/>
      <c r="CX42" s="262"/>
      <c r="CY42" s="262"/>
      <c r="CZ42" s="262"/>
      <c r="DA42" s="262"/>
      <c r="DB42" s="262"/>
      <c r="DC42" s="262"/>
      <c r="DD42" s="262"/>
      <c r="DE42" s="262"/>
      <c r="DF42" s="262"/>
      <c r="DG42" s="262"/>
      <c r="DH42" s="262"/>
      <c r="DI42" s="262"/>
      <c r="DJ42" s="262"/>
      <c r="DK42" s="262"/>
      <c r="DL42" s="262"/>
      <c r="DM42" s="262"/>
    </row>
    <row r="43" spans="1:117">
      <c r="A43" s="259" t="s">
        <v>518</v>
      </c>
      <c r="B43" s="262">
        <v>0</v>
      </c>
      <c r="C43" s="262"/>
      <c r="D43" s="262">
        <v>0</v>
      </c>
      <c r="E43" s="262">
        <v>0</v>
      </c>
      <c r="F43" s="262">
        <v>0</v>
      </c>
      <c r="G43" s="262">
        <v>0</v>
      </c>
      <c r="H43" s="262"/>
      <c r="I43" s="262"/>
      <c r="J43" s="262"/>
      <c r="K43" s="262"/>
      <c r="L43" s="262"/>
      <c r="M43" s="262"/>
      <c r="N43" s="262"/>
      <c r="O43" s="262"/>
      <c r="P43" s="262"/>
      <c r="Q43" s="262"/>
      <c r="R43" s="262"/>
      <c r="S43" s="262"/>
      <c r="T43" s="262"/>
      <c r="U43" s="262">
        <f t="shared" si="0"/>
        <v>0</v>
      </c>
      <c r="V43" s="262"/>
      <c r="W43" s="262"/>
      <c r="X43" s="262"/>
      <c r="Y43" s="262"/>
      <c r="Z43" s="262"/>
      <c r="AA43" s="262"/>
      <c r="AB43" s="262"/>
      <c r="AC43" s="262"/>
      <c r="AD43" s="262"/>
      <c r="AE43" s="262"/>
      <c r="AF43" s="262"/>
      <c r="AG43" s="262"/>
      <c r="AH43" s="262"/>
      <c r="AI43" s="262"/>
      <c r="AJ43" s="262"/>
      <c r="AK43" s="262"/>
      <c r="AL43" s="262"/>
      <c r="AM43" s="262"/>
      <c r="AN43" s="262"/>
      <c r="AO43" s="262"/>
      <c r="AP43" s="262">
        <v>0</v>
      </c>
      <c r="AQ43" s="262"/>
      <c r="AR43" s="262"/>
      <c r="AS43" s="262"/>
      <c r="AT43" s="262">
        <v>0</v>
      </c>
      <c r="AU43" s="262"/>
      <c r="AV43" s="262"/>
      <c r="AW43" s="262"/>
      <c r="AX43" s="262"/>
      <c r="AY43" s="262"/>
      <c r="AZ43" s="262"/>
      <c r="BA43" s="262"/>
      <c r="BB43" s="262"/>
      <c r="BC43" s="262"/>
      <c r="BD43" s="262"/>
      <c r="BE43" s="262"/>
      <c r="BF43" s="262"/>
      <c r="BG43" s="262"/>
      <c r="BH43" s="262"/>
      <c r="BI43" s="262"/>
      <c r="BJ43" s="262"/>
      <c r="BK43" s="262"/>
      <c r="BL43" s="262"/>
      <c r="BM43" s="262"/>
      <c r="BN43" s="262"/>
      <c r="BO43" s="262"/>
      <c r="BP43" s="262"/>
      <c r="BQ43" s="262"/>
      <c r="BR43" s="262"/>
      <c r="BS43" s="262"/>
      <c r="BT43" s="262"/>
      <c r="BU43" s="262"/>
      <c r="BV43" s="262"/>
      <c r="BW43" s="262"/>
      <c r="BX43" s="262"/>
      <c r="BY43" s="262"/>
      <c r="BZ43" s="262"/>
      <c r="CA43" s="262"/>
      <c r="CB43" s="262"/>
      <c r="CC43" s="262"/>
      <c r="CD43" s="262"/>
      <c r="CE43" s="262"/>
      <c r="CF43" s="262"/>
      <c r="CG43" s="262"/>
      <c r="CH43" s="262"/>
      <c r="CI43" s="262"/>
      <c r="CJ43" s="262"/>
      <c r="CK43" s="262"/>
      <c r="CL43" s="262"/>
      <c r="CM43" s="262"/>
      <c r="CN43" s="262"/>
      <c r="CO43" s="262"/>
      <c r="CP43" s="262"/>
      <c r="CQ43" s="262"/>
      <c r="CR43" s="262"/>
      <c r="CS43" s="262"/>
      <c r="CT43" s="262"/>
      <c r="CU43" s="262"/>
      <c r="CV43" s="262"/>
      <c r="CW43" s="262"/>
      <c r="CX43" s="262"/>
      <c r="CY43" s="262"/>
      <c r="CZ43" s="262"/>
      <c r="DA43" s="262"/>
      <c r="DB43" s="262"/>
      <c r="DC43" s="262"/>
      <c r="DD43" s="262"/>
      <c r="DE43" s="262"/>
      <c r="DF43" s="262"/>
      <c r="DG43" s="262"/>
      <c r="DH43" s="262"/>
      <c r="DI43" s="262"/>
      <c r="DJ43" s="262"/>
      <c r="DK43" s="262"/>
      <c r="DL43" s="262"/>
      <c r="DM43" s="262"/>
    </row>
    <row r="44" spans="1:117">
      <c r="A44" s="259" t="s">
        <v>519</v>
      </c>
      <c r="B44" s="262">
        <v>0</v>
      </c>
      <c r="C44" s="262"/>
      <c r="D44" s="262">
        <v>0</v>
      </c>
      <c r="E44" s="262">
        <v>0</v>
      </c>
      <c r="F44" s="262">
        <v>0</v>
      </c>
      <c r="G44" s="262">
        <v>0</v>
      </c>
      <c r="H44" s="262"/>
      <c r="I44" s="262"/>
      <c r="J44" s="262"/>
      <c r="K44" s="262"/>
      <c r="L44" s="262"/>
      <c r="M44" s="262"/>
      <c r="N44" s="262"/>
      <c r="O44" s="262"/>
      <c r="P44" s="262"/>
      <c r="Q44" s="262"/>
      <c r="R44" s="262"/>
      <c r="S44" s="262"/>
      <c r="T44" s="262"/>
      <c r="U44" s="262">
        <f t="shared" si="0"/>
        <v>0</v>
      </c>
      <c r="V44" s="262"/>
      <c r="W44" s="262"/>
      <c r="X44" s="262"/>
      <c r="Y44" s="262"/>
      <c r="Z44" s="262"/>
      <c r="AA44" s="262"/>
      <c r="AB44" s="262"/>
      <c r="AC44" s="262"/>
      <c r="AD44" s="262"/>
      <c r="AE44" s="262"/>
      <c r="AF44" s="262"/>
      <c r="AG44" s="262"/>
      <c r="AH44" s="262"/>
      <c r="AI44" s="262"/>
      <c r="AJ44" s="262"/>
      <c r="AK44" s="262"/>
      <c r="AL44" s="262"/>
      <c r="AM44" s="262"/>
      <c r="AN44" s="262"/>
      <c r="AO44" s="262"/>
      <c r="AP44" s="262">
        <v>0</v>
      </c>
      <c r="AQ44" s="262"/>
      <c r="AR44" s="262"/>
      <c r="AS44" s="262"/>
      <c r="AT44" s="262">
        <v>0</v>
      </c>
      <c r="AU44" s="262"/>
      <c r="AV44" s="262"/>
      <c r="AW44" s="262"/>
      <c r="AX44" s="262"/>
      <c r="AY44" s="262"/>
      <c r="AZ44" s="262"/>
      <c r="BA44" s="262"/>
      <c r="BB44" s="262"/>
      <c r="BC44" s="262"/>
      <c r="BD44" s="262"/>
      <c r="BE44" s="262"/>
      <c r="BF44" s="262"/>
      <c r="BG44" s="262"/>
      <c r="BH44" s="262"/>
      <c r="BI44" s="262"/>
      <c r="BJ44" s="262"/>
      <c r="BK44" s="262"/>
      <c r="BL44" s="262"/>
      <c r="BM44" s="262"/>
      <c r="BN44" s="262"/>
      <c r="BO44" s="262"/>
      <c r="BP44" s="262"/>
      <c r="BQ44" s="262"/>
      <c r="BR44" s="262"/>
      <c r="BS44" s="262"/>
      <c r="BT44" s="262"/>
      <c r="BU44" s="262"/>
      <c r="BV44" s="262"/>
      <c r="BW44" s="262"/>
      <c r="BX44" s="262"/>
      <c r="BY44" s="262"/>
      <c r="BZ44" s="262"/>
      <c r="CA44" s="262"/>
      <c r="CB44" s="262"/>
      <c r="CC44" s="262"/>
      <c r="CD44" s="262"/>
      <c r="CE44" s="262"/>
      <c r="CF44" s="262"/>
      <c r="CG44" s="262"/>
      <c r="CH44" s="262"/>
      <c r="CI44" s="262"/>
      <c r="CJ44" s="262"/>
      <c r="CK44" s="262"/>
      <c r="CL44" s="262"/>
      <c r="CM44" s="262"/>
      <c r="CN44" s="262"/>
      <c r="CO44" s="262"/>
      <c r="CP44" s="262"/>
      <c r="CQ44" s="262"/>
      <c r="CR44" s="262"/>
      <c r="CS44" s="262"/>
      <c r="CT44" s="262"/>
      <c r="CU44" s="262"/>
      <c r="CV44" s="262"/>
      <c r="CW44" s="262"/>
      <c r="CX44" s="262"/>
      <c r="CY44" s="262"/>
      <c r="CZ44" s="262"/>
      <c r="DA44" s="262"/>
      <c r="DB44" s="262"/>
      <c r="DC44" s="262"/>
      <c r="DD44" s="262"/>
      <c r="DE44" s="262"/>
      <c r="DF44" s="262"/>
      <c r="DG44" s="262"/>
      <c r="DH44" s="262"/>
      <c r="DI44" s="262"/>
      <c r="DJ44" s="262"/>
      <c r="DK44" s="262"/>
      <c r="DL44" s="262"/>
      <c r="DM44" s="262"/>
    </row>
    <row r="45" spans="1:117">
      <c r="A45" s="259" t="s">
        <v>520</v>
      </c>
      <c r="B45" s="262">
        <v>0</v>
      </c>
      <c r="C45" s="262"/>
      <c r="D45" s="262">
        <v>0</v>
      </c>
      <c r="E45" s="262">
        <v>0</v>
      </c>
      <c r="F45" s="262">
        <v>0</v>
      </c>
      <c r="G45" s="262"/>
      <c r="H45" s="262"/>
      <c r="I45" s="262"/>
      <c r="J45" s="262"/>
      <c r="K45" s="262"/>
      <c r="L45" s="262"/>
      <c r="M45" s="262"/>
      <c r="N45" s="262"/>
      <c r="O45" s="262"/>
      <c r="P45" s="262"/>
      <c r="Q45" s="262"/>
      <c r="R45" s="262"/>
      <c r="S45" s="262"/>
      <c r="T45" s="262"/>
      <c r="U45" s="262">
        <f t="shared" si="0"/>
        <v>0</v>
      </c>
      <c r="V45" s="262"/>
      <c r="W45" s="262"/>
      <c r="X45" s="262"/>
      <c r="Y45" s="262"/>
      <c r="Z45" s="262"/>
      <c r="AA45" s="262"/>
      <c r="AB45" s="262"/>
      <c r="AC45" s="262"/>
      <c r="AD45" s="262"/>
      <c r="AE45" s="262"/>
      <c r="AF45" s="262"/>
      <c r="AG45" s="262"/>
      <c r="AH45" s="262"/>
      <c r="AI45" s="262"/>
      <c r="AJ45" s="262"/>
      <c r="AK45" s="262"/>
      <c r="AL45" s="262"/>
      <c r="AM45" s="262"/>
      <c r="AN45" s="262"/>
      <c r="AO45" s="262"/>
      <c r="AP45" s="262">
        <v>0</v>
      </c>
      <c r="AQ45" s="262"/>
      <c r="AR45" s="262"/>
      <c r="AS45" s="262"/>
      <c r="AT45" s="262">
        <v>0</v>
      </c>
      <c r="AU45" s="262"/>
      <c r="AV45" s="262"/>
      <c r="AW45" s="262"/>
      <c r="AX45" s="262"/>
      <c r="AY45" s="262"/>
      <c r="AZ45" s="262"/>
      <c r="BA45" s="262"/>
      <c r="BB45" s="262"/>
      <c r="BC45" s="262"/>
      <c r="BD45" s="262"/>
      <c r="BE45" s="262"/>
      <c r="BF45" s="262"/>
      <c r="BG45" s="262"/>
      <c r="BH45" s="262"/>
      <c r="BI45" s="262"/>
      <c r="BJ45" s="262"/>
      <c r="BK45" s="262"/>
      <c r="BL45" s="262"/>
      <c r="BM45" s="262"/>
      <c r="BN45" s="262"/>
      <c r="BO45" s="262"/>
      <c r="BP45" s="262"/>
      <c r="BQ45" s="262"/>
      <c r="BR45" s="262"/>
      <c r="BS45" s="262"/>
      <c r="BT45" s="262"/>
      <c r="BU45" s="262"/>
      <c r="BV45" s="262"/>
      <c r="BW45" s="262"/>
      <c r="BX45" s="262"/>
      <c r="BY45" s="262"/>
      <c r="BZ45" s="262"/>
      <c r="CA45" s="262"/>
      <c r="CB45" s="262"/>
      <c r="CC45" s="262"/>
      <c r="CD45" s="262"/>
      <c r="CE45" s="262"/>
      <c r="CF45" s="262"/>
      <c r="CG45" s="262"/>
      <c r="CH45" s="262"/>
      <c r="CI45" s="262"/>
      <c r="CJ45" s="262"/>
      <c r="CK45" s="262"/>
      <c r="CL45" s="262"/>
      <c r="CM45" s="262"/>
      <c r="CN45" s="262"/>
      <c r="CO45" s="262"/>
      <c r="CP45" s="262"/>
      <c r="CQ45" s="262"/>
      <c r="CR45" s="262"/>
      <c r="CS45" s="262"/>
      <c r="CT45" s="262"/>
      <c r="CU45" s="262"/>
      <c r="CV45" s="262"/>
      <c r="CW45" s="262"/>
      <c r="CX45" s="262"/>
      <c r="CY45" s="262"/>
      <c r="CZ45" s="262"/>
      <c r="DA45" s="262"/>
      <c r="DB45" s="262"/>
      <c r="DC45" s="262"/>
      <c r="DD45" s="262"/>
      <c r="DE45" s="262"/>
      <c r="DF45" s="262"/>
      <c r="DG45" s="262"/>
      <c r="DH45" s="262"/>
      <c r="DI45" s="262"/>
      <c r="DJ45" s="262"/>
      <c r="DK45" s="262"/>
      <c r="DL45" s="262"/>
      <c r="DM45" s="262"/>
    </row>
    <row r="46" spans="1:117">
      <c r="A46" s="259" t="s">
        <v>521</v>
      </c>
      <c r="B46" s="262">
        <v>0</v>
      </c>
      <c r="C46" s="262"/>
      <c r="D46" s="262">
        <v>0</v>
      </c>
      <c r="E46" s="262">
        <v>0</v>
      </c>
      <c r="F46" s="262">
        <v>0</v>
      </c>
      <c r="G46" s="262"/>
      <c r="H46" s="262"/>
      <c r="I46" s="262"/>
      <c r="J46" s="262"/>
      <c r="K46" s="262"/>
      <c r="L46" s="262"/>
      <c r="M46" s="262"/>
      <c r="N46" s="262"/>
      <c r="O46" s="262"/>
      <c r="P46" s="262"/>
      <c r="Q46" s="262"/>
      <c r="R46" s="262"/>
      <c r="S46" s="262"/>
      <c r="T46" s="262"/>
      <c r="U46" s="262">
        <f t="shared" si="0"/>
        <v>0</v>
      </c>
      <c r="V46" s="262"/>
      <c r="W46" s="262"/>
      <c r="X46" s="262"/>
      <c r="Y46" s="262"/>
      <c r="Z46" s="262"/>
      <c r="AA46" s="262"/>
      <c r="AB46" s="262"/>
      <c r="AC46" s="262"/>
      <c r="AD46" s="262"/>
      <c r="AE46" s="262"/>
      <c r="AF46" s="262"/>
      <c r="AG46" s="262"/>
      <c r="AH46" s="262"/>
      <c r="AI46" s="262"/>
      <c r="AJ46" s="262"/>
      <c r="AK46" s="262"/>
      <c r="AL46" s="262"/>
      <c r="AM46" s="262"/>
      <c r="AN46" s="262"/>
      <c r="AO46" s="262"/>
      <c r="AP46" s="262">
        <v>0</v>
      </c>
      <c r="AQ46" s="262"/>
      <c r="AR46" s="262"/>
      <c r="AS46" s="262"/>
      <c r="AT46" s="262">
        <v>0</v>
      </c>
      <c r="AU46" s="262"/>
      <c r="AV46" s="262">
        <v>0</v>
      </c>
      <c r="AW46" s="262">
        <v>0</v>
      </c>
      <c r="AX46" s="262">
        <v>0</v>
      </c>
      <c r="AY46" s="262">
        <v>0</v>
      </c>
      <c r="AZ46" s="262">
        <v>0</v>
      </c>
      <c r="BA46" s="262">
        <v>0</v>
      </c>
      <c r="BB46" s="262">
        <v>0</v>
      </c>
      <c r="BC46" s="262">
        <v>0</v>
      </c>
      <c r="BD46" s="262">
        <v>0</v>
      </c>
      <c r="BE46" s="262">
        <v>0</v>
      </c>
      <c r="BF46" s="262">
        <v>0</v>
      </c>
      <c r="BG46" s="262">
        <v>0</v>
      </c>
      <c r="BH46" s="262">
        <v>0</v>
      </c>
      <c r="BI46" s="262">
        <v>0</v>
      </c>
      <c r="BJ46" s="262">
        <v>0</v>
      </c>
      <c r="BK46" s="262">
        <v>0</v>
      </c>
      <c r="BL46" s="262">
        <v>0</v>
      </c>
      <c r="BM46" s="262">
        <v>0</v>
      </c>
      <c r="BN46" s="262">
        <v>0</v>
      </c>
      <c r="BO46" s="262">
        <v>0</v>
      </c>
      <c r="BP46" s="262">
        <v>0</v>
      </c>
      <c r="BQ46" s="262">
        <v>0</v>
      </c>
      <c r="BR46" s="262">
        <v>0</v>
      </c>
      <c r="BS46" s="262">
        <v>0</v>
      </c>
      <c r="BT46" s="262">
        <v>0</v>
      </c>
      <c r="BU46" s="262">
        <v>0</v>
      </c>
      <c r="BV46" s="262">
        <v>0</v>
      </c>
      <c r="BW46" s="262">
        <v>0</v>
      </c>
      <c r="BX46" s="262">
        <v>0</v>
      </c>
      <c r="BY46" s="262">
        <v>0</v>
      </c>
      <c r="BZ46" s="262">
        <v>0</v>
      </c>
      <c r="CA46" s="262">
        <v>0</v>
      </c>
      <c r="CB46" s="262">
        <v>0</v>
      </c>
      <c r="CC46" s="262">
        <v>0</v>
      </c>
      <c r="CD46" s="262">
        <v>0</v>
      </c>
      <c r="CE46" s="262">
        <v>0</v>
      </c>
      <c r="CF46" s="262">
        <v>0</v>
      </c>
      <c r="CG46" s="262">
        <v>0</v>
      </c>
      <c r="CH46" s="262">
        <v>0</v>
      </c>
      <c r="CI46" s="262">
        <v>0</v>
      </c>
      <c r="CJ46" s="262">
        <v>0</v>
      </c>
      <c r="CK46" s="262">
        <v>0</v>
      </c>
      <c r="CL46" s="262">
        <v>0</v>
      </c>
      <c r="CM46" s="262">
        <v>0</v>
      </c>
      <c r="CN46" s="262">
        <v>0</v>
      </c>
      <c r="CO46" s="262">
        <v>0</v>
      </c>
      <c r="CP46" s="262">
        <v>0</v>
      </c>
      <c r="CQ46" s="262">
        <v>0</v>
      </c>
      <c r="CR46" s="262">
        <v>0</v>
      </c>
      <c r="CS46" s="262">
        <v>0</v>
      </c>
      <c r="CT46" s="262">
        <v>0</v>
      </c>
      <c r="CU46" s="262">
        <v>0</v>
      </c>
      <c r="CV46" s="262">
        <v>0</v>
      </c>
      <c r="CW46" s="262">
        <v>0</v>
      </c>
      <c r="CX46" s="262">
        <v>0</v>
      </c>
      <c r="CY46" s="262">
        <v>0</v>
      </c>
      <c r="CZ46" s="262">
        <v>0</v>
      </c>
      <c r="DA46" s="262">
        <v>0</v>
      </c>
      <c r="DB46" s="262">
        <v>0</v>
      </c>
      <c r="DC46" s="262">
        <v>0</v>
      </c>
      <c r="DD46" s="262">
        <v>0</v>
      </c>
      <c r="DE46" s="262">
        <v>0</v>
      </c>
      <c r="DF46" s="262">
        <v>0</v>
      </c>
      <c r="DG46" s="262">
        <v>0</v>
      </c>
      <c r="DH46" s="262">
        <v>0</v>
      </c>
      <c r="DI46" s="262">
        <v>0</v>
      </c>
      <c r="DJ46" s="262"/>
      <c r="DK46" s="262"/>
      <c r="DL46" s="262"/>
      <c r="DM46" s="262"/>
    </row>
    <row r="47" spans="1:117">
      <c r="A47" s="259" t="s">
        <v>522</v>
      </c>
      <c r="B47" s="262">
        <v>0</v>
      </c>
      <c r="C47" s="262"/>
      <c r="D47" s="262">
        <v>0</v>
      </c>
      <c r="E47" s="262">
        <v>0</v>
      </c>
      <c r="F47" s="262">
        <v>0</v>
      </c>
      <c r="G47" s="262">
        <v>0</v>
      </c>
      <c r="H47" s="262">
        <v>0</v>
      </c>
      <c r="I47" s="262">
        <v>0</v>
      </c>
      <c r="J47" s="262"/>
      <c r="K47" s="262"/>
      <c r="L47" s="262"/>
      <c r="M47" s="262"/>
      <c r="N47" s="262"/>
      <c r="O47" s="262"/>
      <c r="P47" s="262"/>
      <c r="Q47" s="262"/>
      <c r="R47" s="262"/>
      <c r="S47" s="262"/>
      <c r="T47" s="262"/>
      <c r="U47" s="262">
        <f t="shared" si="0"/>
        <v>0</v>
      </c>
      <c r="V47" s="262"/>
      <c r="W47" s="262"/>
      <c r="X47" s="262"/>
      <c r="Y47" s="262"/>
      <c r="Z47" s="262"/>
      <c r="AA47" s="262"/>
      <c r="AB47" s="262"/>
      <c r="AC47" s="262"/>
      <c r="AD47" s="262"/>
      <c r="AE47" s="262"/>
      <c r="AF47" s="262"/>
      <c r="AG47" s="262"/>
      <c r="AH47" s="262"/>
      <c r="AI47" s="262"/>
      <c r="AJ47" s="262"/>
      <c r="AK47" s="262"/>
      <c r="AL47" s="262"/>
      <c r="AM47" s="262"/>
      <c r="AN47" s="262"/>
      <c r="AO47" s="262">
        <v>0</v>
      </c>
      <c r="AP47" s="262">
        <v>0</v>
      </c>
      <c r="AQ47" s="262"/>
      <c r="AR47" s="262"/>
      <c r="AS47" s="262"/>
      <c r="AT47" s="262">
        <v>0</v>
      </c>
      <c r="AU47" s="262"/>
      <c r="AV47" s="262">
        <v>0</v>
      </c>
      <c r="AW47" s="262">
        <v>0</v>
      </c>
      <c r="AX47" s="262">
        <v>0</v>
      </c>
      <c r="AY47" s="262">
        <v>0</v>
      </c>
      <c r="AZ47" s="262">
        <v>0</v>
      </c>
      <c r="BA47" s="262">
        <v>0</v>
      </c>
      <c r="BB47" s="262">
        <v>0</v>
      </c>
      <c r="BC47" s="262">
        <v>0</v>
      </c>
      <c r="BD47" s="262">
        <v>0</v>
      </c>
      <c r="BE47" s="262">
        <v>0</v>
      </c>
      <c r="BF47" s="262">
        <v>0</v>
      </c>
      <c r="BG47" s="262">
        <v>0</v>
      </c>
      <c r="BH47" s="262">
        <v>0</v>
      </c>
      <c r="BI47" s="262">
        <v>0</v>
      </c>
      <c r="BJ47" s="262">
        <v>0</v>
      </c>
      <c r="BK47" s="262">
        <v>0</v>
      </c>
      <c r="BL47" s="262">
        <v>0</v>
      </c>
      <c r="BM47" s="262">
        <v>0</v>
      </c>
      <c r="BN47" s="262">
        <v>0</v>
      </c>
      <c r="BO47" s="262">
        <v>0</v>
      </c>
      <c r="BP47" s="262">
        <v>0</v>
      </c>
      <c r="BQ47" s="262">
        <v>0</v>
      </c>
      <c r="BR47" s="262">
        <v>0</v>
      </c>
      <c r="BS47" s="262">
        <v>0</v>
      </c>
      <c r="BT47" s="262">
        <v>0</v>
      </c>
      <c r="BU47" s="262">
        <v>0</v>
      </c>
      <c r="BV47" s="262">
        <v>0</v>
      </c>
      <c r="BW47" s="262">
        <v>0</v>
      </c>
      <c r="BX47" s="262">
        <v>0</v>
      </c>
      <c r="BY47" s="262">
        <v>0</v>
      </c>
      <c r="BZ47" s="262">
        <v>0</v>
      </c>
      <c r="CA47" s="262">
        <v>0</v>
      </c>
      <c r="CB47" s="262">
        <v>0</v>
      </c>
      <c r="CC47" s="262">
        <v>0</v>
      </c>
      <c r="CD47" s="262">
        <v>0</v>
      </c>
      <c r="CE47" s="262">
        <v>0</v>
      </c>
      <c r="CF47" s="262">
        <v>0</v>
      </c>
      <c r="CG47" s="262">
        <v>0</v>
      </c>
      <c r="CH47" s="262">
        <v>0</v>
      </c>
      <c r="CI47" s="262">
        <v>0</v>
      </c>
      <c r="CJ47" s="262">
        <v>0</v>
      </c>
      <c r="CK47" s="262">
        <v>0</v>
      </c>
      <c r="CL47" s="262">
        <v>0</v>
      </c>
      <c r="CM47" s="262">
        <v>0</v>
      </c>
      <c r="CN47" s="262">
        <v>0</v>
      </c>
      <c r="CO47" s="262">
        <v>0</v>
      </c>
      <c r="CP47" s="262">
        <v>0</v>
      </c>
      <c r="CQ47" s="262">
        <v>0</v>
      </c>
      <c r="CR47" s="262">
        <v>0</v>
      </c>
      <c r="CS47" s="262">
        <v>0</v>
      </c>
      <c r="CT47" s="262">
        <v>0</v>
      </c>
      <c r="CU47" s="262">
        <v>0</v>
      </c>
      <c r="CV47" s="262">
        <v>0</v>
      </c>
      <c r="CW47" s="262">
        <v>0</v>
      </c>
      <c r="CX47" s="262">
        <v>0</v>
      </c>
      <c r="CY47" s="262">
        <v>0</v>
      </c>
      <c r="CZ47" s="262">
        <v>0</v>
      </c>
      <c r="DA47" s="262">
        <v>0</v>
      </c>
      <c r="DB47" s="262">
        <v>0</v>
      </c>
      <c r="DC47" s="262">
        <v>0</v>
      </c>
      <c r="DD47" s="262">
        <v>0</v>
      </c>
      <c r="DE47" s="262">
        <v>0</v>
      </c>
      <c r="DF47" s="262">
        <v>0</v>
      </c>
      <c r="DG47" s="262">
        <v>0</v>
      </c>
      <c r="DH47" s="262">
        <v>0</v>
      </c>
      <c r="DI47" s="262">
        <v>0</v>
      </c>
      <c r="DJ47" s="262"/>
      <c r="DK47" s="262"/>
      <c r="DL47" s="262"/>
      <c r="DM47" s="262"/>
    </row>
    <row r="48" spans="1:117">
      <c r="A48" s="259" t="s">
        <v>444</v>
      </c>
      <c r="B48" s="268">
        <v>-55396216.040000178</v>
      </c>
      <c r="C48" s="268">
        <v>-52974833.590000004</v>
      </c>
      <c r="D48" s="268">
        <v>-1129214.03</v>
      </c>
      <c r="E48" s="268">
        <v>-1161308.73</v>
      </c>
      <c r="F48" s="268">
        <v>1601771.4899999998</v>
      </c>
      <c r="G48" s="268">
        <v>-89857363.760000005</v>
      </c>
      <c r="H48" s="268">
        <v>88124732.579999819</v>
      </c>
      <c r="I48" s="268">
        <v>-41791345.449999996</v>
      </c>
      <c r="J48" s="268">
        <v>4.9000000000000004</v>
      </c>
      <c r="K48" s="268">
        <v>0</v>
      </c>
      <c r="L48" s="268">
        <v>-14053603.84</v>
      </c>
      <c r="M48" s="268">
        <v>-3583124.58</v>
      </c>
      <c r="N48" s="268">
        <v>-51516305.300000004</v>
      </c>
      <c r="O48" s="268">
        <v>-1054055.8699999999</v>
      </c>
      <c r="P48" s="268">
        <v>-345930.23999999999</v>
      </c>
      <c r="Q48" s="268">
        <v>-341505.14</v>
      </c>
      <c r="R48" s="268">
        <v>0</v>
      </c>
      <c r="S48" s="268">
        <v>-888452.1</v>
      </c>
      <c r="T48" s="268">
        <v>60599484.030000016</v>
      </c>
      <c r="U48" s="268">
        <f t="shared" si="0"/>
        <v>58857992.780000016</v>
      </c>
      <c r="V48" s="268">
        <v>-1889474.73</v>
      </c>
      <c r="W48" s="268">
        <v>11093132.439999999</v>
      </c>
      <c r="X48" s="268">
        <v>10354891.469999997</v>
      </c>
      <c r="Y48" s="268">
        <v>32934398.770000003</v>
      </c>
      <c r="Z48" s="268">
        <v>1640022.42</v>
      </c>
      <c r="AA48" s="268">
        <v>-68189548.640000001</v>
      </c>
      <c r="AB48" s="268">
        <v>2974.429999999993</v>
      </c>
      <c r="AC48" s="268">
        <v>-599475.30000000005</v>
      </c>
      <c r="AD48" s="268">
        <v>-1302490.24</v>
      </c>
      <c r="AE48" s="268">
        <v>-844810.48</v>
      </c>
      <c r="AF48" s="268">
        <v>-107857.69</v>
      </c>
      <c r="AG48" s="268">
        <v>-267748.06</v>
      </c>
      <c r="AH48" s="268">
        <v>-297408.64000000001</v>
      </c>
      <c r="AI48" s="268">
        <v>-163334.17000000001</v>
      </c>
      <c r="AJ48" s="268">
        <v>0</v>
      </c>
      <c r="AK48" s="268">
        <v>-1673959.9400000002</v>
      </c>
      <c r="AL48" s="268">
        <v>282153.45</v>
      </c>
      <c r="AM48" s="268">
        <v>-52579399.350000001</v>
      </c>
      <c r="AN48" s="268">
        <v>2454900.54</v>
      </c>
      <c r="AO48" s="268">
        <v>-273744.38</v>
      </c>
      <c r="AP48" s="268">
        <v>-72185.86</v>
      </c>
      <c r="AQ48" s="268">
        <v>-5111624.51</v>
      </c>
      <c r="AR48" s="268">
        <v>-362627.39</v>
      </c>
      <c r="AS48" s="268">
        <v>39637079.869999997</v>
      </c>
      <c r="AT48" s="268">
        <v>-430269.52999999997</v>
      </c>
      <c r="AU48" s="268">
        <v>26866925.590000007</v>
      </c>
      <c r="AV48" s="268">
        <v>906017.66999999993</v>
      </c>
      <c r="AW48" s="268">
        <v>1630720.5699999998</v>
      </c>
      <c r="AX48" s="268">
        <v>1046585.4900000001</v>
      </c>
      <c r="AY48" s="268">
        <v>1103452.1200000001</v>
      </c>
      <c r="AZ48" s="268">
        <v>1266970.02</v>
      </c>
      <c r="BA48" s="268">
        <v>991177.31999999983</v>
      </c>
      <c r="BB48" s="268">
        <v>342000.6</v>
      </c>
      <c r="BC48" s="268">
        <v>1420212.04</v>
      </c>
      <c r="BD48" s="268">
        <v>241902.26</v>
      </c>
      <c r="BE48" s="268">
        <v>203966.94</v>
      </c>
      <c r="BF48" s="268">
        <v>1243128.47</v>
      </c>
      <c r="BG48" s="268">
        <v>5522193.4699999997</v>
      </c>
      <c r="BH48" s="268">
        <v>729858.98999999987</v>
      </c>
      <c r="BI48" s="268">
        <v>183518.43999999994</v>
      </c>
      <c r="BJ48" s="268">
        <v>333631.94000000006</v>
      </c>
      <c r="BK48" s="268">
        <v>323752.82999999996</v>
      </c>
      <c r="BL48" s="268">
        <v>327738.75999999989</v>
      </c>
      <c r="BM48" s="268">
        <v>325181.51999999996</v>
      </c>
      <c r="BN48" s="268">
        <v>287335.81</v>
      </c>
      <c r="BO48" s="268">
        <v>128950.73000000001</v>
      </c>
      <c r="BP48" s="268">
        <v>189968.79000000004</v>
      </c>
      <c r="BQ48" s="268">
        <v>244529.95000000007</v>
      </c>
      <c r="BR48" s="268">
        <v>-42106.050000000017</v>
      </c>
      <c r="BS48" s="268">
        <v>37872.330000000016</v>
      </c>
      <c r="BT48" s="268">
        <v>63044.219999999972</v>
      </c>
      <c r="BU48" s="268">
        <v>4557.390000000014</v>
      </c>
      <c r="BV48" s="268">
        <v>-4378.2500000000146</v>
      </c>
      <c r="BW48" s="268">
        <v>77176.800000000017</v>
      </c>
      <c r="BX48" s="268">
        <v>56884.420000000013</v>
      </c>
      <c r="BY48" s="268">
        <v>-328584.25</v>
      </c>
      <c r="BZ48" s="268">
        <v>-32729.959999999992</v>
      </c>
      <c r="CA48" s="268">
        <v>-7761</v>
      </c>
      <c r="CB48" s="268">
        <v>-3719.0400000000009</v>
      </c>
      <c r="CC48" s="268">
        <v>10453.049999999988</v>
      </c>
      <c r="CD48" s="268">
        <v>61402.440000000017</v>
      </c>
      <c r="CE48" s="268">
        <v>-162289.28000000003</v>
      </c>
      <c r="CF48" s="268">
        <v>9774570.9499999993</v>
      </c>
      <c r="CG48" s="268">
        <v>11042.940000000002</v>
      </c>
      <c r="CH48" s="268">
        <v>-65287.229999999996</v>
      </c>
      <c r="CI48" s="268">
        <v>-34742.18</v>
      </c>
      <c r="CJ48" s="268">
        <v>-31791.25</v>
      </c>
      <c r="CK48" s="268">
        <v>-15040.629999999994</v>
      </c>
      <c r="CL48" s="268">
        <v>-52009.930000000008</v>
      </c>
      <c r="CM48" s="268">
        <v>-43655.209999999992</v>
      </c>
      <c r="CN48" s="268">
        <v>-89348.72</v>
      </c>
      <c r="CO48" s="268">
        <v>-55692.579999999987</v>
      </c>
      <c r="CP48" s="268">
        <v>-70377.890000000014</v>
      </c>
      <c r="CQ48" s="268">
        <v>-141195.79</v>
      </c>
      <c r="CR48" s="268">
        <v>-69929.19</v>
      </c>
      <c r="CS48" s="268">
        <v>-39978.619999999995</v>
      </c>
      <c r="CT48" s="268">
        <v>-75085.570000000007</v>
      </c>
      <c r="CU48" s="268">
        <v>-90171.319999999992</v>
      </c>
      <c r="CV48" s="268">
        <v>-56355.969999999994</v>
      </c>
      <c r="CW48" s="268">
        <v>-77924.81</v>
      </c>
      <c r="CX48" s="268">
        <v>-49252.61</v>
      </c>
      <c r="CY48" s="268">
        <v>-73868.69</v>
      </c>
      <c r="CZ48" s="268">
        <v>-116022.72</v>
      </c>
      <c r="DA48" s="268">
        <v>-66087.100000000006</v>
      </c>
      <c r="DB48" s="268">
        <v>-75589.17</v>
      </c>
      <c r="DC48" s="268">
        <v>12360.220000000001</v>
      </c>
      <c r="DD48" s="268">
        <v>4930.3599999999278</v>
      </c>
      <c r="DE48" s="268">
        <v>15118.540000000008</v>
      </c>
      <c r="DF48" s="268">
        <v>-127260.23999999999</v>
      </c>
      <c r="DG48" s="268">
        <v>-22974.58</v>
      </c>
      <c r="DH48" s="268">
        <v>-126733.5</v>
      </c>
      <c r="DI48" s="268">
        <v>-7339.4699999999866</v>
      </c>
      <c r="DJ48" s="268">
        <v>0</v>
      </c>
      <c r="DK48" s="268">
        <v>0</v>
      </c>
      <c r="DL48" s="268">
        <v>0</v>
      </c>
      <c r="DM48" s="268">
        <v>0</v>
      </c>
    </row>
    <row r="49" spans="1:117">
      <c r="A49" s="259" t="s">
        <v>523</v>
      </c>
      <c r="B49" s="270">
        <v>-55395631.820000179</v>
      </c>
      <c r="C49" s="270">
        <v>-52974833.590000004</v>
      </c>
      <c r="D49" s="270">
        <v>-1129214.03</v>
      </c>
      <c r="E49" s="270">
        <v>-1161303.74</v>
      </c>
      <c r="F49" s="270">
        <v>1602355.7099999997</v>
      </c>
      <c r="G49" s="270">
        <v>-89857363.760000005</v>
      </c>
      <c r="H49" s="270">
        <v>88124727.589999825</v>
      </c>
      <c r="I49" s="270">
        <v>-41791345.449999996</v>
      </c>
      <c r="J49" s="270">
        <v>4.9000000000000004</v>
      </c>
      <c r="K49" s="270">
        <v>0</v>
      </c>
      <c r="L49" s="270">
        <v>-14053603.84</v>
      </c>
      <c r="M49" s="270">
        <v>-3583124.58</v>
      </c>
      <c r="N49" s="270">
        <v>-51516305.300000004</v>
      </c>
      <c r="O49" s="270">
        <v>-1054055.8699999999</v>
      </c>
      <c r="P49" s="270">
        <v>-345930.23999999999</v>
      </c>
      <c r="Q49" s="270">
        <v>-341505.14</v>
      </c>
      <c r="R49" s="270">
        <v>0</v>
      </c>
      <c r="S49" s="270">
        <v>-888452.1</v>
      </c>
      <c r="T49" s="270">
        <v>60599484.030000016</v>
      </c>
      <c r="U49" s="270">
        <f t="shared" si="0"/>
        <v>58857992.780000016</v>
      </c>
      <c r="V49" s="270">
        <v>-1889474.73</v>
      </c>
      <c r="W49" s="270">
        <v>11093132.439999999</v>
      </c>
      <c r="X49" s="270">
        <v>10354891.469999997</v>
      </c>
      <c r="Y49" s="270">
        <v>32934398.770000003</v>
      </c>
      <c r="Z49" s="270">
        <v>1640022.42</v>
      </c>
      <c r="AA49" s="270">
        <v>-68189548.640000001</v>
      </c>
      <c r="AB49" s="270">
        <v>2974.429999999993</v>
      </c>
      <c r="AC49" s="270">
        <v>-599475.30000000005</v>
      </c>
      <c r="AD49" s="270">
        <v>-1302490.24</v>
      </c>
      <c r="AE49" s="270">
        <v>-844810.48</v>
      </c>
      <c r="AF49" s="270">
        <v>-107857.69</v>
      </c>
      <c r="AG49" s="270">
        <v>-267748.06</v>
      </c>
      <c r="AH49" s="270">
        <v>-297408.64000000001</v>
      </c>
      <c r="AI49" s="270">
        <v>-163334.17000000001</v>
      </c>
      <c r="AJ49" s="270">
        <v>0</v>
      </c>
      <c r="AK49" s="270">
        <v>-1673959.9400000002</v>
      </c>
      <c r="AL49" s="270">
        <v>282153.45</v>
      </c>
      <c r="AM49" s="270">
        <v>-52579399.350000001</v>
      </c>
      <c r="AN49" s="270">
        <v>2454900.54</v>
      </c>
      <c r="AO49" s="270">
        <v>-273744.38</v>
      </c>
      <c r="AP49" s="270">
        <v>-72185.86</v>
      </c>
      <c r="AQ49" s="270">
        <v>-5111624.51</v>
      </c>
      <c r="AR49" s="270">
        <v>-362627.39</v>
      </c>
      <c r="AS49" s="270">
        <v>39637079.869999997</v>
      </c>
      <c r="AT49" s="270">
        <v>-430269.52999999997</v>
      </c>
      <c r="AU49" s="270">
        <v>26866925.590000007</v>
      </c>
      <c r="AV49" s="270">
        <v>906017.66999999993</v>
      </c>
      <c r="AW49" s="270">
        <v>1630720.5699999998</v>
      </c>
      <c r="AX49" s="270">
        <v>1046585.4900000001</v>
      </c>
      <c r="AY49" s="270">
        <v>1103452.1200000001</v>
      </c>
      <c r="AZ49" s="270">
        <v>1266970.02</v>
      </c>
      <c r="BA49" s="270">
        <v>991177.31999999983</v>
      </c>
      <c r="BB49" s="270">
        <v>342000.6</v>
      </c>
      <c r="BC49" s="270">
        <v>1420212.04</v>
      </c>
      <c r="BD49" s="270">
        <v>241902.26</v>
      </c>
      <c r="BE49" s="270">
        <v>203966.94</v>
      </c>
      <c r="BF49" s="270">
        <v>1243128.47</v>
      </c>
      <c r="BG49" s="270">
        <v>5522193.4699999997</v>
      </c>
      <c r="BH49" s="270">
        <v>729858.98999999987</v>
      </c>
      <c r="BI49" s="270">
        <v>183518.43999999994</v>
      </c>
      <c r="BJ49" s="270">
        <v>333631.94000000006</v>
      </c>
      <c r="BK49" s="270">
        <v>323752.82999999996</v>
      </c>
      <c r="BL49" s="270">
        <v>327738.75999999989</v>
      </c>
      <c r="BM49" s="270">
        <v>325181.51999999996</v>
      </c>
      <c r="BN49" s="270">
        <v>287335.81</v>
      </c>
      <c r="BO49" s="270">
        <v>128950.73000000001</v>
      </c>
      <c r="BP49" s="270">
        <v>189968.79000000004</v>
      </c>
      <c r="BQ49" s="270">
        <v>244529.95000000007</v>
      </c>
      <c r="BR49" s="270">
        <v>-42106.050000000017</v>
      </c>
      <c r="BS49" s="270">
        <v>37872.330000000016</v>
      </c>
      <c r="BT49" s="270">
        <v>63044.219999999972</v>
      </c>
      <c r="BU49" s="270">
        <v>4557.390000000014</v>
      </c>
      <c r="BV49" s="270">
        <v>-4378.2500000000146</v>
      </c>
      <c r="BW49" s="270">
        <v>77176.800000000017</v>
      </c>
      <c r="BX49" s="270">
        <v>56884.420000000013</v>
      </c>
      <c r="BY49" s="270">
        <v>-328584.25</v>
      </c>
      <c r="BZ49" s="270">
        <v>-32729.959999999992</v>
      </c>
      <c r="CA49" s="270">
        <v>-7761</v>
      </c>
      <c r="CB49" s="270">
        <v>-3719.0400000000009</v>
      </c>
      <c r="CC49" s="270">
        <v>10453.049999999988</v>
      </c>
      <c r="CD49" s="270">
        <v>61402.440000000017</v>
      </c>
      <c r="CE49" s="270">
        <v>-162289.28000000003</v>
      </c>
      <c r="CF49" s="270">
        <v>9774570.9499999993</v>
      </c>
      <c r="CG49" s="270">
        <v>11042.940000000002</v>
      </c>
      <c r="CH49" s="270">
        <v>-65287.229999999996</v>
      </c>
      <c r="CI49" s="270">
        <v>-34742.18</v>
      </c>
      <c r="CJ49" s="270">
        <v>-31791.25</v>
      </c>
      <c r="CK49" s="270">
        <v>-15040.629999999994</v>
      </c>
      <c r="CL49" s="270">
        <v>-52009.930000000008</v>
      </c>
      <c r="CM49" s="270">
        <v>-43655.209999999992</v>
      </c>
      <c r="CN49" s="270">
        <v>-89348.72</v>
      </c>
      <c r="CO49" s="270">
        <v>-55692.579999999987</v>
      </c>
      <c r="CP49" s="270">
        <v>-70377.890000000014</v>
      </c>
      <c r="CQ49" s="270">
        <v>-141195.79</v>
      </c>
      <c r="CR49" s="270">
        <v>-69929.19</v>
      </c>
      <c r="CS49" s="270">
        <v>-39978.619999999995</v>
      </c>
      <c r="CT49" s="270">
        <v>-75085.570000000007</v>
      </c>
      <c r="CU49" s="270">
        <v>-90171.319999999992</v>
      </c>
      <c r="CV49" s="270">
        <v>-56355.969999999994</v>
      </c>
      <c r="CW49" s="270">
        <v>-77924.81</v>
      </c>
      <c r="CX49" s="270">
        <v>-49252.61</v>
      </c>
      <c r="CY49" s="270">
        <v>-73868.69</v>
      </c>
      <c r="CZ49" s="270">
        <v>-116022.72</v>
      </c>
      <c r="DA49" s="270">
        <v>-66087.100000000006</v>
      </c>
      <c r="DB49" s="270">
        <v>-75589.17</v>
      </c>
      <c r="DC49" s="270">
        <v>12360.220000000001</v>
      </c>
      <c r="DD49" s="270">
        <v>4930.3599999999278</v>
      </c>
      <c r="DE49" s="270">
        <v>15118.540000000008</v>
      </c>
      <c r="DF49" s="270">
        <v>-127260.23999999999</v>
      </c>
      <c r="DG49" s="270">
        <v>-22974.58</v>
      </c>
      <c r="DH49" s="270">
        <v>-126733.5</v>
      </c>
      <c r="DI49" s="270">
        <v>-7339.4699999999866</v>
      </c>
      <c r="DJ49" s="270">
        <v>0</v>
      </c>
      <c r="DK49" s="270">
        <v>0</v>
      </c>
      <c r="DL49" s="270">
        <v>0</v>
      </c>
      <c r="DM49" s="270">
        <v>0</v>
      </c>
    </row>
    <row r="50" spans="1:117">
      <c r="A50" s="259" t="s">
        <v>524</v>
      </c>
      <c r="B50" s="270">
        <v>-584.22</v>
      </c>
      <c r="C50" s="270">
        <v>0</v>
      </c>
      <c r="D50" s="270">
        <v>0</v>
      </c>
      <c r="E50" s="270">
        <v>-4.99</v>
      </c>
      <c r="F50" s="270">
        <v>-584.22</v>
      </c>
      <c r="G50" s="270">
        <v>0</v>
      </c>
      <c r="H50" s="270">
        <v>4.99</v>
      </c>
      <c r="I50" s="270">
        <v>0</v>
      </c>
      <c r="J50" s="270">
        <v>0</v>
      </c>
      <c r="K50" s="270">
        <v>0</v>
      </c>
      <c r="L50" s="270">
        <v>0</v>
      </c>
      <c r="M50" s="270">
        <v>0</v>
      </c>
      <c r="N50" s="270">
        <v>0</v>
      </c>
      <c r="O50" s="270">
        <v>0</v>
      </c>
      <c r="P50" s="270">
        <v>0</v>
      </c>
      <c r="Q50" s="270">
        <v>0</v>
      </c>
      <c r="R50" s="270">
        <v>0</v>
      </c>
      <c r="S50" s="270">
        <v>0</v>
      </c>
      <c r="T50" s="270">
        <v>0</v>
      </c>
      <c r="U50" s="270">
        <f t="shared" si="0"/>
        <v>0</v>
      </c>
      <c r="V50" s="270">
        <v>0</v>
      </c>
      <c r="W50" s="270">
        <v>0</v>
      </c>
      <c r="X50" s="270">
        <v>0</v>
      </c>
      <c r="Y50" s="270">
        <v>0</v>
      </c>
      <c r="Z50" s="270">
        <v>0</v>
      </c>
      <c r="AA50" s="270">
        <v>0</v>
      </c>
      <c r="AB50" s="270">
        <v>0</v>
      </c>
      <c r="AC50" s="270">
        <v>0</v>
      </c>
      <c r="AD50" s="270">
        <v>0</v>
      </c>
      <c r="AE50" s="270">
        <v>0</v>
      </c>
      <c r="AF50" s="270">
        <v>0</v>
      </c>
      <c r="AG50" s="270">
        <v>0</v>
      </c>
      <c r="AH50" s="270">
        <v>0</v>
      </c>
      <c r="AI50" s="270">
        <v>0</v>
      </c>
      <c r="AJ50" s="270">
        <v>0</v>
      </c>
      <c r="AK50" s="270">
        <v>0</v>
      </c>
      <c r="AL50" s="270">
        <v>0</v>
      </c>
      <c r="AM50" s="270">
        <v>0</v>
      </c>
      <c r="AN50" s="270">
        <v>0</v>
      </c>
      <c r="AO50" s="270">
        <v>0</v>
      </c>
      <c r="AP50" s="270">
        <v>0</v>
      </c>
      <c r="AQ50" s="270">
        <v>0</v>
      </c>
      <c r="AR50" s="270">
        <v>0</v>
      </c>
      <c r="AS50" s="270">
        <v>0</v>
      </c>
      <c r="AT50" s="270">
        <v>0</v>
      </c>
      <c r="AU50" s="270">
        <v>0</v>
      </c>
      <c r="AV50" s="270">
        <v>0</v>
      </c>
      <c r="AW50" s="270">
        <v>0</v>
      </c>
      <c r="AX50" s="270">
        <v>0</v>
      </c>
      <c r="AY50" s="270">
        <v>0</v>
      </c>
      <c r="AZ50" s="270">
        <v>0</v>
      </c>
      <c r="BA50" s="270">
        <v>0</v>
      </c>
      <c r="BB50" s="270">
        <v>0</v>
      </c>
      <c r="BC50" s="270">
        <v>0</v>
      </c>
      <c r="BD50" s="270">
        <v>0</v>
      </c>
      <c r="BE50" s="270">
        <v>0</v>
      </c>
      <c r="BF50" s="270">
        <v>0</v>
      </c>
      <c r="BG50" s="270">
        <v>0</v>
      </c>
      <c r="BH50" s="270">
        <v>0</v>
      </c>
      <c r="BI50" s="270">
        <v>0</v>
      </c>
      <c r="BJ50" s="270">
        <v>0</v>
      </c>
      <c r="BK50" s="270">
        <v>0</v>
      </c>
      <c r="BL50" s="270">
        <v>0</v>
      </c>
      <c r="BM50" s="270">
        <v>0</v>
      </c>
      <c r="BN50" s="270">
        <v>0</v>
      </c>
      <c r="BO50" s="270">
        <v>0</v>
      </c>
      <c r="BP50" s="270">
        <v>0</v>
      </c>
      <c r="BQ50" s="270">
        <v>0</v>
      </c>
      <c r="BR50" s="270">
        <v>0</v>
      </c>
      <c r="BS50" s="270">
        <v>0</v>
      </c>
      <c r="BT50" s="270">
        <v>0</v>
      </c>
      <c r="BU50" s="270">
        <v>0</v>
      </c>
      <c r="BV50" s="270">
        <v>0</v>
      </c>
      <c r="BW50" s="270">
        <v>0</v>
      </c>
      <c r="BX50" s="270">
        <v>0</v>
      </c>
      <c r="BY50" s="270">
        <v>0</v>
      </c>
      <c r="BZ50" s="270">
        <v>0</v>
      </c>
      <c r="CA50" s="270">
        <v>0</v>
      </c>
      <c r="CB50" s="270">
        <v>0</v>
      </c>
      <c r="CC50" s="270">
        <v>0</v>
      </c>
      <c r="CD50" s="270">
        <v>0</v>
      </c>
      <c r="CE50" s="270">
        <v>0</v>
      </c>
      <c r="CF50" s="270">
        <v>0</v>
      </c>
      <c r="CG50" s="270">
        <v>0</v>
      </c>
      <c r="CH50" s="270">
        <v>0</v>
      </c>
      <c r="CI50" s="270">
        <v>0</v>
      </c>
      <c r="CJ50" s="270">
        <v>0</v>
      </c>
      <c r="CK50" s="270">
        <v>0</v>
      </c>
      <c r="CL50" s="270">
        <v>0</v>
      </c>
      <c r="CM50" s="270">
        <v>0</v>
      </c>
      <c r="CN50" s="270">
        <v>0</v>
      </c>
      <c r="CO50" s="270">
        <v>0</v>
      </c>
      <c r="CP50" s="270">
        <v>0</v>
      </c>
      <c r="CQ50" s="270">
        <v>0</v>
      </c>
      <c r="CR50" s="270">
        <v>0</v>
      </c>
      <c r="CS50" s="270">
        <v>0</v>
      </c>
      <c r="CT50" s="270">
        <v>0</v>
      </c>
      <c r="CU50" s="270">
        <v>0</v>
      </c>
      <c r="CV50" s="270">
        <v>0</v>
      </c>
      <c r="CW50" s="270">
        <v>0</v>
      </c>
      <c r="CX50" s="270">
        <v>0</v>
      </c>
      <c r="CY50" s="270">
        <v>0</v>
      </c>
      <c r="CZ50" s="270">
        <v>0</v>
      </c>
      <c r="DA50" s="270">
        <v>0</v>
      </c>
      <c r="DB50" s="270">
        <v>0</v>
      </c>
      <c r="DC50" s="270">
        <v>0</v>
      </c>
      <c r="DD50" s="270">
        <v>0</v>
      </c>
      <c r="DE50" s="270">
        <v>0</v>
      </c>
      <c r="DF50" s="270">
        <v>0</v>
      </c>
      <c r="DG50" s="270">
        <v>0</v>
      </c>
      <c r="DH50" s="270">
        <v>0</v>
      </c>
      <c r="DI50" s="270">
        <v>0</v>
      </c>
      <c r="DJ50" s="270">
        <v>0</v>
      </c>
      <c r="DK50" s="270">
        <v>0</v>
      </c>
      <c r="DL50" s="270">
        <v>0</v>
      </c>
      <c r="DM50" s="270">
        <v>0</v>
      </c>
    </row>
    <row r="51" spans="1:117">
      <c r="A51" s="261" t="s">
        <v>525</v>
      </c>
      <c r="B51" s="271"/>
      <c r="C51" s="271"/>
      <c r="D51" s="271"/>
      <c r="E51" s="271"/>
      <c r="F51" s="271"/>
      <c r="G51" s="271"/>
      <c r="H51" s="271"/>
      <c r="I51" s="271"/>
      <c r="J51" s="271"/>
      <c r="K51" s="271"/>
      <c r="L51" s="271"/>
      <c r="M51" s="271"/>
      <c r="N51" s="271"/>
      <c r="O51" s="271"/>
      <c r="P51" s="271"/>
      <c r="Q51" s="271"/>
      <c r="R51" s="271"/>
      <c r="S51" s="271"/>
      <c r="T51" s="271"/>
      <c r="U51" s="271"/>
      <c r="V51" s="271"/>
      <c r="W51" s="271"/>
      <c r="X51" s="271"/>
      <c r="Y51" s="271"/>
      <c r="Z51" s="271"/>
      <c r="AA51" s="271"/>
      <c r="AB51" s="271"/>
      <c r="AC51" s="271"/>
      <c r="AD51" s="271"/>
      <c r="AE51" s="271"/>
      <c r="AF51" s="271"/>
      <c r="AG51" s="271"/>
      <c r="AH51" s="271"/>
      <c r="AI51" s="271"/>
      <c r="AJ51" s="271"/>
      <c r="AK51" s="271"/>
      <c r="AL51" s="271"/>
      <c r="AM51" s="271"/>
      <c r="AN51" s="271"/>
      <c r="AO51" s="271"/>
      <c r="AP51" s="271"/>
      <c r="AQ51" s="271"/>
      <c r="AR51" s="271"/>
      <c r="AS51" s="271"/>
      <c r="AT51" s="271"/>
      <c r="AU51" s="271"/>
      <c r="AV51" s="271"/>
      <c r="AW51" s="271"/>
      <c r="AX51" s="271"/>
      <c r="AY51" s="271"/>
      <c r="AZ51" s="271"/>
      <c r="BA51" s="271"/>
      <c r="BB51" s="271"/>
      <c r="BC51" s="271"/>
      <c r="BD51" s="271"/>
      <c r="BE51" s="271"/>
      <c r="BF51" s="271"/>
      <c r="BG51" s="271"/>
      <c r="BH51" s="271"/>
      <c r="BI51" s="271"/>
      <c r="BJ51" s="271"/>
      <c r="BK51" s="271"/>
      <c r="BL51" s="271"/>
      <c r="BM51" s="271"/>
      <c r="BN51" s="271"/>
      <c r="BO51" s="271"/>
      <c r="BP51" s="271"/>
      <c r="BQ51" s="271"/>
      <c r="BR51" s="271"/>
      <c r="BS51" s="271"/>
      <c r="BT51" s="271"/>
      <c r="BU51" s="271"/>
      <c r="BV51" s="271"/>
      <c r="BW51" s="271"/>
      <c r="BX51" s="271"/>
      <c r="BY51" s="271"/>
      <c r="BZ51" s="271"/>
      <c r="CA51" s="271"/>
      <c r="CB51" s="271"/>
      <c r="CC51" s="271"/>
      <c r="CD51" s="271"/>
      <c r="CE51" s="271"/>
      <c r="CF51" s="271"/>
      <c r="CG51" s="271"/>
      <c r="CH51" s="271"/>
      <c r="CI51" s="271"/>
      <c r="CJ51" s="271"/>
      <c r="CK51" s="271"/>
      <c r="CL51" s="271"/>
      <c r="CM51" s="271"/>
      <c r="CN51" s="271"/>
      <c r="CO51" s="271"/>
      <c r="CP51" s="271"/>
      <c r="CQ51" s="271"/>
      <c r="CR51" s="271"/>
      <c r="CS51" s="271"/>
      <c r="CT51" s="271"/>
      <c r="CU51" s="271"/>
      <c r="CV51" s="271"/>
      <c r="CW51" s="271"/>
      <c r="CX51" s="271"/>
      <c r="CY51" s="271"/>
      <c r="CZ51" s="271"/>
      <c r="DA51" s="271"/>
      <c r="DB51" s="271"/>
      <c r="DC51" s="271"/>
      <c r="DD51" s="271"/>
      <c r="DE51" s="271"/>
      <c r="DF51" s="271"/>
      <c r="DG51" s="271"/>
      <c r="DH51" s="271"/>
      <c r="DI51" s="271"/>
      <c r="DJ51" s="271"/>
      <c r="DK51" s="271"/>
      <c r="DL51" s="271"/>
      <c r="DM51" s="271"/>
    </row>
    <row r="52" spans="1:117">
      <c r="A52" s="259" t="s">
        <v>526</v>
      </c>
      <c r="B52" s="271"/>
      <c r="C52" s="271"/>
      <c r="D52" s="271"/>
      <c r="E52" s="271"/>
      <c r="F52" s="271"/>
      <c r="G52" s="271"/>
      <c r="H52" s="271"/>
      <c r="I52" s="271"/>
      <c r="J52" s="271"/>
      <c r="K52" s="271"/>
      <c r="L52" s="271"/>
      <c r="M52" s="271"/>
      <c r="N52" s="271"/>
      <c r="O52" s="271"/>
      <c r="P52" s="271"/>
      <c r="Q52" s="271"/>
      <c r="R52" s="271"/>
      <c r="S52" s="271"/>
      <c r="T52" s="271"/>
      <c r="U52" s="271"/>
      <c r="V52" s="271"/>
      <c r="W52" s="271"/>
      <c r="X52" s="271"/>
      <c r="Y52" s="271"/>
      <c r="Z52" s="271"/>
      <c r="AA52" s="271"/>
      <c r="AB52" s="271"/>
      <c r="AC52" s="271"/>
      <c r="AD52" s="271"/>
      <c r="AE52" s="271"/>
      <c r="AF52" s="271"/>
      <c r="AG52" s="271"/>
      <c r="AH52" s="271"/>
      <c r="AI52" s="271"/>
      <c r="AJ52" s="271"/>
      <c r="AK52" s="271"/>
      <c r="AL52" s="271"/>
      <c r="AM52" s="271"/>
      <c r="AN52" s="271"/>
      <c r="AO52" s="271"/>
      <c r="AP52" s="271"/>
      <c r="AQ52" s="271"/>
      <c r="AR52" s="271"/>
      <c r="AS52" s="271"/>
      <c r="AT52" s="271"/>
      <c r="AU52" s="271"/>
      <c r="AV52" s="271"/>
      <c r="AW52" s="271"/>
      <c r="AX52" s="271"/>
      <c r="AY52" s="271"/>
      <c r="AZ52" s="271"/>
      <c r="BA52" s="271"/>
      <c r="BB52" s="271"/>
      <c r="BC52" s="271"/>
      <c r="BD52" s="271"/>
      <c r="BE52" s="271"/>
      <c r="BF52" s="271"/>
      <c r="BG52" s="271"/>
      <c r="BH52" s="271"/>
      <c r="BI52" s="271"/>
      <c r="BJ52" s="271"/>
      <c r="BK52" s="271"/>
      <c r="BL52" s="271"/>
      <c r="BM52" s="271"/>
      <c r="BN52" s="271"/>
      <c r="BO52" s="271"/>
      <c r="BP52" s="271"/>
      <c r="BQ52" s="271"/>
      <c r="BR52" s="271"/>
      <c r="BS52" s="271"/>
      <c r="BT52" s="271"/>
      <c r="BU52" s="271"/>
      <c r="BV52" s="271"/>
      <c r="BW52" s="271"/>
      <c r="BX52" s="271"/>
      <c r="BY52" s="271"/>
      <c r="BZ52" s="271"/>
      <c r="CA52" s="271"/>
      <c r="CB52" s="271"/>
      <c r="CC52" s="271"/>
      <c r="CD52" s="271"/>
      <c r="CE52" s="271"/>
      <c r="CF52" s="271"/>
      <c r="CG52" s="271"/>
      <c r="CH52" s="271"/>
      <c r="CI52" s="271"/>
      <c r="CJ52" s="271"/>
      <c r="CK52" s="271"/>
      <c r="CL52" s="271"/>
      <c r="CM52" s="271"/>
      <c r="CN52" s="271"/>
      <c r="CO52" s="271"/>
      <c r="CP52" s="271"/>
      <c r="CQ52" s="271"/>
      <c r="CR52" s="271"/>
      <c r="CS52" s="271"/>
      <c r="CT52" s="271"/>
      <c r="CU52" s="271"/>
      <c r="CV52" s="271"/>
      <c r="CW52" s="271"/>
      <c r="CX52" s="271"/>
      <c r="CY52" s="271"/>
      <c r="CZ52" s="271"/>
      <c r="DA52" s="271"/>
      <c r="DB52" s="271"/>
      <c r="DC52" s="271"/>
      <c r="DD52" s="271"/>
      <c r="DE52" s="271"/>
      <c r="DF52" s="271"/>
      <c r="DG52" s="271"/>
      <c r="DH52" s="271"/>
      <c r="DI52" s="271"/>
      <c r="DJ52" s="271"/>
      <c r="DK52" s="271"/>
      <c r="DL52" s="271"/>
      <c r="DM52" s="271"/>
    </row>
    <row r="53" spans="1:117" ht="14.25" thickBot="1">
      <c r="A53" s="272" t="s">
        <v>527</v>
      </c>
      <c r="B53" s="273"/>
      <c r="C53" s="273"/>
      <c r="D53" s="273"/>
      <c r="E53" s="273"/>
      <c r="F53" s="273"/>
      <c r="G53" s="273"/>
      <c r="H53" s="273"/>
      <c r="I53" s="273"/>
      <c r="J53" s="273"/>
      <c r="K53" s="273"/>
      <c r="L53" s="273"/>
      <c r="M53" s="273"/>
      <c r="N53" s="273"/>
      <c r="O53" s="273"/>
      <c r="P53" s="273"/>
      <c r="Q53" s="273"/>
      <c r="R53" s="273"/>
      <c r="S53" s="273"/>
      <c r="T53" s="273"/>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S53" s="273"/>
      <c r="AT53" s="273"/>
      <c r="AU53" s="273"/>
      <c r="AV53" s="273"/>
      <c r="AW53" s="273"/>
      <c r="AX53" s="273"/>
      <c r="AY53" s="273"/>
      <c r="AZ53" s="273"/>
      <c r="BA53" s="273"/>
      <c r="BB53" s="273"/>
      <c r="BC53" s="273"/>
      <c r="BD53" s="273"/>
      <c r="BE53" s="273"/>
      <c r="BF53" s="273"/>
      <c r="BG53" s="273"/>
      <c r="BH53" s="273"/>
      <c r="BI53" s="273"/>
      <c r="BJ53" s="273"/>
      <c r="BK53" s="273"/>
      <c r="BL53" s="273"/>
      <c r="BM53" s="273"/>
      <c r="BN53" s="273"/>
      <c r="BO53" s="273"/>
      <c r="BP53" s="273"/>
      <c r="BQ53" s="273"/>
      <c r="BR53" s="273"/>
      <c r="BS53" s="273"/>
      <c r="BT53" s="273"/>
      <c r="BU53" s="273"/>
      <c r="BV53" s="273"/>
      <c r="BW53" s="273"/>
      <c r="BX53" s="273"/>
      <c r="BY53" s="273"/>
      <c r="BZ53" s="273"/>
      <c r="CA53" s="273"/>
      <c r="CB53" s="273"/>
      <c r="CC53" s="273"/>
      <c r="CD53" s="273"/>
      <c r="CE53" s="273"/>
      <c r="CF53" s="273"/>
      <c r="CG53" s="273"/>
      <c r="CH53" s="273"/>
      <c r="CI53" s="273"/>
      <c r="CJ53" s="273"/>
      <c r="CK53" s="273"/>
      <c r="CL53" s="273"/>
      <c r="CM53" s="273"/>
      <c r="CN53" s="273"/>
      <c r="CO53" s="273"/>
      <c r="CP53" s="273"/>
      <c r="CQ53" s="273"/>
      <c r="CR53" s="273"/>
      <c r="CS53" s="273"/>
      <c r="CT53" s="273"/>
      <c r="CU53" s="273"/>
      <c r="CV53" s="273"/>
      <c r="CW53" s="273"/>
      <c r="CX53" s="273"/>
      <c r="CY53" s="273"/>
      <c r="CZ53" s="273"/>
      <c r="DA53" s="273"/>
      <c r="DB53" s="273"/>
      <c r="DC53" s="273"/>
      <c r="DD53" s="273"/>
      <c r="DE53" s="273"/>
      <c r="DF53" s="273"/>
      <c r="DG53" s="273"/>
      <c r="DH53" s="273"/>
      <c r="DI53" s="273"/>
      <c r="DJ53" s="273"/>
      <c r="DK53" s="273"/>
      <c r="DL53" s="273"/>
      <c r="DM53" s="273"/>
    </row>
  </sheetData>
  <mergeCells count="7">
    <mergeCell ref="AV2:DE2"/>
    <mergeCell ref="I2:T2"/>
    <mergeCell ref="V2:AB2"/>
    <mergeCell ref="AC2:AF2"/>
    <mergeCell ref="AL2:AN2"/>
    <mergeCell ref="AO2:AP2"/>
    <mergeCell ref="AQ2:AU2"/>
  </mergeCells>
  <phoneticPr fontId="3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4"/>
  <sheetViews>
    <sheetView workbookViewId="0">
      <pane xSplit="2" ySplit="1" topLeftCell="R2" activePane="bottomRight" state="frozen"/>
      <selection pane="topRight"/>
      <selection pane="bottomLeft"/>
      <selection pane="bottomRight" activeCell="AA41" sqref="AA41"/>
    </sheetView>
  </sheetViews>
  <sheetFormatPr defaultColWidth="9" defaultRowHeight="12" customHeight="1"/>
  <cols>
    <col min="2" max="3" width="12.375" customWidth="1"/>
    <col min="4" max="4" width="12.875" customWidth="1"/>
    <col min="5" max="5" width="10.375" customWidth="1"/>
    <col min="6" max="6" width="10.25" customWidth="1"/>
    <col min="7" max="7" width="11.25" customWidth="1"/>
    <col min="8" max="8" width="11.375" customWidth="1"/>
    <col min="9" max="9" width="10.375" customWidth="1"/>
    <col min="10" max="10" width="9.5" customWidth="1"/>
    <col min="11" max="11" width="9.625" customWidth="1"/>
    <col min="12" max="12" width="10.375" customWidth="1"/>
    <col min="13" max="13" width="9.125" customWidth="1"/>
    <col min="14" max="15" width="9.625" customWidth="1"/>
    <col min="16" max="16" width="9.25" customWidth="1"/>
    <col min="17" max="17" width="11.25" customWidth="1"/>
    <col min="18" max="18" width="9.5" customWidth="1"/>
    <col min="19" max="19" width="11.25" customWidth="1"/>
    <col min="20" max="20" width="10.25" customWidth="1"/>
    <col min="21" max="25" width="9.25" customWidth="1"/>
    <col min="26" max="27" width="9.125" customWidth="1"/>
  </cols>
  <sheetData>
    <row r="1" spans="1:28" s="1" customFormat="1" ht="12" customHeight="1">
      <c r="A1" s="4" t="s">
        <v>85</v>
      </c>
      <c r="B1" s="5" t="s">
        <v>86</v>
      </c>
      <c r="C1" s="4" t="s">
        <v>86</v>
      </c>
      <c r="D1" s="6" t="s">
        <v>4</v>
      </c>
      <c r="E1" s="6" t="s">
        <v>5</v>
      </c>
      <c r="F1" s="6" t="s">
        <v>6</v>
      </c>
      <c r="G1" s="6" t="s">
        <v>7</v>
      </c>
      <c r="H1" s="6" t="s">
        <v>9</v>
      </c>
      <c r="I1" s="6" t="s">
        <v>13</v>
      </c>
      <c r="J1" s="23" t="s">
        <v>74</v>
      </c>
      <c r="K1" s="23" t="s">
        <v>18</v>
      </c>
      <c r="L1" s="23" t="s">
        <v>17</v>
      </c>
      <c r="M1" s="23" t="s">
        <v>16</v>
      </c>
      <c r="N1" s="23" t="s">
        <v>75</v>
      </c>
      <c r="O1" s="23" t="s">
        <v>76</v>
      </c>
      <c r="P1" s="23" t="s">
        <v>77</v>
      </c>
      <c r="Q1" s="23" t="s">
        <v>349</v>
      </c>
      <c r="R1" s="6" t="s">
        <v>78</v>
      </c>
      <c r="S1" s="6" t="s">
        <v>21</v>
      </c>
      <c r="T1" s="23" t="s">
        <v>80</v>
      </c>
      <c r="U1" s="23" t="s">
        <v>79</v>
      </c>
      <c r="V1" s="23" t="s">
        <v>351</v>
      </c>
      <c r="W1" s="23" t="s">
        <v>218</v>
      </c>
      <c r="X1" s="6" t="s">
        <v>81</v>
      </c>
      <c r="Y1" s="23" t="s">
        <v>82</v>
      </c>
      <c r="Z1" s="23" t="s">
        <v>140</v>
      </c>
      <c r="AA1" s="6" t="s">
        <v>141</v>
      </c>
      <c r="AB1" s="6" t="s">
        <v>142</v>
      </c>
    </row>
    <row r="2" spans="1:28" s="2" customFormat="1" ht="12" customHeight="1">
      <c r="A2" s="436" t="s">
        <v>87</v>
      </c>
      <c r="B2" s="7" t="s">
        <v>88</v>
      </c>
      <c r="C2" s="7" t="s">
        <v>88</v>
      </c>
      <c r="D2" s="8">
        <f>SUMIF(累计考核费用!$B$107:$B$156,原格式费用考核表!$B2,累计考核费用!C$107:C$156)/10000+累计考核费用!C116/10000</f>
        <v>1622.75656</v>
      </c>
      <c r="E2" s="8">
        <f>SUMIF(累计考核费用!$B$107:$B$156,原格式费用考核表!$B2,累计考核费用!D$107:D$156)/10000+累计考核费用!D116/10000</f>
        <v>0</v>
      </c>
      <c r="F2" s="8">
        <f>SUMIF(累计考核费用!$B$107:$B$156,原格式费用考核表!$B2,累计考核费用!E$107:E$156)/10000+累计考核费用!E116/10000</f>
        <v>406.87491899999998</v>
      </c>
      <c r="G2" s="8">
        <f>SUMIF(累计考核费用!$B$107:$B$156,原格式费用考核表!$B2,累计考核费用!F$107:F$156)/10000+累计考核费用!F116/10000</f>
        <v>752.31585599999994</v>
      </c>
      <c r="H2" s="8">
        <f>SUMIF(累计考核费用!$B$107:$B$156,原格式费用考核表!$B2,累计考核费用!G$107:G$156)/10000+累计考核费用!G116/10000</f>
        <v>19.303573</v>
      </c>
      <c r="I2" s="8">
        <f>SUMIF(累计考核费用!$B$107:$B$156,原格式费用考核表!$B2,累计考核费用!L$107:L$156)/10000+累计考核费用!L116/10000</f>
        <v>37.468293000000003</v>
      </c>
      <c r="J2" s="8">
        <f>SUMIF(累计考核费用!$B$107:$B$156,原格式费用考核表!$B2,累计考核费用!M$107:M$156)/10000+累计考核费用!M116/10000</f>
        <v>9.5504999999999995</v>
      </c>
      <c r="K2" s="8">
        <f>SUMIF(累计考核费用!$B$107:$B$156,原格式费用考核表!$B2,累计考核费用!Q$107:Q$156)/10000+累计考核费用!Q116/10000</f>
        <v>34.613002000000002</v>
      </c>
      <c r="L2" s="8">
        <f>SUMIF(累计考核费用!$B$107:$B$156,原格式费用考核表!$B2,累计考核费用!P$107:P$156)/10000+累计考核费用!P116/10000</f>
        <v>5.5746000000000002</v>
      </c>
      <c r="M2" s="8">
        <f>SUMIF(累计考核费用!$B$107:$B$156,原格式费用考核表!$B2,累计考核费用!O$107:O$156)/10000+累计考核费用!O116/10000</f>
        <v>8.4953000000000003</v>
      </c>
      <c r="N2" s="8">
        <f>SUMIF(累计考核费用!$B$107:$B$156,原格式费用考核表!$B2,累计考核费用!R$107:R$156)/10000+累计考核费用!R116/10000</f>
        <v>15.553664000000001</v>
      </c>
      <c r="O2" s="8" t="e">
        <f>SUMIF(累计考核费用!$B$107:$B$156,原格式费用考核表!$B2,累计考核费用!#REF!)/10000+累计考核费用!#REF!/10000</f>
        <v>#REF!</v>
      </c>
      <c r="P2" s="8">
        <f>SUMIF(累计考核费用!$B$107:$B$156,原格式费用考核表!$B2,累计考核费用!S$107:S$156)/10000+累计考核费用!S116/10000</f>
        <v>19.059338</v>
      </c>
      <c r="Q2" s="8" t="e">
        <f>SUMIF(累计考核费用!$B$107:$B$156,原格式费用考核表!$B2,累计考核费用!#REF!)/10000+累计考核费用!#REF!/10000</f>
        <v>#REF!</v>
      </c>
      <c r="R2" s="8">
        <f>SUMIF(累计考核费用!$B$107:$B$156,原格式费用考核表!$B2,累计考核费用!T$107:T$156)/10000+累计考核费用!T116/10000</f>
        <v>14.479756</v>
      </c>
      <c r="S2" s="8">
        <f>SUMIF(累计考核费用!$B$107:$B$156,原格式费用考核表!$B2,累计考核费用!U$107:U$156)/10000+累计考核费用!U116/10000</f>
        <v>180.03808099999998</v>
      </c>
      <c r="T2" s="8" t="e">
        <f>SUMIF(累计考核费用!$B$107:$B$156,原格式费用考核表!$B2,累计考核费用!#REF!)/10000+累计考核费用!#REF!/10000</f>
        <v>#REF!</v>
      </c>
      <c r="U2" s="8">
        <f>SUMIF(累计考核费用!$B$107:$B$156,原格式费用考核表!$B2,累计考核费用!V$107:V$156)/10000+累计考核费用!V116/10000</f>
        <v>51.425222999999995</v>
      </c>
      <c r="V2" s="8">
        <f>SUMIF(累计考核费用!$B$107:$B$156,原格式费用考核表!$B2,累计考核费用!W$107:W$156)/10000+累计考核费用!W116/10000</f>
        <v>68.321542000000008</v>
      </c>
      <c r="W2" s="8">
        <f>SUMIF(累计考核费用!$B$107:$B$156,原格式费用考核表!$B2,累计考核费用!AB$107:AB$156)/10000+累计考核费用!AB116/10000</f>
        <v>0</v>
      </c>
      <c r="X2" s="8" t="e">
        <f>SUMIF(累计考核费用!$B$107:$B$156,原格式费用考核表!$B2,累计考核费用!#REF!)/10000+累计考核费用!#REF!/10000</f>
        <v>#REF!</v>
      </c>
      <c r="Y2" s="8" t="e">
        <f>SUMIF(累计考核费用!$B$107:$B$156,原格式费用考核表!$B2,累计考核费用!#REF!)/10000+累计考核费用!#REF!/10000</f>
        <v>#REF!</v>
      </c>
      <c r="Z2" s="8" t="e">
        <f>SUMIF(累计考核费用!$B$107:$B$156,原格式费用考核表!$B2,累计考核费用!#REF!)/10000+累计考核费用!#REF!/10000</f>
        <v>#REF!</v>
      </c>
      <c r="AA2" s="8">
        <f>SUMIF(累计考核费用!$B$107:$B$156,原格式费用考核表!$B2,累计考核费用!AC$107:AC$156)/10000+累计考核费用!AC116/10000</f>
        <v>39.182839999999999</v>
      </c>
      <c r="AB2" s="8" t="e">
        <f>SUMIF(累计考核费用!$B$107:$B$156,原格式费用考核表!$B2,累计考核费用!#REF!)/10000+累计考核费用!#REF!/10000</f>
        <v>#REF!</v>
      </c>
    </row>
    <row r="3" spans="1:28" s="2" customFormat="1" ht="12" customHeight="1">
      <c r="A3" s="437"/>
      <c r="B3" s="7" t="s">
        <v>89</v>
      </c>
      <c r="C3" s="7" t="s">
        <v>89</v>
      </c>
      <c r="D3" s="8">
        <f>SUMIF(累计考核费用!$B$107:$B$156,原格式费用考核表!$B3,累计考核费用!C$107:C$156)/10000</f>
        <v>16.51923</v>
      </c>
      <c r="E3" s="8">
        <f>SUMIF(累计考核费用!$B$107:$B$156,原格式费用考核表!$B3,累计考核费用!D$107:D$156)/10000</f>
        <v>0</v>
      </c>
      <c r="F3" s="8">
        <f>SUMIF(累计考核费用!$B$107:$B$156,原格式费用考核表!$B3,累计考核费用!E$107:E$156)/10000</f>
        <v>7.5703989999999992</v>
      </c>
      <c r="G3" s="8">
        <f>SUMIF(累计考核费用!$B$107:$B$156,原格式费用考核表!$B3,累计考核费用!F$107:F$156)/10000</f>
        <v>3.007981</v>
      </c>
      <c r="H3" s="8">
        <f>SUMIF(累计考核费用!$B$107:$B$156,原格式费用考核表!$B3,累计考核费用!G$107:G$156)/10000</f>
        <v>0.63700000000000001</v>
      </c>
      <c r="I3" s="8">
        <f>SUMIF(累计考核费用!$B$107:$B$156,原格式费用考核表!$B3,累计考核费用!L$107:L$156)/10000</f>
        <v>-1.3347999999999999E-2</v>
      </c>
      <c r="J3" s="8">
        <f>SUMIF(累计考核费用!$B$107:$B$156,原格式费用考核表!$B3,累计考核费用!M$107:M$156)/10000</f>
        <v>0</v>
      </c>
      <c r="K3" s="8">
        <f>SUMIF(累计考核费用!$B$107:$B$156,原格式费用考核表!$B3,累计考核费用!Q$107:Q$156)/10000</f>
        <v>7.6999999999999999E-2</v>
      </c>
      <c r="L3" s="8">
        <f>SUMIF(累计考核费用!$B$107:$B$156,原格式费用考核表!$B3,累计考核费用!P$107:P$156)/10000</f>
        <v>0</v>
      </c>
      <c r="M3" s="8">
        <f>SUMIF(累计考核费用!$B$107:$B$156,原格式费用考核表!$B3,累计考核费用!O$107:O$156)/10000</f>
        <v>0</v>
      </c>
      <c r="N3" s="8">
        <f>SUMIF(累计考核费用!$B$107:$B$156,原格式费用考核表!$B3,累计考核费用!R$107:R$156)/10000</f>
        <v>7.6999999999999999E-2</v>
      </c>
      <c r="O3" s="8" t="e">
        <f>SUMIF(累计考核费用!$B$107:$B$156,原格式费用考核表!$B3,累计考核费用!#REF!)/10000</f>
        <v>#REF!</v>
      </c>
      <c r="P3" s="8">
        <f>SUMIF(累计考核费用!$B$107:$B$156,原格式费用考核表!$B3,累计考核费用!S$107:S$156)/10000</f>
        <v>0</v>
      </c>
      <c r="Q3" s="8" t="e">
        <f>SUMIF(累计考核费用!$B$107:$B$156,原格式费用考核表!$B3,累计考核费用!#REF!)/10000</f>
        <v>#REF!</v>
      </c>
      <c r="R3" s="8">
        <f>SUMIF(累计考核费用!$B$107:$B$156,原格式费用考核表!$B3,累计考核费用!T$107:T$156)/10000</f>
        <v>3.5000000000000001E-3</v>
      </c>
      <c r="S3" s="8">
        <f>SUMIF(累计考核费用!$B$107:$B$156,原格式费用考核表!$B3,累计考核费用!U$107:U$156)/10000</f>
        <v>2.4341409999999999</v>
      </c>
      <c r="T3" s="8" t="e">
        <f>SUMIF(累计考核费用!$B$107:$B$156,原格式费用考核表!$B3,累计考核费用!#REF!)/10000</f>
        <v>#REF!</v>
      </c>
      <c r="U3" s="8">
        <f>SUMIF(累计考核费用!$B$107:$B$156,原格式费用考核表!$B3,累计考核费用!V$107:V$156)/10000</f>
        <v>1.3436410000000001</v>
      </c>
      <c r="V3" s="8">
        <f>SUMIF(累计考核费用!$B$107:$B$156,原格式费用考核表!$B3,累计考核费用!W$107:W$156)/10000</f>
        <v>0.60550000000000004</v>
      </c>
      <c r="W3" s="8">
        <f>SUMIF(累计考核费用!$B$107:$B$156,原格式费用考核表!$B3,累计考核费用!AB$107:AB$156)/10000</f>
        <v>0</v>
      </c>
      <c r="X3" s="8" t="e">
        <f>SUMIF(累计考核费用!$B$107:$B$156,原格式费用考核表!$B3,累计考核费用!#REF!)/10000</f>
        <v>#REF!</v>
      </c>
      <c r="Y3" s="8" t="e">
        <f>SUMIF(累计考核费用!$B$107:$B$156,原格式费用考核表!$B3,累计考核费用!#REF!)/10000</f>
        <v>#REF!</v>
      </c>
      <c r="Z3" s="8" t="e">
        <f>SUMIF(累计考核费用!$B$107:$B$156,原格式费用考核表!$B3,累计考核费用!#REF!)/10000</f>
        <v>#REF!</v>
      </c>
      <c r="AA3" s="8">
        <f>SUMIF(累计考核费用!$B$107:$B$156,原格式费用考核表!$B3,累计考核费用!AC$107:AC$156)/10000</f>
        <v>1.2949889999999999</v>
      </c>
      <c r="AB3" s="8" t="e">
        <f>SUMIF(累计考核费用!$B$107:$B$156,原格式费用考核表!$B3,累计考核费用!#REF!)/10000</f>
        <v>#REF!</v>
      </c>
    </row>
    <row r="4" spans="1:28" s="2" customFormat="1" ht="12" customHeight="1">
      <c r="A4" s="437"/>
      <c r="B4" s="7" t="s">
        <v>90</v>
      </c>
      <c r="C4" s="7" t="s">
        <v>90</v>
      </c>
      <c r="D4" s="8">
        <f>SUMIF(累计考核费用!$B$107:$B$156,原格式费用考核表!$B4,累计考核费用!C$107:C$156)/10000</f>
        <v>37.232119999999995</v>
      </c>
      <c r="E4" s="8">
        <f>SUMIF(累计考核费用!$B$107:$B$156,原格式费用考核表!$B4,累计考核费用!D$107:D$156)/10000</f>
        <v>0</v>
      </c>
      <c r="F4" s="8">
        <f>SUMIF(累计考核费用!$B$107:$B$156,原格式费用考核表!$B4,累计考核费用!E$107:E$156)/10000</f>
        <v>7.8823350000000003</v>
      </c>
      <c r="G4" s="8">
        <f>SUMIF(累计考核费用!$B$107:$B$156,原格式费用考核表!$B4,累计考核费用!F$107:F$156)/10000</f>
        <v>20.537271</v>
      </c>
      <c r="H4" s="8">
        <f>SUMIF(累计考核费用!$B$107:$B$156,原格式费用考核表!$B4,累计考核费用!G$107:G$156)/10000</f>
        <v>0.386071</v>
      </c>
      <c r="I4" s="8">
        <f>SUMIF(累计考核费用!$B$107:$B$156,原格式费用考核表!$B4,累计考核费用!L$107:L$156)/10000</f>
        <v>0.75356599999999996</v>
      </c>
      <c r="J4" s="8">
        <f>SUMIF(累计考核费用!$B$107:$B$156,原格式费用考核表!$B4,累计考核费用!M$107:M$156)/10000</f>
        <v>0.19100999999999999</v>
      </c>
      <c r="K4" s="8">
        <f>SUMIF(累计考核费用!$B$107:$B$156,原格式费用考核表!$B4,累计考核费用!Q$107:Q$156)/10000</f>
        <v>0.69225999999999999</v>
      </c>
      <c r="L4" s="8">
        <f>SUMIF(累计考核费用!$B$107:$B$156,原格式费用考核表!$B4,累计考核费用!P$107:P$156)/10000</f>
        <v>0.11149200000000001</v>
      </c>
      <c r="M4" s="8">
        <f>SUMIF(累计考核费用!$B$107:$B$156,原格式费用考核表!$B4,累计考核费用!O$107:O$156)/10000</f>
        <v>0.17410599999999998</v>
      </c>
      <c r="N4" s="8">
        <f>SUMIF(累计考核费用!$B$107:$B$156,原格式费用考核表!$B4,累计考核费用!R$107:R$156)/10000</f>
        <v>0.31107299999999999</v>
      </c>
      <c r="O4" s="8" t="e">
        <f>SUMIF(累计考核费用!$B$107:$B$156,原格式费用考核表!$B4,累计考核费用!#REF!)/10000</f>
        <v>#REF!</v>
      </c>
      <c r="P4" s="8">
        <f>SUMIF(累计考核费用!$B$107:$B$156,原格式费用考核表!$B4,累计考核费用!S$107:S$156)/10000</f>
        <v>0.381187</v>
      </c>
      <c r="Q4" s="8" t="e">
        <f>SUMIF(累计考核费用!$B$107:$B$156,原格式费用考核表!$B4,累计考核费用!#REF!)/10000</f>
        <v>#REF!</v>
      </c>
      <c r="R4" s="8">
        <f>SUMIF(累计考核费用!$B$107:$B$156,原格式费用考核表!$B4,累计考核费用!T$107:T$156)/10000</f>
        <v>0.220135</v>
      </c>
      <c r="S4" s="8">
        <f>SUMIF(累计考核费用!$B$107:$B$156,原格式费用考核表!$B4,累计考核费用!U$107:U$156)/10000</f>
        <v>3.6007609999999994</v>
      </c>
      <c r="T4" s="8" t="e">
        <f>SUMIF(累计考核费用!$B$107:$B$156,原格式费用考核表!$B4,累计考核费用!#REF!)/10000</f>
        <v>#REF!</v>
      </c>
      <c r="U4" s="8">
        <f>SUMIF(累计考核费用!$B$107:$B$156,原格式费用考核表!$B4,累计考核费用!V$107:V$156)/10000</f>
        <v>1.0285040000000001</v>
      </c>
      <c r="V4" s="8">
        <f>SUMIF(累计考核费用!$B$107:$B$156,原格式费用考核表!$B4,累计考核费用!W$107:W$156)/10000</f>
        <v>1.366431</v>
      </c>
      <c r="W4" s="8">
        <f>SUMIF(累计考核费用!$B$107:$B$156,原格式费用考核表!$B4,累计考核费用!AB$107:AB$156)/10000</f>
        <v>0</v>
      </c>
      <c r="X4" s="8" t="e">
        <f>SUMIF(累计考核费用!$B$107:$B$156,原格式费用考核表!$B4,累计考核费用!#REF!)/10000</f>
        <v>#REF!</v>
      </c>
      <c r="Y4" s="8" t="e">
        <f>SUMIF(累计考核费用!$B$107:$B$156,原格式费用考核表!$B4,累计考核费用!#REF!)/10000</f>
        <v>#REF!</v>
      </c>
      <c r="Z4" s="8" t="e">
        <f>SUMIF(累计考核费用!$B$107:$B$156,原格式费用考核表!$B4,累计考核费用!#REF!)/10000</f>
        <v>#REF!</v>
      </c>
      <c r="AA4" s="8">
        <f>SUMIF(累计考核费用!$B$107:$B$156,原格式费用考核表!$B4,累计考核费用!AC$107:AC$156)/10000</f>
        <v>0.76325799999999999</v>
      </c>
      <c r="AB4" s="8" t="e">
        <f>SUMIF(累计考核费用!$B$107:$B$156,原格式费用考核表!$B4,累计考核费用!#REF!)/10000</f>
        <v>#REF!</v>
      </c>
    </row>
    <row r="5" spans="1:28" s="2" customFormat="1" ht="12" customHeight="1">
      <c r="A5" s="437"/>
      <c r="B5" s="7" t="s">
        <v>92</v>
      </c>
      <c r="C5" s="7" t="s">
        <v>91</v>
      </c>
      <c r="D5" s="8">
        <f>SUMIF(累计考核费用!$B$107:$B$156,原格式费用考核表!$B5,累计考核费用!C$107:C$156)/10000</f>
        <v>525.69741699999986</v>
      </c>
      <c r="E5" s="8">
        <f>SUMIF(累计考核费用!$B$107:$B$156,原格式费用考核表!$B5,累计考核费用!D$107:D$156)/10000</f>
        <v>0</v>
      </c>
      <c r="F5" s="8">
        <f>SUMIF(累计考核费用!$B$107:$B$156,原格式费用考核表!$B5,累计考核费用!E$107:E$156)/10000</f>
        <v>132.936545</v>
      </c>
      <c r="G5" s="8">
        <f>SUMIF(累计考核费用!$B$107:$B$156,原格式费用考核表!$B5,累计考核费用!F$107:F$156)/10000</f>
        <v>247.81070600000001</v>
      </c>
      <c r="H5" s="8">
        <f>SUMIF(累计考核费用!$B$107:$B$156,原格式费用考核表!$B5,累计考核费用!G$107:G$156)/10000</f>
        <v>8.0750130000000002</v>
      </c>
      <c r="I5" s="8">
        <f>SUMIF(累计考核费用!$B$107:$B$156,原格式费用考核表!$B5,累计考核费用!L$107:L$156)/10000</f>
        <v>11.335188</v>
      </c>
      <c r="J5" s="8">
        <f>SUMIF(累计考核费用!$B$107:$B$156,原格式费用考核表!$B5,累计考核费用!M$107:M$156)/10000</f>
        <v>2.532464</v>
      </c>
      <c r="K5" s="8">
        <f>SUMIF(累计考核费用!$B$107:$B$156,原格式费用考核表!$B5,累计考核费用!Q$107:Q$156)/10000</f>
        <v>9.4724310000000003</v>
      </c>
      <c r="L5" s="8">
        <f>SUMIF(累计考核费用!$B$107:$B$156,原格式费用考核表!$B5,累计考核费用!P$107:P$156)/10000</f>
        <v>1.6463589999999999</v>
      </c>
      <c r="M5" s="8">
        <f>SUMIF(累计考核费用!$B$107:$B$156,原格式费用考核表!$B5,累计考核费用!O$107:O$156)/10000</f>
        <v>2.9608790000000003</v>
      </c>
      <c r="N5" s="8">
        <f>SUMIF(累计考核费用!$B$107:$B$156,原格式费用考核表!$B5,累计考核费用!R$107:R$156)/10000</f>
        <v>4.5855769999999998</v>
      </c>
      <c r="O5" s="8" t="e">
        <f>SUMIF(累计考核费用!$B$107:$B$156,原格式费用考核表!$B5,累计考核费用!#REF!)/10000</f>
        <v>#REF!</v>
      </c>
      <c r="P5" s="8">
        <f>SUMIF(累计考核费用!$B$107:$B$156,原格式费用考核表!$B5,累计考核费用!S$107:S$156)/10000</f>
        <v>4.8868540000000005</v>
      </c>
      <c r="Q5" s="8" t="e">
        <f>SUMIF(累计考核费用!$B$107:$B$156,原格式费用考核表!$B5,累计考核费用!#REF!)/10000</f>
        <v>#REF!</v>
      </c>
      <c r="R5" s="8">
        <f>SUMIF(累计考核费用!$B$107:$B$156,原格式费用考核表!$B5,累计考核费用!T$107:T$156)/10000</f>
        <v>4.162814</v>
      </c>
      <c r="S5" s="8">
        <f>SUMIF(累计考核费用!$B$107:$B$156,原格式费用考核表!$B5,累计考核费用!U$107:U$156)/10000</f>
        <v>61.327849999999998</v>
      </c>
      <c r="T5" s="8" t="e">
        <f>SUMIF(累计考核费用!$B$107:$B$156,原格式费用考核表!$B5,累计考核费用!#REF!)/10000</f>
        <v>#REF!</v>
      </c>
      <c r="U5" s="8">
        <f>SUMIF(累计考核费用!$B$107:$B$156,原格式费用考核表!$B5,累计考核费用!V$107:V$156)/10000</f>
        <v>19.419798999999998</v>
      </c>
      <c r="V5" s="8">
        <f>SUMIF(累计考核费用!$B$107:$B$156,原格式费用考核表!$B5,累计考核费用!W$107:W$156)/10000</f>
        <v>19.507832999999998</v>
      </c>
      <c r="W5" s="8">
        <f>SUMIF(累计考核费用!$B$107:$B$156,原格式费用考核表!$B5,累计考核费用!AB$107:AB$156)/10000</f>
        <v>0</v>
      </c>
      <c r="X5" s="8" t="e">
        <f>SUMIF(累计考核费用!$B$107:$B$156,原格式费用考核表!$B5,累计考核费用!#REF!)/10000</f>
        <v>#REF!</v>
      </c>
      <c r="Y5" s="8" t="e">
        <f>SUMIF(累计考核费用!$B$107:$B$156,原格式费用考核表!$B5,累计考核费用!#REF!)/10000</f>
        <v>#REF!</v>
      </c>
      <c r="Z5" s="8" t="e">
        <f>SUMIF(累计考核费用!$B$107:$B$156,原格式费用考核表!$B5,累计考核费用!#REF!)/10000</f>
        <v>#REF!</v>
      </c>
      <c r="AA5" s="8">
        <f>SUMIF(累计考核费用!$B$107:$B$156,原格式费用考核表!$B5,累计考核费用!AC$107:AC$156)/10000</f>
        <v>13.48054</v>
      </c>
      <c r="AB5" s="8" t="e">
        <f>SUMIF(累计考核费用!$B$107:$B$156,原格式费用考核表!$B5,累计考核费用!#REF!)/10000</f>
        <v>#REF!</v>
      </c>
    </row>
    <row r="6" spans="1:28" s="2" customFormat="1" ht="12" customHeight="1">
      <c r="A6" s="437"/>
      <c r="B6" s="7" t="s">
        <v>93</v>
      </c>
      <c r="C6" s="7" t="s">
        <v>92</v>
      </c>
      <c r="D6" s="8">
        <f>SUMIF(累计考核费用!$B$107:$B$156,原格式费用考核表!$B6,累计考核费用!C$107:C$156)/10000</f>
        <v>0</v>
      </c>
      <c r="E6" s="8">
        <f>SUMIF(累计考核费用!$B$107:$B$156,原格式费用考核表!$B6,累计考核费用!D$107:D$156)/10000</f>
        <v>0</v>
      </c>
      <c r="F6" s="8">
        <f>SUMIF(累计考核费用!$B$107:$B$156,原格式费用考核表!$B6,累计考核费用!E$107:E$156)/10000</f>
        <v>0</v>
      </c>
      <c r="G6" s="8">
        <f>SUMIF(累计考核费用!$B$107:$B$156,原格式费用考核表!$B6,累计考核费用!F$107:F$156)/10000</f>
        <v>0</v>
      </c>
      <c r="H6" s="8">
        <f>SUMIF(累计考核费用!$B$107:$B$156,原格式费用考核表!$B6,累计考核费用!G$107:G$156)/10000</f>
        <v>0</v>
      </c>
      <c r="I6" s="8">
        <f>SUMIF(累计考核费用!$B$107:$B$156,原格式费用考核表!$B6,累计考核费用!L$107:L$156)/10000</f>
        <v>0</v>
      </c>
      <c r="J6" s="8">
        <f>SUMIF(累计考核费用!$B$107:$B$156,原格式费用考核表!$B6,累计考核费用!M$107:M$156)/10000</f>
        <v>0</v>
      </c>
      <c r="K6" s="8">
        <f>SUMIF(累计考核费用!$B$107:$B$156,原格式费用考核表!$B6,累计考核费用!Q$107:Q$156)/10000</f>
        <v>0</v>
      </c>
      <c r="L6" s="8">
        <f>SUMIF(累计考核费用!$B$107:$B$156,原格式费用考核表!$B6,累计考核费用!P$107:P$156)/10000</f>
        <v>0</v>
      </c>
      <c r="M6" s="8">
        <f>SUMIF(累计考核费用!$B$107:$B$156,原格式费用考核表!$B6,累计考核费用!O$107:O$156)/10000</f>
        <v>0</v>
      </c>
      <c r="N6" s="8">
        <f>SUMIF(累计考核费用!$B$107:$B$156,原格式费用考核表!$B6,累计考核费用!R$107:R$156)/10000</f>
        <v>0</v>
      </c>
      <c r="O6" s="8" t="e">
        <f>SUMIF(累计考核费用!$B$107:$B$156,原格式费用考核表!$B6,累计考核费用!#REF!)/10000</f>
        <v>#REF!</v>
      </c>
      <c r="P6" s="8">
        <f>SUMIF(累计考核费用!$B$107:$B$156,原格式费用考核表!$B6,累计考核费用!S$107:S$156)/10000</f>
        <v>0</v>
      </c>
      <c r="Q6" s="8" t="e">
        <f>SUMIF(累计考核费用!$B$107:$B$156,原格式费用考核表!$B6,累计考核费用!#REF!)/10000</f>
        <v>#REF!</v>
      </c>
      <c r="R6" s="8">
        <f>SUMIF(累计考核费用!$B$107:$B$156,原格式费用考核表!$B6,累计考核费用!T$107:T$156)/10000</f>
        <v>0</v>
      </c>
      <c r="S6" s="8">
        <f>SUMIF(累计考核费用!$B$107:$B$156,原格式费用考核表!$B6,累计考核费用!U$107:U$156)/10000</f>
        <v>0</v>
      </c>
      <c r="T6" s="8" t="e">
        <f>SUMIF(累计考核费用!$B$107:$B$156,原格式费用考核表!$B6,累计考核费用!#REF!)/10000</f>
        <v>#REF!</v>
      </c>
      <c r="U6" s="8">
        <f>SUMIF(累计考核费用!$B$107:$B$156,原格式费用考核表!$B6,累计考核费用!V$107:V$156)/10000</f>
        <v>0</v>
      </c>
      <c r="V6" s="8">
        <f>SUMIF(累计考核费用!$B$107:$B$156,原格式费用考核表!$B6,累计考核费用!W$107:W$156)/10000</f>
        <v>0</v>
      </c>
      <c r="W6" s="8">
        <f>SUMIF(累计考核费用!$B$107:$B$156,原格式费用考核表!$B6,累计考核费用!AB$107:AB$156)/10000</f>
        <v>0</v>
      </c>
      <c r="X6" s="8" t="e">
        <f>SUMIF(累计考核费用!$B$107:$B$156,原格式费用考核表!$B6,累计考核费用!#REF!)/10000</f>
        <v>#REF!</v>
      </c>
      <c r="Y6" s="8" t="e">
        <f>SUMIF(累计考核费用!$B$107:$B$156,原格式费用考核表!$B6,累计考核费用!#REF!)/10000</f>
        <v>#REF!</v>
      </c>
      <c r="Z6" s="8" t="e">
        <f>SUMIF(累计考核费用!$B$107:$B$156,原格式费用考核表!$B6,累计考核费用!#REF!)/10000</f>
        <v>#REF!</v>
      </c>
      <c r="AA6" s="8">
        <f>SUMIF(累计考核费用!$B$107:$B$156,原格式费用考核表!$B6,累计考核费用!AC$107:AC$156)/10000</f>
        <v>0</v>
      </c>
      <c r="AB6" s="8" t="e">
        <f>SUMIF(累计考核费用!$B$107:$B$156,原格式费用考核表!$B6,累计考核费用!#REF!)/10000</f>
        <v>#REF!</v>
      </c>
    </row>
    <row r="7" spans="1:28" s="2" customFormat="1" ht="12" customHeight="1">
      <c r="A7" s="437"/>
      <c r="B7" s="7" t="s">
        <v>94</v>
      </c>
      <c r="C7" s="7" t="s">
        <v>93</v>
      </c>
      <c r="D7" s="8">
        <f>SUMIF(累计考核费用!$B$107:$B$156,原格式费用考核表!$B7,累计考核费用!C$107:C$156)/10000</f>
        <v>3.0905779999999998</v>
      </c>
      <c r="E7" s="8">
        <f>SUMIF(累计考核费用!$B$107:$B$156,原格式费用考核表!$B7,累计考核费用!D$107:D$156)/10000</f>
        <v>0</v>
      </c>
      <c r="F7" s="8">
        <f>SUMIF(累计考核费用!$B$107:$B$156,原格式费用考核表!$B7,累计考核费用!E$107:E$156)/10000</f>
        <v>-0.15755</v>
      </c>
      <c r="G7" s="8">
        <f>SUMIF(累计考核费用!$B$107:$B$156,原格式费用考核表!$B7,累计考核费用!F$107:F$156)/10000</f>
        <v>3.5632280000000001</v>
      </c>
      <c r="H7" s="8">
        <f>SUMIF(累计考核费用!$B$107:$B$156,原格式费用考核表!$B7,累计考核费用!G$107:G$156)/10000</f>
        <v>0</v>
      </c>
      <c r="I7" s="8">
        <f>SUMIF(累计考核费用!$B$107:$B$156,原格式费用考核表!$B7,累计考核费用!L$107:L$156)/10000</f>
        <v>0</v>
      </c>
      <c r="J7" s="8">
        <f>SUMIF(累计考核费用!$B$107:$B$156,原格式费用考核表!$B7,累计考核费用!M$107:M$156)/10000</f>
        <v>0</v>
      </c>
      <c r="K7" s="8">
        <f>SUMIF(累计考核费用!$B$107:$B$156,原格式费用考核表!$B7,累计考核费用!Q$107:Q$156)/10000</f>
        <v>0</v>
      </c>
      <c r="L7" s="8">
        <f>SUMIF(累计考核费用!$B$107:$B$156,原格式费用考核表!$B7,累计考核费用!P$107:P$156)/10000</f>
        <v>0</v>
      </c>
      <c r="M7" s="8">
        <f>SUMIF(累计考核费用!$B$107:$B$156,原格式费用考核表!$B7,累计考核费用!O$107:O$156)/10000</f>
        <v>0</v>
      </c>
      <c r="N7" s="8">
        <f>SUMIF(累计考核费用!$B$107:$B$156,原格式费用考核表!$B7,累计考核费用!R$107:R$156)/10000</f>
        <v>0</v>
      </c>
      <c r="O7" s="8" t="e">
        <f>SUMIF(累计考核费用!$B$107:$B$156,原格式费用考核表!$B7,累计考核费用!#REF!)/10000</f>
        <v>#REF!</v>
      </c>
      <c r="P7" s="8">
        <f>SUMIF(累计考核费用!$B$107:$B$156,原格式费用考核表!$B7,累计考核费用!S$107:S$156)/10000</f>
        <v>0</v>
      </c>
      <c r="Q7" s="8" t="e">
        <f>SUMIF(累计考核费用!$B$107:$B$156,原格式费用考核表!$B7,累计考核费用!#REF!)/10000</f>
        <v>#REF!</v>
      </c>
      <c r="R7" s="8">
        <f>SUMIF(累计考核费用!$B$107:$B$156,原格式费用考核表!$B7,累计考核费用!T$107:T$156)/10000</f>
        <v>0</v>
      </c>
      <c r="S7" s="8">
        <f>SUMIF(累计考核费用!$B$107:$B$156,原格式费用考核表!$B7,累计考核费用!U$107:U$156)/10000</f>
        <v>-0.31509999999999999</v>
      </c>
      <c r="T7" s="8" t="e">
        <f>SUMIF(累计考核费用!$B$107:$B$156,原格式费用考核表!$B7,累计考核费用!#REF!)/10000</f>
        <v>#REF!</v>
      </c>
      <c r="U7" s="8">
        <f>SUMIF(累计考核费用!$B$107:$B$156,原格式费用考核表!$B7,累计考核费用!V$107:V$156)/10000</f>
        <v>0</v>
      </c>
      <c r="V7" s="8">
        <f>SUMIF(累计考核费用!$B$107:$B$156,原格式费用考核表!$B7,累计考核费用!W$107:W$156)/10000</f>
        <v>-0.31509999999999999</v>
      </c>
      <c r="W7" s="8">
        <f>SUMIF(累计考核费用!$B$107:$B$156,原格式费用考核表!$B7,累计考核费用!AB$107:AB$156)/10000</f>
        <v>0</v>
      </c>
      <c r="X7" s="8" t="e">
        <f>SUMIF(累计考核费用!$B$107:$B$156,原格式费用考核表!$B7,累计考核费用!#REF!)/10000</f>
        <v>#REF!</v>
      </c>
      <c r="Y7" s="8" t="e">
        <f>SUMIF(累计考核费用!$B$107:$B$156,原格式费用考核表!$B7,累计考核费用!#REF!)/10000</f>
        <v>#REF!</v>
      </c>
      <c r="Z7" s="8" t="e">
        <f>SUMIF(累计考核费用!$B$107:$B$156,原格式费用考核表!$B7,累计考核费用!#REF!)/10000</f>
        <v>#REF!</v>
      </c>
      <c r="AA7" s="8">
        <f>SUMIF(累计考核费用!$B$107:$B$156,原格式费用考核表!$B7,累计考核费用!AC$107:AC$156)/10000</f>
        <v>0</v>
      </c>
      <c r="AB7" s="8" t="e">
        <f>SUMIF(累计考核费用!$B$107:$B$156,原格式费用考核表!$B7,累计考核费用!#REF!)/10000</f>
        <v>#REF!</v>
      </c>
    </row>
    <row r="8" spans="1:28" s="2" customFormat="1" ht="12" customHeight="1">
      <c r="A8" s="437"/>
      <c r="B8" s="7" t="s">
        <v>95</v>
      </c>
      <c r="C8" s="7" t="s">
        <v>94</v>
      </c>
      <c r="D8" s="8">
        <f>SUMIF(累计考核费用!$B$107:$B$156,原格式费用考核表!$B8,累计考核费用!C$107:C$156)/10000</f>
        <v>19.616311</v>
      </c>
      <c r="E8" s="8">
        <f>SUMIF(累计考核费用!$B$107:$B$156,原格式费用考核表!$B8,累计考核费用!D$107:D$156)/10000</f>
        <v>0</v>
      </c>
      <c r="F8" s="8">
        <f>SUMIF(累计考核费用!$B$107:$B$156,原格式费用考核表!$B8,累计考核费用!E$107:E$156)/10000</f>
        <v>2.82769</v>
      </c>
      <c r="G8" s="8">
        <f>SUMIF(累计考核费用!$B$107:$B$156,原格式费用考核表!$B8,累计考核费用!F$107:F$156)/10000</f>
        <v>14.772620999999999</v>
      </c>
      <c r="H8" s="8">
        <f>SUMIF(累计考核费用!$B$107:$B$156,原格式费用考核表!$B8,累计考核费用!G$107:G$156)/10000</f>
        <v>0</v>
      </c>
      <c r="I8" s="8">
        <f>SUMIF(累计考核费用!$B$107:$B$156,原格式费用考核表!$B8,累计考核费用!L$107:L$156)/10000</f>
        <v>0.21</v>
      </c>
      <c r="J8" s="8">
        <f>SUMIF(累计考核费用!$B$107:$B$156,原格式费用考核表!$B8,累计考核费用!M$107:M$156)/10000</f>
        <v>0</v>
      </c>
      <c r="K8" s="8">
        <f>SUMIF(累计考核费用!$B$107:$B$156,原格式费用考核表!$B8,累计考核费用!Q$107:Q$156)/10000</f>
        <v>0</v>
      </c>
      <c r="L8" s="8">
        <f>SUMIF(累计考核费用!$B$107:$B$156,原格式费用考核表!$B8,累计考核费用!P$107:P$156)/10000</f>
        <v>0</v>
      </c>
      <c r="M8" s="8">
        <f>SUMIF(累计考核费用!$B$107:$B$156,原格式费用考核表!$B8,累计考核费用!O$107:O$156)/10000</f>
        <v>0.21</v>
      </c>
      <c r="N8" s="8">
        <f>SUMIF(累计考核费用!$B$107:$B$156,原格式费用考核表!$B8,累计考核费用!R$107:R$156)/10000</f>
        <v>0</v>
      </c>
      <c r="O8" s="8" t="e">
        <f>SUMIF(累计考核费用!$B$107:$B$156,原格式费用考核表!$B8,累计考核费用!#REF!)/10000</f>
        <v>#REF!</v>
      </c>
      <c r="P8" s="8">
        <f>SUMIF(累计考核费用!$B$107:$B$156,原格式费用考核表!$B8,累计考核费用!S$107:S$156)/10000</f>
        <v>0</v>
      </c>
      <c r="Q8" s="8" t="e">
        <f>SUMIF(累计考核费用!$B$107:$B$156,原格式费用考核表!$B8,累计考核费用!#REF!)/10000</f>
        <v>#REF!</v>
      </c>
      <c r="R8" s="8">
        <f>SUMIF(累计考核费用!$B$107:$B$156,原格式费用考核表!$B8,累计考核费用!T$107:T$156)/10000</f>
        <v>0</v>
      </c>
      <c r="S8" s="8">
        <f>SUMIF(累计考核费用!$B$107:$B$156,原格式费用考核表!$B8,累计考核费用!U$107:U$156)/10000</f>
        <v>0</v>
      </c>
      <c r="T8" s="8" t="e">
        <f>SUMIF(累计考核费用!$B$107:$B$156,原格式费用考核表!$B8,累计考核费用!#REF!)/10000</f>
        <v>#REF!</v>
      </c>
      <c r="U8" s="8">
        <f>SUMIF(累计考核费用!$B$107:$B$156,原格式费用考核表!$B8,累计考核费用!V$107:V$156)/10000</f>
        <v>0</v>
      </c>
      <c r="V8" s="8">
        <f>SUMIF(累计考核费用!$B$107:$B$156,原格式费用考核表!$B8,累计考核费用!W$107:W$156)/10000</f>
        <v>0</v>
      </c>
      <c r="W8" s="8">
        <f>SUMIF(累计考核费用!$B$107:$B$156,原格式费用考核表!$B8,累计考核费用!AB$107:AB$156)/10000</f>
        <v>0</v>
      </c>
      <c r="X8" s="8" t="e">
        <f>SUMIF(累计考核费用!$B$107:$B$156,原格式费用考核表!$B8,累计考核费用!#REF!)/10000</f>
        <v>#REF!</v>
      </c>
      <c r="Y8" s="8" t="e">
        <f>SUMIF(累计考核费用!$B$107:$B$156,原格式费用考核表!$B8,累计考核费用!#REF!)/10000</f>
        <v>#REF!</v>
      </c>
      <c r="Z8" s="8" t="e">
        <f>SUMIF(累计考核费用!$B$107:$B$156,原格式费用考核表!$B8,累计考核费用!#REF!)/10000</f>
        <v>#REF!</v>
      </c>
      <c r="AA8" s="8">
        <f>SUMIF(累计考核费用!$B$107:$B$156,原格式费用考核表!$B8,累计考核费用!AC$107:AC$156)/10000</f>
        <v>0</v>
      </c>
      <c r="AB8" s="8" t="e">
        <f>SUMIF(累计考核费用!$B$107:$B$156,原格式费用考核表!$B8,累计考核费用!#REF!)/10000</f>
        <v>#REF!</v>
      </c>
    </row>
    <row r="9" spans="1:28" s="2" customFormat="1" ht="12" customHeight="1">
      <c r="A9" s="437"/>
      <c r="B9" s="7" t="s">
        <v>138</v>
      </c>
      <c r="C9" s="7" t="s">
        <v>95</v>
      </c>
      <c r="D9" s="9">
        <f>D56</f>
        <v>50.166797000000003</v>
      </c>
      <c r="E9" s="9">
        <f t="shared" ref="E9:J9" si="0">E56</f>
        <v>0</v>
      </c>
      <c r="F9" s="9">
        <f t="shared" si="0"/>
        <v>19.743404000000002</v>
      </c>
      <c r="G9" s="9">
        <f t="shared" si="0"/>
        <v>21.382383000000001</v>
      </c>
      <c r="H9" s="9">
        <f t="shared" si="0"/>
        <v>1.2</v>
      </c>
      <c r="I9" s="9">
        <f t="shared" si="0"/>
        <v>4.3324100000000003</v>
      </c>
      <c r="J9" s="9">
        <f t="shared" si="0"/>
        <v>0.127</v>
      </c>
      <c r="K9" s="9"/>
      <c r="L9" s="9">
        <f>K56</f>
        <v>1.373904</v>
      </c>
      <c r="M9" s="9"/>
      <c r="N9" s="9">
        <f t="shared" ref="N9:AB9" si="1">L56</f>
        <v>0.91659999999999997</v>
      </c>
      <c r="O9" s="9">
        <f t="shared" si="1"/>
        <v>0</v>
      </c>
      <c r="P9" s="9">
        <f t="shared" si="1"/>
        <v>1.3539060000000001</v>
      </c>
      <c r="Q9" s="9">
        <f t="shared" si="1"/>
        <v>0.56100000000000005</v>
      </c>
      <c r="R9" s="9">
        <f t="shared" si="1"/>
        <v>0.8</v>
      </c>
      <c r="S9" s="9">
        <f t="shared" si="1"/>
        <v>0.999</v>
      </c>
      <c r="T9" s="9">
        <f t="shared" si="1"/>
        <v>0</v>
      </c>
      <c r="U9" s="9">
        <f t="shared" si="1"/>
        <v>0.16</v>
      </c>
      <c r="V9" s="9">
        <f t="shared" si="1"/>
        <v>0</v>
      </c>
      <c r="W9" s="9">
        <f t="shared" si="1"/>
        <v>0.83899999999999997</v>
      </c>
      <c r="X9" s="9">
        <f t="shared" si="1"/>
        <v>1.7096</v>
      </c>
      <c r="Y9" s="9">
        <f t="shared" si="1"/>
        <v>1.2290000000000001</v>
      </c>
      <c r="Z9" s="9">
        <f t="shared" si="1"/>
        <v>0.48060000000000003</v>
      </c>
      <c r="AA9" s="9">
        <f t="shared" si="1"/>
        <v>0</v>
      </c>
      <c r="AB9" s="9">
        <f t="shared" si="1"/>
        <v>0</v>
      </c>
    </row>
    <row r="10" spans="1:28" s="2" customFormat="1" ht="12" customHeight="1">
      <c r="A10" s="437"/>
      <c r="B10" s="7" t="s">
        <v>97</v>
      </c>
      <c r="C10" s="7" t="s">
        <v>96</v>
      </c>
      <c r="D10" s="8">
        <f>SUMIF(累计考核费用!$B$107:$B$156,原格式费用考核表!$B10,累计考核费用!C$107:C$156)/10000</f>
        <v>0</v>
      </c>
      <c r="E10" s="8">
        <f>SUMIF(累计考核费用!$B$107:$B$156,原格式费用考核表!$B10,累计考核费用!D$107:D$156)/10000</f>
        <v>0</v>
      </c>
      <c r="F10" s="8">
        <f>SUMIF(累计考核费用!$B$107:$B$156,原格式费用考核表!$B10,累计考核费用!E$107:E$156)/10000</f>
        <v>0</v>
      </c>
      <c r="G10" s="8">
        <f>SUMIF(累计考核费用!$B$107:$B$156,原格式费用考核表!$B10,累计考核费用!F$107:F$156)/10000</f>
        <v>0</v>
      </c>
      <c r="H10" s="8">
        <f>SUMIF(累计考核费用!$B$107:$B$156,原格式费用考核表!$B10,累计考核费用!G$107:G$156)/10000</f>
        <v>0</v>
      </c>
      <c r="I10" s="8">
        <f>SUMIF(累计考核费用!$B$107:$B$156,原格式费用考核表!$B10,累计考核费用!L$107:L$156)/10000</f>
        <v>0</v>
      </c>
      <c r="J10" s="8">
        <f>SUMIF(累计考核费用!$B$107:$B$156,原格式费用考核表!$B10,累计考核费用!M$107:M$156)/10000</f>
        <v>0</v>
      </c>
      <c r="K10" s="8">
        <f>SUMIF(累计考核费用!$B$107:$B$156,原格式费用考核表!$B10,累计考核费用!Q$107:Q$156)/10000</f>
        <v>0</v>
      </c>
      <c r="L10" s="8">
        <f>SUMIF(累计考核费用!$B$107:$B$156,原格式费用考核表!$B10,累计考核费用!P$107:P$156)/10000</f>
        <v>0</v>
      </c>
      <c r="M10" s="8">
        <f>SUMIF(累计考核费用!$B$107:$B$156,原格式费用考核表!$B10,累计考核费用!O$107:O$156)/10000</f>
        <v>0</v>
      </c>
      <c r="N10" s="8">
        <f>SUMIF(累计考核费用!$B$107:$B$156,原格式费用考核表!$B10,累计考核费用!R$107:R$156)/10000</f>
        <v>0</v>
      </c>
      <c r="O10" s="8" t="e">
        <f>SUMIF(累计考核费用!$B$107:$B$156,原格式费用考核表!$B10,累计考核费用!#REF!)/10000</f>
        <v>#REF!</v>
      </c>
      <c r="P10" s="8">
        <f>SUMIF(累计考核费用!$B$107:$B$156,原格式费用考核表!$B10,累计考核费用!S$107:S$156)/10000</f>
        <v>0</v>
      </c>
      <c r="Q10" s="8" t="e">
        <f>SUMIF(累计考核费用!$B$107:$B$156,原格式费用考核表!$B10,累计考核费用!#REF!)/10000</f>
        <v>#REF!</v>
      </c>
      <c r="R10" s="8">
        <f>SUMIF(累计考核费用!$B$107:$B$156,原格式费用考核表!$B10,累计考核费用!T$107:T$156)/10000</f>
        <v>0</v>
      </c>
      <c r="S10" s="8">
        <f>SUMIF(累计考核费用!$B$107:$B$156,原格式费用考核表!$B10,累计考核费用!U$107:U$156)/10000</f>
        <v>0</v>
      </c>
      <c r="T10" s="8" t="e">
        <f>SUMIF(累计考核费用!$B$107:$B$156,原格式费用考核表!$B10,累计考核费用!#REF!)/10000</f>
        <v>#REF!</v>
      </c>
      <c r="U10" s="8">
        <f>SUMIF(累计考核费用!$B$107:$B$156,原格式费用考核表!$B10,累计考核费用!V$107:V$156)/10000</f>
        <v>0</v>
      </c>
      <c r="V10" s="8">
        <f>SUMIF(累计考核费用!$B$107:$B$156,原格式费用考核表!$B10,累计考核费用!W$107:W$156)/10000</f>
        <v>0</v>
      </c>
      <c r="W10" s="8">
        <f>SUMIF(累计考核费用!$B$107:$B$156,原格式费用考核表!$B10,累计考核费用!AB$107:AB$156)/10000</f>
        <v>0</v>
      </c>
      <c r="X10" s="8" t="e">
        <f>SUMIF(累计考核费用!$B$107:$B$156,原格式费用考核表!$B10,累计考核费用!#REF!)/10000</f>
        <v>#REF!</v>
      </c>
      <c r="Y10" s="8" t="e">
        <f>SUMIF(累计考核费用!$B$107:$B$156,原格式费用考核表!$B10,累计考核费用!#REF!)/10000</f>
        <v>#REF!</v>
      </c>
      <c r="Z10" s="8" t="e">
        <f>SUMIF(累计考核费用!$B$107:$B$156,原格式费用考核表!$B10,累计考核费用!#REF!)/10000</f>
        <v>#REF!</v>
      </c>
      <c r="AA10" s="8">
        <f>SUMIF(累计考核费用!$B$107:$B$156,原格式费用考核表!$B10,累计考核费用!AC$107:AC$156)/10000</f>
        <v>0</v>
      </c>
      <c r="AB10" s="8" t="e">
        <f>SUMIF(累计考核费用!$B$107:$B$156,原格式费用考核表!$B10,累计考核费用!#REF!)/10000</f>
        <v>#REF!</v>
      </c>
    </row>
    <row r="11" spans="1:28" s="2" customFormat="1" ht="12" customHeight="1">
      <c r="A11" s="438"/>
      <c r="B11" s="7" t="s">
        <v>98</v>
      </c>
      <c r="C11" s="7" t="s">
        <v>97</v>
      </c>
      <c r="D11" s="10">
        <f t="shared" ref="D11:AB11" si="2">SUM(D2:D10)</f>
        <v>2275.0790129999996</v>
      </c>
      <c r="E11" s="10">
        <f t="shared" si="2"/>
        <v>0</v>
      </c>
      <c r="F11" s="10">
        <f t="shared" si="2"/>
        <v>577.67774199999997</v>
      </c>
      <c r="G11" s="10">
        <f t="shared" si="2"/>
        <v>1063.390046</v>
      </c>
      <c r="H11" s="10">
        <f t="shared" si="2"/>
        <v>29.601656999999999</v>
      </c>
      <c r="I11" s="10">
        <f t="shared" si="2"/>
        <v>54.086109000000008</v>
      </c>
      <c r="J11" s="10">
        <f t="shared" si="2"/>
        <v>12.400974</v>
      </c>
      <c r="K11" s="10">
        <f t="shared" si="2"/>
        <v>44.854692999999997</v>
      </c>
      <c r="L11" s="10">
        <f t="shared" si="2"/>
        <v>8.7063550000000003</v>
      </c>
      <c r="M11" s="10">
        <f t="shared" si="2"/>
        <v>11.840285000000002</v>
      </c>
      <c r="N11" s="10">
        <f t="shared" si="2"/>
        <v>21.443913999999999</v>
      </c>
      <c r="O11" s="10" t="e">
        <f t="shared" si="2"/>
        <v>#REF!</v>
      </c>
      <c r="P11" s="10">
        <f t="shared" si="2"/>
        <v>25.681284999999999</v>
      </c>
      <c r="Q11" s="10" t="e">
        <f t="shared" si="2"/>
        <v>#REF!</v>
      </c>
      <c r="R11" s="10">
        <f t="shared" si="2"/>
        <v>19.666205000000001</v>
      </c>
      <c r="S11" s="10">
        <f t="shared" si="2"/>
        <v>248.08473299999997</v>
      </c>
      <c r="T11" s="10" t="e">
        <f t="shared" si="2"/>
        <v>#REF!</v>
      </c>
      <c r="U11" s="10">
        <f t="shared" si="2"/>
        <v>73.377166999999986</v>
      </c>
      <c r="V11" s="10">
        <f t="shared" si="2"/>
        <v>89.48620600000001</v>
      </c>
      <c r="W11" s="10">
        <f t="shared" si="2"/>
        <v>0.83899999999999997</v>
      </c>
      <c r="X11" s="10" t="e">
        <f t="shared" si="2"/>
        <v>#REF!</v>
      </c>
      <c r="Y11" s="10" t="e">
        <f t="shared" si="2"/>
        <v>#REF!</v>
      </c>
      <c r="Z11" s="10" t="e">
        <f t="shared" si="2"/>
        <v>#REF!</v>
      </c>
      <c r="AA11" s="10">
        <f t="shared" si="2"/>
        <v>54.721626999999998</v>
      </c>
      <c r="AB11" s="10" t="e">
        <f t="shared" si="2"/>
        <v>#REF!</v>
      </c>
    </row>
    <row r="12" spans="1:28" s="2" customFormat="1" ht="12" customHeight="1">
      <c r="A12" s="439" t="s">
        <v>99</v>
      </c>
      <c r="B12" s="11" t="s">
        <v>100</v>
      </c>
      <c r="C12" s="11" t="s">
        <v>98</v>
      </c>
      <c r="D12" s="8">
        <f>SUMIF(累计考核费用!$B$107:$B$156,原格式费用考核表!$B12,累计考核费用!C$107:C$156)/10000</f>
        <v>195.55247000000003</v>
      </c>
      <c r="E12" s="8">
        <f>SUMIF(累计考核费用!$B$107:$B$156,原格式费用考核表!$B12,累计考核费用!D$107:D$156)/10000</f>
        <v>-21.134414000000003</v>
      </c>
      <c r="F12" s="8">
        <f>SUMIF(累计考核费用!$B$107:$B$156,原格式费用考核表!$B12,累计考核费用!E$107:E$156)/10000</f>
        <v>0</v>
      </c>
      <c r="G12" s="8">
        <f>SUMIF(累计考核费用!$B$107:$B$156,原格式费用考核表!$B12,累计考核费用!F$107:F$156)/10000</f>
        <v>195.55247000000003</v>
      </c>
      <c r="H12" s="8">
        <f>SUMIF(累计考核费用!$B$107:$B$156,原格式费用考核表!$B12,累计考核费用!G$107:G$156)/10000</f>
        <v>-5.5668559999999996</v>
      </c>
      <c r="I12" s="8">
        <f>SUMIF(累计考核费用!$B$107:$B$156,原格式费用考核表!$B12,累计考核费用!L$107:L$156)/10000</f>
        <v>26.701270000000001</v>
      </c>
      <c r="J12" s="8">
        <f>SUMIF(累计考核费用!$B$107:$B$156,原格式费用考核表!$B12,累计考核费用!M$107:M$156)/10000</f>
        <v>0</v>
      </c>
      <c r="K12" s="8">
        <f>SUMIF(累计考核费用!$B$107:$B$156,原格式费用考核表!$B12,累计考核费用!Q$107:Q$156)/10000</f>
        <v>0</v>
      </c>
      <c r="L12" s="8">
        <f>SUMIF(累计考核费用!$B$107:$B$156,原格式费用考核表!$B12,累计考核费用!P$107:P$156)/10000</f>
        <v>0</v>
      </c>
      <c r="M12" s="8">
        <f>SUMIF(累计考核费用!$B$107:$B$156,原格式费用考核表!$B12,累计考核费用!O$107:O$156)/10000</f>
        <v>26.701270000000001</v>
      </c>
      <c r="N12" s="8">
        <f>SUMIF(累计考核费用!$B$107:$B$156,原格式费用考核表!$B12,累计考核费用!R$107:R$156)/10000</f>
        <v>0</v>
      </c>
      <c r="O12" s="8" t="e">
        <f>SUMIF(累计考核费用!$B$107:$B$156,原格式费用考核表!$B12,累计考核费用!#REF!)/10000</f>
        <v>#REF!</v>
      </c>
      <c r="P12" s="8">
        <f>SUMIF(累计考核费用!$B$107:$B$156,原格式费用考核表!$B12,累计考核费用!S$107:S$156)/10000</f>
        <v>0</v>
      </c>
      <c r="Q12" s="8" t="e">
        <f>SUMIF(累计考核费用!$B$107:$B$156,原格式费用考核表!$B12,累计考核费用!#REF!)/10000</f>
        <v>#REF!</v>
      </c>
      <c r="R12" s="8">
        <f>SUMIF(累计考核费用!$B$107:$B$156,原格式费用考核表!$B12,累计考核费用!T$107:T$156)/10000</f>
        <v>0</v>
      </c>
      <c r="S12" s="8">
        <f>SUMIF(累计考核费用!$B$107:$B$156,原格式费用考核表!$B12,累计考核费用!U$107:U$156)/10000</f>
        <v>0</v>
      </c>
      <c r="T12" s="8" t="e">
        <f>SUMIF(累计考核费用!$B$107:$B$156,原格式费用考核表!$B12,累计考核费用!#REF!)/10000</f>
        <v>#REF!</v>
      </c>
      <c r="U12" s="8">
        <f>SUMIF(累计考核费用!$B$107:$B$156,原格式费用考核表!$B12,累计考核费用!V$107:V$156)/10000</f>
        <v>0</v>
      </c>
      <c r="V12" s="8">
        <f>SUMIF(累计考核费用!$B$107:$B$156,原格式费用考核表!$B12,累计考核费用!W$107:W$156)/10000</f>
        <v>0</v>
      </c>
      <c r="W12" s="8">
        <f>SUMIF(累计考核费用!$B$107:$B$156,原格式费用考核表!$B12,累计考核费用!AB$107:AB$156)/10000</f>
        <v>0</v>
      </c>
      <c r="X12" s="8" t="e">
        <f>SUMIF(累计考核费用!$B$107:$B$156,原格式费用考核表!$B12,累计考核费用!#REF!)/10000</f>
        <v>#REF!</v>
      </c>
      <c r="Y12" s="8" t="e">
        <f>SUMIF(累计考核费用!$B$107:$B$156,原格式费用考核表!$B12,累计考核费用!#REF!)/10000</f>
        <v>#REF!</v>
      </c>
      <c r="Z12" s="8" t="e">
        <f>SUMIF(累计考核费用!$B$107:$B$156,原格式费用考核表!$B12,累计考核费用!#REF!)/10000</f>
        <v>#REF!</v>
      </c>
      <c r="AA12" s="8">
        <f>SUMIF(累计考核费用!$B$107:$B$156,原格式费用考核表!$B12,累计考核费用!AC$107:AC$156)/10000</f>
        <v>0</v>
      </c>
      <c r="AB12" s="8" t="e">
        <f>SUMIF(累计考核费用!$B$107:$B$156,原格式费用考核表!$B12,累计考核费用!#REF!)/10000</f>
        <v>#REF!</v>
      </c>
    </row>
    <row r="13" spans="1:28" s="2" customFormat="1" ht="12" customHeight="1">
      <c r="A13" s="440"/>
      <c r="B13" s="11" t="s">
        <v>139</v>
      </c>
      <c r="C13" s="11" t="s">
        <v>100</v>
      </c>
      <c r="D13" s="8">
        <f>累计考核费用!C120/10000</f>
        <v>518.17656799999997</v>
      </c>
      <c r="E13" s="8">
        <v>1242</v>
      </c>
      <c r="F13" s="8">
        <f>累计考核费用!E120/10000</f>
        <v>0</v>
      </c>
      <c r="G13" s="8">
        <f>累计考核费用!F120/10000</f>
        <v>502.47722400000004</v>
      </c>
      <c r="H13" s="8">
        <f>累计考核费用!G120/10000</f>
        <v>0</v>
      </c>
      <c r="I13" s="8">
        <f>累计考核费用!L120/10000</f>
        <v>10.118080000000001</v>
      </c>
      <c r="J13" s="8">
        <f>累计考核费用!M120/10000</f>
        <v>0</v>
      </c>
      <c r="K13" s="8">
        <f>累计考核费用!Q120/10000</f>
        <v>0</v>
      </c>
      <c r="L13" s="8">
        <f>累计考核费用!P120/10000</f>
        <v>0</v>
      </c>
      <c r="M13" s="8">
        <f>累计考核费用!O120/10000</f>
        <v>10.118080000000001</v>
      </c>
      <c r="N13" s="8">
        <f>累计考核费用!R120/10000</f>
        <v>0</v>
      </c>
      <c r="O13" s="8" t="e">
        <f>累计考核费用!#REF!/10000</f>
        <v>#REF!</v>
      </c>
      <c r="P13" s="8">
        <f>累计考核费用!S120/10000</f>
        <v>0</v>
      </c>
      <c r="Q13" s="8" t="e">
        <f>累计考核费用!#REF!/10000</f>
        <v>#REF!</v>
      </c>
      <c r="R13" s="8">
        <f>累计考核费用!T120/10000</f>
        <v>0</v>
      </c>
      <c r="S13" s="8">
        <f>累计考核费用!U120/10000</f>
        <v>5.581264</v>
      </c>
      <c r="T13" s="8" t="e">
        <f>累计考核费用!#REF!/10000</f>
        <v>#REF!</v>
      </c>
      <c r="U13" s="8">
        <f>累计考核费用!V120/10000</f>
        <v>5.8252430000000004</v>
      </c>
      <c r="V13" s="8">
        <f>累计考核费用!W120/10000</f>
        <v>0</v>
      </c>
      <c r="W13" s="8">
        <f>累计考核费用!AB120/10000</f>
        <v>0</v>
      </c>
      <c r="X13" s="8" t="e">
        <f>累计考核费用!#REF!/10000</f>
        <v>#REF!</v>
      </c>
      <c r="Y13" s="8" t="e">
        <f>累计考核费用!#REF!/10000</f>
        <v>#REF!</v>
      </c>
      <c r="Z13" s="8" t="e">
        <f>累计考核费用!#REF!/10000</f>
        <v>#REF!</v>
      </c>
      <c r="AA13" s="8">
        <f>累计考核费用!AC120/10000</f>
        <v>0</v>
      </c>
      <c r="AB13" s="8" t="e">
        <f>累计考核费用!#REF!/10000</f>
        <v>#REF!</v>
      </c>
    </row>
    <row r="14" spans="1:28" s="2" customFormat="1" ht="12" customHeight="1">
      <c r="A14" s="440"/>
      <c r="B14" s="11" t="s">
        <v>102</v>
      </c>
      <c r="C14" s="11" t="s">
        <v>101</v>
      </c>
      <c r="D14" s="8">
        <f>SUMIF(累计考核费用!$B$107:$B$156,原格式费用考核表!$B14,累计考核费用!C$107:C$156)/10000</f>
        <v>74.474115999999995</v>
      </c>
      <c r="E14" s="8">
        <f>SUMIF(累计考核费用!$B$107:$B$156,原格式费用考核表!$B14,累计考核费用!D$107:D$156)/10000</f>
        <v>-84.819299999999998</v>
      </c>
      <c r="F14" s="8">
        <f>SUMIF(累计考核费用!$B$107:$B$156,原格式费用考核表!$B14,累计考核费用!E$107:E$156)/10000</f>
        <v>-52.877620999999998</v>
      </c>
      <c r="G14" s="8">
        <f>SUMIF(累计考核费用!$B$107:$B$156,原格式费用考核表!$B14,累计考核费用!F$107:F$156)/10000</f>
        <v>143.63788399999999</v>
      </c>
      <c r="H14" s="8">
        <f>SUMIF(累计考核费用!$B$107:$B$156,原格式费用考核表!$B14,累计考核费用!G$107:G$156)/10000</f>
        <v>1.504618</v>
      </c>
      <c r="I14" s="8">
        <f>SUMIF(累计考核费用!$B$107:$B$156,原格式费用考核表!$B14,累计考核费用!L$107:L$156)/10000</f>
        <v>30.493786</v>
      </c>
      <c r="J14" s="8">
        <f>SUMIF(累计考核费用!$B$107:$B$156,原格式费用考核表!$B14,累计考核费用!M$107:M$156)/10000</f>
        <v>9.4831570000000003</v>
      </c>
      <c r="K14" s="8">
        <f>SUMIF(累计考核费用!$B$107:$B$156,原格式费用考核表!$B14,累计考核费用!Q$107:Q$156)/10000</f>
        <v>-25.836477000000002</v>
      </c>
      <c r="L14" s="8">
        <f>SUMIF(累计考核费用!$B$107:$B$156,原格式费用考核表!$B14,累计考核费用!P$107:P$156)/10000</f>
        <v>1.0640080000000001</v>
      </c>
      <c r="M14" s="8">
        <f>SUMIF(累计考核费用!$B$107:$B$156,原格式费用考核表!$B14,累计考核费用!O$107:O$156)/10000</f>
        <v>1.8780299999999999</v>
      </c>
      <c r="N14" s="8">
        <f>SUMIF(累计考核费用!$B$107:$B$156,原格式费用考核表!$B14,累计考核费用!R$107:R$156)/10000</f>
        <v>-28.970482000000008</v>
      </c>
      <c r="O14" s="8" t="e">
        <f>SUMIF(累计考核费用!$B$107:$B$156,原格式费用考核表!$B14,累计考核费用!#REF!)/10000</f>
        <v>#REF!</v>
      </c>
      <c r="P14" s="8">
        <f>SUMIF(累计考核费用!$B$107:$B$156,原格式费用考核表!$B14,累计考核费用!S$107:S$156)/10000</f>
        <v>3.1340049999999997</v>
      </c>
      <c r="Q14" s="8" t="e">
        <f>SUMIF(累计考核费用!$B$107:$B$156,原格式费用考核表!$B14,累计考核费用!#REF!)/10000</f>
        <v>#REF!</v>
      </c>
      <c r="R14" s="8">
        <f>SUMIF(累计考核费用!$B$107:$B$156,原格式费用考核表!$B14,累计考核费用!T$107:T$156)/10000</f>
        <v>-8.2999999999999998E-5</v>
      </c>
      <c r="S14" s="8">
        <f>SUMIF(累计考核费用!$B$107:$B$156,原格式费用考核表!$B14,累计考核费用!U$107:U$156)/10000</f>
        <v>0.59018199999999998</v>
      </c>
      <c r="T14" s="8" t="e">
        <f>SUMIF(累计考核费用!$B$107:$B$156,原格式费用考核表!$B14,累计考核费用!#REF!)/10000</f>
        <v>#REF!</v>
      </c>
      <c r="U14" s="8">
        <f>SUMIF(累计考核费用!$B$107:$B$156,原格式费用考核表!$B14,累计考核费用!V$107:V$156)/10000</f>
        <v>-0.173013</v>
      </c>
      <c r="V14" s="8">
        <f>SUMIF(累计考核费用!$B$107:$B$156,原格式费用考核表!$B14,累计考核费用!W$107:W$156)/10000</f>
        <v>-1.8690000000000009E-2</v>
      </c>
      <c r="W14" s="8">
        <f>SUMIF(累计考核费用!$B$107:$B$156,原格式费用考核表!$B14,累计考核费用!AB$107:AB$156)/10000</f>
        <v>0</v>
      </c>
      <c r="X14" s="8" t="e">
        <f>SUMIF(累计考核费用!$B$107:$B$156,原格式费用考核表!$B14,累计考核费用!#REF!)/10000</f>
        <v>#REF!</v>
      </c>
      <c r="Y14" s="8" t="e">
        <f>SUMIF(累计考核费用!$B$107:$B$156,原格式费用考核表!$B14,累计考核费用!#REF!)/10000</f>
        <v>#REF!</v>
      </c>
      <c r="Z14" s="8" t="e">
        <f>SUMIF(累计考核费用!$B$107:$B$156,原格式费用考核表!$B14,累计考核费用!#REF!)/10000</f>
        <v>#REF!</v>
      </c>
      <c r="AA14" s="8">
        <f>SUMIF(累计考核费用!$B$107:$B$156,原格式费用考核表!$B14,累计考核费用!AC$107:AC$156)/10000</f>
        <v>0</v>
      </c>
      <c r="AB14" s="8" t="e">
        <f>SUMIF(累计考核费用!$B$107:$B$156,原格式费用考核表!$B14,累计考核费用!#REF!)/10000</f>
        <v>#REF!</v>
      </c>
    </row>
    <row r="15" spans="1:28" s="2" customFormat="1" ht="12" customHeight="1">
      <c r="A15" s="440"/>
      <c r="B15" s="11" t="s">
        <v>104</v>
      </c>
      <c r="C15" s="11" t="s">
        <v>102</v>
      </c>
      <c r="D15" s="8">
        <f>SUMIF(累计考核费用!$B$107:$B$156,原格式费用考核表!$B15,累计考核费用!C$107:C$156)/10000</f>
        <v>0</v>
      </c>
      <c r="E15" s="8">
        <f>SUMIF(累计考核费用!$B$107:$B$156,原格式费用考核表!$B15,累计考核费用!D$107:D$156)/10000</f>
        <v>0</v>
      </c>
      <c r="F15" s="8">
        <f>SUMIF(累计考核费用!$B$107:$B$156,原格式费用考核表!$B15,累计考核费用!E$107:E$156)/10000</f>
        <v>0</v>
      </c>
      <c r="G15" s="8">
        <f>SUMIF(累计考核费用!$B$107:$B$156,原格式费用考核表!$B15,累计考核费用!F$107:F$156)/10000</f>
        <v>0</v>
      </c>
      <c r="H15" s="8">
        <f>SUMIF(累计考核费用!$B$107:$B$156,原格式费用考核表!$B15,累计考核费用!G$107:G$156)/10000</f>
        <v>0</v>
      </c>
      <c r="I15" s="8">
        <f>SUMIF(累计考核费用!$B$107:$B$156,原格式费用考核表!$B15,累计考核费用!L$107:L$156)/10000</f>
        <v>0</v>
      </c>
      <c r="J15" s="8">
        <f>SUMIF(累计考核费用!$B$107:$B$156,原格式费用考核表!$B15,累计考核费用!M$107:M$156)/10000</f>
        <v>0</v>
      </c>
      <c r="K15" s="8">
        <f>SUMIF(累计考核费用!$B$107:$B$156,原格式费用考核表!$B15,累计考核费用!Q$107:Q$156)/10000</f>
        <v>0</v>
      </c>
      <c r="L15" s="8">
        <f>SUMIF(累计考核费用!$B$107:$B$156,原格式费用考核表!$B15,累计考核费用!P$107:P$156)/10000</f>
        <v>0</v>
      </c>
      <c r="M15" s="8">
        <f>SUMIF(累计考核费用!$B$107:$B$156,原格式费用考核表!$B15,累计考核费用!O$107:O$156)/10000</f>
        <v>0</v>
      </c>
      <c r="N15" s="8">
        <f>SUMIF(累计考核费用!$B$107:$B$156,原格式费用考核表!$B15,累计考核费用!R$107:R$156)/10000</f>
        <v>0</v>
      </c>
      <c r="O15" s="8" t="e">
        <f>SUMIF(累计考核费用!$B$107:$B$156,原格式费用考核表!$B15,累计考核费用!#REF!)/10000</f>
        <v>#REF!</v>
      </c>
      <c r="P15" s="8">
        <f>SUMIF(累计考核费用!$B$107:$B$156,原格式费用考核表!$B15,累计考核费用!S$107:S$156)/10000</f>
        <v>0</v>
      </c>
      <c r="Q15" s="8" t="e">
        <f>SUMIF(累计考核费用!$B$107:$B$156,原格式费用考核表!$B15,累计考核费用!#REF!)/10000</f>
        <v>#REF!</v>
      </c>
      <c r="R15" s="8">
        <f>SUMIF(累计考核费用!$B$107:$B$156,原格式费用考核表!$B15,累计考核费用!T$107:T$156)/10000</f>
        <v>0</v>
      </c>
      <c r="S15" s="8">
        <f>SUMIF(累计考核费用!$B$107:$B$156,原格式费用考核表!$B15,累计考核费用!U$107:U$156)/10000</f>
        <v>0</v>
      </c>
      <c r="T15" s="8" t="e">
        <f>SUMIF(累计考核费用!$B$107:$B$156,原格式费用考核表!$B15,累计考核费用!#REF!)/10000</f>
        <v>#REF!</v>
      </c>
      <c r="U15" s="8">
        <f>SUMIF(累计考核费用!$B$107:$B$156,原格式费用考核表!$B15,累计考核费用!V$107:V$156)/10000</f>
        <v>0</v>
      </c>
      <c r="V15" s="8">
        <f>SUMIF(累计考核费用!$B$107:$B$156,原格式费用考核表!$B15,累计考核费用!W$107:W$156)/10000</f>
        <v>0</v>
      </c>
      <c r="W15" s="8">
        <f>SUMIF(累计考核费用!$B$107:$B$156,原格式费用考核表!$B15,累计考核费用!AB$107:AB$156)/10000</f>
        <v>0</v>
      </c>
      <c r="X15" s="8" t="e">
        <f>SUMIF(累计考核费用!$B$107:$B$156,原格式费用考核表!$B15,累计考核费用!#REF!)/10000</f>
        <v>#REF!</v>
      </c>
      <c r="Y15" s="8" t="e">
        <f>SUMIF(累计考核费用!$B$107:$B$156,原格式费用考核表!$B15,累计考核费用!#REF!)/10000</f>
        <v>#REF!</v>
      </c>
      <c r="Z15" s="8" t="e">
        <f>SUMIF(累计考核费用!$B$107:$B$156,原格式费用考核表!$B15,累计考核费用!#REF!)/10000</f>
        <v>#REF!</v>
      </c>
      <c r="AA15" s="8">
        <f>SUMIF(累计考核费用!$B$107:$B$156,原格式费用考核表!$B15,累计考核费用!AC$107:AC$156)/10000</f>
        <v>0</v>
      </c>
      <c r="AB15" s="8" t="e">
        <f>SUMIF(累计考核费用!$B$107:$B$156,原格式费用考核表!$B15,累计考核费用!#REF!)/10000</f>
        <v>#REF!</v>
      </c>
    </row>
    <row r="16" spans="1:28" s="2" customFormat="1" ht="12" customHeight="1">
      <c r="A16" s="441"/>
      <c r="B16" s="11" t="s">
        <v>98</v>
      </c>
      <c r="C16" s="11" t="s">
        <v>103</v>
      </c>
      <c r="D16" s="10">
        <f t="shared" ref="D16:AB16" si="3">SUM(D12:D15)</f>
        <v>788.20315399999993</v>
      </c>
      <c r="E16" s="10">
        <f t="shared" si="3"/>
        <v>1136.0462859999998</v>
      </c>
      <c r="F16" s="10">
        <f t="shared" si="3"/>
        <v>-52.877620999999998</v>
      </c>
      <c r="G16" s="10">
        <f t="shared" si="3"/>
        <v>841.66757800000005</v>
      </c>
      <c r="H16" s="10">
        <f t="shared" si="3"/>
        <v>-4.0622379999999998</v>
      </c>
      <c r="I16" s="10">
        <f t="shared" si="3"/>
        <v>67.313136</v>
      </c>
      <c r="J16" s="10">
        <f t="shared" si="3"/>
        <v>9.4831570000000003</v>
      </c>
      <c r="K16" s="10">
        <f t="shared" si="3"/>
        <v>-25.836477000000002</v>
      </c>
      <c r="L16" s="10">
        <f t="shared" si="3"/>
        <v>1.0640080000000001</v>
      </c>
      <c r="M16" s="10">
        <f t="shared" si="3"/>
        <v>38.697380000000003</v>
      </c>
      <c r="N16" s="10">
        <f t="shared" si="3"/>
        <v>-28.970482000000008</v>
      </c>
      <c r="O16" s="10" t="e">
        <f t="shared" si="3"/>
        <v>#REF!</v>
      </c>
      <c r="P16" s="10">
        <f t="shared" si="3"/>
        <v>3.1340049999999997</v>
      </c>
      <c r="Q16" s="10" t="e">
        <f t="shared" si="3"/>
        <v>#REF!</v>
      </c>
      <c r="R16" s="10">
        <f t="shared" si="3"/>
        <v>-8.2999999999999998E-5</v>
      </c>
      <c r="S16" s="10">
        <f t="shared" si="3"/>
        <v>6.1714459999999995</v>
      </c>
      <c r="T16" s="10" t="e">
        <f t="shared" si="3"/>
        <v>#REF!</v>
      </c>
      <c r="U16" s="10">
        <f t="shared" si="3"/>
        <v>5.6522300000000003</v>
      </c>
      <c r="V16" s="10">
        <f t="shared" si="3"/>
        <v>-1.8690000000000009E-2</v>
      </c>
      <c r="W16" s="10">
        <f t="shared" si="3"/>
        <v>0</v>
      </c>
      <c r="X16" s="10" t="e">
        <f t="shared" si="3"/>
        <v>#REF!</v>
      </c>
      <c r="Y16" s="10" t="e">
        <f t="shared" si="3"/>
        <v>#REF!</v>
      </c>
      <c r="Z16" s="10" t="e">
        <f t="shared" si="3"/>
        <v>#REF!</v>
      </c>
      <c r="AA16" s="10">
        <f t="shared" si="3"/>
        <v>0</v>
      </c>
      <c r="AB16" s="10" t="e">
        <f t="shared" si="3"/>
        <v>#REF!</v>
      </c>
    </row>
    <row r="17" spans="1:28" s="2" customFormat="1" ht="12" customHeight="1">
      <c r="A17" s="442" t="s">
        <v>105</v>
      </c>
      <c r="B17" s="11" t="s">
        <v>106</v>
      </c>
      <c r="C17" s="11" t="s">
        <v>104</v>
      </c>
      <c r="D17" s="8">
        <f>SUMIF(累计考核费用!$B$107:$B$156,原格式费用考核表!$B17,累计考核费用!C$107:C$156)/10000</f>
        <v>140.66027199999999</v>
      </c>
      <c r="E17" s="8">
        <f>SUMIF(累计考核费用!$B$107:$B$156,原格式费用考核表!$B17,累计考核费用!D$107:D$156)/10000</f>
        <v>0</v>
      </c>
      <c r="F17" s="8">
        <f>SUMIF(累计考核费用!$B$107:$B$156,原格式费用考核表!$B17,累计考核费用!E$107:E$156)/10000</f>
        <v>11.533553999999999</v>
      </c>
      <c r="G17" s="8">
        <f>SUMIF(累计考核费用!$B$107:$B$156,原格式费用考核表!$B17,累计考核费用!F$107:F$156)/10000</f>
        <v>73.290789000000004</v>
      </c>
      <c r="H17" s="8">
        <f>SUMIF(累计考核费用!$B$107:$B$156,原格式费用考核表!$B17,累计考核费用!G$107:G$156)/10000</f>
        <v>3.5796000000000001</v>
      </c>
      <c r="I17" s="8">
        <f>SUMIF(累计考核费用!$B$107:$B$156,原格式费用考核表!$B17,累计考核费用!L$107:L$156)/10000</f>
        <v>3.5569000000000002</v>
      </c>
      <c r="J17" s="8">
        <f>SUMIF(累计考核费用!$B$107:$B$156,原格式费用考核表!$B17,累计考核费用!M$107:M$156)/10000</f>
        <v>0.74819999999999998</v>
      </c>
      <c r="K17" s="8">
        <f>SUMIF(累计考核费用!$B$107:$B$156,原格式费用考核表!$B17,累计考核费用!Q$107:Q$156)/10000</f>
        <v>0.40079999999999999</v>
      </c>
      <c r="L17" s="8">
        <f>SUMIF(累计考核费用!$B$107:$B$156,原格式费用考核表!$B17,累计考核费用!P$107:P$156)/10000</f>
        <v>0.45119999999999999</v>
      </c>
      <c r="M17" s="8">
        <f>SUMIF(累计考核费用!$B$107:$B$156,原格式费用考核表!$B17,累计考核费用!O$107:O$156)/10000</f>
        <v>2.2461000000000002</v>
      </c>
      <c r="N17" s="8">
        <f>SUMIF(累计考核费用!$B$107:$B$156,原格式费用考核表!$B17,累计考核费用!R$107:R$156)/10000</f>
        <v>0.17349999999999999</v>
      </c>
      <c r="O17" s="8" t="e">
        <f>SUMIF(累计考核费用!$B$107:$B$156,原格式费用考核表!$B17,累计考核费用!#REF!)/10000</f>
        <v>#REF!</v>
      </c>
      <c r="P17" s="8">
        <f>SUMIF(累计考核费用!$B$107:$B$156,原格式费用考核表!$B17,累计考核费用!S$107:S$156)/10000</f>
        <v>0.2273</v>
      </c>
      <c r="Q17" s="8" t="e">
        <f>SUMIF(累计考核费用!$B$107:$B$156,原格式费用考核表!$B17,累计考核费用!#REF!)/10000</f>
        <v>#REF!</v>
      </c>
      <c r="R17" s="8">
        <f>SUMIF(累计考核费用!$B$107:$B$156,原格式费用考核表!$B17,累计考核费用!T$107:T$156)/10000</f>
        <v>2.3601999999999999</v>
      </c>
      <c r="S17" s="8">
        <f>SUMIF(累计考核费用!$B$107:$B$156,原格式费用考核表!$B17,累计考核费用!U$107:U$156)/10000</f>
        <v>38.429357999999993</v>
      </c>
      <c r="T17" s="8" t="e">
        <f>SUMIF(累计考核费用!$B$107:$B$156,原格式费用考核表!$B17,累计考核费用!#REF!)/10000</f>
        <v>#REF!</v>
      </c>
      <c r="U17" s="8">
        <f>SUMIF(累计考核费用!$B$107:$B$156,原格式费用考核表!$B17,累计考核费用!V$107:V$156)/10000</f>
        <v>13.272226999999999</v>
      </c>
      <c r="V17" s="8">
        <f>SUMIF(累计考核费用!$B$107:$B$156,原格式费用考核表!$B17,累计考核费用!W$107:W$156)/10000</f>
        <v>2.2366000000000001</v>
      </c>
      <c r="W17" s="8">
        <f>SUMIF(累计考核费用!$B$107:$B$156,原格式费用考核表!$B17,累计考核费用!AB$107:AB$156)/10000</f>
        <v>0</v>
      </c>
      <c r="X17" s="8" t="e">
        <f>SUMIF(累计考核费用!$B$107:$B$156,原格式费用考核表!$B17,累计考核费用!#REF!)/10000</f>
        <v>#REF!</v>
      </c>
      <c r="Y17" s="8" t="e">
        <f>SUMIF(累计考核费用!$B$107:$B$156,原格式费用考核表!$B17,累计考核费用!#REF!)/10000</f>
        <v>#REF!</v>
      </c>
      <c r="Z17" s="8" t="e">
        <f>SUMIF(累计考核费用!$B$107:$B$156,原格式费用考核表!$B17,累计考核费用!#REF!)/10000</f>
        <v>#REF!</v>
      </c>
      <c r="AA17" s="8">
        <f>SUMIF(累计考核费用!$B$107:$B$156,原格式费用考核表!$B17,累计考核费用!AC$107:AC$156)/10000</f>
        <v>1.9409000000000001</v>
      </c>
      <c r="AB17" s="8" t="e">
        <f>SUMIF(累计考核费用!$B$107:$B$156,原格式费用考核表!$B17,累计考核费用!#REF!)/10000</f>
        <v>#REF!</v>
      </c>
    </row>
    <row r="18" spans="1:28" s="2" customFormat="1" ht="12" customHeight="1">
      <c r="A18" s="443"/>
      <c r="B18" s="11" t="s">
        <v>107</v>
      </c>
      <c r="C18" s="11" t="s">
        <v>98</v>
      </c>
      <c r="D18" s="8">
        <f>SUMIF(累计考核费用!$B$107:$B$156,原格式费用考核表!$B18,累计考核费用!C$107:C$156)/10000</f>
        <v>82.529221000000007</v>
      </c>
      <c r="E18" s="8">
        <f>SUMIF(累计考核费用!$B$107:$B$156,原格式费用考核表!$B18,累计考核费用!D$107:D$156)/10000</f>
        <v>0</v>
      </c>
      <c r="F18" s="8">
        <f>SUMIF(累计考核费用!$B$107:$B$156,原格式费用考核表!$B18,累计考核费用!E$107:E$156)/10000</f>
        <v>7.880739000000001</v>
      </c>
      <c r="G18" s="8">
        <f>SUMIF(累计考核费用!$B$107:$B$156,原格式费用考核表!$B18,累计考核费用!F$107:F$156)/10000</f>
        <v>10.076118000000001</v>
      </c>
      <c r="H18" s="8">
        <f>SUMIF(累计考核费用!$B$107:$B$156,原格式费用考核表!$B18,累计考核费用!G$107:G$156)/10000</f>
        <v>0.13420000000000001</v>
      </c>
      <c r="I18" s="8">
        <f>SUMIF(累计考核费用!$B$107:$B$156,原格式费用考核表!$B18,累计考核费用!L$107:L$156)/10000</f>
        <v>0.96697600000000006</v>
      </c>
      <c r="J18" s="8">
        <f>SUMIF(累计考核费用!$B$107:$B$156,原格式费用考核表!$B18,累计考核费用!M$107:M$156)/10000</f>
        <v>8.7875999999999996E-2</v>
      </c>
      <c r="K18" s="8">
        <f>SUMIF(累计考核费用!$B$107:$B$156,原格式费用考核表!$B18,累计考核费用!Q$107:Q$156)/10000</f>
        <v>0.36998000000000003</v>
      </c>
      <c r="L18" s="8">
        <f>SUMIF(累计考核费用!$B$107:$B$156,原格式费用考核表!$B18,累计考核费用!P$107:P$156)/10000</f>
        <v>0.38479999999999998</v>
      </c>
      <c r="M18" s="8">
        <f>SUMIF(累计考核费用!$B$107:$B$156,原格式费用考核表!$B18,累计考核费用!O$107:O$156)/10000</f>
        <v>0.40975</v>
      </c>
      <c r="N18" s="8">
        <f>SUMIF(累计考核费用!$B$107:$B$156,原格式费用考核表!$B18,累计考核费用!R$107:R$156)/10000</f>
        <v>0.141705</v>
      </c>
      <c r="O18" s="8" t="e">
        <f>SUMIF(累计考核费用!$B$107:$B$156,原格式费用考核表!$B18,累计考核费用!#REF!)/10000</f>
        <v>#REF!</v>
      </c>
      <c r="P18" s="8">
        <f>SUMIF(累计考核费用!$B$107:$B$156,原格式费用考核表!$B18,累计考核费用!S$107:S$156)/10000</f>
        <v>0.22827500000000001</v>
      </c>
      <c r="Q18" s="8" t="e">
        <f>SUMIF(累计考核费用!$B$107:$B$156,原格式费用考核表!$B18,累计考核费用!#REF!)/10000</f>
        <v>#REF!</v>
      </c>
      <c r="R18" s="8">
        <f>SUMIF(累计考核费用!$B$107:$B$156,原格式费用考核表!$B18,累计考核费用!T$107:T$156)/10000</f>
        <v>0.56762900000000005</v>
      </c>
      <c r="S18" s="8">
        <f>SUMIF(累计考核费用!$B$107:$B$156,原格式费用考核表!$B18,累计考核费用!U$107:U$156)/10000</f>
        <v>56.880431000000009</v>
      </c>
      <c r="T18" s="8" t="e">
        <f>SUMIF(累计考核费用!$B$107:$B$156,原格式费用考核表!$B18,累计考核费用!#REF!)/10000</f>
        <v>#REF!</v>
      </c>
      <c r="U18" s="8">
        <f>SUMIF(累计考核费用!$B$107:$B$156,原格式费用考核表!$B18,累计考核费用!V$107:V$156)/10000</f>
        <v>24.616585000000001</v>
      </c>
      <c r="V18" s="8">
        <f>SUMIF(累计考核费用!$B$107:$B$156,原格式费用考核表!$B18,累计考核费用!W$107:W$156)/10000</f>
        <v>9.5920820000000013</v>
      </c>
      <c r="W18" s="8">
        <f>SUMIF(累计考核费用!$B$107:$B$156,原格式费用考核表!$B18,累计考核费用!AB$107:AB$156)/10000</f>
        <v>0</v>
      </c>
      <c r="X18" s="8" t="e">
        <f>SUMIF(累计考核费用!$B$107:$B$156,原格式费用考核表!$B18,累计考核费用!#REF!)/10000</f>
        <v>#REF!</v>
      </c>
      <c r="Y18" s="8" t="e">
        <f>SUMIF(累计考核费用!$B$107:$B$156,原格式费用考核表!$B18,累计考核费用!#REF!)/10000</f>
        <v>#REF!</v>
      </c>
      <c r="Z18" s="8" t="e">
        <f>SUMIF(累计考核费用!$B$107:$B$156,原格式费用考核表!$B18,累计考核费用!#REF!)/10000</f>
        <v>#REF!</v>
      </c>
      <c r="AA18" s="8">
        <f>SUMIF(累计考核费用!$B$107:$B$156,原格式费用考核表!$B18,累计考核费用!AC$107:AC$156)/10000</f>
        <v>2.5546489999999999</v>
      </c>
      <c r="AB18" s="8" t="e">
        <f>SUMIF(累计考核费用!$B$107:$B$156,原格式费用考核表!$B18,累计考核费用!#REF!)/10000</f>
        <v>#REF!</v>
      </c>
    </row>
    <row r="19" spans="1:28" s="2" customFormat="1" ht="12" customHeight="1">
      <c r="A19" s="443"/>
      <c r="B19" s="11" t="s">
        <v>120</v>
      </c>
      <c r="C19" s="11" t="s">
        <v>106</v>
      </c>
      <c r="D19" s="8">
        <f>SUMIF(累计考核费用!$B$107:$B$156,原格式费用考核表!$B19,累计考核费用!C$107:C$156)/10000</f>
        <v>25.331612000000003</v>
      </c>
      <c r="E19" s="8">
        <f>SUMIF(累计考核费用!$B$107:$B$156,原格式费用考核表!$B19,累计考核费用!D$107:D$156)/10000</f>
        <v>0</v>
      </c>
      <c r="F19" s="8">
        <f>SUMIF(累计考核费用!$B$107:$B$156,原格式费用考核表!$B19,累计考核费用!E$107:E$156)/10000</f>
        <v>10.428570000000001</v>
      </c>
      <c r="G19" s="8">
        <f>SUMIF(累计考核费用!$B$107:$B$156,原格式费用考核表!$B19,累计考核费用!F$107:F$156)/10000</f>
        <v>12.752452</v>
      </c>
      <c r="H19" s="8">
        <f>SUMIF(累计考核费用!$B$107:$B$156,原格式费用考核表!$B19,累计考核费用!G$107:G$156)/10000</f>
        <v>0</v>
      </c>
      <c r="I19" s="8">
        <f>SUMIF(累计考核费用!$B$107:$B$156,原格式费用考核表!$B19,累计考核费用!L$107:L$156)/10000</f>
        <v>0.43728400000000001</v>
      </c>
      <c r="J19" s="8">
        <f>SUMIF(累计考核费用!$B$107:$B$156,原格式费用考核表!$B19,累计考核费用!M$107:M$156)/10000</f>
        <v>0.109321</v>
      </c>
      <c r="K19" s="8">
        <f>SUMIF(累计考核费用!$B$107:$B$156,原格式费用考核表!$B19,累计考核费用!Q$107:Q$156)/10000</f>
        <v>0.218642</v>
      </c>
      <c r="L19" s="8">
        <f>SUMIF(累计考核费用!$B$107:$B$156,原格式费用考核表!$B19,累计考核费用!P$107:P$156)/10000</f>
        <v>0.109321</v>
      </c>
      <c r="M19" s="8">
        <f>SUMIF(累计考核费用!$B$107:$B$156,原格式费用考核表!$B19,累计考核费用!O$107:O$156)/10000</f>
        <v>0.109321</v>
      </c>
      <c r="N19" s="8">
        <f>SUMIF(累计考核费用!$B$107:$B$156,原格式费用考核表!$B19,累计考核费用!R$107:R$156)/10000</f>
        <v>0.109321</v>
      </c>
      <c r="O19" s="8" t="e">
        <f>SUMIF(累计考核费用!$B$107:$B$156,原格式费用考核表!$B19,累计考核费用!#REF!)/10000</f>
        <v>#REF!</v>
      </c>
      <c r="P19" s="8">
        <f>SUMIF(累计考核费用!$B$107:$B$156,原格式费用考核表!$B19,累计考核费用!S$107:S$156)/10000</f>
        <v>0.109321</v>
      </c>
      <c r="Q19" s="8" t="e">
        <f>SUMIF(累计考核费用!$B$107:$B$156,原格式费用考核表!$B19,累计考核费用!#REF!)/10000</f>
        <v>#REF!</v>
      </c>
      <c r="R19" s="8">
        <f>SUMIF(累计考核费用!$B$107:$B$156,原格式费用考核表!$B19,累计考核费用!T$107:T$156)/10000</f>
        <v>0.53983800000000004</v>
      </c>
      <c r="S19" s="8">
        <f>SUMIF(累计考核费用!$B$107:$B$156,原格式费用考核表!$B19,累计考核费用!U$107:U$156)/10000</f>
        <v>0.73618400000000006</v>
      </c>
      <c r="T19" s="8" t="e">
        <f>SUMIF(累计考核费用!$B$107:$B$156,原格式费用考核表!$B19,累计考核费用!#REF!)/10000</f>
        <v>#REF!</v>
      </c>
      <c r="U19" s="8">
        <f>SUMIF(累计考核费用!$B$107:$B$156,原格式费用考核表!$B19,累计考核费用!V$107:V$156)/10000</f>
        <v>0.44171000000000005</v>
      </c>
      <c r="V19" s="8">
        <f>SUMIF(累计考核费用!$B$107:$B$156,原格式费用考核表!$B19,累计考核费用!W$107:W$156)/10000</f>
        <v>0.29447399999999996</v>
      </c>
      <c r="W19" s="8">
        <f>SUMIF(累计考核费用!$B$107:$B$156,原格式费用考核表!$B19,累计考核费用!AB$107:AB$156)/10000</f>
        <v>0</v>
      </c>
      <c r="X19" s="8" t="e">
        <f>SUMIF(累计考核费用!$B$107:$B$156,原格式费用考核表!$B19,累计考核费用!#REF!)/10000</f>
        <v>#REF!</v>
      </c>
      <c r="Y19" s="8" t="e">
        <f>SUMIF(累计考核费用!$B$107:$B$156,原格式费用考核表!$B19,累计考核费用!#REF!)/10000</f>
        <v>#REF!</v>
      </c>
      <c r="Z19" s="8" t="e">
        <f>SUMIF(累计考核费用!$B$107:$B$156,原格式费用考核表!$B19,累计考核费用!#REF!)/10000</f>
        <v>#REF!</v>
      </c>
      <c r="AA19" s="8">
        <f>SUMIF(累计考核费用!$B$107:$B$156,原格式费用考核表!$B19,累计考核费用!AC$107:AC$156)/10000</f>
        <v>0</v>
      </c>
      <c r="AB19" s="8" t="e">
        <f>SUMIF(累计考核费用!$B$107:$B$156,原格式费用考核表!$B19,累计考核费用!#REF!)/10000</f>
        <v>#REF!</v>
      </c>
    </row>
    <row r="20" spans="1:28" s="2" customFormat="1" ht="12" customHeight="1">
      <c r="A20" s="443"/>
      <c r="B20" s="11" t="s">
        <v>121</v>
      </c>
      <c r="C20" s="11" t="s">
        <v>107</v>
      </c>
      <c r="D20" s="8">
        <f>SUMIF(累计考核费用!$B$107:$B$156,原格式费用考核表!$B20,累计考核费用!C$107:C$156)/10000</f>
        <v>17.750432999999997</v>
      </c>
      <c r="E20" s="8">
        <f>SUMIF(累计考核费用!$B$107:$B$156,原格式费用考核表!$B20,累计考核费用!D$107:D$156)/10000</f>
        <v>0</v>
      </c>
      <c r="F20" s="8">
        <f>SUMIF(累计考核费用!$B$107:$B$156,原格式费用考核表!$B20,累计考核费用!E$107:E$156)/10000</f>
        <v>4.4089039999999988</v>
      </c>
      <c r="G20" s="8">
        <f>SUMIF(累计考核费用!$B$107:$B$156,原格式费用考核表!$B20,累计考核费用!F$107:F$156)/10000</f>
        <v>8.3785539999999994</v>
      </c>
      <c r="H20" s="8">
        <f>SUMIF(累计考核费用!$B$107:$B$156,原格式费用考核表!$B20,累计考核费用!G$107:G$156)/10000</f>
        <v>8.7780999999999998E-2</v>
      </c>
      <c r="I20" s="8">
        <f>SUMIF(累计考核费用!$B$107:$B$156,原格式费用考核表!$B20,累计考核费用!L$107:L$156)/10000</f>
        <v>0.65153499999999998</v>
      </c>
      <c r="J20" s="8">
        <f>SUMIF(累计考核费用!$B$107:$B$156,原格式费用考核表!$B20,累计考核费用!M$107:M$156)/10000</f>
        <v>9.2940999999999996E-2</v>
      </c>
      <c r="K20" s="8">
        <f>SUMIF(累计考核费用!$B$107:$B$156,原格式费用考核表!$B20,累计考核费用!Q$107:Q$156)/10000</f>
        <v>0.26961499999999999</v>
      </c>
      <c r="L20" s="8">
        <f>SUMIF(累计考核费用!$B$107:$B$156,原格式费用考核表!$B20,累计考核费用!P$107:P$156)/10000</f>
        <v>0.187141</v>
      </c>
      <c r="M20" s="8">
        <f>SUMIF(累计考核费用!$B$107:$B$156,原格式费用考核表!$B20,累计考核费用!O$107:O$156)/10000</f>
        <v>0.121472</v>
      </c>
      <c r="N20" s="8">
        <f>SUMIF(累计考核费用!$B$107:$B$156,原格式费用考核表!$B20,累计考核费用!R$107:R$156)/10000</f>
        <v>3.9129000000000004E-2</v>
      </c>
      <c r="O20" s="8" t="e">
        <f>SUMIF(累计考核费用!$B$107:$B$156,原格式费用考核表!$B20,累计考核费用!#REF!)/10000</f>
        <v>#REF!</v>
      </c>
      <c r="P20" s="8">
        <f>SUMIF(累计考核费用!$B$107:$B$156,原格式费用考核表!$B20,累计考核费用!S$107:S$156)/10000</f>
        <v>0.23048600000000002</v>
      </c>
      <c r="Q20" s="8" t="e">
        <f>SUMIF(累计考核费用!$B$107:$B$156,原格式费用考核表!$B20,累计考核费用!#REF!)/10000</f>
        <v>#REF!</v>
      </c>
      <c r="R20" s="8">
        <f>SUMIF(累计考核费用!$B$107:$B$156,原格式费用考核表!$B20,累计考核费用!T$107:T$156)/10000</f>
        <v>2.029121</v>
      </c>
      <c r="S20" s="8">
        <f>SUMIF(累计考核费用!$B$107:$B$156,原格式费用考核表!$B20,累计考核费用!U$107:U$156)/10000</f>
        <v>0.629077</v>
      </c>
      <c r="T20" s="8" t="e">
        <f>SUMIF(累计考核费用!$B$107:$B$156,原格式费用考核表!$B20,累计考核费用!#REF!)/10000</f>
        <v>#REF!</v>
      </c>
      <c r="U20" s="8">
        <f>SUMIF(累计考核费用!$B$107:$B$156,原格式费用考核表!$B20,累计考核费用!V$107:V$156)/10000</f>
        <v>8.5278999999999994E-2</v>
      </c>
      <c r="V20" s="8">
        <f>SUMIF(累计考核费用!$B$107:$B$156,原格式费用考核表!$B20,累计考核费用!W$107:W$156)/10000</f>
        <v>8.7215000000000001E-2</v>
      </c>
      <c r="W20" s="8">
        <f>SUMIF(累计考核费用!$B$107:$B$156,原格式费用考核表!$B20,累计考核费用!AB$107:AB$156)/10000</f>
        <v>0</v>
      </c>
      <c r="X20" s="8" t="e">
        <f>SUMIF(累计考核费用!$B$107:$B$156,原格式费用考核表!$B20,累计考核费用!#REF!)/10000</f>
        <v>#REF!</v>
      </c>
      <c r="Y20" s="8" t="e">
        <f>SUMIF(累计考核费用!$B$107:$B$156,原格式费用考核表!$B20,累计考核费用!#REF!)/10000</f>
        <v>#REF!</v>
      </c>
      <c r="Z20" s="8" t="e">
        <f>SUMIF(累计考核费用!$B$107:$B$156,原格式费用考核表!$B20,累计考核费用!#REF!)/10000</f>
        <v>#REF!</v>
      </c>
      <c r="AA20" s="8">
        <f>SUMIF(累计考核费用!$B$107:$B$156,原格式费用考核表!$B20,累计考核费用!AC$107:AC$156)/10000</f>
        <v>0.109324</v>
      </c>
      <c r="AB20" s="8" t="e">
        <f>SUMIF(累计考核费用!$B$107:$B$156,原格式费用考核表!$B20,累计考核费用!#REF!)/10000</f>
        <v>#REF!</v>
      </c>
    </row>
    <row r="21" spans="1:28" s="2" customFormat="1" ht="12" customHeight="1">
      <c r="A21" s="443"/>
      <c r="B21" s="11" t="s">
        <v>108</v>
      </c>
      <c r="C21" s="11" t="s">
        <v>108</v>
      </c>
      <c r="D21" s="8">
        <f>SUMIF(累计考核费用!$B$107:$B$156,原格式费用考核表!$B21,累计考核费用!C$107:C$156)/10000</f>
        <v>18.009936999999997</v>
      </c>
      <c r="E21" s="8">
        <f>SUMIF(累计考核费用!$B$107:$B$156,原格式费用考核表!$B21,累计考核费用!D$107:D$156)/10000</f>
        <v>0</v>
      </c>
      <c r="F21" s="8">
        <f>SUMIF(累计考核费用!$B$107:$B$156,原格式费用考核表!$B21,累计考核费用!E$107:E$156)/10000</f>
        <v>5.9280069999999991</v>
      </c>
      <c r="G21" s="8">
        <f>SUMIF(累计考核费用!$B$107:$B$156,原格式费用考核表!$B21,累计考核费用!F$107:F$156)/10000</f>
        <v>7.6916460000000004</v>
      </c>
      <c r="H21" s="8">
        <f>SUMIF(累计考核费用!$B$107:$B$156,原格式费用考核表!$B21,累计考核费用!G$107:G$156)/10000</f>
        <v>0.38433600000000001</v>
      </c>
      <c r="I21" s="8">
        <f>SUMIF(累计考核费用!$B$107:$B$156,原格式费用考核表!$B21,累计考核费用!L$107:L$156)/10000</f>
        <v>0.23669999999999999</v>
      </c>
      <c r="J21" s="8">
        <f>SUMIF(累计考核费用!$B$107:$B$156,原格式费用考核表!$B21,累计考核费用!M$107:M$156)/10000</f>
        <v>5.5899999999999998E-2</v>
      </c>
      <c r="K21" s="8">
        <f>SUMIF(累计考核费用!$B$107:$B$156,原格式费用考核表!$B21,累计考核费用!Q$107:Q$156)/10000</f>
        <v>0.1497</v>
      </c>
      <c r="L21" s="8">
        <f>SUMIF(累计考核费用!$B$107:$B$156,原格式费用考核表!$B21,累计考核费用!P$107:P$156)/10000</f>
        <v>3.3700000000000001E-2</v>
      </c>
      <c r="M21" s="8">
        <f>SUMIF(累计考核费用!$B$107:$B$156,原格式费用考核表!$B21,累计考核费用!O$107:O$156)/10000</f>
        <v>4.6100000000000002E-2</v>
      </c>
      <c r="N21" s="8">
        <f>SUMIF(累计考核费用!$B$107:$B$156,原格式费用考核表!$B21,累计考核费用!R$107:R$156)/10000</f>
        <v>7.46E-2</v>
      </c>
      <c r="O21" s="8" t="e">
        <f>SUMIF(累计考核费用!$B$107:$B$156,原格式费用考核表!$B21,累计考核费用!#REF!)/10000</f>
        <v>#REF!</v>
      </c>
      <c r="P21" s="8">
        <f>SUMIF(累计考核费用!$B$107:$B$156,原格式费用考核表!$B21,累计考核费用!S$107:S$156)/10000</f>
        <v>7.51E-2</v>
      </c>
      <c r="Q21" s="8" t="e">
        <f>SUMIF(累计考核费用!$B$107:$B$156,原格式费用考核表!$B21,累计考核费用!#REF!)/10000</f>
        <v>#REF!</v>
      </c>
      <c r="R21" s="8">
        <f>SUMIF(累计考核费用!$B$107:$B$156,原格式费用考核表!$B21,累计考核费用!T$107:T$156)/10000</f>
        <v>0.238787</v>
      </c>
      <c r="S21" s="8">
        <f>SUMIF(累计考核费用!$B$107:$B$156,原格式费用考核表!$B21,累计考核费用!U$107:U$156)/10000</f>
        <v>1.89883</v>
      </c>
      <c r="T21" s="8" t="e">
        <f>SUMIF(累计考核费用!$B$107:$B$156,原格式费用考核表!$B21,累计考核费用!#REF!)/10000</f>
        <v>#REF!</v>
      </c>
      <c r="U21" s="8">
        <f>SUMIF(累计考核费用!$B$107:$B$156,原格式费用考核表!$B21,累计考核费用!V$107:V$156)/10000</f>
        <v>0.68398000000000003</v>
      </c>
      <c r="V21" s="8">
        <f>SUMIF(累计考核费用!$B$107:$B$156,原格式费用考核表!$B21,累计考核费用!W$107:W$156)/10000</f>
        <v>0.32469199999999998</v>
      </c>
      <c r="W21" s="8">
        <f>SUMIF(累计考核费用!$B$107:$B$156,原格式费用考核表!$B21,累计考核费用!AB$107:AB$156)/10000</f>
        <v>0</v>
      </c>
      <c r="X21" s="8" t="e">
        <f>SUMIF(累计考核费用!$B$107:$B$156,原格式费用考核表!$B21,累计考核费用!#REF!)/10000</f>
        <v>#REF!</v>
      </c>
      <c r="Y21" s="8" t="e">
        <f>SUMIF(累计考核费用!$B$107:$B$156,原格式费用考核表!$B21,累计考核费用!#REF!)/10000</f>
        <v>#REF!</v>
      </c>
      <c r="Z21" s="8" t="e">
        <f>SUMIF(累计考核费用!$B$107:$B$156,原格式费用考核表!$B21,累计考核费用!#REF!)/10000</f>
        <v>#REF!</v>
      </c>
      <c r="AA21" s="8">
        <f>SUMIF(累计考核费用!$B$107:$B$156,原格式费用考核表!$B21,累计考核费用!AC$107:AC$156)/10000</f>
        <v>0.17440799999999998</v>
      </c>
      <c r="AB21" s="8" t="e">
        <f>SUMIF(累计考核费用!$B$107:$B$156,原格式费用考核表!$B21,累计考核费用!#REF!)/10000</f>
        <v>#REF!</v>
      </c>
    </row>
    <row r="22" spans="1:28" s="2" customFormat="1" ht="12" customHeight="1">
      <c r="A22" s="443"/>
      <c r="B22" s="11" t="s">
        <v>109</v>
      </c>
      <c r="C22" s="11" t="s">
        <v>109</v>
      </c>
      <c r="D22" s="8">
        <f>SUMIF(累计考核费用!$B$107:$B$156,原格式费用考核表!$B22,累计考核费用!C$107:C$156)/10000</f>
        <v>6.039561</v>
      </c>
      <c r="E22" s="8">
        <f>SUMIF(累计考核费用!$B$107:$B$156,原格式费用考核表!$B22,累计考核费用!D$107:D$156)/10000</f>
        <v>0</v>
      </c>
      <c r="F22" s="8">
        <f>SUMIF(累计考核费用!$B$107:$B$156,原格式费用考核表!$B22,累计考核费用!E$107:E$156)/10000</f>
        <v>0.9788</v>
      </c>
      <c r="G22" s="8">
        <f>SUMIF(累计考核费用!$B$107:$B$156,原格式费用考核表!$B22,累计考核费用!F$107:F$156)/10000</f>
        <v>4.6368230000000006</v>
      </c>
      <c r="H22" s="8">
        <f>SUMIF(累计考核费用!$B$107:$B$156,原格式费用考核表!$B22,累计考核费用!G$107:G$156)/10000</f>
        <v>5.2427000000000001E-2</v>
      </c>
      <c r="I22" s="8">
        <f>SUMIF(累计考核费用!$B$107:$B$156,原格式费用考核表!$B22,累计考核费用!L$107:L$156)/10000</f>
        <v>0</v>
      </c>
      <c r="J22" s="8">
        <f>SUMIF(累计考核费用!$B$107:$B$156,原格式费用考核表!$B22,累计考核费用!M$107:M$156)/10000</f>
        <v>0</v>
      </c>
      <c r="K22" s="8">
        <f>SUMIF(累计考核费用!$B$107:$B$156,原格式费用考核表!$B22,累计考核费用!Q$107:Q$156)/10000</f>
        <v>0</v>
      </c>
      <c r="L22" s="8">
        <f>SUMIF(累计考核费用!$B$107:$B$156,原格式费用考核表!$B22,累计考核费用!P$107:P$156)/10000</f>
        <v>0</v>
      </c>
      <c r="M22" s="8">
        <f>SUMIF(累计考核费用!$B$107:$B$156,原格式费用考核表!$B22,累计考核费用!O$107:O$156)/10000</f>
        <v>0</v>
      </c>
      <c r="N22" s="8">
        <f>SUMIF(累计考核费用!$B$107:$B$156,原格式费用考核表!$B22,累计考核费用!R$107:R$156)/10000</f>
        <v>0</v>
      </c>
      <c r="O22" s="8" t="e">
        <f>SUMIF(累计考核费用!$B$107:$B$156,原格式费用考核表!$B22,累计考核费用!#REF!)/10000</f>
        <v>#REF!</v>
      </c>
      <c r="P22" s="8">
        <f>SUMIF(累计考核费用!$B$107:$B$156,原格式费用考核表!$B22,累计考核费用!S$107:S$156)/10000</f>
        <v>0</v>
      </c>
      <c r="Q22" s="8" t="e">
        <f>SUMIF(累计考核费用!$B$107:$B$156,原格式费用考核表!$B22,累计考核费用!#REF!)/10000</f>
        <v>#REF!</v>
      </c>
      <c r="R22" s="8">
        <f>SUMIF(累计考核费用!$B$107:$B$156,原格式费用考核表!$B22,累计考核费用!T$107:T$156)/10000</f>
        <v>0</v>
      </c>
      <c r="S22" s="8">
        <f>SUMIF(累计考核费用!$B$107:$B$156,原格式费用考核表!$B22,累计考核费用!U$107:U$156)/10000</f>
        <v>0.183647</v>
      </c>
      <c r="T22" s="8" t="e">
        <f>SUMIF(累计考核费用!$B$107:$B$156,原格式费用考核表!$B22,累计考核费用!#REF!)/10000</f>
        <v>#REF!</v>
      </c>
      <c r="U22" s="8">
        <f>SUMIF(累计考核费用!$B$107:$B$156,原格式费用考核表!$B22,累计考核费用!V$107:V$156)/10000</f>
        <v>0.15534000000000001</v>
      </c>
      <c r="V22" s="8">
        <f>SUMIF(累计考核费用!$B$107:$B$156,原格式费用考核表!$B22,累计考核费用!W$107:W$156)/10000</f>
        <v>0</v>
      </c>
      <c r="W22" s="8">
        <f>SUMIF(累计考核费用!$B$107:$B$156,原格式费用考核表!$B22,累计考核费用!AB$107:AB$156)/10000</f>
        <v>0</v>
      </c>
      <c r="X22" s="8" t="e">
        <f>SUMIF(累计考核费用!$B$107:$B$156,原格式费用考核表!$B22,累计考核费用!#REF!)/10000</f>
        <v>#REF!</v>
      </c>
      <c r="Y22" s="8" t="e">
        <f>SUMIF(累计考核费用!$B$107:$B$156,原格式费用考核表!$B22,累计考核费用!#REF!)/10000</f>
        <v>#REF!</v>
      </c>
      <c r="Z22" s="8" t="e">
        <f>SUMIF(累计考核费用!$B$107:$B$156,原格式费用考核表!$B22,累计考核费用!#REF!)/10000</f>
        <v>#REF!</v>
      </c>
      <c r="AA22" s="8">
        <f>SUMIF(累计考核费用!$B$107:$B$156,原格式费用考核表!$B22,累计考核费用!AC$107:AC$156)/10000</f>
        <v>8.5436999999999999E-2</v>
      </c>
      <c r="AB22" s="8" t="e">
        <f>SUMIF(累计考核费用!$B$107:$B$156,原格式费用考核表!$B22,累计考核费用!#REF!)/10000</f>
        <v>#REF!</v>
      </c>
    </row>
    <row r="23" spans="1:28" s="2" customFormat="1" ht="12" customHeight="1">
      <c r="A23" s="443"/>
      <c r="B23" s="7" t="s">
        <v>91</v>
      </c>
      <c r="C23" s="7" t="s">
        <v>110</v>
      </c>
      <c r="D23" s="8">
        <f>SUMIF(累计考核费用!$B$107:$B$156,原格式费用考核表!$B23,累计考核费用!C$107:C$156)/10000</f>
        <v>8.6914939999999987</v>
      </c>
      <c r="E23" s="8">
        <f>SUMIF(累计考核费用!$B$107:$B$156,原格式费用考核表!$B23,累计考核费用!D$107:D$156)/10000</f>
        <v>0</v>
      </c>
      <c r="F23" s="8">
        <f>SUMIF(累计考核费用!$B$107:$B$156,原格式费用考核表!$B23,累计考核费用!E$107:E$156)/10000</f>
        <v>0</v>
      </c>
      <c r="G23" s="8">
        <f>SUMIF(累计考核费用!$B$107:$B$156,原格式费用考核表!$B23,累计考核费用!F$107:F$156)/10000</f>
        <v>7.3997419999999998</v>
      </c>
      <c r="H23" s="8">
        <f>SUMIF(累计考核费用!$B$107:$B$156,原格式费用考核表!$B23,累计考核费用!G$107:G$156)/10000</f>
        <v>0.222992</v>
      </c>
      <c r="I23" s="8">
        <f>SUMIF(累计考核费用!$B$107:$B$156,原格式费用考核表!$B23,累计考核费用!L$107:L$156)/10000</f>
        <v>0</v>
      </c>
      <c r="J23" s="8">
        <f>SUMIF(累计考核费用!$B$107:$B$156,原格式费用考核表!$B23,累计考核费用!M$107:M$156)/10000</f>
        <v>0</v>
      </c>
      <c r="K23" s="8">
        <f>SUMIF(累计考核费用!$B$107:$B$156,原格式费用考核表!$B23,累计考核费用!Q$107:Q$156)/10000</f>
        <v>0.36155300000000001</v>
      </c>
      <c r="L23" s="8">
        <f>SUMIF(累计考核费用!$B$107:$B$156,原格式费用考核表!$B23,累计考核费用!P$107:P$156)/10000</f>
        <v>0</v>
      </c>
      <c r="M23" s="8">
        <f>SUMIF(累计考核费用!$B$107:$B$156,原格式费用考核表!$B23,累计考核费用!O$107:O$156)/10000</f>
        <v>0</v>
      </c>
      <c r="N23" s="8">
        <f>SUMIF(累计考核费用!$B$107:$B$156,原格式费用考核表!$B23,累计考核费用!R$107:R$156)/10000</f>
        <v>0.36155300000000001</v>
      </c>
      <c r="O23" s="8" t="e">
        <f>SUMIF(累计考核费用!$B$107:$B$156,原格式费用考核表!$B23,累计考核费用!#REF!)/10000</f>
        <v>#REF!</v>
      </c>
      <c r="P23" s="8">
        <f>SUMIF(累计考核费用!$B$107:$B$156,原格式费用考核表!$B23,累计考核费用!S$107:S$156)/10000</f>
        <v>0</v>
      </c>
      <c r="Q23" s="8" t="e">
        <f>SUMIF(累计考核费用!$B$107:$B$156,原格式费用考核表!$B23,累计考核费用!#REF!)/10000</f>
        <v>#REF!</v>
      </c>
      <c r="R23" s="8">
        <f>SUMIF(累计考核费用!$B$107:$B$156,原格式费用考核表!$B23,累计考核费用!T$107:T$156)/10000</f>
        <v>0</v>
      </c>
      <c r="S23" s="8">
        <f>SUMIF(累计考核费用!$B$107:$B$156,原格式费用考核表!$B23,累计考核费用!U$107:U$156)/10000</f>
        <v>0.12029200000000001</v>
      </c>
      <c r="T23" s="8" t="e">
        <f>SUMIF(累计考核费用!$B$107:$B$156,原格式费用考核表!$B23,累计考核费用!#REF!)/10000</f>
        <v>#REF!</v>
      </c>
      <c r="U23" s="8">
        <f>SUMIF(累计考核费用!$B$107:$B$156,原格式费用考核表!$B23,累计考核费用!V$107:V$156)/10000</f>
        <v>0</v>
      </c>
      <c r="V23" s="8">
        <f>SUMIF(累计考核费用!$B$107:$B$156,原格式费用考核表!$B23,累计考核费用!W$107:W$156)/10000</f>
        <v>0.12029200000000001</v>
      </c>
      <c r="W23" s="8">
        <f>SUMIF(累计考核费用!$B$107:$B$156,原格式费用考核表!$B23,累计考核费用!AB$107:AB$156)/10000</f>
        <v>0</v>
      </c>
      <c r="X23" s="8" t="e">
        <f>SUMIF(累计考核费用!$B$107:$B$156,原格式费用考核表!$B23,累计考核费用!#REF!)/10000</f>
        <v>#REF!</v>
      </c>
      <c r="Y23" s="8" t="e">
        <f>SUMIF(累计考核费用!$B$107:$B$156,原格式费用考核表!$B23,累计考核费用!#REF!)/10000</f>
        <v>#REF!</v>
      </c>
      <c r="Z23" s="8" t="e">
        <f>SUMIF(累计考核费用!$B$107:$B$156,原格式费用考核表!$B23,累计考核费用!#REF!)/10000</f>
        <v>#REF!</v>
      </c>
      <c r="AA23" s="8">
        <f>SUMIF(累计考核费用!$B$107:$B$156,原格式费用考核表!$B23,累计考核费用!AC$107:AC$156)/10000</f>
        <v>0.309251</v>
      </c>
      <c r="AB23" s="8" t="e">
        <f>SUMIF(累计考核费用!$B$107:$B$156,原格式费用考核表!$B23,累计考核费用!#REF!)/10000</f>
        <v>#REF!</v>
      </c>
    </row>
    <row r="24" spans="1:28" s="2" customFormat="1" ht="12" customHeight="1">
      <c r="A24" s="443"/>
      <c r="B24" s="11" t="s">
        <v>122</v>
      </c>
      <c r="C24" s="11" t="s">
        <v>111</v>
      </c>
      <c r="D24" s="8">
        <f>SUMIF(累计考核费用!$B$107:$B$156,原格式费用考核表!$B24,累计考核费用!C$107:C$156)/10000</f>
        <v>3.3050229999999994</v>
      </c>
      <c r="E24" s="8">
        <f>SUMIF(累计考核费用!$B$107:$B$156,原格式费用考核表!$B24,累计考核费用!D$107:D$156)/10000</f>
        <v>0</v>
      </c>
      <c r="F24" s="8">
        <f>SUMIF(累计考核费用!$B$107:$B$156,原格式费用考核表!$B24,累计考核费用!E$107:E$156)/10000</f>
        <v>2.9056599999999997</v>
      </c>
      <c r="G24" s="8">
        <f>SUMIF(累计考核费用!$B$107:$B$156,原格式费用考核表!$B24,累计考核费用!F$107:F$156)/10000</f>
        <v>0.39936300000000002</v>
      </c>
      <c r="H24" s="8">
        <f>SUMIF(累计考核费用!$B$107:$B$156,原格式费用考核表!$B24,累计考核费用!G$107:G$156)/10000</f>
        <v>0</v>
      </c>
      <c r="I24" s="8">
        <f>SUMIF(累计考核费用!$B$107:$B$156,原格式费用考核表!$B24,累计考核费用!L$107:L$156)/10000</f>
        <v>0</v>
      </c>
      <c r="J24" s="8">
        <f>SUMIF(累计考核费用!$B$107:$B$156,原格式费用考核表!$B24,累计考核费用!M$107:M$156)/10000</f>
        <v>0</v>
      </c>
      <c r="K24" s="8">
        <f>SUMIF(累计考核费用!$B$107:$B$156,原格式费用考核表!$B24,累计考核费用!Q$107:Q$156)/10000</f>
        <v>0</v>
      </c>
      <c r="L24" s="8">
        <f>SUMIF(累计考核费用!$B$107:$B$156,原格式费用考核表!$B24,累计考核费用!P$107:P$156)/10000</f>
        <v>0</v>
      </c>
      <c r="M24" s="8">
        <f>SUMIF(累计考核费用!$B$107:$B$156,原格式费用考核表!$B24,累计考核费用!O$107:O$156)/10000</f>
        <v>0</v>
      </c>
      <c r="N24" s="8">
        <f>SUMIF(累计考核费用!$B$107:$B$156,原格式费用考核表!$B24,累计考核费用!R$107:R$156)/10000</f>
        <v>0</v>
      </c>
      <c r="O24" s="8" t="e">
        <f>SUMIF(累计考核费用!$B$107:$B$156,原格式费用考核表!$B24,累计考核费用!#REF!)/10000</f>
        <v>#REF!</v>
      </c>
      <c r="P24" s="8">
        <f>SUMIF(累计考核费用!$B$107:$B$156,原格式费用考核表!$B24,累计考核费用!S$107:S$156)/10000</f>
        <v>0</v>
      </c>
      <c r="Q24" s="8" t="e">
        <f>SUMIF(累计考核费用!$B$107:$B$156,原格式费用考核表!$B24,累计考核费用!#REF!)/10000</f>
        <v>#REF!</v>
      </c>
      <c r="R24" s="8">
        <f>SUMIF(累计考核费用!$B$107:$B$156,原格式费用考核表!$B24,累计考核费用!T$107:T$156)/10000</f>
        <v>0</v>
      </c>
      <c r="S24" s="8">
        <f>SUMIF(累计考核费用!$B$107:$B$156,原格式费用考核表!$B24,累计考核费用!U$107:U$156)/10000</f>
        <v>0</v>
      </c>
      <c r="T24" s="8" t="e">
        <f>SUMIF(累计考核费用!$B$107:$B$156,原格式费用考核表!$B24,累计考核费用!#REF!)/10000</f>
        <v>#REF!</v>
      </c>
      <c r="U24" s="8">
        <f>SUMIF(累计考核费用!$B$107:$B$156,原格式费用考核表!$B24,累计考核费用!V$107:V$156)/10000</f>
        <v>0</v>
      </c>
      <c r="V24" s="8">
        <f>SUMIF(累计考核费用!$B$107:$B$156,原格式费用考核表!$B24,累计考核费用!W$107:W$156)/10000</f>
        <v>0</v>
      </c>
      <c r="W24" s="8">
        <f>SUMIF(累计考核费用!$B$107:$B$156,原格式费用考核表!$B24,累计考核费用!AB$107:AB$156)/10000</f>
        <v>0</v>
      </c>
      <c r="X24" s="8" t="e">
        <f>SUMIF(累计考核费用!$B$107:$B$156,原格式费用考核表!$B24,累计考核费用!#REF!)/10000</f>
        <v>#REF!</v>
      </c>
      <c r="Y24" s="8" t="e">
        <f>SUMIF(累计考核费用!$B$107:$B$156,原格式费用考核表!$B24,累计考核费用!#REF!)/10000</f>
        <v>#REF!</v>
      </c>
      <c r="Z24" s="8" t="e">
        <f>SUMIF(累计考核费用!$B$107:$B$156,原格式费用考核表!$B24,累计考核费用!#REF!)/10000</f>
        <v>#REF!</v>
      </c>
      <c r="AA24" s="8">
        <f>SUMIF(累计考核费用!$B$107:$B$156,原格式费用考核表!$B24,累计考核费用!AC$107:AC$156)/10000</f>
        <v>0</v>
      </c>
      <c r="AB24" s="8" t="e">
        <f>SUMIF(累计考核费用!$B$107:$B$156,原格式费用考核表!$B24,累计考核费用!#REF!)/10000</f>
        <v>#REF!</v>
      </c>
    </row>
    <row r="25" spans="1:28" s="2" customFormat="1" ht="12" customHeight="1">
      <c r="A25" s="443"/>
      <c r="B25" s="11" t="s">
        <v>110</v>
      </c>
      <c r="C25" s="11" t="s">
        <v>112</v>
      </c>
      <c r="D25" s="8">
        <f>SUMIF(累计考核费用!$B$107:$B$156,原格式费用考核表!$B25,累计考核费用!C$107:C$156)/10000</f>
        <v>9.2796149999999997</v>
      </c>
      <c r="E25" s="8">
        <f>SUMIF(累计考核费用!$B$107:$B$156,原格式费用考核表!$B25,累计考核费用!D$107:D$156)/10000</f>
        <v>0</v>
      </c>
      <c r="F25" s="8">
        <f>SUMIF(累计考核费用!$B$107:$B$156,原格式费用考核表!$B25,累计考核费用!E$107:E$156)/10000</f>
        <v>4.7169809999999996</v>
      </c>
      <c r="G25" s="8">
        <f>SUMIF(累计考核费用!$B$107:$B$156,原格式费用考核表!$B25,累计考核费用!F$107:F$156)/10000</f>
        <v>4.5626340000000001</v>
      </c>
      <c r="H25" s="8">
        <f>SUMIF(累计考核费用!$B$107:$B$156,原格式费用考核表!$B25,累计考核费用!G$107:G$156)/10000</f>
        <v>0</v>
      </c>
      <c r="I25" s="8">
        <f>SUMIF(累计考核费用!$B$107:$B$156,原格式费用考核表!$B25,累计考核费用!L$107:L$156)/10000</f>
        <v>0</v>
      </c>
      <c r="J25" s="8">
        <f>SUMIF(累计考核费用!$B$107:$B$156,原格式费用考核表!$B25,累计考核费用!M$107:M$156)/10000</f>
        <v>0</v>
      </c>
      <c r="K25" s="8">
        <f>SUMIF(累计考核费用!$B$107:$B$156,原格式费用考核表!$B25,累计考核费用!Q$107:Q$156)/10000</f>
        <v>0</v>
      </c>
      <c r="L25" s="8">
        <f>SUMIF(累计考核费用!$B$107:$B$156,原格式费用考核表!$B25,累计考核费用!P$107:P$156)/10000</f>
        <v>0</v>
      </c>
      <c r="M25" s="8">
        <f>SUMIF(累计考核费用!$B$107:$B$156,原格式费用考核表!$B25,累计考核费用!O$107:O$156)/10000</f>
        <v>0</v>
      </c>
      <c r="N25" s="8">
        <f>SUMIF(累计考核费用!$B$107:$B$156,原格式费用考核表!$B25,累计考核费用!R$107:R$156)/10000</f>
        <v>0</v>
      </c>
      <c r="O25" s="8" t="e">
        <f>SUMIF(累计考核费用!$B$107:$B$156,原格式费用考核表!$B25,累计考核费用!#REF!)/10000</f>
        <v>#REF!</v>
      </c>
      <c r="P25" s="8">
        <f>SUMIF(累计考核费用!$B$107:$B$156,原格式费用考核表!$B25,累计考核费用!S$107:S$156)/10000</f>
        <v>0</v>
      </c>
      <c r="Q25" s="8" t="e">
        <f>SUMIF(累计考核费用!$B$107:$B$156,原格式费用考核表!$B25,累计考核费用!#REF!)/10000</f>
        <v>#REF!</v>
      </c>
      <c r="R25" s="8">
        <f>SUMIF(累计考核费用!$B$107:$B$156,原格式费用考核表!$B25,累计考核费用!T$107:T$156)/10000</f>
        <v>0</v>
      </c>
      <c r="S25" s="8">
        <f>SUMIF(累计考核费用!$B$107:$B$156,原格式费用考核表!$B25,累计考核费用!U$107:U$156)/10000</f>
        <v>0</v>
      </c>
      <c r="T25" s="8" t="e">
        <f>SUMIF(累计考核费用!$B$107:$B$156,原格式费用考核表!$B25,累计考核费用!#REF!)/10000</f>
        <v>#REF!</v>
      </c>
      <c r="U25" s="8">
        <f>SUMIF(累计考核费用!$B$107:$B$156,原格式费用考核表!$B25,累计考核费用!V$107:V$156)/10000</f>
        <v>0</v>
      </c>
      <c r="V25" s="8">
        <f>SUMIF(累计考核费用!$B$107:$B$156,原格式费用考核表!$B25,累计考核费用!W$107:W$156)/10000</f>
        <v>0</v>
      </c>
      <c r="W25" s="8">
        <f>SUMIF(累计考核费用!$B$107:$B$156,原格式费用考核表!$B25,累计考核费用!AB$107:AB$156)/10000</f>
        <v>0</v>
      </c>
      <c r="X25" s="8" t="e">
        <f>SUMIF(累计考核费用!$B$107:$B$156,原格式费用考核表!$B25,累计考核费用!#REF!)/10000</f>
        <v>#REF!</v>
      </c>
      <c r="Y25" s="8" t="e">
        <f>SUMIF(累计考核费用!$B$107:$B$156,原格式费用考核表!$B25,累计考核费用!#REF!)/10000</f>
        <v>#REF!</v>
      </c>
      <c r="Z25" s="8" t="e">
        <f>SUMIF(累计考核费用!$B$107:$B$156,原格式费用考核表!$B25,累计考核费用!#REF!)/10000</f>
        <v>#REF!</v>
      </c>
      <c r="AA25" s="8">
        <f>SUMIF(累计考核费用!$B$107:$B$156,原格式费用考核表!$B25,累计考核费用!AC$107:AC$156)/10000</f>
        <v>0</v>
      </c>
      <c r="AB25" s="8" t="e">
        <f>SUMIF(累计考核费用!$B$107:$B$156,原格式费用考核表!$B25,累计考核费用!#REF!)/10000</f>
        <v>#REF!</v>
      </c>
    </row>
    <row r="26" spans="1:28" s="2" customFormat="1" ht="12" customHeight="1">
      <c r="A26" s="443"/>
      <c r="B26" s="11" t="s">
        <v>117</v>
      </c>
      <c r="C26" s="11" t="s">
        <v>113</v>
      </c>
      <c r="D26" s="8">
        <f>SUMIF(累计考核费用!$B$107:$B$156,原格式费用考核表!$B26,累计考核费用!C$107:C$156)/10000</f>
        <v>69.402727999999996</v>
      </c>
      <c r="E26" s="8">
        <f>SUMIF(累计考核费用!$B$107:$B$156,原格式费用考核表!$B26,累计考核费用!D$107:D$156)/10000</f>
        <v>0</v>
      </c>
      <c r="F26" s="8">
        <f>SUMIF(累计考核费用!$B$107:$B$156,原格式费用考核表!$B26,累计考核费用!E$107:E$156)/10000</f>
        <v>0</v>
      </c>
      <c r="G26" s="8">
        <f>SUMIF(累计考核费用!$B$107:$B$156,原格式费用考核表!$B26,累计考核费用!F$107:F$156)/10000</f>
        <v>69.402727999999996</v>
      </c>
      <c r="H26" s="8">
        <f>SUMIF(累计考核费用!$B$107:$B$156,原格式费用考核表!$B26,累计考核费用!G$107:G$156)/10000</f>
        <v>0</v>
      </c>
      <c r="I26" s="8">
        <f>SUMIF(累计考核费用!$B$107:$B$156,原格式费用考核表!$B26,累计考核费用!L$107:L$156)/10000</f>
        <v>0</v>
      </c>
      <c r="J26" s="8">
        <f>SUMIF(累计考核费用!$B$107:$B$156,原格式费用考核表!$B26,累计考核费用!M$107:M$156)/10000</f>
        <v>0</v>
      </c>
      <c r="K26" s="8">
        <f>SUMIF(累计考核费用!$B$107:$B$156,原格式费用考核表!$B26,累计考核费用!Q$107:Q$156)/10000</f>
        <v>0</v>
      </c>
      <c r="L26" s="8">
        <f>SUMIF(累计考核费用!$B$107:$B$156,原格式费用考核表!$B26,累计考核费用!P$107:P$156)/10000</f>
        <v>0</v>
      </c>
      <c r="M26" s="8">
        <f>SUMIF(累计考核费用!$B$107:$B$156,原格式费用考核表!$B26,累计考核费用!O$107:O$156)/10000</f>
        <v>0</v>
      </c>
      <c r="N26" s="8">
        <f>SUMIF(累计考核费用!$B$107:$B$156,原格式费用考核表!$B26,累计考核费用!R$107:R$156)/10000</f>
        <v>0</v>
      </c>
      <c r="O26" s="8" t="e">
        <f>SUMIF(累计考核费用!$B$107:$B$156,原格式费用考核表!$B26,累计考核费用!#REF!)/10000</f>
        <v>#REF!</v>
      </c>
      <c r="P26" s="8">
        <f>SUMIF(累计考核费用!$B$107:$B$156,原格式费用考核表!$B26,累计考核费用!S$107:S$156)/10000</f>
        <v>0</v>
      </c>
      <c r="Q26" s="8" t="e">
        <f>SUMIF(累计考核费用!$B$107:$B$156,原格式费用考核表!$B26,累计考核费用!#REF!)/10000</f>
        <v>#REF!</v>
      </c>
      <c r="R26" s="8">
        <f>SUMIF(累计考核费用!$B$107:$B$156,原格式费用考核表!$B26,累计考核费用!T$107:T$156)/10000</f>
        <v>0</v>
      </c>
      <c r="S26" s="8">
        <f>SUMIF(累计考核费用!$B$107:$B$156,原格式费用考核表!$B26,累计考核费用!U$107:U$156)/10000</f>
        <v>0</v>
      </c>
      <c r="T26" s="8" t="e">
        <f>SUMIF(累计考核费用!$B$107:$B$156,原格式费用考核表!$B26,累计考核费用!#REF!)/10000</f>
        <v>#REF!</v>
      </c>
      <c r="U26" s="8">
        <f>SUMIF(累计考核费用!$B$107:$B$156,原格式费用考核表!$B26,累计考核费用!V$107:V$156)/10000</f>
        <v>0</v>
      </c>
      <c r="V26" s="8">
        <f>SUMIF(累计考核费用!$B$107:$B$156,原格式费用考核表!$B26,累计考核费用!W$107:W$156)/10000</f>
        <v>0</v>
      </c>
      <c r="W26" s="8">
        <f>SUMIF(累计考核费用!$B$107:$B$156,原格式费用考核表!$B26,累计考核费用!AB$107:AB$156)/10000</f>
        <v>0</v>
      </c>
      <c r="X26" s="8" t="e">
        <f>SUMIF(累计考核费用!$B$107:$B$156,原格式费用考核表!$B26,累计考核费用!#REF!)/10000</f>
        <v>#REF!</v>
      </c>
      <c r="Y26" s="8" t="e">
        <f>SUMIF(累计考核费用!$B$107:$B$156,原格式费用考核表!$B26,累计考核费用!#REF!)/10000</f>
        <v>#REF!</v>
      </c>
      <c r="Z26" s="8" t="e">
        <f>SUMIF(累计考核费用!$B$107:$B$156,原格式费用考核表!$B26,累计考核费用!#REF!)/10000</f>
        <v>#REF!</v>
      </c>
      <c r="AA26" s="8">
        <f>SUMIF(累计考核费用!$B$107:$B$156,原格式费用考核表!$B26,累计考核费用!AC$107:AC$156)/10000</f>
        <v>0</v>
      </c>
      <c r="AB26" s="8" t="e">
        <f>SUMIF(累计考核费用!$B$107:$B$156,原格式费用考核表!$B26,累计考核费用!#REF!)/10000</f>
        <v>#REF!</v>
      </c>
    </row>
    <row r="27" spans="1:28" s="2" customFormat="1" ht="12" customHeight="1">
      <c r="A27" s="443"/>
      <c r="B27" s="11" t="s">
        <v>111</v>
      </c>
      <c r="C27" s="11" t="s">
        <v>114</v>
      </c>
      <c r="D27" s="8">
        <f>SUMIF(累计考核费用!$B$107:$B$156,原格式费用考核表!$B27,累计考核费用!C$107:C$156)/10000</f>
        <v>14.622641999999999</v>
      </c>
      <c r="E27" s="8">
        <f>SUMIF(累计考核费用!$B$107:$B$156,原格式费用考核表!$B27,累计考核费用!D$107:D$156)/10000</f>
        <v>0</v>
      </c>
      <c r="F27" s="8">
        <f>SUMIF(累计考核费用!$B$107:$B$156,原格式费用考核表!$B27,累计考核费用!E$107:E$156)/10000</f>
        <v>0</v>
      </c>
      <c r="G27" s="8">
        <f>SUMIF(累计考核费用!$B$107:$B$156,原格式费用考核表!$B27,累计考核费用!F$107:F$156)/10000</f>
        <v>12.264151</v>
      </c>
      <c r="H27" s="8">
        <f>SUMIF(累计考核费用!$B$107:$B$156,原格式费用考核表!$B27,累计考核费用!G$107:G$156)/10000</f>
        <v>0</v>
      </c>
      <c r="I27" s="8">
        <f>SUMIF(累计考核费用!$B$107:$B$156,原格式费用考核表!$B27,累计考核费用!L$107:L$156)/10000</f>
        <v>0</v>
      </c>
      <c r="J27" s="8">
        <f>SUMIF(累计考核费用!$B$107:$B$156,原格式费用考核表!$B27,累计考核费用!M$107:M$156)/10000</f>
        <v>0</v>
      </c>
      <c r="K27" s="8">
        <f>SUMIF(累计考核费用!$B$107:$B$156,原格式费用考核表!$B27,累计考核费用!Q$107:Q$156)/10000</f>
        <v>0.31446499999999999</v>
      </c>
      <c r="L27" s="8">
        <f>SUMIF(累计考核费用!$B$107:$B$156,原格式费用考核表!$B27,累计考核费用!P$107:P$156)/10000</f>
        <v>0</v>
      </c>
      <c r="M27" s="8">
        <f>SUMIF(累计考核费用!$B$107:$B$156,原格式费用考核表!$B27,累计考核费用!O$107:O$156)/10000</f>
        <v>0</v>
      </c>
      <c r="N27" s="8">
        <f>SUMIF(累计考核费用!$B$107:$B$156,原格式费用考核表!$B27,累计考核费用!R$107:R$156)/10000</f>
        <v>0.31446499999999999</v>
      </c>
      <c r="O27" s="8" t="e">
        <f>SUMIF(累计考核费用!$B$107:$B$156,原格式费用考核表!$B27,累计考核费用!#REF!)/10000</f>
        <v>#REF!</v>
      </c>
      <c r="P27" s="8">
        <f>SUMIF(累计考核费用!$B$107:$B$156,原格式费用考核表!$B27,累计考核费用!S$107:S$156)/10000</f>
        <v>0</v>
      </c>
      <c r="Q27" s="8" t="e">
        <f>SUMIF(累计考核费用!$B$107:$B$156,原格式费用考核表!$B27,累计考核费用!#REF!)/10000</f>
        <v>#REF!</v>
      </c>
      <c r="R27" s="8">
        <f>SUMIF(累计考核费用!$B$107:$B$156,原格式费用考核表!$B27,累计考核费用!T$107:T$156)/10000</f>
        <v>0</v>
      </c>
      <c r="S27" s="8">
        <f>SUMIF(累计考核费用!$B$107:$B$156,原格式费用考核表!$B27,累计考核费用!U$107:U$156)/10000</f>
        <v>0</v>
      </c>
      <c r="T27" s="8" t="e">
        <f>SUMIF(累计考核费用!$B$107:$B$156,原格式费用考核表!$B27,累计考核费用!#REF!)/10000</f>
        <v>#REF!</v>
      </c>
      <c r="U27" s="8">
        <f>SUMIF(累计考核费用!$B$107:$B$156,原格式费用考核表!$B27,累计考核费用!V$107:V$156)/10000</f>
        <v>0</v>
      </c>
      <c r="V27" s="8">
        <f>SUMIF(累计考核费用!$B$107:$B$156,原格式费用考核表!$B27,累计考核费用!W$107:W$156)/10000</f>
        <v>0</v>
      </c>
      <c r="W27" s="8">
        <f>SUMIF(累计考核费用!$B$107:$B$156,原格式费用考核表!$B27,累计考核费用!AB$107:AB$156)/10000</f>
        <v>0</v>
      </c>
      <c r="X27" s="8" t="e">
        <f>SUMIF(累计考核费用!$B$107:$B$156,原格式费用考核表!$B27,累计考核费用!#REF!)/10000</f>
        <v>#REF!</v>
      </c>
      <c r="Y27" s="8" t="e">
        <f>SUMIF(累计考核费用!$B$107:$B$156,原格式费用考核表!$B27,累计考核费用!#REF!)/10000</f>
        <v>#REF!</v>
      </c>
      <c r="Z27" s="8" t="e">
        <f>SUMIF(累计考核费用!$B$107:$B$156,原格式费用考核表!$B27,累计考核费用!#REF!)/10000</f>
        <v>#REF!</v>
      </c>
      <c r="AA27" s="8">
        <f>SUMIF(累计考核费用!$B$107:$B$156,原格式费用考核表!$B27,累计考核费用!AC$107:AC$156)/10000</f>
        <v>0</v>
      </c>
      <c r="AB27" s="8" t="e">
        <f>SUMIF(累计考核费用!$B$107:$B$156,原格式费用考核表!$B27,累计考核费用!#REF!)/10000</f>
        <v>#REF!</v>
      </c>
    </row>
    <row r="28" spans="1:28" s="2" customFormat="1" ht="12" customHeight="1">
      <c r="A28" s="443"/>
      <c r="B28" s="11" t="s">
        <v>123</v>
      </c>
      <c r="C28" s="11" t="s">
        <v>115</v>
      </c>
      <c r="D28" s="8">
        <f>SUMIF(累计考核费用!$B$107:$B$156,原格式费用考核表!$B28,累计考核费用!C$107:C$156)/10000</f>
        <v>19.499199000000001</v>
      </c>
      <c r="E28" s="8">
        <f>SUMIF(累计考核费用!$B$107:$B$156,原格式费用考核表!$B28,累计考核费用!D$107:D$156)/10000</f>
        <v>0</v>
      </c>
      <c r="F28" s="8">
        <f>SUMIF(累计考核费用!$B$107:$B$156,原格式费用考核表!$B28,累计考核费用!E$107:E$156)/10000</f>
        <v>3.4626949999999996</v>
      </c>
      <c r="G28" s="8">
        <f>SUMIF(累计考核费用!$B$107:$B$156,原格式费用考核表!$B28,累计考核费用!F$107:F$156)/10000</f>
        <v>14.861996</v>
      </c>
      <c r="H28" s="8">
        <f>SUMIF(累计考核费用!$B$107:$B$156,原格式费用考核表!$B28,累计考核费用!G$107:G$156)/10000</f>
        <v>0</v>
      </c>
      <c r="I28" s="8">
        <f>SUMIF(累计考核费用!$B$107:$B$156,原格式费用考核表!$B28,累计考核费用!L$107:L$156)/10000</f>
        <v>0.442328</v>
      </c>
      <c r="J28" s="8">
        <f>SUMIF(累计考核费用!$B$107:$B$156,原格式费用考核表!$B28,累计考核费用!M$107:M$156)/10000</f>
        <v>0.110582</v>
      </c>
      <c r="K28" s="8">
        <f>SUMIF(累计考核费用!$B$107:$B$156,原格式费用考核表!$B28,累计考核费用!Q$107:Q$156)/10000</f>
        <v>0.221164</v>
      </c>
      <c r="L28" s="8">
        <f>SUMIF(累计考核费用!$B$107:$B$156,原格式费用考核表!$B28,累计考核费用!P$107:P$156)/10000</f>
        <v>0.110582</v>
      </c>
      <c r="M28" s="8">
        <f>SUMIF(累计考核费用!$B$107:$B$156,原格式费用考核表!$B28,累计考核费用!O$107:O$156)/10000</f>
        <v>0.110582</v>
      </c>
      <c r="N28" s="8">
        <f>SUMIF(累计考核费用!$B$107:$B$156,原格式费用考核表!$B28,累计考核费用!R$107:R$156)/10000</f>
        <v>0.110582</v>
      </c>
      <c r="O28" s="8" t="e">
        <f>SUMIF(累计考核费用!$B$107:$B$156,原格式费用考核表!$B28,累计考核费用!#REF!)/10000</f>
        <v>#REF!</v>
      </c>
      <c r="P28" s="8">
        <f>SUMIF(累计考核费用!$B$107:$B$156,原格式费用考核表!$B28,累计考核费用!S$107:S$156)/10000</f>
        <v>0.110582</v>
      </c>
      <c r="Q28" s="8" t="e">
        <f>SUMIF(累计考核费用!$B$107:$B$156,原格式费用考核表!$B28,累计考核费用!#REF!)/10000</f>
        <v>#REF!</v>
      </c>
      <c r="R28" s="8">
        <f>SUMIF(累计考核费用!$B$107:$B$156,原格式费用考核表!$B28,累计考核费用!T$107:T$156)/10000</f>
        <v>0.110582</v>
      </c>
      <c r="S28" s="8">
        <f>SUMIF(累计考核费用!$B$107:$B$156,原格式费用考核表!$B28,累计考核费用!U$107:U$156)/10000</f>
        <v>0</v>
      </c>
      <c r="T28" s="8" t="e">
        <f>SUMIF(累计考核费用!$B$107:$B$156,原格式费用考核表!$B28,累计考核费用!#REF!)/10000</f>
        <v>#REF!</v>
      </c>
      <c r="U28" s="8">
        <f>SUMIF(累计考核费用!$B$107:$B$156,原格式费用考核表!$B28,累计考核费用!V$107:V$156)/10000</f>
        <v>0</v>
      </c>
      <c r="V28" s="8">
        <f>SUMIF(累计考核费用!$B$107:$B$156,原格式费用考核表!$B28,累计考核费用!W$107:W$156)/10000</f>
        <v>0</v>
      </c>
      <c r="W28" s="8">
        <f>SUMIF(累计考核费用!$B$107:$B$156,原格式费用考核表!$B28,累计考核费用!AB$107:AB$156)/10000</f>
        <v>0</v>
      </c>
      <c r="X28" s="8" t="e">
        <f>SUMIF(累计考核费用!$B$107:$B$156,原格式费用考核表!$B28,累计考核费用!#REF!)/10000</f>
        <v>#REF!</v>
      </c>
      <c r="Y28" s="8" t="e">
        <f>SUMIF(累计考核费用!$B$107:$B$156,原格式费用考核表!$B28,累计考核费用!#REF!)/10000</f>
        <v>#REF!</v>
      </c>
      <c r="Z28" s="8" t="e">
        <f>SUMIF(累计考核费用!$B$107:$B$156,原格式费用考核表!$B28,累计考核费用!#REF!)/10000</f>
        <v>#REF!</v>
      </c>
      <c r="AA28" s="8">
        <f>SUMIF(累计考核费用!$B$107:$B$156,原格式费用考核表!$B28,累计考核费用!AC$107:AC$156)/10000</f>
        <v>0</v>
      </c>
      <c r="AB28" s="8" t="e">
        <f>SUMIF(累计考核费用!$B$107:$B$156,原格式费用考核表!$B28,累计考核费用!#REF!)/10000</f>
        <v>#REF!</v>
      </c>
    </row>
    <row r="29" spans="1:28" s="2" customFormat="1" ht="12" customHeight="1">
      <c r="A29" s="443"/>
      <c r="B29" s="11" t="s">
        <v>112</v>
      </c>
      <c r="C29" s="11" t="s">
        <v>116</v>
      </c>
      <c r="D29" s="8">
        <f>SUMIF(累计考核费用!$B$107:$B$156,原格式费用考核表!$B29,累计考核费用!C$107:C$156)/10000</f>
        <v>13.406397999999998</v>
      </c>
      <c r="E29" s="8">
        <f>SUMIF(累计考核费用!$B$107:$B$156,原格式费用考核表!$B29,累计考核费用!D$107:D$156)/10000</f>
        <v>0</v>
      </c>
      <c r="F29" s="8">
        <f>SUMIF(累计考核费用!$B$107:$B$156,原格式费用考核表!$B29,累计考核费用!E$107:E$156)/10000</f>
        <v>7.1929869999999996</v>
      </c>
      <c r="G29" s="8">
        <f>SUMIF(累计考核费用!$B$107:$B$156,原格式费用考核表!$B29,累计考核费用!F$107:F$156)/10000</f>
        <v>6.3007900000000001</v>
      </c>
      <c r="H29" s="8">
        <f>SUMIF(累计考核费用!$B$107:$B$156,原格式费用考核表!$B29,累计考核费用!G$107:G$156)/10000</f>
        <v>0</v>
      </c>
      <c r="I29" s="8">
        <f>SUMIF(累计考核费用!$B$107:$B$156,原格式费用考核表!$B29,累计考核费用!L$107:L$156)/10000</f>
        <v>0</v>
      </c>
      <c r="J29" s="8">
        <f>SUMIF(累计考核费用!$B$107:$B$156,原格式费用考核表!$B29,累计考核费用!M$107:M$156)/10000</f>
        <v>0</v>
      </c>
      <c r="K29" s="8">
        <f>SUMIF(累计考核费用!$B$107:$B$156,原格式费用考核表!$B29,累计考核费用!Q$107:Q$156)/10000</f>
        <v>0</v>
      </c>
      <c r="L29" s="8">
        <f>SUMIF(累计考核费用!$B$107:$B$156,原格式费用考核表!$B29,累计考核费用!P$107:P$156)/10000</f>
        <v>0</v>
      </c>
      <c r="M29" s="8">
        <f>SUMIF(累计考核费用!$B$107:$B$156,原格式费用考核表!$B29,累计考核费用!O$107:O$156)/10000</f>
        <v>0</v>
      </c>
      <c r="N29" s="8">
        <f>SUMIF(累计考核费用!$B$107:$B$156,原格式费用考核表!$B29,累计考核费用!R$107:R$156)/10000</f>
        <v>0</v>
      </c>
      <c r="O29" s="8" t="e">
        <f>SUMIF(累计考核费用!$B$107:$B$156,原格式费用考核表!$B29,累计考核费用!#REF!)/10000</f>
        <v>#REF!</v>
      </c>
      <c r="P29" s="8">
        <f>SUMIF(累计考核费用!$B$107:$B$156,原格式费用考核表!$B29,累计考核费用!S$107:S$156)/10000</f>
        <v>0</v>
      </c>
      <c r="Q29" s="8" t="e">
        <f>SUMIF(累计考核费用!$B$107:$B$156,原格式费用考核表!$B29,累计考核费用!#REF!)/10000</f>
        <v>#REF!</v>
      </c>
      <c r="R29" s="8">
        <f>SUMIF(累计考核费用!$B$107:$B$156,原格式费用考核表!$B29,累计考核费用!T$107:T$156)/10000</f>
        <v>0</v>
      </c>
      <c r="S29" s="8">
        <f>SUMIF(累计考核费用!$B$107:$B$156,原格式费用考核表!$B29,累计考核费用!U$107:U$156)/10000</f>
        <v>0</v>
      </c>
      <c r="T29" s="8" t="e">
        <f>SUMIF(累计考核费用!$B$107:$B$156,原格式费用考核表!$B29,累计考核费用!#REF!)/10000</f>
        <v>#REF!</v>
      </c>
      <c r="U29" s="8">
        <f>SUMIF(累计考核费用!$B$107:$B$156,原格式费用考核表!$B29,累计考核费用!V$107:V$156)/10000</f>
        <v>0</v>
      </c>
      <c r="V29" s="8">
        <f>SUMIF(累计考核费用!$B$107:$B$156,原格式费用考核表!$B29,累计考核费用!W$107:W$156)/10000</f>
        <v>0</v>
      </c>
      <c r="W29" s="8">
        <f>SUMIF(累计考核费用!$B$107:$B$156,原格式费用考核表!$B29,累计考核费用!AB$107:AB$156)/10000</f>
        <v>0</v>
      </c>
      <c r="X29" s="8" t="e">
        <f>SUMIF(累计考核费用!$B$107:$B$156,原格式费用考核表!$B29,累计考核费用!#REF!)/10000</f>
        <v>#REF!</v>
      </c>
      <c r="Y29" s="8" t="e">
        <f>SUMIF(累计考核费用!$B$107:$B$156,原格式费用考核表!$B29,累计考核费用!#REF!)/10000</f>
        <v>#REF!</v>
      </c>
      <c r="Z29" s="8" t="e">
        <f>SUMIF(累计考核费用!$B$107:$B$156,原格式费用考核表!$B29,累计考核费用!#REF!)/10000</f>
        <v>#REF!</v>
      </c>
      <c r="AA29" s="8">
        <f>SUMIF(累计考核费用!$B$107:$B$156,原格式费用考核表!$B29,累计考核费用!AC$107:AC$156)/10000</f>
        <v>0</v>
      </c>
      <c r="AB29" s="8" t="e">
        <f>SUMIF(累计考核费用!$B$107:$B$156,原格式费用考核表!$B29,累计考核费用!#REF!)/10000</f>
        <v>#REF!</v>
      </c>
    </row>
    <row r="30" spans="1:28" s="2" customFormat="1" ht="12" customHeight="1">
      <c r="A30" s="443"/>
      <c r="B30" s="11" t="s">
        <v>113</v>
      </c>
      <c r="C30" s="11" t="s">
        <v>117</v>
      </c>
      <c r="D30" s="8">
        <f>SUMIF(累计考核费用!$B$107:$B$156,原格式费用考核表!$B30,累计考核费用!C$107:C$156)/10000</f>
        <v>2.8977930000000001</v>
      </c>
      <c r="E30" s="8">
        <f>SUMIF(累计考核费用!$B$107:$B$156,原格式费用考核表!$B30,累计考核费用!D$107:D$156)/10000</f>
        <v>0</v>
      </c>
      <c r="F30" s="8">
        <f>SUMIF(累计考核费用!$B$107:$B$156,原格式费用考核表!$B30,累计考核费用!E$107:E$156)/10000</f>
        <v>0.27600000000000002</v>
      </c>
      <c r="G30" s="8">
        <f>SUMIF(累计考核费用!$B$107:$B$156,原格式费用考核表!$B30,累计考核费用!F$107:F$156)/10000</f>
        <v>1.7116089999999999</v>
      </c>
      <c r="H30" s="8">
        <f>SUMIF(累计考核费用!$B$107:$B$156,原格式费用考核表!$B30,累计考核费用!G$107:G$156)/10000</f>
        <v>0</v>
      </c>
      <c r="I30" s="8">
        <f>SUMIF(累计考核费用!$B$107:$B$156,原格式费用考核表!$B30,累计考核费用!L$107:L$156)/10000</f>
        <v>7.1999999999999995E-2</v>
      </c>
      <c r="J30" s="8">
        <f>SUMIF(累计考核费用!$B$107:$B$156,原格式费用考核表!$B30,累计考核费用!M$107:M$156)/10000</f>
        <v>3.5999999999999997E-2</v>
      </c>
      <c r="K30" s="8">
        <f>SUMIF(累计考核费用!$B$107:$B$156,原格式费用考核表!$B30,累计考核费用!Q$107:Q$156)/10000</f>
        <v>1.2E-2</v>
      </c>
      <c r="L30" s="8">
        <f>SUMIF(累计考核费用!$B$107:$B$156,原格式费用考核表!$B30,累计考核费用!P$107:P$156)/10000</f>
        <v>6.0000000000000001E-3</v>
      </c>
      <c r="M30" s="8">
        <f>SUMIF(累计考核费用!$B$107:$B$156,原格式费用考核表!$B30,累计考核费用!O$107:O$156)/10000</f>
        <v>0</v>
      </c>
      <c r="N30" s="8">
        <f>SUMIF(累计考核费用!$B$107:$B$156,原格式费用考核表!$B30,累计考核费用!R$107:R$156)/10000</f>
        <v>6.0000000000000001E-3</v>
      </c>
      <c r="O30" s="8" t="e">
        <f>SUMIF(累计考核费用!$B$107:$B$156,原格式费用考核表!$B30,累计考核费用!#REF!)/10000</f>
        <v>#REF!</v>
      </c>
      <c r="P30" s="8">
        <f>SUMIF(累计考核费用!$B$107:$B$156,原格式费用考核表!$B30,累计考核费用!S$107:S$156)/10000</f>
        <v>6.0000000000000001E-3</v>
      </c>
      <c r="Q30" s="8" t="e">
        <f>SUMIF(累计考核费用!$B$107:$B$156,原格式费用考核表!$B30,累计考核费用!#REF!)/10000</f>
        <v>#REF!</v>
      </c>
      <c r="R30" s="8">
        <f>SUMIF(累计考核费用!$B$107:$B$156,原格式费用考核表!$B30,累计考核费用!T$107:T$156)/10000</f>
        <v>6.0000000000000001E-3</v>
      </c>
      <c r="S30" s="8">
        <f>SUMIF(累计考核费用!$B$107:$B$156,原格式费用考核表!$B30,累计考核费用!U$107:U$156)/10000</f>
        <v>0.80818400000000001</v>
      </c>
      <c r="T30" s="8" t="e">
        <f>SUMIF(累计考核费用!$B$107:$B$156,原格式费用考核表!$B30,累计考核费用!#REF!)/10000</f>
        <v>#REF!</v>
      </c>
      <c r="U30" s="8">
        <f>SUMIF(累计考核费用!$B$107:$B$156,原格式费用考核表!$B30,累计考核费用!V$107:V$156)/10000</f>
        <v>0.57244399999999995</v>
      </c>
      <c r="V30" s="8">
        <f>SUMIF(累计考核费用!$B$107:$B$156,原格式费用考核表!$B30,累计考核费用!W$107:W$156)/10000</f>
        <v>0</v>
      </c>
      <c r="W30" s="8">
        <f>SUMIF(累计考核费用!$B$107:$B$156,原格式费用考核表!$B30,累计考核费用!AB$107:AB$156)/10000</f>
        <v>0</v>
      </c>
      <c r="X30" s="8" t="e">
        <f>SUMIF(累计考核费用!$B$107:$B$156,原格式费用考核表!$B30,累计考核费用!#REF!)/10000</f>
        <v>#REF!</v>
      </c>
      <c r="Y30" s="8" t="e">
        <f>SUMIF(累计考核费用!$B$107:$B$156,原格式费用考核表!$B30,累计考核费用!#REF!)/10000</f>
        <v>#REF!</v>
      </c>
      <c r="Z30" s="8" t="e">
        <f>SUMIF(累计考核费用!$B$107:$B$156,原格式费用考核表!$B30,累计考核费用!#REF!)/10000</f>
        <v>#REF!</v>
      </c>
      <c r="AA30" s="8">
        <f>SUMIF(累计考核费用!$B$107:$B$156,原格式费用考核表!$B30,累计考核费用!AC$107:AC$156)/10000</f>
        <v>0</v>
      </c>
      <c r="AB30" s="8" t="e">
        <f>SUMIF(累计考核费用!$B$107:$B$156,原格式费用考核表!$B30,累计考核费用!#REF!)/10000</f>
        <v>#REF!</v>
      </c>
    </row>
    <row r="31" spans="1:28" s="2" customFormat="1" ht="12" customHeight="1">
      <c r="A31" s="443"/>
      <c r="B31" s="11" t="s">
        <v>116</v>
      </c>
      <c r="C31" s="11" t="s">
        <v>118</v>
      </c>
      <c r="D31" s="8">
        <f>SUMIF(累计考核费用!$B$107:$B$156,原格式费用考核表!$B31,累计考核费用!C$107:C$156)/10000-D9</f>
        <v>-39.947517000000005</v>
      </c>
      <c r="E31" s="8">
        <f>SUMIF(累计考核费用!$B$107:$B$156,原格式费用考核表!$B31,累计考核费用!D$107:D$156)/10000-E9</f>
        <v>0</v>
      </c>
      <c r="F31" s="8">
        <f>SUMIF(累计考核费用!$B$107:$B$156,原格式费用考核表!$B31,累计考核费用!E$107:E$156)/10000-F9</f>
        <v>-15.487190000000002</v>
      </c>
      <c r="G31" s="8">
        <f>SUMIF(累计考核费用!$B$107:$B$156,原格式费用考核表!$B31,累计考核费用!F$107:F$156)/10000-G9</f>
        <v>-15.719317</v>
      </c>
      <c r="H31" s="8">
        <f>SUMIF(累计考核费用!$B$107:$B$156,原格式费用考核表!$B31,累计考核费用!G$107:G$156)/10000-H9</f>
        <v>-1.2</v>
      </c>
      <c r="I31" s="8">
        <f>SUMIF(累计考核费用!$B$107:$B$156,原格式费用考核表!$B31,累计考核费用!L$107:L$156)/10000-I9</f>
        <v>-4.3324100000000003</v>
      </c>
      <c r="J31" s="8">
        <f>SUMIF(累计考核费用!$B$107:$B$156,原格式费用考核表!$B31,累计考核费用!M$107:M$156)/10000-J9</f>
        <v>-0.127</v>
      </c>
      <c r="K31" s="8">
        <f>SUMIF(累计考核费用!$B$107:$B$156,原格式费用考核表!$B31,累计考核费用!Q$107:Q$156)/10000-K9</f>
        <v>0</v>
      </c>
      <c r="L31" s="8">
        <f>SUMIF(累计考核费用!$B$107:$B$156,原格式费用考核表!$B31,累计考核费用!P$107:P$156)/10000-L9</f>
        <v>-1.373904</v>
      </c>
      <c r="M31" s="8">
        <f>SUMIF(累计考核费用!$B$107:$B$156,原格式费用考核表!$B31,累计考核费用!O$107:O$156)/10000-M9</f>
        <v>0</v>
      </c>
      <c r="N31" s="8">
        <f>SUMIF(累计考核费用!$B$107:$B$156,原格式费用考核表!$B31,累计考核费用!R$107:R$156)/10000-N9</f>
        <v>-0.91659999999999997</v>
      </c>
      <c r="O31" s="8" t="e">
        <f>SUMIF(累计考核费用!$B$107:$B$156,原格式费用考核表!$B31,累计考核费用!#REF!)/10000-O9</f>
        <v>#REF!</v>
      </c>
      <c r="P31" s="8">
        <f>SUMIF(累计考核费用!$B$107:$B$156,原格式费用考核表!$B31,累计考核费用!S$107:S$156)/10000-P9</f>
        <v>-1.3539060000000001</v>
      </c>
      <c r="Q31" s="8" t="e">
        <f>SUMIF(累计考核费用!$B$107:$B$156,原格式费用考核表!$B31,累计考核费用!#REF!)/10000-Q9</f>
        <v>#REF!</v>
      </c>
      <c r="R31" s="8">
        <f>SUMIF(累计考核费用!$B$107:$B$156,原格式费用考核表!$B31,累计考核费用!T$107:T$156)/10000-R9</f>
        <v>-0.5</v>
      </c>
      <c r="S31" s="8">
        <f>SUMIF(累计考核费用!$B$107:$B$156,原格式费用考核表!$B31,累计考核费用!U$107:U$156)/10000-S9</f>
        <v>-0.999</v>
      </c>
      <c r="T31" s="8" t="e">
        <f>SUMIF(累计考核费用!$B$107:$B$156,原格式费用考核表!$B31,累计考核费用!#REF!)/10000-T9</f>
        <v>#REF!</v>
      </c>
      <c r="U31" s="8">
        <f>SUMIF(累计考核费用!$B$107:$B$156,原格式费用考核表!$B31,累计考核费用!V$107:V$156)/10000-U9</f>
        <v>-0.16</v>
      </c>
      <c r="V31" s="8">
        <f>SUMIF(累计考核费用!$B$107:$B$156,原格式费用考核表!$B31,累计考核费用!W$107:W$156)/10000-V9</f>
        <v>0</v>
      </c>
      <c r="W31" s="8">
        <f>SUMIF(累计考核费用!$B$107:$B$156,原格式费用考核表!$B31,累计考核费用!AB$107:AB$156)/10000-W9</f>
        <v>-0.83899999999999997</v>
      </c>
      <c r="X31" s="8" t="e">
        <f>SUMIF(累计考核费用!$B$107:$B$156,原格式费用考核表!$B31,累计考核费用!#REF!)/10000-X9</f>
        <v>#REF!</v>
      </c>
      <c r="Y31" s="8" t="e">
        <f>SUMIF(累计考核费用!$B$107:$B$156,原格式费用考核表!$B31,累计考核费用!#REF!)/10000-Y9</f>
        <v>#REF!</v>
      </c>
      <c r="Z31" s="8" t="e">
        <f>SUMIF(累计考核费用!$B$107:$B$156,原格式费用考核表!$B31,累计考核费用!#REF!)/10000-Z9</f>
        <v>#REF!</v>
      </c>
      <c r="AA31" s="8">
        <f>SUMIF(累计考核费用!$B$107:$B$156,原格式费用考核表!$B31,累计考核费用!AC$107:AC$156)/10000-AA9</f>
        <v>0</v>
      </c>
      <c r="AB31" s="8" t="e">
        <f>SUMIF(累计考核费用!$B$107:$B$156,原格式费用考核表!$B31,累计考核费用!#REF!)/10000-AB9</f>
        <v>#REF!</v>
      </c>
    </row>
    <row r="32" spans="1:28" s="2" customFormat="1" ht="12" customHeight="1">
      <c r="A32" s="443"/>
      <c r="B32" s="11" t="s">
        <v>124</v>
      </c>
      <c r="C32" s="11" t="s">
        <v>98</v>
      </c>
      <c r="D32" s="8">
        <f>SUMIF(累计考核费用!$B$107:$B$156,原格式费用考核表!$B32,累计考核费用!C$107:C$156)/10000</f>
        <v>4.75</v>
      </c>
      <c r="E32" s="8">
        <f>SUMIF(累计考核费用!$B$107:$B$156,原格式费用考核表!$B32,累计考核费用!D$107:D$156)/10000</f>
        <v>0</v>
      </c>
      <c r="F32" s="8">
        <f>SUMIF(累计考核费用!$B$107:$B$156,原格式费用考核表!$B32,累计考核费用!E$107:E$156)/10000</f>
        <v>4.75</v>
      </c>
      <c r="G32" s="8">
        <f>SUMIF(累计考核费用!$B$107:$B$156,原格式费用考核表!$B32,累计考核费用!F$107:F$156)/10000</f>
        <v>0</v>
      </c>
      <c r="H32" s="8">
        <f>SUMIF(累计考核费用!$B$107:$B$156,原格式费用考核表!$B32,累计考核费用!G$107:G$156)/10000</f>
        <v>0</v>
      </c>
      <c r="I32" s="8">
        <f>SUMIF(累计考核费用!$B$107:$B$156,原格式费用考核表!$B32,累计考核费用!L$107:L$156)/10000</f>
        <v>0</v>
      </c>
      <c r="J32" s="8">
        <f>SUMIF(累计考核费用!$B$107:$B$156,原格式费用考核表!$B32,累计考核费用!M$107:M$156)/10000</f>
        <v>0</v>
      </c>
      <c r="K32" s="8">
        <f>SUMIF(累计考核费用!$B$107:$B$156,原格式费用考核表!$B32,累计考核费用!Q$107:Q$156)/10000</f>
        <v>0</v>
      </c>
      <c r="L32" s="8">
        <f>SUMIF(累计考核费用!$B$107:$B$156,原格式费用考核表!$B32,累计考核费用!P$107:P$156)/10000</f>
        <v>0</v>
      </c>
      <c r="M32" s="8">
        <f>SUMIF(累计考核费用!$B$107:$B$156,原格式费用考核表!$B32,累计考核费用!O$107:O$156)/10000</f>
        <v>0</v>
      </c>
      <c r="N32" s="8">
        <f>SUMIF(累计考核费用!$B$107:$B$156,原格式费用考核表!$B32,累计考核费用!R$107:R$156)/10000</f>
        <v>0</v>
      </c>
      <c r="O32" s="8" t="e">
        <f>SUMIF(累计考核费用!$B$107:$B$156,原格式费用考核表!$B32,累计考核费用!#REF!)/10000</f>
        <v>#REF!</v>
      </c>
      <c r="P32" s="8">
        <f>SUMIF(累计考核费用!$B$107:$B$156,原格式费用考核表!$B32,累计考核费用!S$107:S$156)/10000</f>
        <v>0</v>
      </c>
      <c r="Q32" s="8" t="e">
        <f>SUMIF(累计考核费用!$B$107:$B$156,原格式费用考核表!$B32,累计考核费用!#REF!)/10000</f>
        <v>#REF!</v>
      </c>
      <c r="R32" s="8">
        <f>SUMIF(累计考核费用!$B$107:$B$156,原格式费用考核表!$B32,累计考核费用!T$107:T$156)/10000</f>
        <v>0</v>
      </c>
      <c r="S32" s="8">
        <f>SUMIF(累计考核费用!$B$107:$B$156,原格式费用考核表!$B32,累计考核费用!U$107:U$156)/10000</f>
        <v>0</v>
      </c>
      <c r="T32" s="8" t="e">
        <f>SUMIF(累计考核费用!$B$107:$B$156,原格式费用考核表!$B32,累计考核费用!#REF!)/10000</f>
        <v>#REF!</v>
      </c>
      <c r="U32" s="8">
        <f>SUMIF(累计考核费用!$B$107:$B$156,原格式费用考核表!$B32,累计考核费用!V$107:V$156)/10000</f>
        <v>0</v>
      </c>
      <c r="V32" s="8">
        <f>SUMIF(累计考核费用!$B$107:$B$156,原格式费用考核表!$B32,累计考核费用!W$107:W$156)/10000</f>
        <v>0</v>
      </c>
      <c r="W32" s="8">
        <f>SUMIF(累计考核费用!$B$107:$B$156,原格式费用考核表!$B32,累计考核费用!AB$107:AB$156)/10000</f>
        <v>0</v>
      </c>
      <c r="X32" s="8" t="e">
        <f>SUMIF(累计考核费用!$B$107:$B$156,原格式费用考核表!$B32,累计考核费用!#REF!)/10000</f>
        <v>#REF!</v>
      </c>
      <c r="Y32" s="8" t="e">
        <f>SUMIF(累计考核费用!$B$107:$B$156,原格式费用考核表!$B32,累计考核费用!#REF!)/10000</f>
        <v>#REF!</v>
      </c>
      <c r="Z32" s="8" t="e">
        <f>SUMIF(累计考核费用!$B$107:$B$156,原格式费用考核表!$B32,累计考核费用!#REF!)/10000</f>
        <v>#REF!</v>
      </c>
      <c r="AA32" s="8">
        <f>SUMIF(累计考核费用!$B$107:$B$156,原格式费用考核表!$B32,累计考核费用!AC$107:AC$156)/10000</f>
        <v>0</v>
      </c>
      <c r="AB32" s="8" t="e">
        <f>SUMIF(累计考核费用!$B$107:$B$156,原格式费用考核表!$B32,累计考核费用!#REF!)/10000</f>
        <v>#REF!</v>
      </c>
    </row>
    <row r="33" spans="1:28" s="2" customFormat="1" ht="12" customHeight="1">
      <c r="A33" s="443"/>
      <c r="B33" s="11" t="s">
        <v>125</v>
      </c>
      <c r="C33" s="11" t="s">
        <v>120</v>
      </c>
      <c r="D33" s="8">
        <f>SUMIF(累计考核费用!$B$107:$B$156,原格式费用考核表!$B33,累计考核费用!C$107:C$156)/10000</f>
        <v>4.2004150000000005</v>
      </c>
      <c r="E33" s="8">
        <f>SUMIF(累计考核费用!$B$107:$B$156,原格式费用考核表!$B33,累计考核费用!D$107:D$156)/10000</f>
        <v>0</v>
      </c>
      <c r="F33" s="8">
        <f>SUMIF(累计考核费用!$B$107:$B$156,原格式费用考核表!$B33,累计考核费用!E$107:E$156)/10000</f>
        <v>2.2694380000000001</v>
      </c>
      <c r="G33" s="8">
        <f>SUMIF(累计考核费用!$B$107:$B$156,原格式费用考核表!$B33,累计考核费用!F$107:F$156)/10000</f>
        <v>1.778977</v>
      </c>
      <c r="H33" s="8">
        <f>SUMIF(累计考核费用!$B$107:$B$156,原格式费用考核表!$B33,累计考核费用!G$107:G$156)/10000</f>
        <v>0</v>
      </c>
      <c r="I33" s="8">
        <f>SUMIF(累计考核费用!$B$107:$B$156,原格式费用考核表!$B33,累计考核费用!L$107:L$156)/10000</f>
        <v>0</v>
      </c>
      <c r="J33" s="8">
        <f>SUMIF(累计考核费用!$B$107:$B$156,原格式费用考核表!$B33,累计考核费用!M$107:M$156)/10000</f>
        <v>0</v>
      </c>
      <c r="K33" s="8">
        <f>SUMIF(累计考核费用!$B$107:$B$156,原格式费用考核表!$B33,累计考核费用!Q$107:Q$156)/10000</f>
        <v>0</v>
      </c>
      <c r="L33" s="8">
        <f>SUMIF(累计考核费用!$B$107:$B$156,原格式费用考核表!$B33,累计考核费用!P$107:P$156)/10000</f>
        <v>0</v>
      </c>
      <c r="M33" s="8">
        <f>SUMIF(累计考核费用!$B$107:$B$156,原格式费用考核表!$B33,累计考核费用!O$107:O$156)/10000</f>
        <v>0</v>
      </c>
      <c r="N33" s="8">
        <f>SUMIF(累计考核费用!$B$107:$B$156,原格式费用考核表!$B33,累计考核费用!R$107:R$156)/10000</f>
        <v>0</v>
      </c>
      <c r="O33" s="8" t="e">
        <f>SUMIF(累计考核费用!$B$107:$B$156,原格式费用考核表!$B33,累计考核费用!#REF!)/10000</f>
        <v>#REF!</v>
      </c>
      <c r="P33" s="8">
        <f>SUMIF(累计考核费用!$B$107:$B$156,原格式费用考核表!$B33,累计考核费用!S$107:S$156)/10000</f>
        <v>0</v>
      </c>
      <c r="Q33" s="8" t="e">
        <f>SUMIF(累计考核费用!$B$107:$B$156,原格式费用考核表!$B33,累计考核费用!#REF!)/10000</f>
        <v>#REF!</v>
      </c>
      <c r="R33" s="8">
        <f>SUMIF(累计考核费用!$B$107:$B$156,原格式费用考核表!$B33,累计考核费用!T$107:T$156)/10000</f>
        <v>0</v>
      </c>
      <c r="S33" s="8">
        <f>SUMIF(累计考核费用!$B$107:$B$156,原格式费用考核表!$B33,累计考核费用!U$107:U$156)/10000</f>
        <v>0.152</v>
      </c>
      <c r="T33" s="8" t="e">
        <f>SUMIF(累计考核费用!$B$107:$B$156,原格式费用考核表!$B33,累计考核费用!#REF!)/10000</f>
        <v>#REF!</v>
      </c>
      <c r="U33" s="8">
        <f>SUMIF(累计考核费用!$B$107:$B$156,原格式费用考核表!$B33,累计考核费用!V$107:V$156)/10000</f>
        <v>0</v>
      </c>
      <c r="V33" s="8">
        <f>SUMIF(累计考核费用!$B$107:$B$156,原格式费用考核表!$B33,累计考核费用!W$107:W$156)/10000</f>
        <v>0</v>
      </c>
      <c r="W33" s="8">
        <f>SUMIF(累计考核费用!$B$107:$B$156,原格式费用考核表!$B33,累计考核费用!AB$107:AB$156)/10000</f>
        <v>0</v>
      </c>
      <c r="X33" s="8" t="e">
        <f>SUMIF(累计考核费用!$B$107:$B$156,原格式费用考核表!$B33,累计考核费用!#REF!)/10000</f>
        <v>#REF!</v>
      </c>
      <c r="Y33" s="8" t="e">
        <f>SUMIF(累计考核费用!$B$107:$B$156,原格式费用考核表!$B33,累计考核费用!#REF!)/10000</f>
        <v>#REF!</v>
      </c>
      <c r="Z33" s="8" t="e">
        <f>SUMIF(累计考核费用!$B$107:$B$156,原格式费用考核表!$B33,累计考核费用!#REF!)/10000</f>
        <v>#REF!</v>
      </c>
      <c r="AA33" s="8">
        <f>SUMIF(累计考核费用!$B$107:$B$156,原格式费用考核表!$B33,累计考核费用!AC$107:AC$156)/10000</f>
        <v>0</v>
      </c>
      <c r="AB33" s="8" t="e">
        <f>SUMIF(累计考核费用!$B$107:$B$156,原格式费用考核表!$B33,累计考核费用!#REF!)/10000</f>
        <v>#REF!</v>
      </c>
    </row>
    <row r="34" spans="1:28" s="2" customFormat="1" ht="12" customHeight="1">
      <c r="A34" s="443"/>
      <c r="B34" s="11" t="s">
        <v>114</v>
      </c>
      <c r="C34" s="11" t="s">
        <v>121</v>
      </c>
      <c r="D34" s="8">
        <f>SUMIF(累计考核费用!$B$107:$B$156,原格式费用考核表!$B34,累计考核费用!C$107:C$156)/10000</f>
        <v>0.96839500000000012</v>
      </c>
      <c r="E34" s="8">
        <f>SUMIF(累计考核费用!$B$107:$B$156,原格式费用考核表!$B34,累计考核费用!D$107:D$156)/10000</f>
        <v>0</v>
      </c>
      <c r="F34" s="8">
        <f>SUMIF(累计考核费用!$B$107:$B$156,原格式费用考核表!$B34,累计考核费用!E$107:E$156)/10000</f>
        <v>0.35575500000000004</v>
      </c>
      <c r="G34" s="8">
        <f>SUMIF(累计考核费用!$B$107:$B$156,原格式费用考核表!$B34,累计考核费用!F$107:F$156)/10000</f>
        <v>0.60063999999999995</v>
      </c>
      <c r="H34" s="8">
        <f>SUMIF(累计考核费用!$B$107:$B$156,原格式费用考核表!$B34,累计考核费用!G$107:G$156)/10000</f>
        <v>0</v>
      </c>
      <c r="I34" s="8">
        <f>SUMIF(累计考核费用!$B$107:$B$156,原格式费用考核表!$B34,累计考核费用!L$107:L$156)/10000</f>
        <v>0</v>
      </c>
      <c r="J34" s="8">
        <f>SUMIF(累计考核费用!$B$107:$B$156,原格式费用考核表!$B34,累计考核费用!M$107:M$156)/10000</f>
        <v>0</v>
      </c>
      <c r="K34" s="8">
        <f>SUMIF(累计考核费用!$B$107:$B$156,原格式费用考核表!$B34,累计考核费用!Q$107:Q$156)/10000</f>
        <v>0</v>
      </c>
      <c r="L34" s="8">
        <f>SUMIF(累计考核费用!$B$107:$B$156,原格式费用考核表!$B34,累计考核费用!P$107:P$156)/10000</f>
        <v>0</v>
      </c>
      <c r="M34" s="8">
        <f>SUMIF(累计考核费用!$B$107:$B$156,原格式费用考核表!$B34,累计考核费用!O$107:O$156)/10000</f>
        <v>0</v>
      </c>
      <c r="N34" s="8">
        <f>SUMIF(累计考核费用!$B$107:$B$156,原格式费用考核表!$B34,累计考核费用!R$107:R$156)/10000</f>
        <v>0</v>
      </c>
      <c r="O34" s="8" t="e">
        <f>SUMIF(累计考核费用!$B$107:$B$156,原格式费用考核表!$B34,累计考核费用!#REF!)/10000</f>
        <v>#REF!</v>
      </c>
      <c r="P34" s="8">
        <f>SUMIF(累计考核费用!$B$107:$B$156,原格式费用考核表!$B34,累计考核费用!S$107:S$156)/10000</f>
        <v>0</v>
      </c>
      <c r="Q34" s="8" t="e">
        <f>SUMIF(累计考核费用!$B$107:$B$156,原格式费用考核表!$B34,累计考核费用!#REF!)/10000</f>
        <v>#REF!</v>
      </c>
      <c r="R34" s="8">
        <f>SUMIF(累计考核费用!$B$107:$B$156,原格式费用考核表!$B34,累计考核费用!T$107:T$156)/10000</f>
        <v>0</v>
      </c>
      <c r="S34" s="8">
        <f>SUMIF(累计考核费用!$B$107:$B$156,原格式费用考核表!$B34,累计考核费用!U$107:U$156)/10000</f>
        <v>0</v>
      </c>
      <c r="T34" s="8" t="e">
        <f>SUMIF(累计考核费用!$B$107:$B$156,原格式费用考核表!$B34,累计考核费用!#REF!)/10000</f>
        <v>#REF!</v>
      </c>
      <c r="U34" s="8">
        <f>SUMIF(累计考核费用!$B$107:$B$156,原格式费用考核表!$B34,累计考核费用!V$107:V$156)/10000</f>
        <v>0</v>
      </c>
      <c r="V34" s="8">
        <f>SUMIF(累计考核费用!$B$107:$B$156,原格式费用考核表!$B34,累计考核费用!W$107:W$156)/10000</f>
        <v>0</v>
      </c>
      <c r="W34" s="8">
        <f>SUMIF(累计考核费用!$B$107:$B$156,原格式费用考核表!$B34,累计考核费用!AB$107:AB$156)/10000</f>
        <v>0</v>
      </c>
      <c r="X34" s="8" t="e">
        <f>SUMIF(累计考核费用!$B$107:$B$156,原格式费用考核表!$B34,累计考核费用!#REF!)/10000</f>
        <v>#REF!</v>
      </c>
      <c r="Y34" s="8" t="e">
        <f>SUMIF(累计考核费用!$B$107:$B$156,原格式费用考核表!$B34,累计考核费用!#REF!)/10000</f>
        <v>#REF!</v>
      </c>
      <c r="Z34" s="8" t="e">
        <f>SUMIF(累计考核费用!$B$107:$B$156,原格式费用考核表!$B34,累计考核费用!#REF!)/10000</f>
        <v>#REF!</v>
      </c>
      <c r="AA34" s="8">
        <f>SUMIF(累计考核费用!$B$107:$B$156,原格式费用考核表!$B34,累计考核费用!AC$107:AC$156)/10000</f>
        <v>0</v>
      </c>
      <c r="AB34" s="8" t="e">
        <f>SUMIF(累计考核费用!$B$107:$B$156,原格式费用考核表!$B34,累计考核费用!#REF!)/10000</f>
        <v>#REF!</v>
      </c>
    </row>
    <row r="35" spans="1:28" s="2" customFormat="1" ht="12" customHeight="1">
      <c r="A35" s="443"/>
      <c r="B35" s="11" t="s">
        <v>115</v>
      </c>
      <c r="C35" s="11" t="s">
        <v>122</v>
      </c>
      <c r="D35" s="8">
        <f>SUMIF(累计考核费用!$B$107:$B$156,原格式费用考核表!$B35,累计考核费用!C$107:C$156)/10000</f>
        <v>6.4112019999999985</v>
      </c>
      <c r="E35" s="8">
        <f>SUMIF(累计考核费用!$B$107:$B$156,原格式费用考核表!$B35,累计考核费用!D$107:D$156)/10000</f>
        <v>0</v>
      </c>
      <c r="F35" s="8">
        <f>SUMIF(累计考核费用!$B$107:$B$156,原格式费用考核表!$B35,累计考核费用!E$107:E$156)/10000</f>
        <v>1.473471</v>
      </c>
      <c r="G35" s="8">
        <f>SUMIF(累计考核费用!$B$107:$B$156,原格式费用考核表!$B35,累计考核费用!F$107:F$156)/10000</f>
        <v>0.63637999999999995</v>
      </c>
      <c r="H35" s="8">
        <f>SUMIF(累计考核费用!$B$107:$B$156,原格式费用考核表!$B35,累计考核费用!G$107:G$156)/10000</f>
        <v>1.0154E-2</v>
      </c>
      <c r="I35" s="8">
        <f>SUMIF(累计考核费用!$B$107:$B$156,原格式费用考核表!$B35,累计考核费用!L$107:L$156)/10000</f>
        <v>9.5122999999999985E-2</v>
      </c>
      <c r="J35" s="8">
        <f>SUMIF(累计考核费用!$B$107:$B$156,原格式费用考核表!$B35,累计考核费用!M$107:M$156)/10000</f>
        <v>3.4509999999999996E-3</v>
      </c>
      <c r="K35" s="8">
        <f>SUMIF(累计考核费用!$B$107:$B$156,原格式费用考核表!$B35,累计考核费用!Q$107:Q$156)/10000</f>
        <v>0.14856900000000001</v>
      </c>
      <c r="L35" s="8">
        <f>SUMIF(累计考核费用!$B$107:$B$156,原格式费用考核表!$B35,累计考核费用!P$107:P$156)/10000</f>
        <v>2.2103999999999999E-2</v>
      </c>
      <c r="M35" s="8">
        <f>SUMIF(累计考核费用!$B$107:$B$156,原格式费用考核表!$B35,累计考核费用!O$107:O$156)/10000</f>
        <v>3.7089999999999998E-2</v>
      </c>
      <c r="N35" s="8">
        <f>SUMIF(累计考核费用!$B$107:$B$156,原格式费用考核表!$B35,累计考核费用!R$107:R$156)/10000</f>
        <v>3.0550000000000001E-2</v>
      </c>
      <c r="O35" s="8" t="e">
        <f>SUMIF(累计考核费用!$B$107:$B$156,原格式费用考核表!$B35,累计考核费用!#REF!)/10000</f>
        <v>#REF!</v>
      </c>
      <c r="P35" s="8">
        <f>SUMIF(累计考核费用!$B$107:$B$156,原格式费用考核表!$B35,累计考核费用!S$107:S$156)/10000</f>
        <v>0.118019</v>
      </c>
      <c r="Q35" s="8" t="e">
        <f>SUMIF(累计考核费用!$B$107:$B$156,原格式费用考核表!$B35,累计考核费用!#REF!)/10000</f>
        <v>#REF!</v>
      </c>
      <c r="R35" s="8">
        <f>SUMIF(累计考核费用!$B$107:$B$156,原格式费用考核表!$B35,累计考核费用!T$107:T$156)/10000</f>
        <v>7.9439999999999997E-3</v>
      </c>
      <c r="S35" s="8">
        <f>SUMIF(累计考核费用!$B$107:$B$156,原格式费用考核表!$B35,累计考核费用!U$107:U$156)/10000</f>
        <v>3.7099869999999995</v>
      </c>
      <c r="T35" s="8" t="e">
        <f>SUMIF(累计考核费用!$B$107:$B$156,原格式费用考核表!$B35,累计考核费用!#REF!)/10000</f>
        <v>#REF!</v>
      </c>
      <c r="U35" s="8">
        <f>SUMIF(累计考核费用!$B$107:$B$156,原格式费用考核表!$B35,累计考核费用!V$107:V$156)/10000</f>
        <v>0.73682599999999998</v>
      </c>
      <c r="V35" s="8">
        <f>SUMIF(累计考核费用!$B$107:$B$156,原格式费用考核表!$B35,累计考核费用!W$107:W$156)/10000</f>
        <v>0.34933600000000004</v>
      </c>
      <c r="W35" s="8">
        <f>SUMIF(累计考核费用!$B$107:$B$156,原格式费用考核表!$B35,累计考核费用!AB$107:AB$156)/10000</f>
        <v>0</v>
      </c>
      <c r="X35" s="8" t="e">
        <f>SUMIF(累计考核费用!$B$107:$B$156,原格式费用考核表!$B35,累计考核费用!#REF!)/10000</f>
        <v>#REF!</v>
      </c>
      <c r="Y35" s="8" t="e">
        <f>SUMIF(累计考核费用!$B$107:$B$156,原格式费用考核表!$B35,累计考核费用!#REF!)/10000</f>
        <v>#REF!</v>
      </c>
      <c r="Z35" s="8" t="e">
        <f>SUMIF(累计考核费用!$B$107:$B$156,原格式费用考核表!$B35,累计考核费用!#REF!)/10000</f>
        <v>#REF!</v>
      </c>
      <c r="AA35" s="8">
        <f>SUMIF(累计考核费用!$B$107:$B$156,原格式费用考核表!$B35,累计考核费用!AC$107:AC$156)/10000</f>
        <v>6.343E-2</v>
      </c>
      <c r="AB35" s="8" t="e">
        <f>SUMIF(累计考核费用!$B$107:$B$156,原格式费用考核表!$B35,累计考核费用!#REF!)/10000</f>
        <v>#REF!</v>
      </c>
    </row>
    <row r="36" spans="1:28" s="2" customFormat="1" ht="12" customHeight="1">
      <c r="A36" s="443"/>
      <c r="B36" s="11" t="s">
        <v>126</v>
      </c>
      <c r="C36" s="11" t="s">
        <v>123</v>
      </c>
      <c r="D36" s="8">
        <f>SUMIF(累计考核费用!$B$107:$B$156,原格式费用考核表!$B36,累计考核费用!C$107:C$156)/10000</f>
        <v>4</v>
      </c>
      <c r="E36" s="8">
        <f>SUMIF(累计考核费用!$B$107:$B$156,原格式费用考核表!$B36,累计考核费用!D$107:D$156)/10000</f>
        <v>0</v>
      </c>
      <c r="F36" s="8">
        <f>SUMIF(累计考核费用!$B$107:$B$156,原格式费用考核表!$B36,累计考核费用!E$107:E$156)/10000</f>
        <v>0</v>
      </c>
      <c r="G36" s="8">
        <f>SUMIF(累计考核费用!$B$107:$B$156,原格式费用考核表!$B36,累计考核费用!F$107:F$156)/10000</f>
        <v>4</v>
      </c>
      <c r="H36" s="8">
        <f>SUMIF(累计考核费用!$B$107:$B$156,原格式费用考核表!$B36,累计考核费用!G$107:G$156)/10000</f>
        <v>0</v>
      </c>
      <c r="I36" s="8">
        <f>SUMIF(累计考核费用!$B$107:$B$156,原格式费用考核表!$B36,累计考核费用!L$107:L$156)/10000</f>
        <v>0</v>
      </c>
      <c r="J36" s="8">
        <f>SUMIF(累计考核费用!$B$107:$B$156,原格式费用考核表!$B36,累计考核费用!M$107:M$156)/10000</f>
        <v>0</v>
      </c>
      <c r="K36" s="8">
        <f>SUMIF(累计考核费用!$B$107:$B$156,原格式费用考核表!$B36,累计考核费用!Q$107:Q$156)/10000</f>
        <v>0</v>
      </c>
      <c r="L36" s="8">
        <f>SUMIF(累计考核费用!$B$107:$B$156,原格式费用考核表!$B36,累计考核费用!P$107:P$156)/10000</f>
        <v>0</v>
      </c>
      <c r="M36" s="8">
        <f>SUMIF(累计考核费用!$B$107:$B$156,原格式费用考核表!$B36,累计考核费用!O$107:O$156)/10000</f>
        <v>0</v>
      </c>
      <c r="N36" s="8">
        <f>SUMIF(累计考核费用!$B$107:$B$156,原格式费用考核表!$B36,累计考核费用!R$107:R$156)/10000</f>
        <v>0</v>
      </c>
      <c r="O36" s="8" t="e">
        <f>SUMIF(累计考核费用!$B$107:$B$156,原格式费用考核表!$B36,累计考核费用!#REF!)/10000</f>
        <v>#REF!</v>
      </c>
      <c r="P36" s="8">
        <f>SUMIF(累计考核费用!$B$107:$B$156,原格式费用考核表!$B36,累计考核费用!S$107:S$156)/10000</f>
        <v>0</v>
      </c>
      <c r="Q36" s="8" t="e">
        <f>SUMIF(累计考核费用!$B$107:$B$156,原格式费用考核表!$B36,累计考核费用!#REF!)/10000</f>
        <v>#REF!</v>
      </c>
      <c r="R36" s="8">
        <f>SUMIF(累计考核费用!$B$107:$B$156,原格式费用考核表!$B36,累计考核费用!T$107:T$156)/10000</f>
        <v>0</v>
      </c>
      <c r="S36" s="8">
        <f>SUMIF(累计考核费用!$B$107:$B$156,原格式费用考核表!$B36,累计考核费用!U$107:U$156)/10000</f>
        <v>0</v>
      </c>
      <c r="T36" s="8" t="e">
        <f>SUMIF(累计考核费用!$B$107:$B$156,原格式费用考核表!$B36,累计考核费用!#REF!)/10000</f>
        <v>#REF!</v>
      </c>
      <c r="U36" s="8">
        <f>SUMIF(累计考核费用!$B$107:$B$156,原格式费用考核表!$B36,累计考核费用!V$107:V$156)/10000</f>
        <v>0</v>
      </c>
      <c r="V36" s="8">
        <f>SUMIF(累计考核费用!$B$107:$B$156,原格式费用考核表!$B36,累计考核费用!W$107:W$156)/10000</f>
        <v>0</v>
      </c>
      <c r="W36" s="8">
        <f>SUMIF(累计考核费用!$B$107:$B$156,原格式费用考核表!$B36,累计考核费用!AB$107:AB$156)/10000</f>
        <v>0</v>
      </c>
      <c r="X36" s="8" t="e">
        <f>SUMIF(累计考核费用!$B$107:$B$156,原格式费用考核表!$B36,累计考核费用!#REF!)/10000</f>
        <v>#REF!</v>
      </c>
      <c r="Y36" s="8" t="e">
        <f>SUMIF(累计考核费用!$B$107:$B$156,原格式费用考核表!$B36,累计考核费用!#REF!)/10000</f>
        <v>#REF!</v>
      </c>
      <c r="Z36" s="8" t="e">
        <f>SUMIF(累计考核费用!$B$107:$B$156,原格式费用考核表!$B36,累计考核费用!#REF!)/10000</f>
        <v>#REF!</v>
      </c>
      <c r="AA36" s="8">
        <f>SUMIF(累计考核费用!$B$107:$B$156,原格式费用考核表!$B36,累计考核费用!AC$107:AC$156)/10000</f>
        <v>0</v>
      </c>
      <c r="AB36" s="8" t="e">
        <f>SUMIF(累计考核费用!$B$107:$B$156,原格式费用考核表!$B36,累计考核费用!#REF!)/10000</f>
        <v>#REF!</v>
      </c>
    </row>
    <row r="37" spans="1:28" s="2" customFormat="1" ht="12" customHeight="1">
      <c r="A37" s="443"/>
      <c r="B37" s="11" t="s">
        <v>103</v>
      </c>
      <c r="C37" s="11" t="s">
        <v>124</v>
      </c>
      <c r="D37" s="8">
        <f>SUMIF(累计考核费用!$B$107:$B$156,原格式费用考核表!$B37,累计考核费用!C$107:C$156)/10000</f>
        <v>9.9250369999999997</v>
      </c>
      <c r="E37" s="8">
        <f>SUMIF(累计考核费用!$B$107:$B$156,原格式费用考核表!$B37,累计考核费用!D$107:D$156)/10000</f>
        <v>0</v>
      </c>
      <c r="F37" s="8">
        <f>SUMIF(累计考核费用!$B$107:$B$156,原格式费用考核表!$B37,累计考核费用!E$107:E$156)/10000</f>
        <v>2.2200000000000002</v>
      </c>
      <c r="G37" s="8">
        <f>SUMIF(累计考核费用!$B$107:$B$156,原格式费用考核表!$B37,累计考核费用!F$107:F$156)/10000</f>
        <v>5.4139929999999996</v>
      </c>
      <c r="H37" s="8">
        <f>SUMIF(累计考核费用!$B$107:$B$156,原格式费用考核表!$B37,累计考核费用!G$107:G$156)/10000</f>
        <v>0</v>
      </c>
      <c r="I37" s="8">
        <f>SUMIF(累计考核费用!$B$107:$B$156,原格式费用考核表!$B37,累计考核费用!L$107:L$156)/10000</f>
        <v>0</v>
      </c>
      <c r="J37" s="8">
        <f>SUMIF(累计考核费用!$B$107:$B$156,原格式费用考核表!$B37,累计考核费用!M$107:M$156)/10000</f>
        <v>0</v>
      </c>
      <c r="K37" s="8">
        <f>SUMIF(累计考核费用!$B$107:$B$156,原格式费用考核表!$B37,累计考核费用!Q$107:Q$156)/10000</f>
        <v>0</v>
      </c>
      <c r="L37" s="8">
        <f>SUMIF(累计考核费用!$B$107:$B$156,原格式费用考核表!$B37,累计考核费用!P$107:P$156)/10000</f>
        <v>0</v>
      </c>
      <c r="M37" s="8">
        <f>SUMIF(累计考核费用!$B$107:$B$156,原格式费用考核表!$B37,累计考核费用!O$107:O$156)/10000</f>
        <v>0</v>
      </c>
      <c r="N37" s="8">
        <f>SUMIF(累计考核费用!$B$107:$B$156,原格式费用考核表!$B37,累计考核费用!R$107:R$156)/10000</f>
        <v>0</v>
      </c>
      <c r="O37" s="8" t="e">
        <f>SUMIF(累计考核费用!$B$107:$B$156,原格式费用考核表!$B37,累计考核费用!#REF!)/10000</f>
        <v>#REF!</v>
      </c>
      <c r="P37" s="8">
        <f>SUMIF(累计考核费用!$B$107:$B$156,原格式费用考核表!$B37,累计考核费用!S$107:S$156)/10000</f>
        <v>0</v>
      </c>
      <c r="Q37" s="8" t="e">
        <f>SUMIF(累计考核费用!$B$107:$B$156,原格式费用考核表!$B37,累计考核费用!#REF!)/10000</f>
        <v>#REF!</v>
      </c>
      <c r="R37" s="8">
        <f>SUMIF(累计考核费用!$B$107:$B$156,原格式费用考核表!$B37,累计考核费用!T$107:T$156)/10000</f>
        <v>2.2910439999999999</v>
      </c>
      <c r="S37" s="8">
        <f>SUMIF(累计考核费用!$B$107:$B$156,原格式费用考核表!$B37,累计考核费用!U$107:U$156)/10000</f>
        <v>0</v>
      </c>
      <c r="T37" s="8" t="e">
        <f>SUMIF(累计考核费用!$B$107:$B$156,原格式费用考核表!$B37,累计考核费用!#REF!)/10000</f>
        <v>#REF!</v>
      </c>
      <c r="U37" s="8">
        <f>SUMIF(累计考核费用!$B$107:$B$156,原格式费用考核表!$B37,累计考核费用!V$107:V$156)/10000</f>
        <v>0</v>
      </c>
      <c r="V37" s="8">
        <f>SUMIF(累计考核费用!$B$107:$B$156,原格式费用考核表!$B37,累计考核费用!W$107:W$156)/10000</f>
        <v>0</v>
      </c>
      <c r="W37" s="8">
        <f>SUMIF(累计考核费用!$B$107:$B$156,原格式费用考核表!$B37,累计考核费用!AB$107:AB$156)/10000</f>
        <v>0</v>
      </c>
      <c r="X37" s="8" t="e">
        <f>SUMIF(累计考核费用!$B$107:$B$156,原格式费用考核表!$B37,累计考核费用!#REF!)/10000</f>
        <v>#REF!</v>
      </c>
      <c r="Y37" s="8" t="e">
        <f>SUMIF(累计考核费用!$B$107:$B$156,原格式费用考核表!$B37,累计考核费用!#REF!)/10000</f>
        <v>#REF!</v>
      </c>
      <c r="Z37" s="8" t="e">
        <f>SUMIF(累计考核费用!$B$107:$B$156,原格式费用考核表!$B37,累计考核费用!#REF!)/10000</f>
        <v>#REF!</v>
      </c>
      <c r="AA37" s="8">
        <f>SUMIF(累计考核费用!$B$107:$B$156,原格式费用考核表!$B37,累计考核费用!AC$107:AC$156)/10000</f>
        <v>0</v>
      </c>
      <c r="AB37" s="8" t="e">
        <f>SUMIF(累计考核费用!$B$107:$B$156,原格式费用考核表!$B37,累计考核费用!#REF!)/10000</f>
        <v>#REF!</v>
      </c>
    </row>
    <row r="38" spans="1:28" s="2" customFormat="1" ht="12" customHeight="1">
      <c r="A38" s="443"/>
      <c r="B38" s="11" t="s">
        <v>127</v>
      </c>
      <c r="C38" s="11" t="s">
        <v>125</v>
      </c>
      <c r="D38" s="8">
        <f>SUMIF(累计考核费用!$B$107:$B$156,原格式费用考核表!$B38,累计考核费用!C$107:C$156)/10000</f>
        <v>87.252168999999995</v>
      </c>
      <c r="E38" s="8">
        <f>SUMIF(累计考核费用!$B$107:$B$156,原格式费用考核表!$B38,累计考核费用!D$107:D$156)/10000</f>
        <v>0</v>
      </c>
      <c r="F38" s="8">
        <f>SUMIF(累计考核费用!$B$107:$B$156,原格式费用考核表!$B38,累计考核费用!E$107:E$156)/10000</f>
        <v>18.396226000000002</v>
      </c>
      <c r="G38" s="8">
        <f>SUMIF(累计考核费用!$B$107:$B$156,原格式费用考核表!$B38,累计考核费用!F$107:F$156)/10000</f>
        <v>9.1509429999999998</v>
      </c>
      <c r="H38" s="8">
        <f>SUMIF(累计考核费用!$B$107:$B$156,原格式费用考核表!$B38,累计考核费用!G$107:G$156)/10000</f>
        <v>0</v>
      </c>
      <c r="I38" s="8">
        <f>SUMIF(累计考核费用!$B$107:$B$156,原格式费用考核表!$B38,累计考核费用!L$107:L$156)/10000</f>
        <v>59.704999999999998</v>
      </c>
      <c r="J38" s="8">
        <f>SUMIF(累计考核费用!$B$107:$B$156,原格式费用考核表!$B38,累计考核费用!M$107:M$156)/10000</f>
        <v>0</v>
      </c>
      <c r="K38" s="8">
        <f>SUMIF(累计考核费用!$B$107:$B$156,原格式费用考核表!$B38,累计考核费用!Q$107:Q$156)/10000</f>
        <v>0</v>
      </c>
      <c r="L38" s="8">
        <f>SUMIF(累计考核费用!$B$107:$B$156,原格式费用考核表!$B38,累计考核费用!P$107:P$156)/10000</f>
        <v>0</v>
      </c>
      <c r="M38" s="8">
        <f>SUMIF(累计考核费用!$B$107:$B$156,原格式费用考核表!$B38,累计考核费用!O$107:O$156)/10000</f>
        <v>0</v>
      </c>
      <c r="N38" s="8">
        <f>SUMIF(累计考核费用!$B$107:$B$156,原格式费用考核表!$B38,累计考核费用!R$107:R$156)/10000</f>
        <v>0</v>
      </c>
      <c r="O38" s="8" t="e">
        <f>SUMIF(累计考核费用!$B$107:$B$156,原格式费用考核表!$B38,累计考核费用!#REF!)/10000</f>
        <v>#REF!</v>
      </c>
      <c r="P38" s="8">
        <f>SUMIF(累计考核费用!$B$107:$B$156,原格式费用考核表!$B38,累计考核费用!S$107:S$156)/10000</f>
        <v>0</v>
      </c>
      <c r="Q38" s="8" t="e">
        <f>SUMIF(累计考核费用!$B$107:$B$156,原格式费用考核表!$B38,累计考核费用!#REF!)/10000</f>
        <v>#REF!</v>
      </c>
      <c r="R38" s="8">
        <f>SUMIF(累计考核费用!$B$107:$B$156,原格式费用考核表!$B38,累计考核费用!T$107:T$156)/10000</f>
        <v>0</v>
      </c>
      <c r="S38" s="8">
        <f>SUMIF(累计考核费用!$B$107:$B$156,原格式费用考核表!$B38,累计考核费用!U$107:U$156)/10000</f>
        <v>0</v>
      </c>
      <c r="T38" s="8" t="e">
        <f>SUMIF(累计考核费用!$B$107:$B$156,原格式费用考核表!$B38,累计考核费用!#REF!)/10000</f>
        <v>#REF!</v>
      </c>
      <c r="U38" s="8">
        <f>SUMIF(累计考核费用!$B$107:$B$156,原格式费用考核表!$B38,累计考核费用!V$107:V$156)/10000</f>
        <v>0</v>
      </c>
      <c r="V38" s="8">
        <f>SUMIF(累计考核费用!$B$107:$B$156,原格式费用考核表!$B38,累计考核费用!W$107:W$156)/10000</f>
        <v>0</v>
      </c>
      <c r="W38" s="8">
        <f>SUMIF(累计考核费用!$B$107:$B$156,原格式费用考核表!$B38,累计考核费用!AB$107:AB$156)/10000</f>
        <v>0</v>
      </c>
      <c r="X38" s="8" t="e">
        <f>SUMIF(累计考核费用!$B$107:$B$156,原格式费用考核表!$B38,累计考核费用!#REF!)/10000</f>
        <v>#REF!</v>
      </c>
      <c r="Y38" s="8" t="e">
        <f>SUMIF(累计考核费用!$B$107:$B$156,原格式费用考核表!$B38,累计考核费用!#REF!)/10000</f>
        <v>#REF!</v>
      </c>
      <c r="Z38" s="8" t="e">
        <f>SUMIF(累计考核费用!$B$107:$B$156,原格式费用考核表!$B38,累计考核费用!#REF!)/10000</f>
        <v>#REF!</v>
      </c>
      <c r="AA38" s="8">
        <f>SUMIF(累计考核费用!$B$107:$B$156,原格式费用考核表!$B38,累计考核费用!AC$107:AC$156)/10000</f>
        <v>0</v>
      </c>
      <c r="AB38" s="8" t="e">
        <f>SUMIF(累计考核费用!$B$107:$B$156,原格式费用考核表!$B38,累计考核费用!#REF!)/10000</f>
        <v>#REF!</v>
      </c>
    </row>
    <row r="39" spans="1:28" s="2" customFormat="1" ht="12" customHeight="1">
      <c r="A39" s="443"/>
      <c r="B39" s="11" t="s">
        <v>128</v>
      </c>
      <c r="C39" s="11" t="s">
        <v>126</v>
      </c>
      <c r="D39" s="8">
        <f>SUMIF(累计考核费用!$B$107:$B$156,原格式费用考核表!$B39,累计考核费用!C$107:C$156)/10000</f>
        <v>0</v>
      </c>
      <c r="E39" s="8">
        <f>SUMIF(累计考核费用!$B$107:$B$156,原格式费用考核表!$B39,累计考核费用!D$107:D$156)/10000</f>
        <v>0</v>
      </c>
      <c r="F39" s="8">
        <f>SUMIF(累计考核费用!$B$107:$B$156,原格式费用考核表!$B39,累计考核费用!E$107:E$156)/10000</f>
        <v>0</v>
      </c>
      <c r="G39" s="8">
        <f>SUMIF(累计考核费用!$B$107:$B$156,原格式费用考核表!$B39,累计考核费用!F$107:F$156)/10000</f>
        <v>0</v>
      </c>
      <c r="H39" s="8">
        <f>SUMIF(累计考核费用!$B$107:$B$156,原格式费用考核表!$B39,累计考核费用!G$107:G$156)/10000</f>
        <v>0</v>
      </c>
      <c r="I39" s="8">
        <f>SUMIF(累计考核费用!$B$107:$B$156,原格式费用考核表!$B39,累计考核费用!L$107:L$156)/10000</f>
        <v>0</v>
      </c>
      <c r="J39" s="8">
        <f>SUMIF(累计考核费用!$B$107:$B$156,原格式费用考核表!$B39,累计考核费用!M$107:M$156)/10000</f>
        <v>0</v>
      </c>
      <c r="K39" s="8">
        <f>SUMIF(累计考核费用!$B$107:$B$156,原格式费用考核表!$B39,累计考核费用!Q$107:Q$156)/10000</f>
        <v>0</v>
      </c>
      <c r="L39" s="8">
        <f>SUMIF(累计考核费用!$B$107:$B$156,原格式费用考核表!$B39,累计考核费用!P$107:P$156)/10000</f>
        <v>0</v>
      </c>
      <c r="M39" s="8">
        <f>SUMIF(累计考核费用!$B$107:$B$156,原格式费用考核表!$B39,累计考核费用!O$107:O$156)/10000</f>
        <v>0</v>
      </c>
      <c r="N39" s="8">
        <f>SUMIF(累计考核费用!$B$107:$B$156,原格式费用考核表!$B39,累计考核费用!R$107:R$156)/10000</f>
        <v>0</v>
      </c>
      <c r="O39" s="8" t="e">
        <f>SUMIF(累计考核费用!$B$107:$B$156,原格式费用考核表!$B39,累计考核费用!#REF!)/10000</f>
        <v>#REF!</v>
      </c>
      <c r="P39" s="8">
        <f>SUMIF(累计考核费用!$B$107:$B$156,原格式费用考核表!$B39,累计考核费用!S$107:S$156)/10000</f>
        <v>0</v>
      </c>
      <c r="Q39" s="8" t="e">
        <f>SUMIF(累计考核费用!$B$107:$B$156,原格式费用考核表!$B39,累计考核费用!#REF!)/10000</f>
        <v>#REF!</v>
      </c>
      <c r="R39" s="8">
        <f>SUMIF(累计考核费用!$B$107:$B$156,原格式费用考核表!$B39,累计考核费用!T$107:T$156)/10000</f>
        <v>0</v>
      </c>
      <c r="S39" s="8">
        <f>SUMIF(累计考核费用!$B$107:$B$156,原格式费用考核表!$B39,累计考核费用!U$107:U$156)/10000</f>
        <v>0</v>
      </c>
      <c r="T39" s="8" t="e">
        <f>SUMIF(累计考核费用!$B$107:$B$156,原格式费用考核表!$B39,累计考核费用!#REF!)/10000</f>
        <v>#REF!</v>
      </c>
      <c r="U39" s="8">
        <f>SUMIF(累计考核费用!$B$107:$B$156,原格式费用考核表!$B39,累计考核费用!V$107:V$156)/10000</f>
        <v>0</v>
      </c>
      <c r="V39" s="8">
        <f>SUMIF(累计考核费用!$B$107:$B$156,原格式费用考核表!$B39,累计考核费用!W$107:W$156)/10000</f>
        <v>0</v>
      </c>
      <c r="W39" s="8">
        <f>SUMIF(累计考核费用!$B$107:$B$156,原格式费用考核表!$B39,累计考核费用!AB$107:AB$156)/10000</f>
        <v>0</v>
      </c>
      <c r="X39" s="8" t="e">
        <f>SUMIF(累计考核费用!$B$107:$B$156,原格式费用考核表!$B39,累计考核费用!#REF!)/10000</f>
        <v>#REF!</v>
      </c>
      <c r="Y39" s="8" t="e">
        <f>SUMIF(累计考核费用!$B$107:$B$156,原格式费用考核表!$B39,累计考核费用!#REF!)/10000</f>
        <v>#REF!</v>
      </c>
      <c r="Z39" s="8" t="e">
        <f>SUMIF(累计考核费用!$B$107:$B$156,原格式费用考核表!$B39,累计考核费用!#REF!)/10000</f>
        <v>#REF!</v>
      </c>
      <c r="AA39" s="8">
        <f>SUMIF(累计考核费用!$B$107:$B$156,原格式费用考核表!$B39,累计考核费用!AC$107:AC$156)/10000</f>
        <v>0</v>
      </c>
      <c r="AB39" s="8" t="e">
        <f>SUMIF(累计考核费用!$B$107:$B$156,原格式费用考核表!$B39,累计考核费用!#REF!)/10000</f>
        <v>#REF!</v>
      </c>
    </row>
    <row r="40" spans="1:28" s="2" customFormat="1" ht="12" customHeight="1">
      <c r="A40" s="443"/>
      <c r="B40" s="11" t="s">
        <v>143</v>
      </c>
      <c r="C40" s="11" t="s">
        <v>127</v>
      </c>
      <c r="D40" s="8">
        <f>累计考核费用!C137/10000</f>
        <v>0</v>
      </c>
      <c r="E40" s="8">
        <f>累计考核费用!D137/10000</f>
        <v>0</v>
      </c>
      <c r="F40" s="8">
        <f>累计考核费用!E137/10000</f>
        <v>0</v>
      </c>
      <c r="G40" s="8">
        <f>累计考核费用!F137/10000</f>
        <v>0</v>
      </c>
      <c r="H40" s="8">
        <f>累计考核费用!G137/10000</f>
        <v>0</v>
      </c>
      <c r="I40" s="8">
        <f>累计考核费用!L137/10000</f>
        <v>0</v>
      </c>
      <c r="J40" s="8">
        <f>累计考核费用!M137/10000</f>
        <v>0</v>
      </c>
      <c r="K40" s="8">
        <f>累计考核费用!Q137/10000</f>
        <v>0</v>
      </c>
      <c r="L40" s="8">
        <f>累计考核费用!P137/10000</f>
        <v>0</v>
      </c>
      <c r="M40" s="8">
        <f>累计考核费用!O137/10000</f>
        <v>0</v>
      </c>
      <c r="N40" s="8">
        <f>累计考核费用!R137/10000</f>
        <v>0</v>
      </c>
      <c r="O40" s="8" t="e">
        <f>累计考核费用!#REF!/10000</f>
        <v>#REF!</v>
      </c>
      <c r="P40" s="8">
        <f>累计考核费用!S137/10000</f>
        <v>0</v>
      </c>
      <c r="Q40" s="8" t="e">
        <f>累计考核费用!#REF!/10000</f>
        <v>#REF!</v>
      </c>
      <c r="R40" s="8">
        <f>累计考核费用!T137/10000</f>
        <v>0</v>
      </c>
      <c r="S40" s="8">
        <f>累计考核费用!U137/10000</f>
        <v>0</v>
      </c>
      <c r="T40" s="8" t="e">
        <f>累计考核费用!#REF!/10000</f>
        <v>#REF!</v>
      </c>
      <c r="U40" s="8">
        <f>累计考核费用!V137/10000</f>
        <v>0</v>
      </c>
      <c r="V40" s="8">
        <f>累计考核费用!W137/10000</f>
        <v>0</v>
      </c>
      <c r="W40" s="8">
        <f>累计考核费用!AB137/10000</f>
        <v>0</v>
      </c>
      <c r="X40" s="8" t="e">
        <f>累计考核费用!#REF!/10000</f>
        <v>#REF!</v>
      </c>
      <c r="Y40" s="8" t="e">
        <f>累计考核费用!#REF!/10000</f>
        <v>#REF!</v>
      </c>
      <c r="Z40" s="8" t="e">
        <f>累计考核费用!#REF!/10000</f>
        <v>#REF!</v>
      </c>
      <c r="AA40" s="8">
        <f>累计考核费用!AC137/10000</f>
        <v>0</v>
      </c>
      <c r="AB40" s="8" t="e">
        <f>累计考核费用!#REF!/10000</f>
        <v>#REF!</v>
      </c>
    </row>
    <row r="41" spans="1:28" s="2" customFormat="1" ht="12" customHeight="1">
      <c r="A41" s="444"/>
      <c r="B41" s="11" t="s">
        <v>98</v>
      </c>
      <c r="C41" s="11" t="s">
        <v>128</v>
      </c>
      <c r="D41" s="12">
        <f>SUM(D17:D40)</f>
        <v>508.98562899999985</v>
      </c>
      <c r="E41" s="12">
        <f>SUM(E17:E40)</f>
        <v>0</v>
      </c>
      <c r="F41" s="12">
        <f t="shared" ref="F41:AB41" si="4">SUM(F17:F40)</f>
        <v>73.690596999999997</v>
      </c>
      <c r="G41" s="12">
        <f t="shared" si="4"/>
        <v>239.59101100000004</v>
      </c>
      <c r="H41" s="12">
        <f t="shared" si="4"/>
        <v>3.2714899999999991</v>
      </c>
      <c r="I41" s="12">
        <f t="shared" si="4"/>
        <v>61.831435999999997</v>
      </c>
      <c r="J41" s="12">
        <f t="shared" si="4"/>
        <v>1.1172710000000001</v>
      </c>
      <c r="K41" s="12">
        <f t="shared" si="4"/>
        <v>2.466488</v>
      </c>
      <c r="L41" s="12">
        <f t="shared" si="4"/>
        <v>-6.9056000000000131E-2</v>
      </c>
      <c r="M41" s="12">
        <f t="shared" si="4"/>
        <v>3.0804149999999999</v>
      </c>
      <c r="N41" s="12">
        <f t="shared" si="4"/>
        <v>0.44480499999999995</v>
      </c>
      <c r="O41" s="12" t="e">
        <f t="shared" si="4"/>
        <v>#REF!</v>
      </c>
      <c r="P41" s="12">
        <f t="shared" si="4"/>
        <v>-0.24882300000000013</v>
      </c>
      <c r="Q41" s="12" t="e">
        <f t="shared" si="4"/>
        <v>#REF!</v>
      </c>
      <c r="R41" s="12">
        <f t="shared" si="4"/>
        <v>7.6511450000000014</v>
      </c>
      <c r="S41" s="12">
        <f t="shared" si="4"/>
        <v>102.54898999999999</v>
      </c>
      <c r="T41" s="12" t="e">
        <f t="shared" si="4"/>
        <v>#REF!</v>
      </c>
      <c r="U41" s="12">
        <f t="shared" si="4"/>
        <v>40.404391000000004</v>
      </c>
      <c r="V41" s="12">
        <f t="shared" si="4"/>
        <v>13.004690999999999</v>
      </c>
      <c r="W41" s="12">
        <f t="shared" si="4"/>
        <v>-0.83899999999999997</v>
      </c>
      <c r="X41" s="12" t="e">
        <f t="shared" si="4"/>
        <v>#REF!</v>
      </c>
      <c r="Y41" s="12" t="e">
        <f t="shared" si="4"/>
        <v>#REF!</v>
      </c>
      <c r="Z41" s="12" t="e">
        <f t="shared" si="4"/>
        <v>#REF!</v>
      </c>
      <c r="AA41" s="12">
        <f t="shared" si="4"/>
        <v>5.2373989999999999</v>
      </c>
      <c r="AB41" s="12" t="e">
        <f t="shared" si="4"/>
        <v>#REF!</v>
      </c>
    </row>
    <row r="42" spans="1:28" s="2" customFormat="1" ht="12" customHeight="1">
      <c r="A42" s="442" t="s">
        <v>119</v>
      </c>
      <c r="B42" s="11" t="s">
        <v>129</v>
      </c>
      <c r="C42" s="11" t="s">
        <v>129</v>
      </c>
      <c r="D42" s="8">
        <f>SUMIF(累计考核费用!$B$107:$B$156,原格式费用考核表!$B42,累计考核费用!C$107:C$156)/10000</f>
        <v>8.8071649999999995</v>
      </c>
      <c r="E42" s="8">
        <f>SUMIF(累计考核费用!$B$107:$B$156,原格式费用考核表!$B42,累计考核费用!D$107:D$156)/10000</f>
        <v>0</v>
      </c>
      <c r="F42" s="8">
        <f>SUMIF(累计考核费用!$B$107:$B$156,原格式费用考核表!$B42,累计考核费用!E$107:E$156)/10000</f>
        <v>-3.7357999999999995E-2</v>
      </c>
      <c r="G42" s="8">
        <f>SUMIF(累计考核费用!$B$107:$B$156,原格式费用考核表!$B42,累计考核费用!F$107:F$156)/10000</f>
        <v>7.8570949999999993</v>
      </c>
      <c r="H42" s="8">
        <f>SUMIF(累计考核费用!$B$107:$B$156,原格式费用考核表!$B42,累计考核费用!G$107:G$156)/10000</f>
        <v>0</v>
      </c>
      <c r="I42" s="8">
        <f>SUMIF(累计考核费用!$B$107:$B$156,原格式费用考核表!$B42,累计考核费用!L$107:L$156)/10000</f>
        <v>0</v>
      </c>
      <c r="J42" s="8">
        <f>SUMIF(累计考核费用!$B$107:$B$156,原格式费用考核表!$B42,累计考核费用!M$107:M$156)/10000</f>
        <v>0</v>
      </c>
      <c r="K42" s="8">
        <f>SUMIF(累计考核费用!$B$107:$B$156,原格式费用考核表!$B42,累计考核费用!Q$107:Q$156)/10000</f>
        <v>0.98742800000000008</v>
      </c>
      <c r="L42" s="8">
        <f>SUMIF(累计考核费用!$B$107:$B$156,原格式费用考核表!$B42,累计考核费用!P$107:P$156)/10000</f>
        <v>0</v>
      </c>
      <c r="M42" s="8">
        <f>SUMIF(累计考核费用!$B$107:$B$156,原格式费用考核表!$B42,累计考核费用!O$107:O$156)/10000</f>
        <v>0</v>
      </c>
      <c r="N42" s="8">
        <f>SUMIF(累计考核费用!$B$107:$B$156,原格式费用考核表!$B42,累计考核费用!R$107:R$156)/10000</f>
        <v>0</v>
      </c>
      <c r="O42" s="8" t="e">
        <f>SUMIF(累计考核费用!$B$107:$B$156,原格式费用考核表!$B42,累计考核费用!#REF!)/10000</f>
        <v>#REF!</v>
      </c>
      <c r="P42" s="8">
        <f>SUMIF(累计考核费用!$B$107:$B$156,原格式费用考核表!$B42,累计考核费用!S$107:S$156)/10000</f>
        <v>0.98742800000000008</v>
      </c>
      <c r="Q42" s="8" t="e">
        <f>SUMIF(累计考核费用!$B$107:$B$156,原格式费用考核表!$B42,累计考核费用!#REF!)/10000</f>
        <v>#REF!</v>
      </c>
      <c r="R42" s="8">
        <f>SUMIF(累计考核费用!$B$107:$B$156,原格式费用考核表!$B42,累计考核费用!T$107:T$156)/10000</f>
        <v>0</v>
      </c>
      <c r="S42" s="8">
        <f>SUMIF(累计考核费用!$B$107:$B$156,原格式费用考核表!$B42,累计考核费用!U$107:U$156)/10000</f>
        <v>0</v>
      </c>
      <c r="T42" s="8" t="e">
        <f>SUMIF(累计考核费用!$B$107:$B$156,原格式费用考核表!$B42,累计考核费用!#REF!)/10000</f>
        <v>#REF!</v>
      </c>
      <c r="U42" s="8">
        <f>SUMIF(累计考核费用!$B$107:$B$156,原格式费用考核表!$B42,累计考核费用!V$107:V$156)/10000</f>
        <v>0</v>
      </c>
      <c r="V42" s="8">
        <f>SUMIF(累计考核费用!$B$107:$B$156,原格式费用考核表!$B42,累计考核费用!W$107:W$156)/10000</f>
        <v>0</v>
      </c>
      <c r="W42" s="8">
        <f>SUMIF(累计考核费用!$B$107:$B$156,原格式费用考核表!$B42,累计考核费用!AB$107:AB$156)/10000</f>
        <v>0</v>
      </c>
      <c r="X42" s="8" t="e">
        <f>SUMIF(累计考核费用!$B$107:$B$156,原格式费用考核表!$B42,累计考核费用!#REF!)/10000</f>
        <v>#REF!</v>
      </c>
      <c r="Y42" s="8" t="e">
        <f>SUMIF(累计考核费用!$B$107:$B$156,原格式费用考核表!$B42,累计考核费用!#REF!)/10000</f>
        <v>#REF!</v>
      </c>
      <c r="Z42" s="8" t="e">
        <f>SUMIF(累计考核费用!$B$107:$B$156,原格式费用考核表!$B42,累计考核费用!#REF!)/10000</f>
        <v>#REF!</v>
      </c>
      <c r="AA42" s="8">
        <f>SUMIF(累计考核费用!$B$107:$B$156,原格式费用考核表!$B42,累计考核费用!AC$107:AC$156)/10000</f>
        <v>0</v>
      </c>
      <c r="AB42" s="8" t="e">
        <f>SUMIF(累计考核费用!$B$107:$B$156,原格式费用考核表!$B42,累计考核费用!#REF!)/10000</f>
        <v>#REF!</v>
      </c>
    </row>
    <row r="43" spans="1:28" s="2" customFormat="1" ht="12" customHeight="1">
      <c r="A43" s="443"/>
      <c r="B43" s="11" t="s">
        <v>130</v>
      </c>
      <c r="C43" s="11" t="s">
        <v>130</v>
      </c>
      <c r="D43" s="8">
        <f>SUMIF(累计考核费用!$B$107:$B$156,原格式费用考核表!$B43,累计考核费用!C$107:C$156)/10000</f>
        <v>19.432597999999999</v>
      </c>
      <c r="E43" s="8">
        <f>SUMIF(累计考核费用!$B$107:$B$156,原格式费用考核表!$B43,累计考核费用!D$107:D$156)/10000</f>
        <v>0</v>
      </c>
      <c r="F43" s="8">
        <f>SUMIF(累计考核费用!$B$107:$B$156,原格式费用考核表!$B43,累计考核费用!E$107:E$156)/10000</f>
        <v>13.917453999999998</v>
      </c>
      <c r="G43" s="8">
        <f>SUMIF(累计考核费用!$B$107:$B$156,原格式费用考核表!$B43,累计考核费用!F$107:F$156)/10000</f>
        <v>5.5151440000000003</v>
      </c>
      <c r="H43" s="8">
        <f>SUMIF(累计考核费用!$B$107:$B$156,原格式费用考核表!$B43,累计考核费用!G$107:G$156)/10000</f>
        <v>0</v>
      </c>
      <c r="I43" s="8">
        <f>SUMIF(累计考核费用!$B$107:$B$156,原格式费用考核表!$B43,累计考核费用!L$107:L$156)/10000</f>
        <v>0</v>
      </c>
      <c r="J43" s="8">
        <f>SUMIF(累计考核费用!$B$107:$B$156,原格式费用考核表!$B43,累计考核费用!M$107:M$156)/10000</f>
        <v>0</v>
      </c>
      <c r="K43" s="8">
        <f>SUMIF(累计考核费用!$B$107:$B$156,原格式费用考核表!$B43,累计考核费用!Q$107:Q$156)/10000</f>
        <v>0</v>
      </c>
      <c r="L43" s="8">
        <f>SUMIF(累计考核费用!$B$107:$B$156,原格式费用考核表!$B43,累计考核费用!P$107:P$156)/10000</f>
        <v>0</v>
      </c>
      <c r="M43" s="8">
        <f>SUMIF(累计考核费用!$B$107:$B$156,原格式费用考核表!$B43,累计考核费用!O$107:O$156)/10000</f>
        <v>0</v>
      </c>
      <c r="N43" s="8">
        <f>SUMIF(累计考核费用!$B$107:$B$156,原格式费用考核表!$B43,累计考核费用!R$107:R$156)/10000</f>
        <v>0</v>
      </c>
      <c r="O43" s="8" t="e">
        <f>SUMIF(累计考核费用!$B$107:$B$156,原格式费用考核表!$B43,累计考核费用!#REF!)/10000</f>
        <v>#REF!</v>
      </c>
      <c r="P43" s="8">
        <f>SUMIF(累计考核费用!$B$107:$B$156,原格式费用考核表!$B43,累计考核费用!S$107:S$156)/10000</f>
        <v>0</v>
      </c>
      <c r="Q43" s="8" t="e">
        <f>SUMIF(累计考核费用!$B$107:$B$156,原格式费用考核表!$B43,累计考核费用!#REF!)/10000</f>
        <v>#REF!</v>
      </c>
      <c r="R43" s="8">
        <f>SUMIF(累计考核费用!$B$107:$B$156,原格式费用考核表!$B43,累计考核费用!T$107:T$156)/10000</f>
        <v>0</v>
      </c>
      <c r="S43" s="8">
        <f>SUMIF(累计考核费用!$B$107:$B$156,原格式费用考核表!$B43,累计考核费用!U$107:U$156)/10000</f>
        <v>0</v>
      </c>
      <c r="T43" s="8" t="e">
        <f>SUMIF(累计考核费用!$B$107:$B$156,原格式费用考核表!$B43,累计考核费用!#REF!)/10000</f>
        <v>#REF!</v>
      </c>
      <c r="U43" s="8">
        <f>SUMIF(累计考核费用!$B$107:$B$156,原格式费用考核表!$B43,累计考核费用!V$107:V$156)/10000</f>
        <v>0</v>
      </c>
      <c r="V43" s="8">
        <f>SUMIF(累计考核费用!$B$107:$B$156,原格式费用考核表!$B43,累计考核费用!W$107:W$156)/10000</f>
        <v>0</v>
      </c>
      <c r="W43" s="8">
        <f>SUMIF(累计考核费用!$B$107:$B$156,原格式费用考核表!$B43,累计考核费用!AB$107:AB$156)/10000</f>
        <v>0</v>
      </c>
      <c r="X43" s="8" t="e">
        <f>SUMIF(累计考核费用!$B$107:$B$156,原格式费用考核表!$B43,累计考核费用!#REF!)/10000</f>
        <v>#REF!</v>
      </c>
      <c r="Y43" s="8" t="e">
        <f>SUMIF(累计考核费用!$B$107:$B$156,原格式费用考核表!$B43,累计考核费用!#REF!)/10000</f>
        <v>#REF!</v>
      </c>
      <c r="Z43" s="8" t="e">
        <f>SUMIF(累计考核费用!$B$107:$B$156,原格式费用考核表!$B43,累计考核费用!#REF!)/10000</f>
        <v>#REF!</v>
      </c>
      <c r="AA43" s="8">
        <f>SUMIF(累计考核费用!$B$107:$B$156,原格式费用考核表!$B43,累计考核费用!AC$107:AC$156)/10000</f>
        <v>0</v>
      </c>
      <c r="AB43" s="8" t="e">
        <f>SUMIF(累计考核费用!$B$107:$B$156,原格式费用考核表!$B43,累计考核费用!#REF!)/10000</f>
        <v>#REF!</v>
      </c>
    </row>
    <row r="44" spans="1:28" s="2" customFormat="1" ht="12" customHeight="1">
      <c r="A44" s="443"/>
      <c r="B44" s="11" t="s">
        <v>131</v>
      </c>
      <c r="C44" s="11" t="s">
        <v>131</v>
      </c>
      <c r="D44" s="8">
        <f>SUMIF(累计考核费用!$B$107:$B$156,原格式费用考核表!$B44,累计考核费用!C$107:C$156)/10000+累计考核费用!C154/10000</f>
        <v>412.65184300000004</v>
      </c>
      <c r="E44" s="8">
        <f>SUMIF(累计考核费用!$B$107:$B$156,原格式费用考核表!$B44,累计考核费用!D$107:D$156)/10000+累计考核费用!D154/10000</f>
        <v>0</v>
      </c>
      <c r="F44" s="8">
        <f>SUMIF(累计考核费用!$B$107:$B$156,原格式费用考核表!$B44,累计考核费用!E$107:E$156)/10000+累计考核费用!E154/10000</f>
        <v>59.195332999999991</v>
      </c>
      <c r="G44" s="8">
        <f>SUMIF(累计考核费用!$B$107:$B$156,原格式费用考核表!$B44,累计考核费用!F$107:F$156)/10000+累计考核费用!F154/10000</f>
        <v>189.662305</v>
      </c>
      <c r="H44" s="8">
        <f>SUMIF(累计考核费用!$B$107:$B$156,原格式费用考核表!$B44,累计考核费用!G$107:G$156)/10000+累计考核费用!G154/10000</f>
        <v>0</v>
      </c>
      <c r="I44" s="8">
        <f>SUMIF(累计考核费用!$B$107:$B$156,原格式费用考核表!$B44,累计考核费用!L$107:L$156)/10000+累计考核费用!L154/10000</f>
        <v>0.41731999999999997</v>
      </c>
      <c r="J44" s="8">
        <f>SUMIF(累计考核费用!$B$107:$B$156,原格式费用考核表!$B44,累计考核费用!M$107:M$156)/10000+累计考核费用!M154/10000</f>
        <v>0.10432999999999999</v>
      </c>
      <c r="K44" s="8">
        <f>SUMIF(累计考核费用!$B$107:$B$156,原格式费用考核表!$B44,累计考核费用!Q$107:Q$156)/10000+累计考核费用!Q154/10000</f>
        <v>3.3154560000000002</v>
      </c>
      <c r="L44" s="8">
        <f>SUMIF(累计考核费用!$B$107:$B$156,原格式费用考核表!$B44,累计考核费用!P$107:P$156)/10000+累计考核费用!P154/10000</f>
        <v>0.10432999999999999</v>
      </c>
      <c r="M44" s="8">
        <f>SUMIF(累计考核费用!$B$107:$B$156,原格式费用考核表!$B44,累计考核费用!O$107:O$156)/10000+累计考核费用!O154/10000</f>
        <v>0.10432999999999999</v>
      </c>
      <c r="N44" s="8">
        <f>SUMIF(累计考核费用!$B$107:$B$156,原格式费用考核表!$B44,累计考核费用!R$107:R$156)/10000+累计考核费用!R154/10000</f>
        <v>0.10432999999999999</v>
      </c>
      <c r="O44" s="8" t="e">
        <f>SUMIF(累计考核费用!$B$107:$B$156,原格式费用考核表!$B44,累计考核费用!#REF!)/10000+累计考核费用!#REF!/10000</f>
        <v>#REF!</v>
      </c>
      <c r="P44" s="8">
        <f>SUMIF(累计考核费用!$B$107:$B$156,原格式费用考核表!$B44,累计考核费用!S$107:S$156)/10000+累计考核费用!S154/10000</f>
        <v>3.2111260000000001</v>
      </c>
      <c r="Q44" s="8" t="e">
        <f>SUMIF(累计考核费用!$B$107:$B$156,原格式费用考核表!$B44,累计考核费用!#REF!)/10000+累计考核费用!#REF!/10000</f>
        <v>#REF!</v>
      </c>
      <c r="R44" s="8">
        <f>SUMIF(累计考核费用!$B$107:$B$156,原格式费用考核表!$B44,累计考核费用!T$107:T$156)/10000+累计考核费用!T154/10000</f>
        <v>156.77485200000001</v>
      </c>
      <c r="S44" s="8">
        <f>SUMIF(累计考核费用!$B$107:$B$156,原格式费用考核表!$B44,累计考核费用!U$107:U$156)/10000+累计考核费用!U154/10000</f>
        <v>0.67711699999999997</v>
      </c>
      <c r="T44" s="8" t="e">
        <f>SUMIF(累计考核费用!$B$107:$B$156,原格式费用考核表!$B44,累计考核费用!#REF!)/10000+累计考核费用!#REF!/10000</f>
        <v>#REF!</v>
      </c>
      <c r="U44" s="8">
        <f>SUMIF(累计考核费用!$B$107:$B$156,原格式费用考核表!$B44,累计考核费用!V$107:V$156)/10000+累计考核费用!V154/10000</f>
        <v>0.40626999999999996</v>
      </c>
      <c r="V44" s="8">
        <f>SUMIF(累计考核费用!$B$107:$B$156,原格式费用考核表!$B44,累计考核费用!W$107:W$156)/10000+累计考核费用!W154/10000</f>
        <v>0.270847</v>
      </c>
      <c r="W44" s="8">
        <f>SUMIF(累计考核费用!$B$107:$B$156,原格式费用考核表!$B44,累计考核费用!AB$107:AB$156)/10000+累计考核费用!AB154/10000</f>
        <v>0</v>
      </c>
      <c r="X44" s="8" t="e">
        <f>SUMIF(累计考核费用!$B$107:$B$156,原格式费用考核表!$B44,累计考核费用!#REF!)/10000+累计考核费用!#REF!/10000</f>
        <v>#REF!</v>
      </c>
      <c r="Y44" s="8" t="e">
        <f>SUMIF(累计考核费用!$B$107:$B$156,原格式费用考核表!$B44,累计考核费用!#REF!)/10000+累计考核费用!#REF!/10000</f>
        <v>#REF!</v>
      </c>
      <c r="Z44" s="8" t="e">
        <f>SUMIF(累计考核费用!$B$107:$B$156,原格式费用考核表!$B44,累计考核费用!#REF!)/10000+累计考核费用!#REF!/10000</f>
        <v>#REF!</v>
      </c>
      <c r="AA44" s="8">
        <f>SUMIF(累计考核费用!$B$107:$B$156,原格式费用考核表!$B44,累计考核费用!AC$107:AC$156)/10000+累计考核费用!AC154/10000</f>
        <v>0</v>
      </c>
      <c r="AB44" s="8" t="e">
        <f>SUMIF(累计考核费用!$B$107:$B$156,原格式费用考核表!$B44,累计考核费用!#REF!)/10000+累计考核费用!#REF!/10000</f>
        <v>#REF!</v>
      </c>
    </row>
    <row r="45" spans="1:28" s="2" customFormat="1" ht="12" customHeight="1">
      <c r="A45" s="443"/>
      <c r="B45" s="11" t="s">
        <v>132</v>
      </c>
      <c r="C45" s="11" t="s">
        <v>132</v>
      </c>
      <c r="D45" s="8">
        <f>SUMIF(累计考核费用!$B$107:$B$156,原格式费用考核表!$B45,累计考核费用!C$107:C$156)/10000</f>
        <v>152.93311299999999</v>
      </c>
      <c r="E45" s="8">
        <f>SUMIF(累计考核费用!$B$107:$B$156,原格式费用考核表!$B45,累计考核费用!D$107:D$156)/10000</f>
        <v>-83.333332999999996</v>
      </c>
      <c r="F45" s="8">
        <f>SUMIF(累计考核费用!$B$107:$B$156,原格式费用考核表!$B45,累计考核费用!E$107:E$156)/10000</f>
        <v>111.31729900000001</v>
      </c>
      <c r="G45" s="8">
        <f>SUMIF(累计考核费用!$B$107:$B$156,原格式费用考核表!$B45,累计考核费用!F$107:F$156)/10000</f>
        <v>118.73640899999998</v>
      </c>
      <c r="H45" s="8">
        <f>SUMIF(累计考核费用!$B$107:$B$156,原格式费用考核表!$B45,累计考核费用!G$107:G$156)/10000</f>
        <v>0</v>
      </c>
      <c r="I45" s="8">
        <f>SUMIF(累计考核费用!$B$107:$B$156,原格式费用考核表!$B45,累计考核费用!L$107:L$156)/10000</f>
        <v>0.81097200000000003</v>
      </c>
      <c r="J45" s="8">
        <f>SUMIF(累计考核费用!$B$107:$B$156,原格式费用考核表!$B45,累计考核费用!M$107:M$156)/10000</f>
        <v>0.71848100000000004</v>
      </c>
      <c r="K45" s="8">
        <f>SUMIF(累计考核费用!$B$107:$B$156,原格式费用考核表!$B45,累计考核费用!Q$107:Q$156)/10000</f>
        <v>0.33800399999999997</v>
      </c>
      <c r="L45" s="8">
        <f>SUMIF(累计考核费用!$B$107:$B$156,原格式费用考核表!$B45,累计考核费用!P$107:P$156)/10000</f>
        <v>2.8326E-2</v>
      </c>
      <c r="M45" s="8">
        <f>SUMIF(累计考核费用!$B$107:$B$156,原格式费用考核表!$B45,累计考核费用!O$107:O$156)/10000</f>
        <v>0</v>
      </c>
      <c r="N45" s="8">
        <f>SUMIF(累计考核费用!$B$107:$B$156,原格式费用考核表!$B45,累计考核费用!R$107:R$156)/10000</f>
        <v>7.8592999999999996E-2</v>
      </c>
      <c r="O45" s="8" t="e">
        <f>SUMIF(累计考核费用!$B$107:$B$156,原格式费用考核表!$B45,累计考核费用!#REF!)/10000</f>
        <v>#REF!</v>
      </c>
      <c r="P45" s="8">
        <f>SUMIF(累计考核费用!$B$107:$B$156,原格式费用考核表!$B45,累计考核费用!S$107:S$156)/10000</f>
        <v>0.259411</v>
      </c>
      <c r="Q45" s="8" t="e">
        <f>SUMIF(累计考核费用!$B$107:$B$156,原格式费用考核表!$B45,累计考核费用!#REF!)/10000</f>
        <v>#REF!</v>
      </c>
      <c r="R45" s="8">
        <f>SUMIF(累计考核费用!$B$107:$B$156,原格式费用考核表!$B45,累计考核费用!T$107:T$156)/10000</f>
        <v>4.518764</v>
      </c>
      <c r="S45" s="8">
        <f>SUMIF(累计考核费用!$B$107:$B$156,原格式费用考核表!$B45,累计考核费用!U$107:U$156)/10000</f>
        <v>0</v>
      </c>
      <c r="T45" s="8" t="e">
        <f>SUMIF(累计考核费用!$B$107:$B$156,原格式费用考核表!$B45,累计考核费用!#REF!)/10000</f>
        <v>#REF!</v>
      </c>
      <c r="U45" s="8">
        <f>SUMIF(累计考核费用!$B$107:$B$156,原格式费用考核表!$B45,累计考核费用!V$107:V$156)/10000</f>
        <v>0</v>
      </c>
      <c r="V45" s="8">
        <f>SUMIF(累计考核费用!$B$107:$B$156,原格式费用考核表!$B45,累计考核费用!W$107:W$156)/10000</f>
        <v>0</v>
      </c>
      <c r="W45" s="8">
        <f>SUMIF(累计考核费用!$B$107:$B$156,原格式费用考核表!$B45,累计考核费用!AB$107:AB$156)/10000</f>
        <v>0</v>
      </c>
      <c r="X45" s="8" t="e">
        <f>SUMIF(累计考核费用!$B$107:$B$156,原格式费用考核表!$B45,累计考核费用!#REF!)/10000</f>
        <v>#REF!</v>
      </c>
      <c r="Y45" s="8" t="e">
        <f>SUMIF(累计考核费用!$B$107:$B$156,原格式费用考核表!$B45,累计考核费用!#REF!)/10000</f>
        <v>#REF!</v>
      </c>
      <c r="Z45" s="8" t="e">
        <f>SUMIF(累计考核费用!$B$107:$B$156,原格式费用考核表!$B45,累计考核费用!#REF!)/10000</f>
        <v>#REF!</v>
      </c>
      <c r="AA45" s="8">
        <f>SUMIF(累计考核费用!$B$107:$B$156,原格式费用考核表!$B45,累计考核费用!AC$107:AC$156)/10000</f>
        <v>0</v>
      </c>
      <c r="AB45" s="8" t="e">
        <f>SUMIF(累计考核费用!$B$107:$B$156,原格式费用考核表!$B45,累计考核费用!#REF!)/10000</f>
        <v>#REF!</v>
      </c>
    </row>
    <row r="46" spans="1:28" s="2" customFormat="1" ht="12" customHeight="1">
      <c r="A46" s="443"/>
      <c r="B46" s="11" t="s">
        <v>133</v>
      </c>
      <c r="C46" s="11" t="s">
        <v>133</v>
      </c>
      <c r="D46" s="8">
        <f>SUMIF(累计考核费用!$B$107:$B$156,原格式费用考核表!$B46,累计考核费用!C$107:C$156)/10000</f>
        <v>77.461333999999994</v>
      </c>
      <c r="E46" s="8">
        <f>SUMIF(累计考核费用!$B$107:$B$156,原格式费用考核表!$B46,累计考核费用!D$107:D$156)/10000</f>
        <v>0</v>
      </c>
      <c r="F46" s="8">
        <f>SUMIF(累计考核费用!$B$107:$B$156,原格式费用考核表!$B46,累计考核费用!E$107:E$156)/10000</f>
        <v>71.137986999999995</v>
      </c>
      <c r="G46" s="8">
        <f>SUMIF(累计考核费用!$B$107:$B$156,原格式费用考核表!$B46,累计考核费用!F$107:F$156)/10000</f>
        <v>5.1442620000000003</v>
      </c>
      <c r="H46" s="8">
        <f>SUMIF(累计考核费用!$B$107:$B$156,原格式费用考核表!$B46,累计考核费用!G$107:G$156)/10000</f>
        <v>0</v>
      </c>
      <c r="I46" s="8">
        <f>SUMIF(累计考核费用!$B$107:$B$156,原格式费用考核表!$B46,累计考核费用!L$107:L$156)/10000</f>
        <v>1.1161909999999999</v>
      </c>
      <c r="J46" s="8">
        <f>SUMIF(累计考核费用!$B$107:$B$156,原格式费用考核表!$B46,累计考核费用!M$107:M$156)/10000</f>
        <v>1.1161909999999999</v>
      </c>
      <c r="K46" s="8">
        <f>SUMIF(累计考核费用!$B$107:$B$156,原格式费用考核表!$B46,累计考核费用!Q$107:Q$156)/10000</f>
        <v>0</v>
      </c>
      <c r="L46" s="8">
        <f>SUMIF(累计考核费用!$B$107:$B$156,原格式费用考核表!$B46,累计考核费用!P$107:P$156)/10000</f>
        <v>0</v>
      </c>
      <c r="M46" s="8">
        <f>SUMIF(累计考核费用!$B$107:$B$156,原格式费用考核表!$B46,累计考核费用!O$107:O$156)/10000</f>
        <v>0</v>
      </c>
      <c r="N46" s="8">
        <f>SUMIF(累计考核费用!$B$107:$B$156,原格式费用考核表!$B46,累计考核费用!R$107:R$156)/10000</f>
        <v>0</v>
      </c>
      <c r="O46" s="8" t="e">
        <f>SUMIF(累计考核费用!$B$107:$B$156,原格式费用考核表!$B46,累计考核费用!#REF!)/10000</f>
        <v>#REF!</v>
      </c>
      <c r="P46" s="8">
        <f>SUMIF(累计考核费用!$B$107:$B$156,原格式费用考核表!$B46,累计考核费用!S$107:S$156)/10000</f>
        <v>0</v>
      </c>
      <c r="Q46" s="8" t="e">
        <f>SUMIF(累计考核费用!$B$107:$B$156,原格式费用考核表!$B46,累计考核费用!#REF!)/10000</f>
        <v>#REF!</v>
      </c>
      <c r="R46" s="8">
        <f>SUMIF(累计考核费用!$B$107:$B$156,原格式费用考核表!$B46,累计考核费用!T$107:T$156)/10000</f>
        <v>0</v>
      </c>
      <c r="S46" s="8">
        <f>SUMIF(累计考核费用!$B$107:$B$156,原格式费用考核表!$B46,累计考核费用!U$107:U$156)/10000</f>
        <v>0</v>
      </c>
      <c r="T46" s="8" t="e">
        <f>SUMIF(累计考核费用!$B$107:$B$156,原格式费用考核表!$B46,累计考核费用!#REF!)/10000</f>
        <v>#REF!</v>
      </c>
      <c r="U46" s="8">
        <f>SUMIF(累计考核费用!$B$107:$B$156,原格式费用考核表!$B46,累计考核费用!V$107:V$156)/10000</f>
        <v>0</v>
      </c>
      <c r="V46" s="8">
        <f>SUMIF(累计考核费用!$B$107:$B$156,原格式费用考核表!$B46,累计考核费用!W$107:W$156)/10000</f>
        <v>0</v>
      </c>
      <c r="W46" s="8">
        <f>SUMIF(累计考核费用!$B$107:$B$156,原格式费用考核表!$B46,累计考核费用!AB$107:AB$156)/10000</f>
        <v>0</v>
      </c>
      <c r="X46" s="8" t="e">
        <f>SUMIF(累计考核费用!$B$107:$B$156,原格式费用考核表!$B46,累计考核费用!#REF!)/10000</f>
        <v>#REF!</v>
      </c>
      <c r="Y46" s="8" t="e">
        <f>SUMIF(累计考核费用!$B$107:$B$156,原格式费用考核表!$B46,累计考核费用!#REF!)/10000</f>
        <v>#REF!</v>
      </c>
      <c r="Z46" s="8" t="e">
        <f>SUMIF(累计考核费用!$B$107:$B$156,原格式费用考核表!$B46,累计考核费用!#REF!)/10000</f>
        <v>#REF!</v>
      </c>
      <c r="AA46" s="8">
        <f>SUMIF(累计考核费用!$B$107:$B$156,原格式费用考核表!$B46,累计考核费用!AC$107:AC$156)/10000</f>
        <v>0</v>
      </c>
      <c r="AB46" s="8" t="e">
        <f>SUMIF(累计考核费用!$B$107:$B$156,原格式费用考核表!$B46,累计考核费用!#REF!)/10000</f>
        <v>#REF!</v>
      </c>
    </row>
    <row r="47" spans="1:28" s="2" customFormat="1" ht="12" customHeight="1">
      <c r="A47" s="443"/>
      <c r="B47" s="11" t="s">
        <v>134</v>
      </c>
      <c r="C47" s="11" t="s">
        <v>134</v>
      </c>
      <c r="D47" s="8">
        <f>SUMIF(累计考核费用!$B$107:$B$156,原格式费用考核表!$B47,累计考核费用!C$107:C$156)/10000</f>
        <v>59.564434999999996</v>
      </c>
      <c r="E47" s="8">
        <f>SUMIF(累计考核费用!$B$107:$B$156,原格式费用考核表!$B47,累计考核费用!D$107:D$156)/10000</f>
        <v>0</v>
      </c>
      <c r="F47" s="8">
        <f>SUMIF(累计考核费用!$B$107:$B$156,原格式费用考核表!$B47,累计考核费用!E$107:E$156)/10000</f>
        <v>19.328161999999999</v>
      </c>
      <c r="G47" s="8">
        <f>SUMIF(累计考核费用!$B$107:$B$156,原格式费用考核表!$B47,累计考核费用!F$107:F$156)/10000</f>
        <v>37.539394000000001</v>
      </c>
      <c r="H47" s="8">
        <f>SUMIF(累计考核费用!$B$107:$B$156,原格式费用考核表!$B47,累计考核费用!G$107:G$156)/10000</f>
        <v>0.10278499999999999</v>
      </c>
      <c r="I47" s="8">
        <f>SUMIF(累计考核费用!$B$107:$B$156,原格式费用考核表!$B47,累计考核费用!L$107:L$156)/10000</f>
        <v>1.0039960000000001</v>
      </c>
      <c r="J47" s="8">
        <f>SUMIF(累计考核费用!$B$107:$B$156,原格式费用考核表!$B47,累计考核费用!M$107:M$156)/10000</f>
        <v>0.23030700000000001</v>
      </c>
      <c r="K47" s="8">
        <f>SUMIF(累计考核费用!$B$107:$B$156,原格式费用考核表!$B47,累计考核费用!Q$107:Q$156)/10000</f>
        <v>0.43848000000000004</v>
      </c>
      <c r="L47" s="8">
        <f>SUMIF(累计考核费用!$B$107:$B$156,原格式费用考核表!$B47,累计考核费用!P$107:P$156)/10000</f>
        <v>0.21924000000000002</v>
      </c>
      <c r="M47" s="8">
        <f>SUMIF(累计考核费用!$B$107:$B$156,原格式费用考核表!$B47,累计考核费用!O$107:O$156)/10000</f>
        <v>0.33520900000000003</v>
      </c>
      <c r="N47" s="8">
        <f>SUMIF(累计考核费用!$B$107:$B$156,原格式费用考核表!$B47,累计考核费用!R$107:R$156)/10000</f>
        <v>0.21924000000000002</v>
      </c>
      <c r="O47" s="8" t="e">
        <f>SUMIF(累计考核费用!$B$107:$B$156,原格式费用考核表!$B47,累计考核费用!#REF!)/10000</f>
        <v>#REF!</v>
      </c>
      <c r="P47" s="8">
        <f>SUMIF(累计考核费用!$B$107:$B$156,原格式费用考核表!$B47,累计考核费用!S$107:S$156)/10000</f>
        <v>0.21924000000000002</v>
      </c>
      <c r="Q47" s="8" t="e">
        <f>SUMIF(累计考核费用!$B$107:$B$156,原格式费用考核表!$B47,累计考核费用!#REF!)/10000</f>
        <v>#REF!</v>
      </c>
      <c r="R47" s="8">
        <f>SUMIF(累计考核费用!$B$107:$B$156,原格式费用考核表!$B47,累计考核费用!T$107:T$156)/10000</f>
        <v>0.32958999999999999</v>
      </c>
      <c r="S47" s="8">
        <f>SUMIF(累计考核费用!$B$107:$B$156,原格式费用考核表!$B47,累计考核费用!U$107:U$156)/10000</f>
        <v>0.15682000000000001</v>
      </c>
      <c r="T47" s="8" t="e">
        <f>SUMIF(累计考核费用!$B$107:$B$156,原格式费用考核表!$B47,累计考核费用!#REF!)/10000</f>
        <v>#REF!</v>
      </c>
      <c r="U47" s="8">
        <f>SUMIF(累计考核费用!$B$107:$B$156,原格式费用考核表!$B47,累计考核费用!V$107:V$156)/10000</f>
        <v>1.5667E-2</v>
      </c>
      <c r="V47" s="8">
        <f>SUMIF(累计考核费用!$B$107:$B$156,原格式费用考核表!$B47,累计考核费用!W$107:W$156)/10000</f>
        <v>0.141153</v>
      </c>
      <c r="W47" s="8">
        <f>SUMIF(累计考核费用!$B$107:$B$156,原格式费用考核表!$B47,累计考核费用!AB$107:AB$156)/10000</f>
        <v>0</v>
      </c>
      <c r="X47" s="8" t="e">
        <f>SUMIF(累计考核费用!$B$107:$B$156,原格式费用考核表!$B47,累计考核费用!#REF!)/10000</f>
        <v>#REF!</v>
      </c>
      <c r="Y47" s="8" t="e">
        <f>SUMIF(累计考核费用!$B$107:$B$156,原格式费用考核表!$B47,累计考核费用!#REF!)/10000</f>
        <v>#REF!</v>
      </c>
      <c r="Z47" s="8" t="e">
        <f>SUMIF(累计考核费用!$B$107:$B$156,原格式费用考核表!$B47,累计考核费用!#REF!)/10000</f>
        <v>#REF!</v>
      </c>
      <c r="AA47" s="8">
        <f>SUMIF(累计考核费用!$B$107:$B$156,原格式费用考核表!$B47,累计考核费用!AC$107:AC$156)/10000</f>
        <v>0</v>
      </c>
      <c r="AB47" s="8" t="e">
        <f>SUMIF(累计考核费用!$B$107:$B$156,原格式费用考核表!$B47,累计考核费用!#REF!)/10000</f>
        <v>#REF!</v>
      </c>
    </row>
    <row r="48" spans="1:28" s="2" customFormat="1" ht="12" customHeight="1">
      <c r="A48" s="443"/>
      <c r="B48" s="11" t="s">
        <v>144</v>
      </c>
      <c r="C48" s="11" t="s">
        <v>135</v>
      </c>
      <c r="D48" s="8">
        <f>SUMIF(累计考核费用!$B$107:$B$156,原格式费用考核表!$B48,累计考核费用!C$107:C$156)/10000</f>
        <v>0</v>
      </c>
      <c r="E48" s="8">
        <f>SUMIF(累计考核费用!$B$107:$B$156,原格式费用考核表!$B48,累计考核费用!D$107:D$156)/10000</f>
        <v>0</v>
      </c>
      <c r="F48" s="8">
        <f>SUMIF(累计考核费用!$B$107:$B$156,原格式费用考核表!$B48,累计考核费用!E$107:E$156)/10000</f>
        <v>0</v>
      </c>
      <c r="G48" s="8">
        <f>SUMIF(累计考核费用!$B$107:$B$156,原格式费用考核表!$B48,累计考核费用!F$107:F$156)/10000</f>
        <v>0</v>
      </c>
      <c r="H48" s="8">
        <f>SUMIF(累计考核费用!$B$107:$B$156,原格式费用考核表!$B48,累计考核费用!G$107:G$156)/10000</f>
        <v>0</v>
      </c>
      <c r="I48" s="8">
        <f>SUMIF(累计考核费用!$B$107:$B$156,原格式费用考核表!$B48,累计考核费用!L$107:L$156)/10000</f>
        <v>0</v>
      </c>
      <c r="J48" s="8">
        <f>SUMIF(累计考核费用!$B$107:$B$156,原格式费用考核表!$B48,累计考核费用!M$107:M$156)/10000</f>
        <v>0</v>
      </c>
      <c r="K48" s="8">
        <f>SUMIF(累计考核费用!$B$107:$B$156,原格式费用考核表!$B48,累计考核费用!Q$107:Q$156)/10000</f>
        <v>0</v>
      </c>
      <c r="L48" s="8">
        <f>SUMIF(累计考核费用!$B$107:$B$156,原格式费用考核表!$B48,累计考核费用!P$107:P$156)/10000</f>
        <v>0</v>
      </c>
      <c r="M48" s="8">
        <f>SUMIF(累计考核费用!$B$107:$B$156,原格式费用考核表!$B48,累计考核费用!O$107:O$156)/10000</f>
        <v>0</v>
      </c>
      <c r="N48" s="8">
        <f>SUMIF(累计考核费用!$B$107:$B$156,原格式费用考核表!$B48,累计考核费用!R$107:R$156)/10000</f>
        <v>0</v>
      </c>
      <c r="O48" s="8" t="e">
        <f>SUMIF(累计考核费用!$B$107:$B$156,原格式费用考核表!$B48,累计考核费用!#REF!)/10000</f>
        <v>#REF!</v>
      </c>
      <c r="P48" s="8">
        <f>SUMIF(累计考核费用!$B$107:$B$156,原格式费用考核表!$B48,累计考核费用!S$107:S$156)/10000</f>
        <v>0</v>
      </c>
      <c r="Q48" s="8" t="e">
        <f>SUMIF(累计考核费用!$B$107:$B$156,原格式费用考核表!$B48,累计考核费用!#REF!)/10000</f>
        <v>#REF!</v>
      </c>
      <c r="R48" s="8">
        <f>SUMIF(累计考核费用!$B$107:$B$156,原格式费用考核表!$B48,累计考核费用!T$107:T$156)/10000</f>
        <v>0</v>
      </c>
      <c r="S48" s="8">
        <f>SUMIF(累计考核费用!$B$107:$B$156,原格式费用考核表!$B48,累计考核费用!U$107:U$156)/10000</f>
        <v>0</v>
      </c>
      <c r="T48" s="8" t="e">
        <f>SUMIF(累计考核费用!$B$107:$B$156,原格式费用考核表!$B48,累计考核费用!#REF!)/10000</f>
        <v>#REF!</v>
      </c>
      <c r="U48" s="8">
        <f>SUMIF(累计考核费用!$B$107:$B$156,原格式费用考核表!$B48,累计考核费用!V$107:V$156)/10000</f>
        <v>0</v>
      </c>
      <c r="V48" s="8">
        <f>SUMIF(累计考核费用!$B$107:$B$156,原格式费用考核表!$B48,累计考核费用!W$107:W$156)/10000</f>
        <v>0</v>
      </c>
      <c r="W48" s="8">
        <f>SUMIF(累计考核费用!$B$107:$B$156,原格式费用考核表!$B48,累计考核费用!AB$107:AB$156)/10000</f>
        <v>0</v>
      </c>
      <c r="X48" s="8" t="e">
        <f>SUMIF(累计考核费用!$B$107:$B$156,原格式费用考核表!$B48,累计考核费用!#REF!)/10000</f>
        <v>#REF!</v>
      </c>
      <c r="Y48" s="8" t="e">
        <f>SUMIF(累计考核费用!$B$107:$B$156,原格式费用考核表!$B48,累计考核费用!#REF!)/10000</f>
        <v>#REF!</v>
      </c>
      <c r="Z48" s="8" t="e">
        <f>SUMIF(累计考核费用!$B$107:$B$156,原格式费用考核表!$B48,累计考核费用!#REF!)/10000</f>
        <v>#REF!</v>
      </c>
      <c r="AA48" s="8">
        <f>SUMIF(累计考核费用!$B$107:$B$156,原格式费用考核表!$B48,累计考核费用!AC$107:AC$156)/10000</f>
        <v>0</v>
      </c>
      <c r="AB48" s="8" t="e">
        <f>SUMIF(累计考核费用!$B$107:$B$156,原格式费用考核表!$B48,累计考核费用!#REF!)/10000</f>
        <v>#REF!</v>
      </c>
    </row>
    <row r="49" spans="1:28" s="2" customFormat="1" ht="12" customHeight="1">
      <c r="A49" s="444"/>
      <c r="B49" s="11" t="s">
        <v>98</v>
      </c>
      <c r="C49" s="11" t="s">
        <v>98</v>
      </c>
      <c r="D49" s="13">
        <f t="shared" ref="D49:AB49" si="5">SUM(D42:D48)</f>
        <v>730.85048799999993</v>
      </c>
      <c r="E49" s="13">
        <f t="shared" si="5"/>
        <v>-83.333332999999996</v>
      </c>
      <c r="F49" s="13">
        <f t="shared" si="5"/>
        <v>274.85887700000001</v>
      </c>
      <c r="G49" s="13">
        <f t="shared" si="5"/>
        <v>364.454609</v>
      </c>
      <c r="H49" s="13">
        <f t="shared" si="5"/>
        <v>0.10278499999999999</v>
      </c>
      <c r="I49" s="13">
        <f t="shared" si="5"/>
        <v>3.3484790000000002</v>
      </c>
      <c r="J49" s="13">
        <f t="shared" si="5"/>
        <v>2.1693089999999997</v>
      </c>
      <c r="K49" s="13">
        <f t="shared" si="5"/>
        <v>5.0793680000000005</v>
      </c>
      <c r="L49" s="13">
        <f t="shared" si="5"/>
        <v>0.35189599999999999</v>
      </c>
      <c r="M49" s="13">
        <f t="shared" si="5"/>
        <v>0.43953900000000001</v>
      </c>
      <c r="N49" s="13">
        <f t="shared" si="5"/>
        <v>0.40216300000000005</v>
      </c>
      <c r="O49" s="13" t="e">
        <f t="shared" si="5"/>
        <v>#REF!</v>
      </c>
      <c r="P49" s="13">
        <f t="shared" si="5"/>
        <v>4.6772050000000007</v>
      </c>
      <c r="Q49" s="13" t="e">
        <f t="shared" si="5"/>
        <v>#REF!</v>
      </c>
      <c r="R49" s="13">
        <f t="shared" si="5"/>
        <v>161.62320600000001</v>
      </c>
      <c r="S49" s="13">
        <f t="shared" si="5"/>
        <v>0.83393699999999993</v>
      </c>
      <c r="T49" s="13" t="e">
        <f t="shared" si="5"/>
        <v>#REF!</v>
      </c>
      <c r="U49" s="13">
        <f t="shared" si="5"/>
        <v>0.42193699999999995</v>
      </c>
      <c r="V49" s="13">
        <f t="shared" si="5"/>
        <v>0.41200000000000003</v>
      </c>
      <c r="W49" s="13">
        <f t="shared" si="5"/>
        <v>0</v>
      </c>
      <c r="X49" s="13" t="e">
        <f t="shared" si="5"/>
        <v>#REF!</v>
      </c>
      <c r="Y49" s="13" t="e">
        <f t="shared" si="5"/>
        <v>#REF!</v>
      </c>
      <c r="Z49" s="13" t="e">
        <f t="shared" si="5"/>
        <v>#REF!</v>
      </c>
      <c r="AA49" s="13">
        <f t="shared" si="5"/>
        <v>0</v>
      </c>
      <c r="AB49" s="13" t="e">
        <f t="shared" si="5"/>
        <v>#REF!</v>
      </c>
    </row>
    <row r="50" spans="1:28" s="2" customFormat="1" ht="12" customHeight="1">
      <c r="A50" s="14"/>
      <c r="B50" s="14" t="s">
        <v>4</v>
      </c>
      <c r="C50" s="15" t="s">
        <v>4</v>
      </c>
      <c r="D50" s="16">
        <f>D11+D16+D41+D49</f>
        <v>4303.1182839999992</v>
      </c>
      <c r="E50" s="16">
        <f t="shared" ref="E50:AB50" si="6">E11+E16+E41+E49</f>
        <v>1052.7129529999997</v>
      </c>
      <c r="F50" s="16">
        <f t="shared" si="6"/>
        <v>873.34959500000002</v>
      </c>
      <c r="G50" s="16">
        <f t="shared" si="6"/>
        <v>2509.1032439999999</v>
      </c>
      <c r="H50" s="16">
        <f t="shared" si="6"/>
        <v>28.913694</v>
      </c>
      <c r="I50" s="16">
        <f t="shared" si="6"/>
        <v>186.57916</v>
      </c>
      <c r="J50" s="16">
        <f t="shared" si="6"/>
        <v>25.170710999999997</v>
      </c>
      <c r="K50" s="16">
        <f t="shared" si="6"/>
        <v>26.564071999999996</v>
      </c>
      <c r="L50" s="16">
        <f t="shared" si="6"/>
        <v>10.053203</v>
      </c>
      <c r="M50" s="16">
        <f t="shared" si="6"/>
        <v>54.05761900000001</v>
      </c>
      <c r="N50" s="16">
        <f t="shared" si="6"/>
        <v>-6.6796000000000086</v>
      </c>
      <c r="O50" s="16" t="e">
        <f t="shared" si="6"/>
        <v>#REF!</v>
      </c>
      <c r="P50" s="16">
        <f t="shared" si="6"/>
        <v>33.243671999999997</v>
      </c>
      <c r="Q50" s="16" t="e">
        <f t="shared" si="6"/>
        <v>#REF!</v>
      </c>
      <c r="R50" s="16">
        <f t="shared" si="6"/>
        <v>188.940473</v>
      </c>
      <c r="S50" s="16">
        <f t="shared" si="6"/>
        <v>357.63910599999997</v>
      </c>
      <c r="T50" s="16" t="e">
        <f t="shared" si="6"/>
        <v>#REF!</v>
      </c>
      <c r="U50" s="16">
        <f t="shared" si="6"/>
        <v>119.85572499999999</v>
      </c>
      <c r="V50" s="16">
        <f t="shared" si="6"/>
        <v>102.884207</v>
      </c>
      <c r="W50" s="16">
        <f t="shared" si="6"/>
        <v>0</v>
      </c>
      <c r="X50" s="16" t="e">
        <f t="shared" si="6"/>
        <v>#REF!</v>
      </c>
      <c r="Y50" s="16" t="e">
        <f t="shared" si="6"/>
        <v>#REF!</v>
      </c>
      <c r="Z50" s="16" t="e">
        <f t="shared" si="6"/>
        <v>#REF!</v>
      </c>
      <c r="AA50" s="16">
        <f t="shared" si="6"/>
        <v>59.959025999999994</v>
      </c>
      <c r="AB50" s="16" t="e">
        <f t="shared" si="6"/>
        <v>#REF!</v>
      </c>
    </row>
    <row r="52" spans="1:28" s="1" customFormat="1" ht="12" customHeight="1">
      <c r="A52" s="4" t="s">
        <v>85</v>
      </c>
      <c r="B52" s="5" t="s">
        <v>86</v>
      </c>
      <c r="C52" s="4"/>
      <c r="D52" s="6" t="s">
        <v>4</v>
      </c>
      <c r="E52" s="6" t="s">
        <v>5</v>
      </c>
      <c r="F52" s="6" t="s">
        <v>6</v>
      </c>
      <c r="G52" s="6" t="s">
        <v>7</v>
      </c>
      <c r="H52" s="6" t="s">
        <v>9</v>
      </c>
      <c r="I52" s="6" t="s">
        <v>13</v>
      </c>
      <c r="J52" s="23" t="s">
        <v>74</v>
      </c>
      <c r="K52" s="23" t="s">
        <v>18</v>
      </c>
      <c r="L52" s="23" t="s">
        <v>17</v>
      </c>
      <c r="M52" s="23" t="s">
        <v>16</v>
      </c>
      <c r="N52" s="23" t="s">
        <v>75</v>
      </c>
      <c r="O52" s="23" t="s">
        <v>76</v>
      </c>
      <c r="P52" s="23" t="s">
        <v>77</v>
      </c>
      <c r="Q52" s="23" t="s">
        <v>349</v>
      </c>
      <c r="R52" s="6" t="s">
        <v>78</v>
      </c>
      <c r="S52" s="6" t="s">
        <v>21</v>
      </c>
      <c r="T52" s="23" t="s">
        <v>80</v>
      </c>
      <c r="U52" s="23" t="s">
        <v>79</v>
      </c>
      <c r="V52" s="23" t="s">
        <v>351</v>
      </c>
      <c r="W52" s="23" t="s">
        <v>218</v>
      </c>
      <c r="X52" s="6" t="s">
        <v>81</v>
      </c>
      <c r="Y52" s="23" t="s">
        <v>82</v>
      </c>
      <c r="Z52" s="23" t="s">
        <v>140</v>
      </c>
      <c r="AA52" s="6" t="s">
        <v>141</v>
      </c>
      <c r="AB52" s="6" t="s">
        <v>142</v>
      </c>
    </row>
    <row r="55" spans="1:28" s="2" customFormat="1" ht="13.5">
      <c r="A55" s="17" t="s">
        <v>85</v>
      </c>
      <c r="B55" s="18" t="s">
        <v>86</v>
      </c>
      <c r="C55" s="17"/>
      <c r="D55" s="19" t="s">
        <v>4</v>
      </c>
      <c r="E55" s="19" t="s">
        <v>5</v>
      </c>
      <c r="F55" s="19" t="s">
        <v>6</v>
      </c>
      <c r="G55" s="19" t="s">
        <v>7</v>
      </c>
      <c r="H55" s="19" t="s">
        <v>9</v>
      </c>
      <c r="I55" s="19" t="s">
        <v>13</v>
      </c>
      <c r="J55" s="24" t="s">
        <v>74</v>
      </c>
      <c r="K55" s="24" t="s">
        <v>17</v>
      </c>
      <c r="L55" s="24" t="s">
        <v>75</v>
      </c>
      <c r="M55" s="24" t="s">
        <v>76</v>
      </c>
      <c r="N55" s="24" t="s">
        <v>77</v>
      </c>
      <c r="O55" s="24" t="s">
        <v>349</v>
      </c>
      <c r="P55" s="19" t="s">
        <v>78</v>
      </c>
      <c r="Q55" s="19" t="s">
        <v>21</v>
      </c>
      <c r="R55" s="24" t="s">
        <v>80</v>
      </c>
      <c r="S55" s="24" t="s">
        <v>79</v>
      </c>
      <c r="T55" s="24" t="s">
        <v>351</v>
      </c>
      <c r="U55" s="24" t="s">
        <v>218</v>
      </c>
      <c r="V55" s="19" t="s">
        <v>81</v>
      </c>
      <c r="W55" s="24" t="s">
        <v>82</v>
      </c>
      <c r="X55" s="24" t="s">
        <v>140</v>
      </c>
      <c r="Y55" s="24" t="s">
        <v>141</v>
      </c>
      <c r="Z55" s="19">
        <v>0</v>
      </c>
      <c r="AA55" s="19">
        <v>0</v>
      </c>
    </row>
    <row r="56" spans="1:28" ht="12" customHeight="1">
      <c r="A56" s="20" t="s">
        <v>421</v>
      </c>
      <c r="B56" t="s">
        <v>138</v>
      </c>
      <c r="D56">
        <v>50.166797000000003</v>
      </c>
      <c r="E56">
        <v>0</v>
      </c>
      <c r="F56">
        <v>19.743404000000002</v>
      </c>
      <c r="G56">
        <v>21.382383000000001</v>
      </c>
      <c r="H56">
        <v>1.2</v>
      </c>
      <c r="I56">
        <v>4.3324100000000003</v>
      </c>
      <c r="J56">
        <v>0.127</v>
      </c>
      <c r="K56">
        <v>1.373904</v>
      </c>
      <c r="L56">
        <v>0.91659999999999997</v>
      </c>
      <c r="M56">
        <v>0</v>
      </c>
      <c r="N56">
        <v>1.3539060000000001</v>
      </c>
      <c r="O56">
        <v>0.56100000000000005</v>
      </c>
      <c r="P56">
        <v>0.8</v>
      </c>
      <c r="Q56">
        <v>0.999</v>
      </c>
      <c r="R56">
        <v>0</v>
      </c>
      <c r="S56">
        <v>0.16</v>
      </c>
      <c r="T56">
        <v>0</v>
      </c>
      <c r="U56">
        <v>0.83899999999999997</v>
      </c>
      <c r="V56">
        <v>1.7096</v>
      </c>
      <c r="W56">
        <v>1.2290000000000001</v>
      </c>
      <c r="X56">
        <v>0.48060000000000003</v>
      </c>
      <c r="Y56">
        <v>0</v>
      </c>
      <c r="Z56">
        <v>0</v>
      </c>
      <c r="AA56">
        <v>0</v>
      </c>
    </row>
    <row r="57" spans="1:28" ht="12" customHeight="1">
      <c r="D57" t="b">
        <f>D55=D1</f>
        <v>1</v>
      </c>
      <c r="E57" t="b">
        <f t="shared" ref="E57:Y57" si="7">E55=E1</f>
        <v>1</v>
      </c>
      <c r="F57" t="b">
        <f t="shared" si="7"/>
        <v>1</v>
      </c>
      <c r="G57" t="b">
        <f t="shared" si="7"/>
        <v>1</v>
      </c>
      <c r="H57" t="b">
        <f t="shared" si="7"/>
        <v>1</v>
      </c>
      <c r="I57" t="b">
        <f t="shared" si="7"/>
        <v>1</v>
      </c>
      <c r="J57" t="b">
        <f t="shared" si="7"/>
        <v>1</v>
      </c>
      <c r="K57" t="b">
        <f t="shared" si="7"/>
        <v>0</v>
      </c>
      <c r="L57" t="b">
        <f t="shared" si="7"/>
        <v>0</v>
      </c>
      <c r="M57" t="b">
        <f t="shared" si="7"/>
        <v>0</v>
      </c>
      <c r="N57" t="b">
        <f t="shared" si="7"/>
        <v>0</v>
      </c>
      <c r="O57" t="b">
        <f t="shared" si="7"/>
        <v>0</v>
      </c>
      <c r="P57" t="b">
        <f t="shared" si="7"/>
        <v>0</v>
      </c>
      <c r="Q57" t="b">
        <f t="shared" si="7"/>
        <v>0</v>
      </c>
      <c r="R57" t="b">
        <f t="shared" si="7"/>
        <v>0</v>
      </c>
      <c r="S57" t="b">
        <f t="shared" si="7"/>
        <v>0</v>
      </c>
      <c r="T57" t="b">
        <f t="shared" si="7"/>
        <v>0</v>
      </c>
      <c r="U57" t="b">
        <f t="shared" si="7"/>
        <v>0</v>
      </c>
      <c r="V57" t="b">
        <f t="shared" si="7"/>
        <v>0</v>
      </c>
      <c r="W57" t="b">
        <f t="shared" si="7"/>
        <v>0</v>
      </c>
      <c r="X57" t="b">
        <f t="shared" si="7"/>
        <v>0</v>
      </c>
      <c r="Y57" t="b">
        <f t="shared" si="7"/>
        <v>0</v>
      </c>
    </row>
    <row r="59" spans="1:28" s="3" customFormat="1" ht="12" customHeight="1">
      <c r="B59" s="17" t="s">
        <v>85</v>
      </c>
      <c r="C59" s="18" t="s">
        <v>86</v>
      </c>
      <c r="D59" s="19" t="s">
        <v>4</v>
      </c>
      <c r="E59" s="19" t="s">
        <v>5</v>
      </c>
      <c r="F59" s="19" t="s">
        <v>6</v>
      </c>
      <c r="G59" s="19" t="s">
        <v>7</v>
      </c>
      <c r="H59" s="19" t="s">
        <v>9</v>
      </c>
      <c r="I59" s="19" t="s">
        <v>13</v>
      </c>
      <c r="J59" s="24" t="s">
        <v>74</v>
      </c>
      <c r="K59" s="24" t="s">
        <v>17</v>
      </c>
      <c r="L59" s="24" t="s">
        <v>75</v>
      </c>
      <c r="M59" s="24" t="s">
        <v>76</v>
      </c>
      <c r="N59" s="24" t="s">
        <v>77</v>
      </c>
      <c r="O59" s="24" t="s">
        <v>349</v>
      </c>
      <c r="P59" s="19" t="s">
        <v>78</v>
      </c>
      <c r="Q59" s="19" t="s">
        <v>21</v>
      </c>
      <c r="R59" s="24" t="s">
        <v>80</v>
      </c>
      <c r="S59" s="24" t="s">
        <v>79</v>
      </c>
      <c r="T59" s="24" t="s">
        <v>351</v>
      </c>
      <c r="U59" s="24" t="s">
        <v>218</v>
      </c>
      <c r="V59" s="19" t="s">
        <v>81</v>
      </c>
      <c r="W59" s="24" t="s">
        <v>82</v>
      </c>
      <c r="X59" s="24" t="s">
        <v>140</v>
      </c>
      <c r="Y59" s="24" t="s">
        <v>141</v>
      </c>
      <c r="Z59" s="6" t="s">
        <v>142</v>
      </c>
    </row>
    <row r="60" spans="1:28" s="3" customFormat="1" ht="12" customHeight="1">
      <c r="B60" s="436" t="s">
        <v>87</v>
      </c>
      <c r="C60" s="21" t="s">
        <v>88</v>
      </c>
      <c r="D60" s="22">
        <f>D2</f>
        <v>1622.75656</v>
      </c>
      <c r="E60" s="22" t="e">
        <f>E2+AB2</f>
        <v>#REF!</v>
      </c>
      <c r="F60" s="22">
        <f t="shared" ref="F60:J69" si="8">F2</f>
        <v>406.87491899999998</v>
      </c>
      <c r="G60" s="22">
        <f t="shared" si="8"/>
        <v>752.31585599999994</v>
      </c>
      <c r="H60" s="22">
        <f t="shared" si="8"/>
        <v>19.303573</v>
      </c>
      <c r="I60" s="22">
        <f t="shared" si="8"/>
        <v>37.468293000000003</v>
      </c>
      <c r="J60" s="22">
        <f t="shared" si="8"/>
        <v>9.5504999999999995</v>
      </c>
      <c r="K60" s="22">
        <f>K2+L2</f>
        <v>40.187601999999998</v>
      </c>
      <c r="L60" s="22">
        <f t="shared" ref="L60:L91" si="9">N2</f>
        <v>15.553664000000001</v>
      </c>
      <c r="M60" s="22" t="e">
        <f t="shared" ref="M60:M91" si="10">O2</f>
        <v>#REF!</v>
      </c>
      <c r="N60" s="22">
        <f t="shared" ref="N60:N91" si="11">P2</f>
        <v>19.059338</v>
      </c>
      <c r="O60" s="22" t="e">
        <f t="shared" ref="O60:O91" si="12">Q2</f>
        <v>#REF!</v>
      </c>
      <c r="P60" s="22">
        <f t="shared" ref="P60:Z60" si="13">R2</f>
        <v>14.479756</v>
      </c>
      <c r="Q60" s="22">
        <f t="shared" si="13"/>
        <v>180.03808099999998</v>
      </c>
      <c r="R60" s="22" t="e">
        <f t="shared" si="13"/>
        <v>#REF!</v>
      </c>
      <c r="S60" s="22">
        <f t="shared" si="13"/>
        <v>51.425222999999995</v>
      </c>
      <c r="T60" s="22">
        <f t="shared" si="13"/>
        <v>68.321542000000008</v>
      </c>
      <c r="U60" s="22">
        <f t="shared" si="13"/>
        <v>0</v>
      </c>
      <c r="V60" s="22" t="e">
        <f t="shared" si="13"/>
        <v>#REF!</v>
      </c>
      <c r="W60" s="22" t="e">
        <f t="shared" si="13"/>
        <v>#REF!</v>
      </c>
      <c r="X60" s="22" t="e">
        <f t="shared" si="13"/>
        <v>#REF!</v>
      </c>
      <c r="Y60" s="22">
        <f t="shared" si="13"/>
        <v>39.182839999999999</v>
      </c>
      <c r="Z60" s="25" t="e">
        <f t="shared" si="13"/>
        <v>#REF!</v>
      </c>
    </row>
    <row r="61" spans="1:28" s="3" customFormat="1" ht="12" customHeight="1">
      <c r="B61" s="437"/>
      <c r="C61" s="21" t="s">
        <v>89</v>
      </c>
      <c r="D61" s="22">
        <f t="shared" ref="D61:D108" si="14">D3</f>
        <v>16.51923</v>
      </c>
      <c r="E61" s="22" t="e">
        <f t="shared" ref="E61:E108" si="15">E3+AB3</f>
        <v>#REF!</v>
      </c>
      <c r="F61" s="22">
        <f t="shared" si="8"/>
        <v>7.5703989999999992</v>
      </c>
      <c r="G61" s="22">
        <f t="shared" si="8"/>
        <v>3.007981</v>
      </c>
      <c r="H61" s="22">
        <f t="shared" si="8"/>
        <v>0.63700000000000001</v>
      </c>
      <c r="I61" s="22">
        <f t="shared" si="8"/>
        <v>-1.3347999999999999E-2</v>
      </c>
      <c r="J61" s="22">
        <f t="shared" si="8"/>
        <v>0</v>
      </c>
      <c r="K61" s="22">
        <f t="shared" ref="K61:K108" si="16">K3+L3</f>
        <v>7.6999999999999999E-2</v>
      </c>
      <c r="L61" s="22">
        <f t="shared" si="9"/>
        <v>7.6999999999999999E-2</v>
      </c>
      <c r="M61" s="22" t="e">
        <f t="shared" si="10"/>
        <v>#REF!</v>
      </c>
      <c r="N61" s="22">
        <f t="shared" si="11"/>
        <v>0</v>
      </c>
      <c r="O61" s="22" t="e">
        <f t="shared" si="12"/>
        <v>#REF!</v>
      </c>
      <c r="P61" s="22">
        <f t="shared" ref="P61:P108" si="17">R3</f>
        <v>3.5000000000000001E-3</v>
      </c>
      <c r="Q61" s="22">
        <f t="shared" ref="Q61:Q108" si="18">S3</f>
        <v>2.4341409999999999</v>
      </c>
      <c r="R61" s="22" t="e">
        <f t="shared" ref="R61:R108" si="19">T3</f>
        <v>#REF!</v>
      </c>
      <c r="S61" s="22">
        <f t="shared" ref="S61:S108" si="20">U3</f>
        <v>1.3436410000000001</v>
      </c>
      <c r="T61" s="22">
        <f t="shared" ref="T61:T108" si="21">V3</f>
        <v>0.60550000000000004</v>
      </c>
      <c r="U61" s="22">
        <f t="shared" ref="U61:U108" si="22">W3</f>
        <v>0</v>
      </c>
      <c r="V61" s="22" t="e">
        <f t="shared" ref="V61:V108" si="23">X3</f>
        <v>#REF!</v>
      </c>
      <c r="W61" s="22" t="e">
        <f t="shared" ref="W61:W108" si="24">Y3</f>
        <v>#REF!</v>
      </c>
      <c r="X61" s="22" t="e">
        <f t="shared" ref="X61:X108" si="25">Z3</f>
        <v>#REF!</v>
      </c>
      <c r="Y61" s="22">
        <f t="shared" ref="Y61:Y108" si="26">AA3</f>
        <v>1.2949889999999999</v>
      </c>
      <c r="Z61" s="25" t="e">
        <f t="shared" ref="Z61:Z108" si="27">AB3</f>
        <v>#REF!</v>
      </c>
    </row>
    <row r="62" spans="1:28" s="3" customFormat="1" ht="12" customHeight="1">
      <c r="B62" s="437"/>
      <c r="C62" s="21" t="s">
        <v>90</v>
      </c>
      <c r="D62" s="22">
        <f t="shared" si="14"/>
        <v>37.232119999999995</v>
      </c>
      <c r="E62" s="22" t="e">
        <f t="shared" si="15"/>
        <v>#REF!</v>
      </c>
      <c r="F62" s="22">
        <f t="shared" si="8"/>
        <v>7.8823350000000003</v>
      </c>
      <c r="G62" s="22">
        <f t="shared" si="8"/>
        <v>20.537271</v>
      </c>
      <c r="H62" s="22">
        <f t="shared" si="8"/>
        <v>0.386071</v>
      </c>
      <c r="I62" s="22">
        <f t="shared" si="8"/>
        <v>0.75356599999999996</v>
      </c>
      <c r="J62" s="22">
        <f t="shared" si="8"/>
        <v>0.19100999999999999</v>
      </c>
      <c r="K62" s="22">
        <f t="shared" si="16"/>
        <v>0.80375200000000002</v>
      </c>
      <c r="L62" s="22">
        <f t="shared" si="9"/>
        <v>0.31107299999999999</v>
      </c>
      <c r="M62" s="22" t="e">
        <f t="shared" si="10"/>
        <v>#REF!</v>
      </c>
      <c r="N62" s="22">
        <f t="shared" si="11"/>
        <v>0.381187</v>
      </c>
      <c r="O62" s="22" t="e">
        <f t="shared" si="12"/>
        <v>#REF!</v>
      </c>
      <c r="P62" s="22">
        <f t="shared" si="17"/>
        <v>0.220135</v>
      </c>
      <c r="Q62" s="22">
        <f t="shared" si="18"/>
        <v>3.6007609999999994</v>
      </c>
      <c r="R62" s="22" t="e">
        <f t="shared" si="19"/>
        <v>#REF!</v>
      </c>
      <c r="S62" s="22">
        <f t="shared" si="20"/>
        <v>1.0285040000000001</v>
      </c>
      <c r="T62" s="22">
        <f t="shared" si="21"/>
        <v>1.366431</v>
      </c>
      <c r="U62" s="22">
        <f t="shared" si="22"/>
        <v>0</v>
      </c>
      <c r="V62" s="22" t="e">
        <f t="shared" si="23"/>
        <v>#REF!</v>
      </c>
      <c r="W62" s="22" t="e">
        <f t="shared" si="24"/>
        <v>#REF!</v>
      </c>
      <c r="X62" s="22" t="e">
        <f t="shared" si="25"/>
        <v>#REF!</v>
      </c>
      <c r="Y62" s="22">
        <f t="shared" si="26"/>
        <v>0.76325799999999999</v>
      </c>
      <c r="Z62" s="25" t="e">
        <f t="shared" si="27"/>
        <v>#REF!</v>
      </c>
    </row>
    <row r="63" spans="1:28" s="3" customFormat="1" ht="12" customHeight="1">
      <c r="B63" s="437"/>
      <c r="C63" s="21" t="s">
        <v>92</v>
      </c>
      <c r="D63" s="22">
        <f t="shared" si="14"/>
        <v>525.69741699999986</v>
      </c>
      <c r="E63" s="22" t="e">
        <f t="shared" si="15"/>
        <v>#REF!</v>
      </c>
      <c r="F63" s="22">
        <f t="shared" si="8"/>
        <v>132.936545</v>
      </c>
      <c r="G63" s="22">
        <f t="shared" si="8"/>
        <v>247.81070600000001</v>
      </c>
      <c r="H63" s="22">
        <f t="shared" si="8"/>
        <v>8.0750130000000002</v>
      </c>
      <c r="I63" s="22">
        <f t="shared" si="8"/>
        <v>11.335188</v>
      </c>
      <c r="J63" s="22">
        <f t="shared" si="8"/>
        <v>2.532464</v>
      </c>
      <c r="K63" s="22">
        <f t="shared" si="16"/>
        <v>11.118790000000001</v>
      </c>
      <c r="L63" s="22">
        <f t="shared" si="9"/>
        <v>4.5855769999999998</v>
      </c>
      <c r="M63" s="22" t="e">
        <f t="shared" si="10"/>
        <v>#REF!</v>
      </c>
      <c r="N63" s="22">
        <f t="shared" si="11"/>
        <v>4.8868540000000005</v>
      </c>
      <c r="O63" s="22" t="e">
        <f t="shared" si="12"/>
        <v>#REF!</v>
      </c>
      <c r="P63" s="22">
        <f t="shared" si="17"/>
        <v>4.162814</v>
      </c>
      <c r="Q63" s="22">
        <f t="shared" si="18"/>
        <v>61.327849999999998</v>
      </c>
      <c r="R63" s="22" t="e">
        <f t="shared" si="19"/>
        <v>#REF!</v>
      </c>
      <c r="S63" s="22">
        <f t="shared" si="20"/>
        <v>19.419798999999998</v>
      </c>
      <c r="T63" s="22">
        <f t="shared" si="21"/>
        <v>19.507832999999998</v>
      </c>
      <c r="U63" s="22">
        <f t="shared" si="22"/>
        <v>0</v>
      </c>
      <c r="V63" s="22" t="e">
        <f t="shared" si="23"/>
        <v>#REF!</v>
      </c>
      <c r="W63" s="22" t="e">
        <f t="shared" si="24"/>
        <v>#REF!</v>
      </c>
      <c r="X63" s="22" t="e">
        <f t="shared" si="25"/>
        <v>#REF!</v>
      </c>
      <c r="Y63" s="22">
        <f t="shared" si="26"/>
        <v>13.48054</v>
      </c>
      <c r="Z63" s="25" t="e">
        <f t="shared" si="27"/>
        <v>#REF!</v>
      </c>
    </row>
    <row r="64" spans="1:28" s="3" customFormat="1" ht="12" customHeight="1">
      <c r="B64" s="437"/>
      <c r="C64" s="21" t="s">
        <v>93</v>
      </c>
      <c r="D64" s="22">
        <f t="shared" si="14"/>
        <v>0</v>
      </c>
      <c r="E64" s="22" t="e">
        <f t="shared" si="15"/>
        <v>#REF!</v>
      </c>
      <c r="F64" s="22">
        <f t="shared" si="8"/>
        <v>0</v>
      </c>
      <c r="G64" s="22">
        <f t="shared" si="8"/>
        <v>0</v>
      </c>
      <c r="H64" s="22">
        <f t="shared" si="8"/>
        <v>0</v>
      </c>
      <c r="I64" s="22">
        <f t="shared" si="8"/>
        <v>0</v>
      </c>
      <c r="J64" s="22">
        <f t="shared" si="8"/>
        <v>0</v>
      </c>
      <c r="K64" s="22">
        <f t="shared" si="16"/>
        <v>0</v>
      </c>
      <c r="L64" s="22">
        <f t="shared" si="9"/>
        <v>0</v>
      </c>
      <c r="M64" s="22" t="e">
        <f t="shared" si="10"/>
        <v>#REF!</v>
      </c>
      <c r="N64" s="22">
        <f t="shared" si="11"/>
        <v>0</v>
      </c>
      <c r="O64" s="22" t="e">
        <f t="shared" si="12"/>
        <v>#REF!</v>
      </c>
      <c r="P64" s="22">
        <f t="shared" si="17"/>
        <v>0</v>
      </c>
      <c r="Q64" s="22">
        <f t="shared" si="18"/>
        <v>0</v>
      </c>
      <c r="R64" s="22" t="e">
        <f t="shared" si="19"/>
        <v>#REF!</v>
      </c>
      <c r="S64" s="22">
        <f t="shared" si="20"/>
        <v>0</v>
      </c>
      <c r="T64" s="22">
        <f t="shared" si="21"/>
        <v>0</v>
      </c>
      <c r="U64" s="22">
        <f t="shared" si="22"/>
        <v>0</v>
      </c>
      <c r="V64" s="22" t="e">
        <f t="shared" si="23"/>
        <v>#REF!</v>
      </c>
      <c r="W64" s="22" t="e">
        <f t="shared" si="24"/>
        <v>#REF!</v>
      </c>
      <c r="X64" s="22" t="e">
        <f t="shared" si="25"/>
        <v>#REF!</v>
      </c>
      <c r="Y64" s="22">
        <f t="shared" si="26"/>
        <v>0</v>
      </c>
      <c r="Z64" s="25" t="e">
        <f t="shared" si="27"/>
        <v>#REF!</v>
      </c>
    </row>
    <row r="65" spans="2:26" s="3" customFormat="1" ht="12" customHeight="1">
      <c r="B65" s="437"/>
      <c r="C65" s="21" t="s">
        <v>94</v>
      </c>
      <c r="D65" s="22">
        <f t="shared" si="14"/>
        <v>3.0905779999999998</v>
      </c>
      <c r="E65" s="22" t="e">
        <f t="shared" si="15"/>
        <v>#REF!</v>
      </c>
      <c r="F65" s="22">
        <f t="shared" si="8"/>
        <v>-0.15755</v>
      </c>
      <c r="G65" s="22">
        <f t="shared" si="8"/>
        <v>3.5632280000000001</v>
      </c>
      <c r="H65" s="22">
        <f t="shared" si="8"/>
        <v>0</v>
      </c>
      <c r="I65" s="22">
        <f t="shared" si="8"/>
        <v>0</v>
      </c>
      <c r="J65" s="22">
        <f t="shared" si="8"/>
        <v>0</v>
      </c>
      <c r="K65" s="22">
        <f t="shared" si="16"/>
        <v>0</v>
      </c>
      <c r="L65" s="22">
        <f t="shared" si="9"/>
        <v>0</v>
      </c>
      <c r="M65" s="22" t="e">
        <f t="shared" si="10"/>
        <v>#REF!</v>
      </c>
      <c r="N65" s="22">
        <f t="shared" si="11"/>
        <v>0</v>
      </c>
      <c r="O65" s="22" t="e">
        <f t="shared" si="12"/>
        <v>#REF!</v>
      </c>
      <c r="P65" s="22">
        <f t="shared" si="17"/>
        <v>0</v>
      </c>
      <c r="Q65" s="22">
        <f t="shared" si="18"/>
        <v>-0.31509999999999999</v>
      </c>
      <c r="R65" s="22" t="e">
        <f t="shared" si="19"/>
        <v>#REF!</v>
      </c>
      <c r="S65" s="22">
        <f t="shared" si="20"/>
        <v>0</v>
      </c>
      <c r="T65" s="22">
        <f t="shared" si="21"/>
        <v>-0.31509999999999999</v>
      </c>
      <c r="U65" s="22">
        <f t="shared" si="22"/>
        <v>0</v>
      </c>
      <c r="V65" s="22" t="e">
        <f t="shared" si="23"/>
        <v>#REF!</v>
      </c>
      <c r="W65" s="22" t="e">
        <f t="shared" si="24"/>
        <v>#REF!</v>
      </c>
      <c r="X65" s="22" t="e">
        <f t="shared" si="25"/>
        <v>#REF!</v>
      </c>
      <c r="Y65" s="22">
        <f t="shared" si="26"/>
        <v>0</v>
      </c>
      <c r="Z65" s="25" t="e">
        <f t="shared" si="27"/>
        <v>#REF!</v>
      </c>
    </row>
    <row r="66" spans="2:26" s="3" customFormat="1" ht="12" customHeight="1">
      <c r="B66" s="437"/>
      <c r="C66" s="21" t="s">
        <v>95</v>
      </c>
      <c r="D66" s="22">
        <f t="shared" si="14"/>
        <v>19.616311</v>
      </c>
      <c r="E66" s="22" t="e">
        <f t="shared" si="15"/>
        <v>#REF!</v>
      </c>
      <c r="F66" s="22">
        <f t="shared" si="8"/>
        <v>2.82769</v>
      </c>
      <c r="G66" s="22">
        <f t="shared" si="8"/>
        <v>14.772620999999999</v>
      </c>
      <c r="H66" s="22">
        <f t="shared" si="8"/>
        <v>0</v>
      </c>
      <c r="I66" s="22">
        <f t="shared" si="8"/>
        <v>0.21</v>
      </c>
      <c r="J66" s="22">
        <f t="shared" si="8"/>
        <v>0</v>
      </c>
      <c r="K66" s="22">
        <f t="shared" si="16"/>
        <v>0</v>
      </c>
      <c r="L66" s="22">
        <f t="shared" si="9"/>
        <v>0</v>
      </c>
      <c r="M66" s="22" t="e">
        <f t="shared" si="10"/>
        <v>#REF!</v>
      </c>
      <c r="N66" s="22">
        <f t="shared" si="11"/>
        <v>0</v>
      </c>
      <c r="O66" s="22" t="e">
        <f t="shared" si="12"/>
        <v>#REF!</v>
      </c>
      <c r="P66" s="22">
        <f t="shared" si="17"/>
        <v>0</v>
      </c>
      <c r="Q66" s="22">
        <f t="shared" si="18"/>
        <v>0</v>
      </c>
      <c r="R66" s="22" t="e">
        <f t="shared" si="19"/>
        <v>#REF!</v>
      </c>
      <c r="S66" s="22">
        <f t="shared" si="20"/>
        <v>0</v>
      </c>
      <c r="T66" s="22">
        <f t="shared" si="21"/>
        <v>0</v>
      </c>
      <c r="U66" s="22">
        <f t="shared" si="22"/>
        <v>0</v>
      </c>
      <c r="V66" s="22" t="e">
        <f t="shared" si="23"/>
        <v>#REF!</v>
      </c>
      <c r="W66" s="22" t="e">
        <f t="shared" si="24"/>
        <v>#REF!</v>
      </c>
      <c r="X66" s="22" t="e">
        <f t="shared" si="25"/>
        <v>#REF!</v>
      </c>
      <c r="Y66" s="22">
        <f t="shared" si="26"/>
        <v>0</v>
      </c>
      <c r="Z66" s="25" t="e">
        <f t="shared" si="27"/>
        <v>#REF!</v>
      </c>
    </row>
    <row r="67" spans="2:26" s="3" customFormat="1" ht="12" customHeight="1">
      <c r="B67" s="437"/>
      <c r="C67" s="21" t="s">
        <v>138</v>
      </c>
      <c r="D67" s="22">
        <f t="shared" si="14"/>
        <v>50.166797000000003</v>
      </c>
      <c r="E67" s="22">
        <f t="shared" si="15"/>
        <v>0</v>
      </c>
      <c r="F67" s="22">
        <f t="shared" si="8"/>
        <v>19.743404000000002</v>
      </c>
      <c r="G67" s="22">
        <f t="shared" si="8"/>
        <v>21.382383000000001</v>
      </c>
      <c r="H67" s="22">
        <f t="shared" si="8"/>
        <v>1.2</v>
      </c>
      <c r="I67" s="22">
        <f t="shared" si="8"/>
        <v>4.3324100000000003</v>
      </c>
      <c r="J67" s="22">
        <f t="shared" si="8"/>
        <v>0.127</v>
      </c>
      <c r="K67" s="22">
        <f t="shared" si="16"/>
        <v>1.373904</v>
      </c>
      <c r="L67" s="22">
        <f t="shared" si="9"/>
        <v>0.91659999999999997</v>
      </c>
      <c r="M67" s="22">
        <f t="shared" si="10"/>
        <v>0</v>
      </c>
      <c r="N67" s="22">
        <f t="shared" si="11"/>
        <v>1.3539060000000001</v>
      </c>
      <c r="O67" s="22">
        <f t="shared" si="12"/>
        <v>0.56100000000000005</v>
      </c>
      <c r="P67" s="22">
        <f t="shared" si="17"/>
        <v>0.8</v>
      </c>
      <c r="Q67" s="22">
        <f t="shared" si="18"/>
        <v>0.999</v>
      </c>
      <c r="R67" s="22">
        <f t="shared" si="19"/>
        <v>0</v>
      </c>
      <c r="S67" s="22">
        <f t="shared" si="20"/>
        <v>0.16</v>
      </c>
      <c r="T67" s="22">
        <f t="shared" si="21"/>
        <v>0</v>
      </c>
      <c r="U67" s="22">
        <f t="shared" si="22"/>
        <v>0.83899999999999997</v>
      </c>
      <c r="V67" s="22">
        <f t="shared" si="23"/>
        <v>1.7096</v>
      </c>
      <c r="W67" s="22">
        <f t="shared" si="24"/>
        <v>1.2290000000000001</v>
      </c>
      <c r="X67" s="22">
        <f t="shared" si="25"/>
        <v>0.48060000000000003</v>
      </c>
      <c r="Y67" s="22">
        <f t="shared" si="26"/>
        <v>0</v>
      </c>
      <c r="Z67" s="25">
        <f t="shared" si="27"/>
        <v>0</v>
      </c>
    </row>
    <row r="68" spans="2:26" s="3" customFormat="1" ht="12" customHeight="1">
      <c r="B68" s="437"/>
      <c r="C68" s="21" t="s">
        <v>97</v>
      </c>
      <c r="D68" s="22">
        <f t="shared" si="14"/>
        <v>0</v>
      </c>
      <c r="E68" s="22" t="e">
        <f t="shared" si="15"/>
        <v>#REF!</v>
      </c>
      <c r="F68" s="22">
        <f t="shared" si="8"/>
        <v>0</v>
      </c>
      <c r="G68" s="22">
        <f t="shared" si="8"/>
        <v>0</v>
      </c>
      <c r="H68" s="22">
        <f t="shared" si="8"/>
        <v>0</v>
      </c>
      <c r="I68" s="22">
        <f t="shared" si="8"/>
        <v>0</v>
      </c>
      <c r="J68" s="22">
        <f t="shared" si="8"/>
        <v>0</v>
      </c>
      <c r="K68" s="22">
        <f t="shared" si="16"/>
        <v>0</v>
      </c>
      <c r="L68" s="22">
        <f t="shared" si="9"/>
        <v>0</v>
      </c>
      <c r="M68" s="22" t="e">
        <f t="shared" si="10"/>
        <v>#REF!</v>
      </c>
      <c r="N68" s="22">
        <f t="shared" si="11"/>
        <v>0</v>
      </c>
      <c r="O68" s="22" t="e">
        <f t="shared" si="12"/>
        <v>#REF!</v>
      </c>
      <c r="P68" s="22">
        <f t="shared" si="17"/>
        <v>0</v>
      </c>
      <c r="Q68" s="22">
        <f t="shared" si="18"/>
        <v>0</v>
      </c>
      <c r="R68" s="22" t="e">
        <f t="shared" si="19"/>
        <v>#REF!</v>
      </c>
      <c r="S68" s="22">
        <f t="shared" si="20"/>
        <v>0</v>
      </c>
      <c r="T68" s="22">
        <f t="shared" si="21"/>
        <v>0</v>
      </c>
      <c r="U68" s="22">
        <f t="shared" si="22"/>
        <v>0</v>
      </c>
      <c r="V68" s="22" t="e">
        <f t="shared" si="23"/>
        <v>#REF!</v>
      </c>
      <c r="W68" s="22" t="e">
        <f t="shared" si="24"/>
        <v>#REF!</v>
      </c>
      <c r="X68" s="22" t="e">
        <f t="shared" si="25"/>
        <v>#REF!</v>
      </c>
      <c r="Y68" s="22">
        <f t="shared" si="26"/>
        <v>0</v>
      </c>
      <c r="Z68" s="25" t="e">
        <f t="shared" si="27"/>
        <v>#REF!</v>
      </c>
    </row>
    <row r="69" spans="2:26" s="3" customFormat="1" ht="12" customHeight="1">
      <c r="B69" s="438"/>
      <c r="C69" s="21" t="s">
        <v>98</v>
      </c>
      <c r="D69" s="22">
        <f t="shared" si="14"/>
        <v>2275.0790129999996</v>
      </c>
      <c r="E69" s="22" t="e">
        <f t="shared" si="15"/>
        <v>#REF!</v>
      </c>
      <c r="F69" s="22">
        <f t="shared" si="8"/>
        <v>577.67774199999997</v>
      </c>
      <c r="G69" s="22">
        <f t="shared" si="8"/>
        <v>1063.390046</v>
      </c>
      <c r="H69" s="22">
        <f t="shared" si="8"/>
        <v>29.601656999999999</v>
      </c>
      <c r="I69" s="22">
        <f t="shared" si="8"/>
        <v>54.086109000000008</v>
      </c>
      <c r="J69" s="22">
        <f t="shared" si="8"/>
        <v>12.400974</v>
      </c>
      <c r="K69" s="22">
        <f t="shared" si="16"/>
        <v>53.561048</v>
      </c>
      <c r="L69" s="22">
        <f t="shared" si="9"/>
        <v>21.443913999999999</v>
      </c>
      <c r="M69" s="22" t="e">
        <f t="shared" si="10"/>
        <v>#REF!</v>
      </c>
      <c r="N69" s="22">
        <f t="shared" si="11"/>
        <v>25.681284999999999</v>
      </c>
      <c r="O69" s="22" t="e">
        <f t="shared" si="12"/>
        <v>#REF!</v>
      </c>
      <c r="P69" s="22">
        <f t="shared" si="17"/>
        <v>19.666205000000001</v>
      </c>
      <c r="Q69" s="22">
        <f t="shared" si="18"/>
        <v>248.08473299999997</v>
      </c>
      <c r="R69" s="22" t="e">
        <f t="shared" si="19"/>
        <v>#REF!</v>
      </c>
      <c r="S69" s="22">
        <f t="shared" si="20"/>
        <v>73.377166999999986</v>
      </c>
      <c r="T69" s="22">
        <f t="shared" si="21"/>
        <v>89.48620600000001</v>
      </c>
      <c r="U69" s="22">
        <f t="shared" si="22"/>
        <v>0.83899999999999997</v>
      </c>
      <c r="V69" s="22" t="e">
        <f t="shared" si="23"/>
        <v>#REF!</v>
      </c>
      <c r="W69" s="22" t="e">
        <f t="shared" si="24"/>
        <v>#REF!</v>
      </c>
      <c r="X69" s="22" t="e">
        <f t="shared" si="25"/>
        <v>#REF!</v>
      </c>
      <c r="Y69" s="22">
        <f t="shared" si="26"/>
        <v>54.721626999999998</v>
      </c>
      <c r="Z69" s="25" t="e">
        <f t="shared" si="27"/>
        <v>#REF!</v>
      </c>
    </row>
    <row r="70" spans="2:26" s="3" customFormat="1" ht="12" customHeight="1">
      <c r="B70" s="439" t="s">
        <v>99</v>
      </c>
      <c r="C70" s="26" t="s">
        <v>100</v>
      </c>
      <c r="D70" s="22">
        <f t="shared" si="14"/>
        <v>195.55247000000003</v>
      </c>
      <c r="E70" s="22" t="e">
        <f t="shared" si="15"/>
        <v>#REF!</v>
      </c>
      <c r="F70" s="22">
        <f t="shared" ref="F70:J79" si="28">F12</f>
        <v>0</v>
      </c>
      <c r="G70" s="22">
        <f t="shared" si="28"/>
        <v>195.55247000000003</v>
      </c>
      <c r="H70" s="22">
        <f t="shared" si="28"/>
        <v>-5.5668559999999996</v>
      </c>
      <c r="I70" s="22">
        <f t="shared" si="28"/>
        <v>26.701270000000001</v>
      </c>
      <c r="J70" s="22">
        <f t="shared" si="28"/>
        <v>0</v>
      </c>
      <c r="K70" s="22">
        <f t="shared" si="16"/>
        <v>0</v>
      </c>
      <c r="L70" s="22">
        <f t="shared" si="9"/>
        <v>0</v>
      </c>
      <c r="M70" s="22" t="e">
        <f t="shared" si="10"/>
        <v>#REF!</v>
      </c>
      <c r="N70" s="22">
        <f t="shared" si="11"/>
        <v>0</v>
      </c>
      <c r="O70" s="22" t="e">
        <f t="shared" si="12"/>
        <v>#REF!</v>
      </c>
      <c r="P70" s="22">
        <f t="shared" si="17"/>
        <v>0</v>
      </c>
      <c r="Q70" s="22">
        <f t="shared" si="18"/>
        <v>0</v>
      </c>
      <c r="R70" s="22" t="e">
        <f t="shared" si="19"/>
        <v>#REF!</v>
      </c>
      <c r="S70" s="22">
        <f t="shared" si="20"/>
        <v>0</v>
      </c>
      <c r="T70" s="22">
        <f t="shared" si="21"/>
        <v>0</v>
      </c>
      <c r="U70" s="22">
        <f t="shared" si="22"/>
        <v>0</v>
      </c>
      <c r="V70" s="22" t="e">
        <f t="shared" si="23"/>
        <v>#REF!</v>
      </c>
      <c r="W70" s="22" t="e">
        <f t="shared" si="24"/>
        <v>#REF!</v>
      </c>
      <c r="X70" s="22" t="e">
        <f t="shared" si="25"/>
        <v>#REF!</v>
      </c>
      <c r="Y70" s="22">
        <f t="shared" si="26"/>
        <v>0</v>
      </c>
      <c r="Z70" s="25" t="e">
        <f t="shared" si="27"/>
        <v>#REF!</v>
      </c>
    </row>
    <row r="71" spans="2:26" s="3" customFormat="1" ht="12" customHeight="1">
      <c r="B71" s="440"/>
      <c r="C71" s="26" t="s">
        <v>139</v>
      </c>
      <c r="D71" s="22">
        <f t="shared" si="14"/>
        <v>518.17656799999997</v>
      </c>
      <c r="E71" s="22" t="e">
        <f t="shared" si="15"/>
        <v>#REF!</v>
      </c>
      <c r="F71" s="22">
        <f t="shared" si="28"/>
        <v>0</v>
      </c>
      <c r="G71" s="22">
        <f t="shared" si="28"/>
        <v>502.47722400000004</v>
      </c>
      <c r="H71" s="22">
        <f t="shared" si="28"/>
        <v>0</v>
      </c>
      <c r="I71" s="22">
        <f t="shared" si="28"/>
        <v>10.118080000000001</v>
      </c>
      <c r="J71" s="22">
        <f t="shared" si="28"/>
        <v>0</v>
      </c>
      <c r="K71" s="22">
        <f t="shared" si="16"/>
        <v>0</v>
      </c>
      <c r="L71" s="22">
        <f t="shared" si="9"/>
        <v>0</v>
      </c>
      <c r="M71" s="22" t="e">
        <f t="shared" si="10"/>
        <v>#REF!</v>
      </c>
      <c r="N71" s="22">
        <f t="shared" si="11"/>
        <v>0</v>
      </c>
      <c r="O71" s="22" t="e">
        <f t="shared" si="12"/>
        <v>#REF!</v>
      </c>
      <c r="P71" s="22">
        <f t="shared" si="17"/>
        <v>0</v>
      </c>
      <c r="Q71" s="22">
        <f t="shared" si="18"/>
        <v>5.581264</v>
      </c>
      <c r="R71" s="22" t="e">
        <f t="shared" si="19"/>
        <v>#REF!</v>
      </c>
      <c r="S71" s="22">
        <f t="shared" si="20"/>
        <v>5.8252430000000004</v>
      </c>
      <c r="T71" s="22">
        <f t="shared" si="21"/>
        <v>0</v>
      </c>
      <c r="U71" s="22">
        <f t="shared" si="22"/>
        <v>0</v>
      </c>
      <c r="V71" s="22" t="e">
        <f t="shared" si="23"/>
        <v>#REF!</v>
      </c>
      <c r="W71" s="22" t="e">
        <f t="shared" si="24"/>
        <v>#REF!</v>
      </c>
      <c r="X71" s="22" t="e">
        <f t="shared" si="25"/>
        <v>#REF!</v>
      </c>
      <c r="Y71" s="22">
        <f t="shared" si="26"/>
        <v>0</v>
      </c>
      <c r="Z71" s="25" t="e">
        <f t="shared" si="27"/>
        <v>#REF!</v>
      </c>
    </row>
    <row r="72" spans="2:26" s="3" customFormat="1" ht="12" customHeight="1">
      <c r="B72" s="440"/>
      <c r="C72" s="26" t="s">
        <v>102</v>
      </c>
      <c r="D72" s="22">
        <f t="shared" si="14"/>
        <v>74.474115999999995</v>
      </c>
      <c r="E72" s="22" t="e">
        <f t="shared" si="15"/>
        <v>#REF!</v>
      </c>
      <c r="F72" s="22">
        <f t="shared" si="28"/>
        <v>-52.877620999999998</v>
      </c>
      <c r="G72" s="22">
        <f t="shared" si="28"/>
        <v>143.63788399999999</v>
      </c>
      <c r="H72" s="22">
        <f t="shared" si="28"/>
        <v>1.504618</v>
      </c>
      <c r="I72" s="22">
        <f t="shared" si="28"/>
        <v>30.493786</v>
      </c>
      <c r="J72" s="22">
        <f t="shared" si="28"/>
        <v>9.4831570000000003</v>
      </c>
      <c r="K72" s="22">
        <f t="shared" si="16"/>
        <v>-24.772469000000001</v>
      </c>
      <c r="L72" s="22">
        <f t="shared" si="9"/>
        <v>-28.970482000000008</v>
      </c>
      <c r="M72" s="22" t="e">
        <f t="shared" si="10"/>
        <v>#REF!</v>
      </c>
      <c r="N72" s="22">
        <f t="shared" si="11"/>
        <v>3.1340049999999997</v>
      </c>
      <c r="O72" s="22" t="e">
        <f t="shared" si="12"/>
        <v>#REF!</v>
      </c>
      <c r="P72" s="22">
        <f t="shared" si="17"/>
        <v>-8.2999999999999998E-5</v>
      </c>
      <c r="Q72" s="22">
        <f t="shared" si="18"/>
        <v>0.59018199999999998</v>
      </c>
      <c r="R72" s="22" t="e">
        <f t="shared" si="19"/>
        <v>#REF!</v>
      </c>
      <c r="S72" s="22">
        <f t="shared" si="20"/>
        <v>-0.173013</v>
      </c>
      <c r="T72" s="22">
        <f t="shared" si="21"/>
        <v>-1.8690000000000009E-2</v>
      </c>
      <c r="U72" s="22">
        <f t="shared" si="22"/>
        <v>0</v>
      </c>
      <c r="V72" s="22" t="e">
        <f t="shared" si="23"/>
        <v>#REF!</v>
      </c>
      <c r="W72" s="22" t="e">
        <f t="shared" si="24"/>
        <v>#REF!</v>
      </c>
      <c r="X72" s="22" t="e">
        <f t="shared" si="25"/>
        <v>#REF!</v>
      </c>
      <c r="Y72" s="22">
        <f t="shared" si="26"/>
        <v>0</v>
      </c>
      <c r="Z72" s="25" t="e">
        <f t="shared" si="27"/>
        <v>#REF!</v>
      </c>
    </row>
    <row r="73" spans="2:26" s="3" customFormat="1" ht="12" customHeight="1">
      <c r="B73" s="440"/>
      <c r="C73" s="26" t="s">
        <v>104</v>
      </c>
      <c r="D73" s="22">
        <f t="shared" si="14"/>
        <v>0</v>
      </c>
      <c r="E73" s="22" t="e">
        <f t="shared" si="15"/>
        <v>#REF!</v>
      </c>
      <c r="F73" s="22">
        <f t="shared" si="28"/>
        <v>0</v>
      </c>
      <c r="G73" s="22">
        <f t="shared" si="28"/>
        <v>0</v>
      </c>
      <c r="H73" s="22">
        <f t="shared" si="28"/>
        <v>0</v>
      </c>
      <c r="I73" s="22">
        <f t="shared" si="28"/>
        <v>0</v>
      </c>
      <c r="J73" s="22">
        <f t="shared" si="28"/>
        <v>0</v>
      </c>
      <c r="K73" s="22">
        <f t="shared" si="16"/>
        <v>0</v>
      </c>
      <c r="L73" s="22">
        <f t="shared" si="9"/>
        <v>0</v>
      </c>
      <c r="M73" s="22" t="e">
        <f t="shared" si="10"/>
        <v>#REF!</v>
      </c>
      <c r="N73" s="22">
        <f t="shared" si="11"/>
        <v>0</v>
      </c>
      <c r="O73" s="22" t="e">
        <f t="shared" si="12"/>
        <v>#REF!</v>
      </c>
      <c r="P73" s="22">
        <f t="shared" si="17"/>
        <v>0</v>
      </c>
      <c r="Q73" s="22">
        <f t="shared" si="18"/>
        <v>0</v>
      </c>
      <c r="R73" s="22" t="e">
        <f t="shared" si="19"/>
        <v>#REF!</v>
      </c>
      <c r="S73" s="22">
        <f t="shared" si="20"/>
        <v>0</v>
      </c>
      <c r="T73" s="22">
        <f t="shared" si="21"/>
        <v>0</v>
      </c>
      <c r="U73" s="22">
        <f t="shared" si="22"/>
        <v>0</v>
      </c>
      <c r="V73" s="22" t="e">
        <f t="shared" si="23"/>
        <v>#REF!</v>
      </c>
      <c r="W73" s="22" t="e">
        <f t="shared" si="24"/>
        <v>#REF!</v>
      </c>
      <c r="X73" s="22" t="e">
        <f t="shared" si="25"/>
        <v>#REF!</v>
      </c>
      <c r="Y73" s="22">
        <f t="shared" si="26"/>
        <v>0</v>
      </c>
      <c r="Z73" s="25" t="e">
        <f t="shared" si="27"/>
        <v>#REF!</v>
      </c>
    </row>
    <row r="74" spans="2:26" s="3" customFormat="1" ht="12" customHeight="1">
      <c r="B74" s="441"/>
      <c r="C74" s="26" t="s">
        <v>98</v>
      </c>
      <c r="D74" s="22">
        <f t="shared" si="14"/>
        <v>788.20315399999993</v>
      </c>
      <c r="E74" s="22" t="e">
        <f t="shared" si="15"/>
        <v>#REF!</v>
      </c>
      <c r="F74" s="22">
        <f t="shared" si="28"/>
        <v>-52.877620999999998</v>
      </c>
      <c r="G74" s="22">
        <f t="shared" si="28"/>
        <v>841.66757800000005</v>
      </c>
      <c r="H74" s="22">
        <f t="shared" si="28"/>
        <v>-4.0622379999999998</v>
      </c>
      <c r="I74" s="22">
        <f t="shared" si="28"/>
        <v>67.313136</v>
      </c>
      <c r="J74" s="22">
        <f t="shared" si="28"/>
        <v>9.4831570000000003</v>
      </c>
      <c r="K74" s="22">
        <f t="shared" si="16"/>
        <v>-24.772469000000001</v>
      </c>
      <c r="L74" s="22">
        <f t="shared" si="9"/>
        <v>-28.970482000000008</v>
      </c>
      <c r="M74" s="22" t="e">
        <f t="shared" si="10"/>
        <v>#REF!</v>
      </c>
      <c r="N74" s="22">
        <f t="shared" si="11"/>
        <v>3.1340049999999997</v>
      </c>
      <c r="O74" s="22" t="e">
        <f t="shared" si="12"/>
        <v>#REF!</v>
      </c>
      <c r="P74" s="22">
        <f t="shared" si="17"/>
        <v>-8.2999999999999998E-5</v>
      </c>
      <c r="Q74" s="22">
        <f t="shared" si="18"/>
        <v>6.1714459999999995</v>
      </c>
      <c r="R74" s="22" t="e">
        <f t="shared" si="19"/>
        <v>#REF!</v>
      </c>
      <c r="S74" s="22">
        <f t="shared" si="20"/>
        <v>5.6522300000000003</v>
      </c>
      <c r="T74" s="22">
        <f t="shared" si="21"/>
        <v>-1.8690000000000009E-2</v>
      </c>
      <c r="U74" s="22">
        <f t="shared" si="22"/>
        <v>0</v>
      </c>
      <c r="V74" s="22" t="e">
        <f t="shared" si="23"/>
        <v>#REF!</v>
      </c>
      <c r="W74" s="22" t="e">
        <f t="shared" si="24"/>
        <v>#REF!</v>
      </c>
      <c r="X74" s="22" t="e">
        <f t="shared" si="25"/>
        <v>#REF!</v>
      </c>
      <c r="Y74" s="22">
        <f t="shared" si="26"/>
        <v>0</v>
      </c>
      <c r="Z74" s="25" t="e">
        <f t="shared" si="27"/>
        <v>#REF!</v>
      </c>
    </row>
    <row r="75" spans="2:26" s="3" customFormat="1" ht="12" customHeight="1">
      <c r="B75" s="442" t="s">
        <v>105</v>
      </c>
      <c r="C75" s="26" t="s">
        <v>106</v>
      </c>
      <c r="D75" s="22">
        <f t="shared" si="14"/>
        <v>140.66027199999999</v>
      </c>
      <c r="E75" s="22" t="e">
        <f t="shared" si="15"/>
        <v>#REF!</v>
      </c>
      <c r="F75" s="22">
        <f t="shared" si="28"/>
        <v>11.533553999999999</v>
      </c>
      <c r="G75" s="22">
        <f t="shared" si="28"/>
        <v>73.290789000000004</v>
      </c>
      <c r="H75" s="22">
        <f t="shared" si="28"/>
        <v>3.5796000000000001</v>
      </c>
      <c r="I75" s="22">
        <f t="shared" si="28"/>
        <v>3.5569000000000002</v>
      </c>
      <c r="J75" s="22">
        <f t="shared" si="28"/>
        <v>0.74819999999999998</v>
      </c>
      <c r="K75" s="22">
        <f t="shared" si="16"/>
        <v>0.85199999999999998</v>
      </c>
      <c r="L75" s="22">
        <f t="shared" si="9"/>
        <v>0.17349999999999999</v>
      </c>
      <c r="M75" s="22" t="e">
        <f t="shared" si="10"/>
        <v>#REF!</v>
      </c>
      <c r="N75" s="22">
        <f t="shared" si="11"/>
        <v>0.2273</v>
      </c>
      <c r="O75" s="22" t="e">
        <f t="shared" si="12"/>
        <v>#REF!</v>
      </c>
      <c r="P75" s="22">
        <f t="shared" si="17"/>
        <v>2.3601999999999999</v>
      </c>
      <c r="Q75" s="22">
        <f t="shared" si="18"/>
        <v>38.429357999999993</v>
      </c>
      <c r="R75" s="22" t="e">
        <f t="shared" si="19"/>
        <v>#REF!</v>
      </c>
      <c r="S75" s="22">
        <f t="shared" si="20"/>
        <v>13.272226999999999</v>
      </c>
      <c r="T75" s="22">
        <f t="shared" si="21"/>
        <v>2.2366000000000001</v>
      </c>
      <c r="U75" s="22">
        <f t="shared" si="22"/>
        <v>0</v>
      </c>
      <c r="V75" s="22" t="e">
        <f t="shared" si="23"/>
        <v>#REF!</v>
      </c>
      <c r="W75" s="22" t="e">
        <f t="shared" si="24"/>
        <v>#REF!</v>
      </c>
      <c r="X75" s="22" t="e">
        <f t="shared" si="25"/>
        <v>#REF!</v>
      </c>
      <c r="Y75" s="22">
        <f t="shared" si="26"/>
        <v>1.9409000000000001</v>
      </c>
      <c r="Z75" s="25" t="e">
        <f t="shared" si="27"/>
        <v>#REF!</v>
      </c>
    </row>
    <row r="76" spans="2:26" s="3" customFormat="1" ht="12" customHeight="1">
      <c r="B76" s="443"/>
      <c r="C76" s="26" t="s">
        <v>107</v>
      </c>
      <c r="D76" s="22">
        <f t="shared" si="14"/>
        <v>82.529221000000007</v>
      </c>
      <c r="E76" s="22" t="e">
        <f t="shared" si="15"/>
        <v>#REF!</v>
      </c>
      <c r="F76" s="22">
        <f t="shared" si="28"/>
        <v>7.880739000000001</v>
      </c>
      <c r="G76" s="22">
        <f t="shared" si="28"/>
        <v>10.076118000000001</v>
      </c>
      <c r="H76" s="22">
        <f t="shared" si="28"/>
        <v>0.13420000000000001</v>
      </c>
      <c r="I76" s="22">
        <f t="shared" si="28"/>
        <v>0.96697600000000006</v>
      </c>
      <c r="J76" s="22">
        <f t="shared" si="28"/>
        <v>8.7875999999999996E-2</v>
      </c>
      <c r="K76" s="22">
        <f t="shared" si="16"/>
        <v>0.75478000000000001</v>
      </c>
      <c r="L76" s="22">
        <f t="shared" si="9"/>
        <v>0.141705</v>
      </c>
      <c r="M76" s="22" t="e">
        <f t="shared" si="10"/>
        <v>#REF!</v>
      </c>
      <c r="N76" s="22">
        <f t="shared" si="11"/>
        <v>0.22827500000000001</v>
      </c>
      <c r="O76" s="22" t="e">
        <f t="shared" si="12"/>
        <v>#REF!</v>
      </c>
      <c r="P76" s="22">
        <f t="shared" si="17"/>
        <v>0.56762900000000005</v>
      </c>
      <c r="Q76" s="22">
        <f t="shared" si="18"/>
        <v>56.880431000000009</v>
      </c>
      <c r="R76" s="22" t="e">
        <f t="shared" si="19"/>
        <v>#REF!</v>
      </c>
      <c r="S76" s="22">
        <f t="shared" si="20"/>
        <v>24.616585000000001</v>
      </c>
      <c r="T76" s="22">
        <f t="shared" si="21"/>
        <v>9.5920820000000013</v>
      </c>
      <c r="U76" s="22">
        <f t="shared" si="22"/>
        <v>0</v>
      </c>
      <c r="V76" s="22" t="e">
        <f t="shared" si="23"/>
        <v>#REF!</v>
      </c>
      <c r="W76" s="22" t="e">
        <f t="shared" si="24"/>
        <v>#REF!</v>
      </c>
      <c r="X76" s="22" t="e">
        <f t="shared" si="25"/>
        <v>#REF!</v>
      </c>
      <c r="Y76" s="22">
        <f t="shared" si="26"/>
        <v>2.5546489999999999</v>
      </c>
      <c r="Z76" s="25" t="e">
        <f t="shared" si="27"/>
        <v>#REF!</v>
      </c>
    </row>
    <row r="77" spans="2:26" s="3" customFormat="1" ht="12" customHeight="1">
      <c r="B77" s="443"/>
      <c r="C77" s="26" t="s">
        <v>120</v>
      </c>
      <c r="D77" s="22">
        <f t="shared" si="14"/>
        <v>25.331612000000003</v>
      </c>
      <c r="E77" s="22" t="e">
        <f t="shared" si="15"/>
        <v>#REF!</v>
      </c>
      <c r="F77" s="22">
        <f t="shared" si="28"/>
        <v>10.428570000000001</v>
      </c>
      <c r="G77" s="22">
        <f t="shared" si="28"/>
        <v>12.752452</v>
      </c>
      <c r="H77" s="22">
        <f t="shared" si="28"/>
        <v>0</v>
      </c>
      <c r="I77" s="22">
        <f t="shared" si="28"/>
        <v>0.43728400000000001</v>
      </c>
      <c r="J77" s="22">
        <f t="shared" si="28"/>
        <v>0.109321</v>
      </c>
      <c r="K77" s="22">
        <f t="shared" si="16"/>
        <v>0.327963</v>
      </c>
      <c r="L77" s="22">
        <f t="shared" si="9"/>
        <v>0.109321</v>
      </c>
      <c r="M77" s="22" t="e">
        <f t="shared" si="10"/>
        <v>#REF!</v>
      </c>
      <c r="N77" s="22">
        <f t="shared" si="11"/>
        <v>0.109321</v>
      </c>
      <c r="O77" s="22" t="e">
        <f t="shared" si="12"/>
        <v>#REF!</v>
      </c>
      <c r="P77" s="22">
        <f t="shared" si="17"/>
        <v>0.53983800000000004</v>
      </c>
      <c r="Q77" s="22">
        <f t="shared" si="18"/>
        <v>0.73618400000000006</v>
      </c>
      <c r="R77" s="22" t="e">
        <f t="shared" si="19"/>
        <v>#REF!</v>
      </c>
      <c r="S77" s="22">
        <f t="shared" si="20"/>
        <v>0.44171000000000005</v>
      </c>
      <c r="T77" s="22">
        <f t="shared" si="21"/>
        <v>0.29447399999999996</v>
      </c>
      <c r="U77" s="22">
        <f t="shared" si="22"/>
        <v>0</v>
      </c>
      <c r="V77" s="22" t="e">
        <f t="shared" si="23"/>
        <v>#REF!</v>
      </c>
      <c r="W77" s="22" t="e">
        <f t="shared" si="24"/>
        <v>#REF!</v>
      </c>
      <c r="X77" s="22" t="e">
        <f t="shared" si="25"/>
        <v>#REF!</v>
      </c>
      <c r="Y77" s="22">
        <f t="shared" si="26"/>
        <v>0</v>
      </c>
      <c r="Z77" s="25" t="e">
        <f t="shared" si="27"/>
        <v>#REF!</v>
      </c>
    </row>
    <row r="78" spans="2:26" s="3" customFormat="1" ht="12" customHeight="1">
      <c r="B78" s="443"/>
      <c r="C78" s="26" t="s">
        <v>121</v>
      </c>
      <c r="D78" s="22">
        <f t="shared" si="14"/>
        <v>17.750432999999997</v>
      </c>
      <c r="E78" s="22" t="e">
        <f t="shared" si="15"/>
        <v>#REF!</v>
      </c>
      <c r="F78" s="22">
        <f t="shared" si="28"/>
        <v>4.4089039999999988</v>
      </c>
      <c r="G78" s="22">
        <f t="shared" si="28"/>
        <v>8.3785539999999994</v>
      </c>
      <c r="H78" s="22">
        <f t="shared" si="28"/>
        <v>8.7780999999999998E-2</v>
      </c>
      <c r="I78" s="22">
        <f t="shared" si="28"/>
        <v>0.65153499999999998</v>
      </c>
      <c r="J78" s="22">
        <f t="shared" si="28"/>
        <v>9.2940999999999996E-2</v>
      </c>
      <c r="K78" s="22">
        <f t="shared" si="16"/>
        <v>0.456756</v>
      </c>
      <c r="L78" s="22">
        <f t="shared" si="9"/>
        <v>3.9129000000000004E-2</v>
      </c>
      <c r="M78" s="22" t="e">
        <f t="shared" si="10"/>
        <v>#REF!</v>
      </c>
      <c r="N78" s="22">
        <f t="shared" si="11"/>
        <v>0.23048600000000002</v>
      </c>
      <c r="O78" s="22" t="e">
        <f t="shared" si="12"/>
        <v>#REF!</v>
      </c>
      <c r="P78" s="22">
        <f t="shared" si="17"/>
        <v>2.029121</v>
      </c>
      <c r="Q78" s="22">
        <f t="shared" si="18"/>
        <v>0.629077</v>
      </c>
      <c r="R78" s="22" t="e">
        <f t="shared" si="19"/>
        <v>#REF!</v>
      </c>
      <c r="S78" s="22">
        <f t="shared" si="20"/>
        <v>8.5278999999999994E-2</v>
      </c>
      <c r="T78" s="22">
        <f t="shared" si="21"/>
        <v>8.7215000000000001E-2</v>
      </c>
      <c r="U78" s="22">
        <f t="shared" si="22"/>
        <v>0</v>
      </c>
      <c r="V78" s="22" t="e">
        <f t="shared" si="23"/>
        <v>#REF!</v>
      </c>
      <c r="W78" s="22" t="e">
        <f t="shared" si="24"/>
        <v>#REF!</v>
      </c>
      <c r="X78" s="22" t="e">
        <f t="shared" si="25"/>
        <v>#REF!</v>
      </c>
      <c r="Y78" s="22">
        <f t="shared" si="26"/>
        <v>0.109324</v>
      </c>
      <c r="Z78" s="25" t="e">
        <f t="shared" si="27"/>
        <v>#REF!</v>
      </c>
    </row>
    <row r="79" spans="2:26" s="3" customFormat="1" ht="12" customHeight="1">
      <c r="B79" s="443"/>
      <c r="C79" s="26" t="s">
        <v>108</v>
      </c>
      <c r="D79" s="22">
        <f t="shared" si="14"/>
        <v>18.009936999999997</v>
      </c>
      <c r="E79" s="22" t="e">
        <f t="shared" si="15"/>
        <v>#REF!</v>
      </c>
      <c r="F79" s="22">
        <f t="shared" si="28"/>
        <v>5.9280069999999991</v>
      </c>
      <c r="G79" s="22">
        <f t="shared" si="28"/>
        <v>7.6916460000000004</v>
      </c>
      <c r="H79" s="22">
        <f t="shared" si="28"/>
        <v>0.38433600000000001</v>
      </c>
      <c r="I79" s="22">
        <f t="shared" si="28"/>
        <v>0.23669999999999999</v>
      </c>
      <c r="J79" s="22">
        <f t="shared" si="28"/>
        <v>5.5899999999999998E-2</v>
      </c>
      <c r="K79" s="22">
        <f t="shared" si="16"/>
        <v>0.18340000000000001</v>
      </c>
      <c r="L79" s="22">
        <f t="shared" si="9"/>
        <v>7.46E-2</v>
      </c>
      <c r="M79" s="22" t="e">
        <f t="shared" si="10"/>
        <v>#REF!</v>
      </c>
      <c r="N79" s="22">
        <f t="shared" si="11"/>
        <v>7.51E-2</v>
      </c>
      <c r="O79" s="22" t="e">
        <f t="shared" si="12"/>
        <v>#REF!</v>
      </c>
      <c r="P79" s="22">
        <f t="shared" si="17"/>
        <v>0.238787</v>
      </c>
      <c r="Q79" s="22">
        <f t="shared" si="18"/>
        <v>1.89883</v>
      </c>
      <c r="R79" s="22" t="e">
        <f t="shared" si="19"/>
        <v>#REF!</v>
      </c>
      <c r="S79" s="22">
        <f t="shared" si="20"/>
        <v>0.68398000000000003</v>
      </c>
      <c r="T79" s="22">
        <f t="shared" si="21"/>
        <v>0.32469199999999998</v>
      </c>
      <c r="U79" s="22">
        <f t="shared" si="22"/>
        <v>0</v>
      </c>
      <c r="V79" s="22" t="e">
        <f t="shared" si="23"/>
        <v>#REF!</v>
      </c>
      <c r="W79" s="22" t="e">
        <f t="shared" si="24"/>
        <v>#REF!</v>
      </c>
      <c r="X79" s="22" t="e">
        <f t="shared" si="25"/>
        <v>#REF!</v>
      </c>
      <c r="Y79" s="22">
        <f t="shared" si="26"/>
        <v>0.17440799999999998</v>
      </c>
      <c r="Z79" s="25" t="e">
        <f t="shared" si="27"/>
        <v>#REF!</v>
      </c>
    </row>
    <row r="80" spans="2:26" s="3" customFormat="1" ht="12" customHeight="1">
      <c r="B80" s="443"/>
      <c r="C80" s="26" t="s">
        <v>109</v>
      </c>
      <c r="D80" s="22">
        <f t="shared" si="14"/>
        <v>6.039561</v>
      </c>
      <c r="E80" s="22" t="e">
        <f t="shared" si="15"/>
        <v>#REF!</v>
      </c>
      <c r="F80" s="22">
        <f t="shared" ref="F80:J89" si="29">F22</f>
        <v>0.9788</v>
      </c>
      <c r="G80" s="22">
        <f t="shared" si="29"/>
        <v>4.6368230000000006</v>
      </c>
      <c r="H80" s="22">
        <f t="shared" si="29"/>
        <v>5.2427000000000001E-2</v>
      </c>
      <c r="I80" s="22">
        <f t="shared" si="29"/>
        <v>0</v>
      </c>
      <c r="J80" s="22">
        <f t="shared" si="29"/>
        <v>0</v>
      </c>
      <c r="K80" s="22">
        <f t="shared" si="16"/>
        <v>0</v>
      </c>
      <c r="L80" s="22">
        <f t="shared" si="9"/>
        <v>0</v>
      </c>
      <c r="M80" s="22" t="e">
        <f t="shared" si="10"/>
        <v>#REF!</v>
      </c>
      <c r="N80" s="22">
        <f t="shared" si="11"/>
        <v>0</v>
      </c>
      <c r="O80" s="22" t="e">
        <f t="shared" si="12"/>
        <v>#REF!</v>
      </c>
      <c r="P80" s="22">
        <f t="shared" si="17"/>
        <v>0</v>
      </c>
      <c r="Q80" s="22">
        <f t="shared" si="18"/>
        <v>0.183647</v>
      </c>
      <c r="R80" s="22" t="e">
        <f t="shared" si="19"/>
        <v>#REF!</v>
      </c>
      <c r="S80" s="22">
        <f t="shared" si="20"/>
        <v>0.15534000000000001</v>
      </c>
      <c r="T80" s="22">
        <f t="shared" si="21"/>
        <v>0</v>
      </c>
      <c r="U80" s="22">
        <f t="shared" si="22"/>
        <v>0</v>
      </c>
      <c r="V80" s="22" t="e">
        <f t="shared" si="23"/>
        <v>#REF!</v>
      </c>
      <c r="W80" s="22" t="e">
        <f t="shared" si="24"/>
        <v>#REF!</v>
      </c>
      <c r="X80" s="22" t="e">
        <f t="shared" si="25"/>
        <v>#REF!</v>
      </c>
      <c r="Y80" s="22">
        <f t="shared" si="26"/>
        <v>8.5436999999999999E-2</v>
      </c>
      <c r="Z80" s="25" t="e">
        <f t="shared" si="27"/>
        <v>#REF!</v>
      </c>
    </row>
    <row r="81" spans="2:26" s="3" customFormat="1" ht="12" customHeight="1">
      <c r="B81" s="443"/>
      <c r="C81" s="21" t="s">
        <v>91</v>
      </c>
      <c r="D81" s="22">
        <f t="shared" si="14"/>
        <v>8.6914939999999987</v>
      </c>
      <c r="E81" s="22" t="e">
        <f t="shared" si="15"/>
        <v>#REF!</v>
      </c>
      <c r="F81" s="22">
        <f t="shared" si="29"/>
        <v>0</v>
      </c>
      <c r="G81" s="22">
        <f t="shared" si="29"/>
        <v>7.3997419999999998</v>
      </c>
      <c r="H81" s="22">
        <f t="shared" si="29"/>
        <v>0.222992</v>
      </c>
      <c r="I81" s="22">
        <f t="shared" si="29"/>
        <v>0</v>
      </c>
      <c r="J81" s="22">
        <f t="shared" si="29"/>
        <v>0</v>
      </c>
      <c r="K81" s="22">
        <f t="shared" si="16"/>
        <v>0.36155300000000001</v>
      </c>
      <c r="L81" s="22">
        <f t="shared" si="9"/>
        <v>0.36155300000000001</v>
      </c>
      <c r="M81" s="22" t="e">
        <f t="shared" si="10"/>
        <v>#REF!</v>
      </c>
      <c r="N81" s="22">
        <f t="shared" si="11"/>
        <v>0</v>
      </c>
      <c r="O81" s="22" t="e">
        <f t="shared" si="12"/>
        <v>#REF!</v>
      </c>
      <c r="P81" s="22">
        <f t="shared" si="17"/>
        <v>0</v>
      </c>
      <c r="Q81" s="22">
        <f t="shared" si="18"/>
        <v>0.12029200000000001</v>
      </c>
      <c r="R81" s="22" t="e">
        <f t="shared" si="19"/>
        <v>#REF!</v>
      </c>
      <c r="S81" s="22">
        <f t="shared" si="20"/>
        <v>0</v>
      </c>
      <c r="T81" s="22">
        <f t="shared" si="21"/>
        <v>0.12029200000000001</v>
      </c>
      <c r="U81" s="22">
        <f t="shared" si="22"/>
        <v>0</v>
      </c>
      <c r="V81" s="22" t="e">
        <f t="shared" si="23"/>
        <v>#REF!</v>
      </c>
      <c r="W81" s="22" t="e">
        <f t="shared" si="24"/>
        <v>#REF!</v>
      </c>
      <c r="X81" s="22" t="e">
        <f t="shared" si="25"/>
        <v>#REF!</v>
      </c>
      <c r="Y81" s="22">
        <f t="shared" si="26"/>
        <v>0.309251</v>
      </c>
      <c r="Z81" s="25" t="e">
        <f t="shared" si="27"/>
        <v>#REF!</v>
      </c>
    </row>
    <row r="82" spans="2:26" s="3" customFormat="1" ht="12" customHeight="1">
      <c r="B82" s="443"/>
      <c r="C82" s="26" t="s">
        <v>122</v>
      </c>
      <c r="D82" s="22">
        <f t="shared" si="14"/>
        <v>3.3050229999999994</v>
      </c>
      <c r="E82" s="22" t="e">
        <f t="shared" si="15"/>
        <v>#REF!</v>
      </c>
      <c r="F82" s="22">
        <f t="shared" si="29"/>
        <v>2.9056599999999997</v>
      </c>
      <c r="G82" s="22">
        <f t="shared" si="29"/>
        <v>0.39936300000000002</v>
      </c>
      <c r="H82" s="22">
        <f t="shared" si="29"/>
        <v>0</v>
      </c>
      <c r="I82" s="22">
        <f t="shared" si="29"/>
        <v>0</v>
      </c>
      <c r="J82" s="22">
        <f t="shared" si="29"/>
        <v>0</v>
      </c>
      <c r="K82" s="22">
        <f t="shared" si="16"/>
        <v>0</v>
      </c>
      <c r="L82" s="22">
        <f t="shared" si="9"/>
        <v>0</v>
      </c>
      <c r="M82" s="22" t="e">
        <f t="shared" si="10"/>
        <v>#REF!</v>
      </c>
      <c r="N82" s="22">
        <f t="shared" si="11"/>
        <v>0</v>
      </c>
      <c r="O82" s="22" t="e">
        <f t="shared" si="12"/>
        <v>#REF!</v>
      </c>
      <c r="P82" s="22">
        <f t="shared" si="17"/>
        <v>0</v>
      </c>
      <c r="Q82" s="22">
        <f t="shared" si="18"/>
        <v>0</v>
      </c>
      <c r="R82" s="22" t="e">
        <f t="shared" si="19"/>
        <v>#REF!</v>
      </c>
      <c r="S82" s="22">
        <f t="shared" si="20"/>
        <v>0</v>
      </c>
      <c r="T82" s="22">
        <f t="shared" si="21"/>
        <v>0</v>
      </c>
      <c r="U82" s="22">
        <f t="shared" si="22"/>
        <v>0</v>
      </c>
      <c r="V82" s="22" t="e">
        <f t="shared" si="23"/>
        <v>#REF!</v>
      </c>
      <c r="W82" s="22" t="e">
        <f t="shared" si="24"/>
        <v>#REF!</v>
      </c>
      <c r="X82" s="22" t="e">
        <f t="shared" si="25"/>
        <v>#REF!</v>
      </c>
      <c r="Y82" s="22">
        <f t="shared" si="26"/>
        <v>0</v>
      </c>
      <c r="Z82" s="25" t="e">
        <f t="shared" si="27"/>
        <v>#REF!</v>
      </c>
    </row>
    <row r="83" spans="2:26" s="3" customFormat="1" ht="12" customHeight="1">
      <c r="B83" s="443"/>
      <c r="C83" s="26" t="s">
        <v>110</v>
      </c>
      <c r="D83" s="22">
        <f t="shared" si="14"/>
        <v>9.2796149999999997</v>
      </c>
      <c r="E83" s="22" t="e">
        <f t="shared" si="15"/>
        <v>#REF!</v>
      </c>
      <c r="F83" s="22">
        <f t="shared" si="29"/>
        <v>4.7169809999999996</v>
      </c>
      <c r="G83" s="22">
        <f t="shared" si="29"/>
        <v>4.5626340000000001</v>
      </c>
      <c r="H83" s="22">
        <f t="shared" si="29"/>
        <v>0</v>
      </c>
      <c r="I83" s="22">
        <f t="shared" si="29"/>
        <v>0</v>
      </c>
      <c r="J83" s="22">
        <f t="shared" si="29"/>
        <v>0</v>
      </c>
      <c r="K83" s="22">
        <f t="shared" si="16"/>
        <v>0</v>
      </c>
      <c r="L83" s="22">
        <f t="shared" si="9"/>
        <v>0</v>
      </c>
      <c r="M83" s="22" t="e">
        <f t="shared" si="10"/>
        <v>#REF!</v>
      </c>
      <c r="N83" s="22">
        <f t="shared" si="11"/>
        <v>0</v>
      </c>
      <c r="O83" s="22" t="e">
        <f t="shared" si="12"/>
        <v>#REF!</v>
      </c>
      <c r="P83" s="22">
        <f t="shared" si="17"/>
        <v>0</v>
      </c>
      <c r="Q83" s="22">
        <f t="shared" si="18"/>
        <v>0</v>
      </c>
      <c r="R83" s="22" t="e">
        <f t="shared" si="19"/>
        <v>#REF!</v>
      </c>
      <c r="S83" s="22">
        <f t="shared" si="20"/>
        <v>0</v>
      </c>
      <c r="T83" s="22">
        <f t="shared" si="21"/>
        <v>0</v>
      </c>
      <c r="U83" s="22">
        <f t="shared" si="22"/>
        <v>0</v>
      </c>
      <c r="V83" s="22" t="e">
        <f t="shared" si="23"/>
        <v>#REF!</v>
      </c>
      <c r="W83" s="22" t="e">
        <f t="shared" si="24"/>
        <v>#REF!</v>
      </c>
      <c r="X83" s="22" t="e">
        <f t="shared" si="25"/>
        <v>#REF!</v>
      </c>
      <c r="Y83" s="22">
        <f t="shared" si="26"/>
        <v>0</v>
      </c>
      <c r="Z83" s="25" t="e">
        <f t="shared" si="27"/>
        <v>#REF!</v>
      </c>
    </row>
    <row r="84" spans="2:26" s="3" customFormat="1" ht="12" customHeight="1">
      <c r="B84" s="443"/>
      <c r="C84" s="26" t="s">
        <v>117</v>
      </c>
      <c r="D84" s="22">
        <f t="shared" si="14"/>
        <v>69.402727999999996</v>
      </c>
      <c r="E84" s="22" t="e">
        <f t="shared" si="15"/>
        <v>#REF!</v>
      </c>
      <c r="F84" s="22">
        <f t="shared" si="29"/>
        <v>0</v>
      </c>
      <c r="G84" s="22">
        <f t="shared" si="29"/>
        <v>69.402727999999996</v>
      </c>
      <c r="H84" s="22">
        <f t="shared" si="29"/>
        <v>0</v>
      </c>
      <c r="I84" s="22">
        <f t="shared" si="29"/>
        <v>0</v>
      </c>
      <c r="J84" s="22">
        <f t="shared" si="29"/>
        <v>0</v>
      </c>
      <c r="K84" s="22">
        <f t="shared" si="16"/>
        <v>0</v>
      </c>
      <c r="L84" s="22">
        <f t="shared" si="9"/>
        <v>0</v>
      </c>
      <c r="M84" s="22" t="e">
        <f t="shared" si="10"/>
        <v>#REF!</v>
      </c>
      <c r="N84" s="22">
        <f t="shared" si="11"/>
        <v>0</v>
      </c>
      <c r="O84" s="22" t="e">
        <f t="shared" si="12"/>
        <v>#REF!</v>
      </c>
      <c r="P84" s="22">
        <f t="shared" si="17"/>
        <v>0</v>
      </c>
      <c r="Q84" s="22">
        <f t="shared" si="18"/>
        <v>0</v>
      </c>
      <c r="R84" s="22" t="e">
        <f t="shared" si="19"/>
        <v>#REF!</v>
      </c>
      <c r="S84" s="22">
        <f t="shared" si="20"/>
        <v>0</v>
      </c>
      <c r="T84" s="22">
        <f t="shared" si="21"/>
        <v>0</v>
      </c>
      <c r="U84" s="22">
        <f t="shared" si="22"/>
        <v>0</v>
      </c>
      <c r="V84" s="22" t="e">
        <f t="shared" si="23"/>
        <v>#REF!</v>
      </c>
      <c r="W84" s="22" t="e">
        <f t="shared" si="24"/>
        <v>#REF!</v>
      </c>
      <c r="X84" s="22" t="e">
        <f t="shared" si="25"/>
        <v>#REF!</v>
      </c>
      <c r="Y84" s="22">
        <f t="shared" si="26"/>
        <v>0</v>
      </c>
      <c r="Z84" s="25" t="e">
        <f t="shared" si="27"/>
        <v>#REF!</v>
      </c>
    </row>
    <row r="85" spans="2:26" s="3" customFormat="1" ht="12" customHeight="1">
      <c r="B85" s="443"/>
      <c r="C85" s="26" t="s">
        <v>111</v>
      </c>
      <c r="D85" s="22">
        <f t="shared" si="14"/>
        <v>14.622641999999999</v>
      </c>
      <c r="E85" s="22" t="e">
        <f t="shared" si="15"/>
        <v>#REF!</v>
      </c>
      <c r="F85" s="22">
        <f t="shared" si="29"/>
        <v>0</v>
      </c>
      <c r="G85" s="22">
        <f t="shared" si="29"/>
        <v>12.264151</v>
      </c>
      <c r="H85" s="22">
        <f t="shared" si="29"/>
        <v>0</v>
      </c>
      <c r="I85" s="22">
        <f t="shared" si="29"/>
        <v>0</v>
      </c>
      <c r="J85" s="22">
        <f t="shared" si="29"/>
        <v>0</v>
      </c>
      <c r="K85" s="22">
        <f t="shared" si="16"/>
        <v>0.31446499999999999</v>
      </c>
      <c r="L85" s="22">
        <f t="shared" si="9"/>
        <v>0.31446499999999999</v>
      </c>
      <c r="M85" s="22" t="e">
        <f t="shared" si="10"/>
        <v>#REF!</v>
      </c>
      <c r="N85" s="22">
        <f t="shared" si="11"/>
        <v>0</v>
      </c>
      <c r="O85" s="22" t="e">
        <f t="shared" si="12"/>
        <v>#REF!</v>
      </c>
      <c r="P85" s="22">
        <f t="shared" si="17"/>
        <v>0</v>
      </c>
      <c r="Q85" s="22">
        <f t="shared" si="18"/>
        <v>0</v>
      </c>
      <c r="R85" s="22" t="e">
        <f t="shared" si="19"/>
        <v>#REF!</v>
      </c>
      <c r="S85" s="22">
        <f t="shared" si="20"/>
        <v>0</v>
      </c>
      <c r="T85" s="22">
        <f t="shared" si="21"/>
        <v>0</v>
      </c>
      <c r="U85" s="22">
        <f t="shared" si="22"/>
        <v>0</v>
      </c>
      <c r="V85" s="22" t="e">
        <f t="shared" si="23"/>
        <v>#REF!</v>
      </c>
      <c r="W85" s="22" t="e">
        <f t="shared" si="24"/>
        <v>#REF!</v>
      </c>
      <c r="X85" s="22" t="e">
        <f t="shared" si="25"/>
        <v>#REF!</v>
      </c>
      <c r="Y85" s="22">
        <f t="shared" si="26"/>
        <v>0</v>
      </c>
      <c r="Z85" s="25" t="e">
        <f t="shared" si="27"/>
        <v>#REF!</v>
      </c>
    </row>
    <row r="86" spans="2:26" s="3" customFormat="1" ht="12" customHeight="1">
      <c r="B86" s="443"/>
      <c r="C86" s="26" t="s">
        <v>123</v>
      </c>
      <c r="D86" s="22">
        <f t="shared" si="14"/>
        <v>19.499199000000001</v>
      </c>
      <c r="E86" s="22" t="e">
        <f t="shared" si="15"/>
        <v>#REF!</v>
      </c>
      <c r="F86" s="22">
        <f t="shared" si="29"/>
        <v>3.4626949999999996</v>
      </c>
      <c r="G86" s="22">
        <f t="shared" si="29"/>
        <v>14.861996</v>
      </c>
      <c r="H86" s="22">
        <f t="shared" si="29"/>
        <v>0</v>
      </c>
      <c r="I86" s="22">
        <f t="shared" si="29"/>
        <v>0.442328</v>
      </c>
      <c r="J86" s="22">
        <f t="shared" si="29"/>
        <v>0.110582</v>
      </c>
      <c r="K86" s="22">
        <f t="shared" si="16"/>
        <v>0.33174599999999999</v>
      </c>
      <c r="L86" s="22">
        <f t="shared" si="9"/>
        <v>0.110582</v>
      </c>
      <c r="M86" s="22" t="e">
        <f t="shared" si="10"/>
        <v>#REF!</v>
      </c>
      <c r="N86" s="22">
        <f t="shared" si="11"/>
        <v>0.110582</v>
      </c>
      <c r="O86" s="22" t="e">
        <f t="shared" si="12"/>
        <v>#REF!</v>
      </c>
      <c r="P86" s="22">
        <f t="shared" si="17"/>
        <v>0.110582</v>
      </c>
      <c r="Q86" s="22">
        <f t="shared" si="18"/>
        <v>0</v>
      </c>
      <c r="R86" s="22" t="e">
        <f t="shared" si="19"/>
        <v>#REF!</v>
      </c>
      <c r="S86" s="22">
        <f t="shared" si="20"/>
        <v>0</v>
      </c>
      <c r="T86" s="22">
        <f t="shared" si="21"/>
        <v>0</v>
      </c>
      <c r="U86" s="22">
        <f t="shared" si="22"/>
        <v>0</v>
      </c>
      <c r="V86" s="22" t="e">
        <f t="shared" si="23"/>
        <v>#REF!</v>
      </c>
      <c r="W86" s="22" t="e">
        <f t="shared" si="24"/>
        <v>#REF!</v>
      </c>
      <c r="X86" s="22" t="e">
        <f t="shared" si="25"/>
        <v>#REF!</v>
      </c>
      <c r="Y86" s="22">
        <f t="shared" si="26"/>
        <v>0</v>
      </c>
      <c r="Z86" s="25" t="e">
        <f t="shared" si="27"/>
        <v>#REF!</v>
      </c>
    </row>
    <row r="87" spans="2:26" s="3" customFormat="1" ht="12" customHeight="1">
      <c r="B87" s="443"/>
      <c r="C87" s="26" t="s">
        <v>112</v>
      </c>
      <c r="D87" s="22">
        <f t="shared" si="14"/>
        <v>13.406397999999998</v>
      </c>
      <c r="E87" s="22" t="e">
        <f t="shared" si="15"/>
        <v>#REF!</v>
      </c>
      <c r="F87" s="22">
        <f t="shared" si="29"/>
        <v>7.1929869999999996</v>
      </c>
      <c r="G87" s="22">
        <f t="shared" si="29"/>
        <v>6.3007900000000001</v>
      </c>
      <c r="H87" s="22">
        <f t="shared" si="29"/>
        <v>0</v>
      </c>
      <c r="I87" s="22">
        <f t="shared" si="29"/>
        <v>0</v>
      </c>
      <c r="J87" s="22">
        <f t="shared" si="29"/>
        <v>0</v>
      </c>
      <c r="K87" s="22">
        <f t="shared" si="16"/>
        <v>0</v>
      </c>
      <c r="L87" s="22">
        <f t="shared" si="9"/>
        <v>0</v>
      </c>
      <c r="M87" s="22" t="e">
        <f t="shared" si="10"/>
        <v>#REF!</v>
      </c>
      <c r="N87" s="22">
        <f t="shared" si="11"/>
        <v>0</v>
      </c>
      <c r="O87" s="22" t="e">
        <f t="shared" si="12"/>
        <v>#REF!</v>
      </c>
      <c r="P87" s="22">
        <f t="shared" si="17"/>
        <v>0</v>
      </c>
      <c r="Q87" s="22">
        <f t="shared" si="18"/>
        <v>0</v>
      </c>
      <c r="R87" s="22" t="e">
        <f t="shared" si="19"/>
        <v>#REF!</v>
      </c>
      <c r="S87" s="22">
        <f t="shared" si="20"/>
        <v>0</v>
      </c>
      <c r="T87" s="22">
        <f t="shared" si="21"/>
        <v>0</v>
      </c>
      <c r="U87" s="22">
        <f t="shared" si="22"/>
        <v>0</v>
      </c>
      <c r="V87" s="22" t="e">
        <f t="shared" si="23"/>
        <v>#REF!</v>
      </c>
      <c r="W87" s="22" t="e">
        <f t="shared" si="24"/>
        <v>#REF!</v>
      </c>
      <c r="X87" s="22" t="e">
        <f t="shared" si="25"/>
        <v>#REF!</v>
      </c>
      <c r="Y87" s="22">
        <f t="shared" si="26"/>
        <v>0</v>
      </c>
      <c r="Z87" s="25" t="e">
        <f t="shared" si="27"/>
        <v>#REF!</v>
      </c>
    </row>
    <row r="88" spans="2:26" s="3" customFormat="1" ht="12" customHeight="1">
      <c r="B88" s="443"/>
      <c r="C88" s="26" t="s">
        <v>113</v>
      </c>
      <c r="D88" s="22">
        <f t="shared" si="14"/>
        <v>2.8977930000000001</v>
      </c>
      <c r="E88" s="22" t="e">
        <f t="shared" si="15"/>
        <v>#REF!</v>
      </c>
      <c r="F88" s="22">
        <f t="shared" si="29"/>
        <v>0.27600000000000002</v>
      </c>
      <c r="G88" s="22">
        <f t="shared" si="29"/>
        <v>1.7116089999999999</v>
      </c>
      <c r="H88" s="22">
        <f t="shared" si="29"/>
        <v>0</v>
      </c>
      <c r="I88" s="22">
        <f t="shared" si="29"/>
        <v>7.1999999999999995E-2</v>
      </c>
      <c r="J88" s="22">
        <f t="shared" si="29"/>
        <v>3.5999999999999997E-2</v>
      </c>
      <c r="K88" s="22">
        <f t="shared" si="16"/>
        <v>1.8000000000000002E-2</v>
      </c>
      <c r="L88" s="22">
        <f t="shared" si="9"/>
        <v>6.0000000000000001E-3</v>
      </c>
      <c r="M88" s="22" t="e">
        <f t="shared" si="10"/>
        <v>#REF!</v>
      </c>
      <c r="N88" s="22">
        <f t="shared" si="11"/>
        <v>6.0000000000000001E-3</v>
      </c>
      <c r="O88" s="22" t="e">
        <f t="shared" si="12"/>
        <v>#REF!</v>
      </c>
      <c r="P88" s="22">
        <f t="shared" si="17"/>
        <v>6.0000000000000001E-3</v>
      </c>
      <c r="Q88" s="22">
        <f t="shared" si="18"/>
        <v>0.80818400000000001</v>
      </c>
      <c r="R88" s="22" t="e">
        <f t="shared" si="19"/>
        <v>#REF!</v>
      </c>
      <c r="S88" s="22">
        <f t="shared" si="20"/>
        <v>0.57244399999999995</v>
      </c>
      <c r="T88" s="22">
        <f t="shared" si="21"/>
        <v>0</v>
      </c>
      <c r="U88" s="22">
        <f t="shared" si="22"/>
        <v>0</v>
      </c>
      <c r="V88" s="22" t="e">
        <f t="shared" si="23"/>
        <v>#REF!</v>
      </c>
      <c r="W88" s="22" t="e">
        <f t="shared" si="24"/>
        <v>#REF!</v>
      </c>
      <c r="X88" s="22" t="e">
        <f t="shared" si="25"/>
        <v>#REF!</v>
      </c>
      <c r="Y88" s="22">
        <f t="shared" si="26"/>
        <v>0</v>
      </c>
      <c r="Z88" s="25" t="e">
        <f t="shared" si="27"/>
        <v>#REF!</v>
      </c>
    </row>
    <row r="89" spans="2:26" s="3" customFormat="1" ht="12" customHeight="1">
      <c r="B89" s="443"/>
      <c r="C89" s="26" t="s">
        <v>116</v>
      </c>
      <c r="D89" s="22">
        <f t="shared" si="14"/>
        <v>-39.947517000000005</v>
      </c>
      <c r="E89" s="22" t="e">
        <f t="shared" si="15"/>
        <v>#REF!</v>
      </c>
      <c r="F89" s="22">
        <f t="shared" si="29"/>
        <v>-15.487190000000002</v>
      </c>
      <c r="G89" s="22">
        <f t="shared" si="29"/>
        <v>-15.719317</v>
      </c>
      <c r="H89" s="22">
        <f t="shared" si="29"/>
        <v>-1.2</v>
      </c>
      <c r="I89" s="22">
        <f t="shared" si="29"/>
        <v>-4.3324100000000003</v>
      </c>
      <c r="J89" s="22">
        <f t="shared" si="29"/>
        <v>-0.127</v>
      </c>
      <c r="K89" s="22">
        <f t="shared" si="16"/>
        <v>-1.373904</v>
      </c>
      <c r="L89" s="22">
        <f t="shared" si="9"/>
        <v>-0.91659999999999997</v>
      </c>
      <c r="M89" s="22" t="e">
        <f t="shared" si="10"/>
        <v>#REF!</v>
      </c>
      <c r="N89" s="22">
        <f t="shared" si="11"/>
        <v>-1.3539060000000001</v>
      </c>
      <c r="O89" s="22" t="e">
        <f t="shared" si="12"/>
        <v>#REF!</v>
      </c>
      <c r="P89" s="22">
        <f t="shared" si="17"/>
        <v>-0.5</v>
      </c>
      <c r="Q89" s="22">
        <f t="shared" si="18"/>
        <v>-0.999</v>
      </c>
      <c r="R89" s="22" t="e">
        <f t="shared" si="19"/>
        <v>#REF!</v>
      </c>
      <c r="S89" s="22">
        <f t="shared" si="20"/>
        <v>-0.16</v>
      </c>
      <c r="T89" s="22">
        <f t="shared" si="21"/>
        <v>0</v>
      </c>
      <c r="U89" s="22">
        <f t="shared" si="22"/>
        <v>-0.83899999999999997</v>
      </c>
      <c r="V89" s="22" t="e">
        <f t="shared" si="23"/>
        <v>#REF!</v>
      </c>
      <c r="W89" s="22" t="e">
        <f t="shared" si="24"/>
        <v>#REF!</v>
      </c>
      <c r="X89" s="22" t="e">
        <f t="shared" si="25"/>
        <v>#REF!</v>
      </c>
      <c r="Y89" s="22">
        <f t="shared" si="26"/>
        <v>0</v>
      </c>
      <c r="Z89" s="25" t="e">
        <f t="shared" si="27"/>
        <v>#REF!</v>
      </c>
    </row>
    <row r="90" spans="2:26" s="3" customFormat="1" ht="12" customHeight="1">
      <c r="B90" s="443"/>
      <c r="C90" s="26" t="s">
        <v>124</v>
      </c>
      <c r="D90" s="22">
        <f t="shared" si="14"/>
        <v>4.75</v>
      </c>
      <c r="E90" s="22" t="e">
        <f t="shared" si="15"/>
        <v>#REF!</v>
      </c>
      <c r="F90" s="22">
        <f t="shared" ref="F90:J99" si="30">F32</f>
        <v>4.75</v>
      </c>
      <c r="G90" s="22">
        <f t="shared" si="30"/>
        <v>0</v>
      </c>
      <c r="H90" s="22">
        <f t="shared" si="30"/>
        <v>0</v>
      </c>
      <c r="I90" s="22">
        <f t="shared" si="30"/>
        <v>0</v>
      </c>
      <c r="J90" s="22">
        <f t="shared" si="30"/>
        <v>0</v>
      </c>
      <c r="K90" s="22">
        <f t="shared" si="16"/>
        <v>0</v>
      </c>
      <c r="L90" s="22">
        <f t="shared" si="9"/>
        <v>0</v>
      </c>
      <c r="M90" s="22" t="e">
        <f t="shared" si="10"/>
        <v>#REF!</v>
      </c>
      <c r="N90" s="22">
        <f t="shared" si="11"/>
        <v>0</v>
      </c>
      <c r="O90" s="22" t="e">
        <f t="shared" si="12"/>
        <v>#REF!</v>
      </c>
      <c r="P90" s="22">
        <f t="shared" si="17"/>
        <v>0</v>
      </c>
      <c r="Q90" s="22">
        <f t="shared" si="18"/>
        <v>0</v>
      </c>
      <c r="R90" s="22" t="e">
        <f t="shared" si="19"/>
        <v>#REF!</v>
      </c>
      <c r="S90" s="22">
        <f t="shared" si="20"/>
        <v>0</v>
      </c>
      <c r="T90" s="22">
        <f t="shared" si="21"/>
        <v>0</v>
      </c>
      <c r="U90" s="22">
        <f t="shared" si="22"/>
        <v>0</v>
      </c>
      <c r="V90" s="22" t="e">
        <f t="shared" si="23"/>
        <v>#REF!</v>
      </c>
      <c r="W90" s="22" t="e">
        <f t="shared" si="24"/>
        <v>#REF!</v>
      </c>
      <c r="X90" s="22" t="e">
        <f t="shared" si="25"/>
        <v>#REF!</v>
      </c>
      <c r="Y90" s="22">
        <f t="shared" si="26"/>
        <v>0</v>
      </c>
      <c r="Z90" s="25" t="e">
        <f t="shared" si="27"/>
        <v>#REF!</v>
      </c>
    </row>
    <row r="91" spans="2:26" s="3" customFormat="1" ht="12" customHeight="1">
      <c r="B91" s="443"/>
      <c r="C91" s="26" t="s">
        <v>125</v>
      </c>
      <c r="D91" s="22">
        <f t="shared" si="14"/>
        <v>4.2004150000000005</v>
      </c>
      <c r="E91" s="22" t="e">
        <f t="shared" si="15"/>
        <v>#REF!</v>
      </c>
      <c r="F91" s="22">
        <f t="shared" si="30"/>
        <v>2.2694380000000001</v>
      </c>
      <c r="G91" s="22">
        <f t="shared" si="30"/>
        <v>1.778977</v>
      </c>
      <c r="H91" s="22">
        <f t="shared" si="30"/>
        <v>0</v>
      </c>
      <c r="I91" s="22">
        <f t="shared" si="30"/>
        <v>0</v>
      </c>
      <c r="J91" s="22">
        <f t="shared" si="30"/>
        <v>0</v>
      </c>
      <c r="K91" s="22">
        <f t="shared" si="16"/>
        <v>0</v>
      </c>
      <c r="L91" s="22">
        <f t="shared" si="9"/>
        <v>0</v>
      </c>
      <c r="M91" s="22" t="e">
        <f t="shared" si="10"/>
        <v>#REF!</v>
      </c>
      <c r="N91" s="22">
        <f t="shared" si="11"/>
        <v>0</v>
      </c>
      <c r="O91" s="22" t="e">
        <f t="shared" si="12"/>
        <v>#REF!</v>
      </c>
      <c r="P91" s="22">
        <f t="shared" si="17"/>
        <v>0</v>
      </c>
      <c r="Q91" s="22">
        <f t="shared" si="18"/>
        <v>0.152</v>
      </c>
      <c r="R91" s="22" t="e">
        <f t="shared" si="19"/>
        <v>#REF!</v>
      </c>
      <c r="S91" s="22">
        <f t="shared" si="20"/>
        <v>0</v>
      </c>
      <c r="T91" s="22">
        <f t="shared" si="21"/>
        <v>0</v>
      </c>
      <c r="U91" s="22">
        <f t="shared" si="22"/>
        <v>0</v>
      </c>
      <c r="V91" s="22" t="e">
        <f t="shared" si="23"/>
        <v>#REF!</v>
      </c>
      <c r="W91" s="22" t="e">
        <f t="shared" si="24"/>
        <v>#REF!</v>
      </c>
      <c r="X91" s="22" t="e">
        <f t="shared" si="25"/>
        <v>#REF!</v>
      </c>
      <c r="Y91" s="22">
        <f t="shared" si="26"/>
        <v>0</v>
      </c>
      <c r="Z91" s="25" t="e">
        <f t="shared" si="27"/>
        <v>#REF!</v>
      </c>
    </row>
    <row r="92" spans="2:26" s="3" customFormat="1" ht="12" customHeight="1">
      <c r="B92" s="443"/>
      <c r="C92" s="26" t="s">
        <v>114</v>
      </c>
      <c r="D92" s="22">
        <f t="shared" si="14"/>
        <v>0.96839500000000012</v>
      </c>
      <c r="E92" s="22" t="e">
        <f t="shared" si="15"/>
        <v>#REF!</v>
      </c>
      <c r="F92" s="22">
        <f t="shared" si="30"/>
        <v>0.35575500000000004</v>
      </c>
      <c r="G92" s="22">
        <f t="shared" si="30"/>
        <v>0.60063999999999995</v>
      </c>
      <c r="H92" s="22">
        <f t="shared" si="30"/>
        <v>0</v>
      </c>
      <c r="I92" s="22">
        <f t="shared" si="30"/>
        <v>0</v>
      </c>
      <c r="J92" s="22">
        <f t="shared" si="30"/>
        <v>0</v>
      </c>
      <c r="K92" s="22">
        <f t="shared" si="16"/>
        <v>0</v>
      </c>
      <c r="L92" s="22">
        <f t="shared" ref="L92:L108" si="31">N34</f>
        <v>0</v>
      </c>
      <c r="M92" s="22" t="e">
        <f t="shared" ref="M92:M108" si="32">O34</f>
        <v>#REF!</v>
      </c>
      <c r="N92" s="22">
        <f t="shared" ref="N92:N108" si="33">P34</f>
        <v>0</v>
      </c>
      <c r="O92" s="22" t="e">
        <f t="shared" ref="O92:O108" si="34">Q34</f>
        <v>#REF!</v>
      </c>
      <c r="P92" s="22">
        <f t="shared" si="17"/>
        <v>0</v>
      </c>
      <c r="Q92" s="22">
        <f t="shared" si="18"/>
        <v>0</v>
      </c>
      <c r="R92" s="22" t="e">
        <f t="shared" si="19"/>
        <v>#REF!</v>
      </c>
      <c r="S92" s="22">
        <f t="shared" si="20"/>
        <v>0</v>
      </c>
      <c r="T92" s="22">
        <f t="shared" si="21"/>
        <v>0</v>
      </c>
      <c r="U92" s="22">
        <f t="shared" si="22"/>
        <v>0</v>
      </c>
      <c r="V92" s="22" t="e">
        <f t="shared" si="23"/>
        <v>#REF!</v>
      </c>
      <c r="W92" s="22" t="e">
        <f t="shared" si="24"/>
        <v>#REF!</v>
      </c>
      <c r="X92" s="22" t="e">
        <f t="shared" si="25"/>
        <v>#REF!</v>
      </c>
      <c r="Y92" s="22">
        <f t="shared" si="26"/>
        <v>0</v>
      </c>
      <c r="Z92" s="25" t="e">
        <f t="shared" si="27"/>
        <v>#REF!</v>
      </c>
    </row>
    <row r="93" spans="2:26" s="3" customFormat="1" ht="12" customHeight="1">
      <c r="B93" s="443"/>
      <c r="C93" s="26" t="s">
        <v>115</v>
      </c>
      <c r="D93" s="22">
        <f t="shared" si="14"/>
        <v>6.4112019999999985</v>
      </c>
      <c r="E93" s="22" t="e">
        <f t="shared" si="15"/>
        <v>#REF!</v>
      </c>
      <c r="F93" s="22">
        <f t="shared" si="30"/>
        <v>1.473471</v>
      </c>
      <c r="G93" s="22">
        <f t="shared" si="30"/>
        <v>0.63637999999999995</v>
      </c>
      <c r="H93" s="22">
        <f t="shared" si="30"/>
        <v>1.0154E-2</v>
      </c>
      <c r="I93" s="22">
        <f t="shared" si="30"/>
        <v>9.5122999999999985E-2</v>
      </c>
      <c r="J93" s="22">
        <f t="shared" si="30"/>
        <v>3.4509999999999996E-3</v>
      </c>
      <c r="K93" s="22">
        <f t="shared" si="16"/>
        <v>0.17067300000000002</v>
      </c>
      <c r="L93" s="22">
        <f t="shared" si="31"/>
        <v>3.0550000000000001E-2</v>
      </c>
      <c r="M93" s="22" t="e">
        <f t="shared" si="32"/>
        <v>#REF!</v>
      </c>
      <c r="N93" s="22">
        <f t="shared" si="33"/>
        <v>0.118019</v>
      </c>
      <c r="O93" s="22" t="e">
        <f t="shared" si="34"/>
        <v>#REF!</v>
      </c>
      <c r="P93" s="22">
        <f t="shared" si="17"/>
        <v>7.9439999999999997E-3</v>
      </c>
      <c r="Q93" s="22">
        <f t="shared" si="18"/>
        <v>3.7099869999999995</v>
      </c>
      <c r="R93" s="22" t="e">
        <f t="shared" si="19"/>
        <v>#REF!</v>
      </c>
      <c r="S93" s="22">
        <f t="shared" si="20"/>
        <v>0.73682599999999998</v>
      </c>
      <c r="T93" s="22">
        <f t="shared" si="21"/>
        <v>0.34933600000000004</v>
      </c>
      <c r="U93" s="22">
        <f t="shared" si="22"/>
        <v>0</v>
      </c>
      <c r="V93" s="22" t="e">
        <f t="shared" si="23"/>
        <v>#REF!</v>
      </c>
      <c r="W93" s="22" t="e">
        <f t="shared" si="24"/>
        <v>#REF!</v>
      </c>
      <c r="X93" s="22" t="e">
        <f t="shared" si="25"/>
        <v>#REF!</v>
      </c>
      <c r="Y93" s="22">
        <f t="shared" si="26"/>
        <v>6.343E-2</v>
      </c>
      <c r="Z93" s="25" t="e">
        <f t="shared" si="27"/>
        <v>#REF!</v>
      </c>
    </row>
    <row r="94" spans="2:26" s="3" customFormat="1" ht="12" customHeight="1">
      <c r="B94" s="443"/>
      <c r="C94" s="26" t="s">
        <v>126</v>
      </c>
      <c r="D94" s="22">
        <f t="shared" si="14"/>
        <v>4</v>
      </c>
      <c r="E94" s="22" t="e">
        <f t="shared" si="15"/>
        <v>#REF!</v>
      </c>
      <c r="F94" s="22">
        <f t="shared" si="30"/>
        <v>0</v>
      </c>
      <c r="G94" s="22">
        <f t="shared" si="30"/>
        <v>4</v>
      </c>
      <c r="H94" s="22">
        <f t="shared" si="30"/>
        <v>0</v>
      </c>
      <c r="I94" s="22">
        <f t="shared" si="30"/>
        <v>0</v>
      </c>
      <c r="J94" s="22">
        <f t="shared" si="30"/>
        <v>0</v>
      </c>
      <c r="K94" s="22">
        <f t="shared" si="16"/>
        <v>0</v>
      </c>
      <c r="L94" s="22">
        <f t="shared" si="31"/>
        <v>0</v>
      </c>
      <c r="M94" s="22" t="e">
        <f t="shared" si="32"/>
        <v>#REF!</v>
      </c>
      <c r="N94" s="22">
        <f t="shared" si="33"/>
        <v>0</v>
      </c>
      <c r="O94" s="22" t="e">
        <f t="shared" si="34"/>
        <v>#REF!</v>
      </c>
      <c r="P94" s="22">
        <f t="shared" si="17"/>
        <v>0</v>
      </c>
      <c r="Q94" s="22">
        <f t="shared" si="18"/>
        <v>0</v>
      </c>
      <c r="R94" s="22" t="e">
        <f t="shared" si="19"/>
        <v>#REF!</v>
      </c>
      <c r="S94" s="22">
        <f t="shared" si="20"/>
        <v>0</v>
      </c>
      <c r="T94" s="22">
        <f t="shared" si="21"/>
        <v>0</v>
      </c>
      <c r="U94" s="22">
        <f t="shared" si="22"/>
        <v>0</v>
      </c>
      <c r="V94" s="22" t="e">
        <f t="shared" si="23"/>
        <v>#REF!</v>
      </c>
      <c r="W94" s="22" t="e">
        <f t="shared" si="24"/>
        <v>#REF!</v>
      </c>
      <c r="X94" s="22" t="e">
        <f t="shared" si="25"/>
        <v>#REF!</v>
      </c>
      <c r="Y94" s="22">
        <f t="shared" si="26"/>
        <v>0</v>
      </c>
      <c r="Z94" s="25" t="e">
        <f t="shared" si="27"/>
        <v>#REF!</v>
      </c>
    </row>
    <row r="95" spans="2:26" s="3" customFormat="1" ht="12" customHeight="1">
      <c r="B95" s="443"/>
      <c r="C95" s="26" t="s">
        <v>103</v>
      </c>
      <c r="D95" s="22">
        <f t="shared" si="14"/>
        <v>9.9250369999999997</v>
      </c>
      <c r="E95" s="22" t="e">
        <f t="shared" si="15"/>
        <v>#REF!</v>
      </c>
      <c r="F95" s="22">
        <f t="shared" si="30"/>
        <v>2.2200000000000002</v>
      </c>
      <c r="G95" s="22">
        <f t="shared" si="30"/>
        <v>5.4139929999999996</v>
      </c>
      <c r="H95" s="22">
        <f t="shared" si="30"/>
        <v>0</v>
      </c>
      <c r="I95" s="22">
        <f t="shared" si="30"/>
        <v>0</v>
      </c>
      <c r="J95" s="22">
        <f t="shared" si="30"/>
        <v>0</v>
      </c>
      <c r="K95" s="22">
        <f t="shared" si="16"/>
        <v>0</v>
      </c>
      <c r="L95" s="22">
        <f t="shared" si="31"/>
        <v>0</v>
      </c>
      <c r="M95" s="22" t="e">
        <f t="shared" si="32"/>
        <v>#REF!</v>
      </c>
      <c r="N95" s="22">
        <f t="shared" si="33"/>
        <v>0</v>
      </c>
      <c r="O95" s="22" t="e">
        <f t="shared" si="34"/>
        <v>#REF!</v>
      </c>
      <c r="P95" s="22">
        <f t="shared" si="17"/>
        <v>2.2910439999999999</v>
      </c>
      <c r="Q95" s="22">
        <f t="shared" si="18"/>
        <v>0</v>
      </c>
      <c r="R95" s="22" t="e">
        <f t="shared" si="19"/>
        <v>#REF!</v>
      </c>
      <c r="S95" s="22">
        <f t="shared" si="20"/>
        <v>0</v>
      </c>
      <c r="T95" s="22">
        <f t="shared" si="21"/>
        <v>0</v>
      </c>
      <c r="U95" s="22">
        <f t="shared" si="22"/>
        <v>0</v>
      </c>
      <c r="V95" s="22" t="e">
        <f t="shared" si="23"/>
        <v>#REF!</v>
      </c>
      <c r="W95" s="22" t="e">
        <f t="shared" si="24"/>
        <v>#REF!</v>
      </c>
      <c r="X95" s="22" t="e">
        <f t="shared" si="25"/>
        <v>#REF!</v>
      </c>
      <c r="Y95" s="22">
        <f t="shared" si="26"/>
        <v>0</v>
      </c>
      <c r="Z95" s="25" t="e">
        <f t="shared" si="27"/>
        <v>#REF!</v>
      </c>
    </row>
    <row r="96" spans="2:26" s="3" customFormat="1" ht="12" customHeight="1">
      <c r="B96" s="443"/>
      <c r="C96" s="26" t="s">
        <v>127</v>
      </c>
      <c r="D96" s="22">
        <f t="shared" si="14"/>
        <v>87.252168999999995</v>
      </c>
      <c r="E96" s="22" t="e">
        <f t="shared" si="15"/>
        <v>#REF!</v>
      </c>
      <c r="F96" s="22">
        <f t="shared" si="30"/>
        <v>18.396226000000002</v>
      </c>
      <c r="G96" s="22">
        <f t="shared" si="30"/>
        <v>9.1509429999999998</v>
      </c>
      <c r="H96" s="22">
        <f t="shared" si="30"/>
        <v>0</v>
      </c>
      <c r="I96" s="22">
        <f t="shared" si="30"/>
        <v>59.704999999999998</v>
      </c>
      <c r="J96" s="22">
        <f t="shared" si="30"/>
        <v>0</v>
      </c>
      <c r="K96" s="22">
        <f t="shared" si="16"/>
        <v>0</v>
      </c>
      <c r="L96" s="22">
        <f t="shared" si="31"/>
        <v>0</v>
      </c>
      <c r="M96" s="22" t="e">
        <f t="shared" si="32"/>
        <v>#REF!</v>
      </c>
      <c r="N96" s="22">
        <f t="shared" si="33"/>
        <v>0</v>
      </c>
      <c r="O96" s="22" t="e">
        <f t="shared" si="34"/>
        <v>#REF!</v>
      </c>
      <c r="P96" s="22">
        <f t="shared" si="17"/>
        <v>0</v>
      </c>
      <c r="Q96" s="22">
        <f t="shared" si="18"/>
        <v>0</v>
      </c>
      <c r="R96" s="22" t="e">
        <f t="shared" si="19"/>
        <v>#REF!</v>
      </c>
      <c r="S96" s="22">
        <f t="shared" si="20"/>
        <v>0</v>
      </c>
      <c r="T96" s="22">
        <f t="shared" si="21"/>
        <v>0</v>
      </c>
      <c r="U96" s="22">
        <f t="shared" si="22"/>
        <v>0</v>
      </c>
      <c r="V96" s="22" t="e">
        <f t="shared" si="23"/>
        <v>#REF!</v>
      </c>
      <c r="W96" s="22" t="e">
        <f t="shared" si="24"/>
        <v>#REF!</v>
      </c>
      <c r="X96" s="22" t="e">
        <f t="shared" si="25"/>
        <v>#REF!</v>
      </c>
      <c r="Y96" s="22">
        <f t="shared" si="26"/>
        <v>0</v>
      </c>
      <c r="Z96" s="25" t="e">
        <f t="shared" si="27"/>
        <v>#REF!</v>
      </c>
    </row>
    <row r="97" spans="2:26" s="3" customFormat="1" ht="12" customHeight="1">
      <c r="B97" s="443"/>
      <c r="C97" s="26" t="s">
        <v>128</v>
      </c>
      <c r="D97" s="22">
        <f t="shared" si="14"/>
        <v>0</v>
      </c>
      <c r="E97" s="22" t="e">
        <f t="shared" si="15"/>
        <v>#REF!</v>
      </c>
      <c r="F97" s="22">
        <f t="shared" si="30"/>
        <v>0</v>
      </c>
      <c r="G97" s="22">
        <f t="shared" si="30"/>
        <v>0</v>
      </c>
      <c r="H97" s="22">
        <f t="shared" si="30"/>
        <v>0</v>
      </c>
      <c r="I97" s="22">
        <f t="shared" si="30"/>
        <v>0</v>
      </c>
      <c r="J97" s="22">
        <f t="shared" si="30"/>
        <v>0</v>
      </c>
      <c r="K97" s="22">
        <f t="shared" si="16"/>
        <v>0</v>
      </c>
      <c r="L97" s="22">
        <f t="shared" si="31"/>
        <v>0</v>
      </c>
      <c r="M97" s="22" t="e">
        <f t="shared" si="32"/>
        <v>#REF!</v>
      </c>
      <c r="N97" s="22">
        <f t="shared" si="33"/>
        <v>0</v>
      </c>
      <c r="O97" s="22" t="e">
        <f t="shared" si="34"/>
        <v>#REF!</v>
      </c>
      <c r="P97" s="22">
        <f t="shared" si="17"/>
        <v>0</v>
      </c>
      <c r="Q97" s="22">
        <f t="shared" si="18"/>
        <v>0</v>
      </c>
      <c r="R97" s="22" t="e">
        <f t="shared" si="19"/>
        <v>#REF!</v>
      </c>
      <c r="S97" s="22">
        <f t="shared" si="20"/>
        <v>0</v>
      </c>
      <c r="T97" s="22">
        <f t="shared" si="21"/>
        <v>0</v>
      </c>
      <c r="U97" s="22">
        <f t="shared" si="22"/>
        <v>0</v>
      </c>
      <c r="V97" s="22" t="e">
        <f t="shared" si="23"/>
        <v>#REF!</v>
      </c>
      <c r="W97" s="22" t="e">
        <f t="shared" si="24"/>
        <v>#REF!</v>
      </c>
      <c r="X97" s="22" t="e">
        <f t="shared" si="25"/>
        <v>#REF!</v>
      </c>
      <c r="Y97" s="22">
        <f t="shared" si="26"/>
        <v>0</v>
      </c>
      <c r="Z97" s="25" t="e">
        <f t="shared" si="27"/>
        <v>#REF!</v>
      </c>
    </row>
    <row r="98" spans="2:26" s="3" customFormat="1" ht="12" customHeight="1">
      <c r="B98" s="443"/>
      <c r="C98" s="26" t="s">
        <v>143</v>
      </c>
      <c r="D98" s="22">
        <f t="shared" si="14"/>
        <v>0</v>
      </c>
      <c r="E98" s="22" t="e">
        <f t="shared" si="15"/>
        <v>#REF!</v>
      </c>
      <c r="F98" s="22">
        <f t="shared" si="30"/>
        <v>0</v>
      </c>
      <c r="G98" s="22">
        <f t="shared" si="30"/>
        <v>0</v>
      </c>
      <c r="H98" s="22">
        <f t="shared" si="30"/>
        <v>0</v>
      </c>
      <c r="I98" s="22">
        <f t="shared" si="30"/>
        <v>0</v>
      </c>
      <c r="J98" s="22">
        <f t="shared" si="30"/>
        <v>0</v>
      </c>
      <c r="K98" s="22">
        <f t="shared" si="16"/>
        <v>0</v>
      </c>
      <c r="L98" s="22">
        <f t="shared" si="31"/>
        <v>0</v>
      </c>
      <c r="M98" s="22" t="e">
        <f t="shared" si="32"/>
        <v>#REF!</v>
      </c>
      <c r="N98" s="22">
        <f t="shared" si="33"/>
        <v>0</v>
      </c>
      <c r="O98" s="22" t="e">
        <f t="shared" si="34"/>
        <v>#REF!</v>
      </c>
      <c r="P98" s="22">
        <f t="shared" si="17"/>
        <v>0</v>
      </c>
      <c r="Q98" s="22">
        <f t="shared" si="18"/>
        <v>0</v>
      </c>
      <c r="R98" s="22" t="e">
        <f t="shared" si="19"/>
        <v>#REF!</v>
      </c>
      <c r="S98" s="22">
        <f t="shared" si="20"/>
        <v>0</v>
      </c>
      <c r="T98" s="22">
        <f t="shared" si="21"/>
        <v>0</v>
      </c>
      <c r="U98" s="22">
        <f t="shared" si="22"/>
        <v>0</v>
      </c>
      <c r="V98" s="22" t="e">
        <f t="shared" si="23"/>
        <v>#REF!</v>
      </c>
      <c r="W98" s="22" t="e">
        <f t="shared" si="24"/>
        <v>#REF!</v>
      </c>
      <c r="X98" s="22" t="e">
        <f t="shared" si="25"/>
        <v>#REF!</v>
      </c>
      <c r="Y98" s="22">
        <f t="shared" si="26"/>
        <v>0</v>
      </c>
      <c r="Z98" s="25" t="e">
        <f t="shared" si="27"/>
        <v>#REF!</v>
      </c>
    </row>
    <row r="99" spans="2:26" s="3" customFormat="1" ht="12" customHeight="1">
      <c r="B99" s="444"/>
      <c r="C99" s="26" t="s">
        <v>98</v>
      </c>
      <c r="D99" s="22">
        <f t="shared" si="14"/>
        <v>508.98562899999985</v>
      </c>
      <c r="E99" s="22" t="e">
        <f t="shared" si="15"/>
        <v>#REF!</v>
      </c>
      <c r="F99" s="22">
        <f t="shared" si="30"/>
        <v>73.690596999999997</v>
      </c>
      <c r="G99" s="22">
        <f t="shared" si="30"/>
        <v>239.59101100000004</v>
      </c>
      <c r="H99" s="22">
        <f t="shared" si="30"/>
        <v>3.2714899999999991</v>
      </c>
      <c r="I99" s="22">
        <f t="shared" si="30"/>
        <v>61.831435999999997</v>
      </c>
      <c r="J99" s="22">
        <f t="shared" si="30"/>
        <v>1.1172710000000001</v>
      </c>
      <c r="K99" s="22">
        <f t="shared" si="16"/>
        <v>2.3974319999999998</v>
      </c>
      <c r="L99" s="22">
        <f t="shared" si="31"/>
        <v>0.44480499999999995</v>
      </c>
      <c r="M99" s="22" t="e">
        <f t="shared" si="32"/>
        <v>#REF!</v>
      </c>
      <c r="N99" s="22">
        <f t="shared" si="33"/>
        <v>-0.24882300000000013</v>
      </c>
      <c r="O99" s="22" t="e">
        <f t="shared" si="34"/>
        <v>#REF!</v>
      </c>
      <c r="P99" s="22">
        <f t="shared" si="17"/>
        <v>7.6511450000000014</v>
      </c>
      <c r="Q99" s="22">
        <f t="shared" si="18"/>
        <v>102.54898999999999</v>
      </c>
      <c r="R99" s="22" t="e">
        <f t="shared" si="19"/>
        <v>#REF!</v>
      </c>
      <c r="S99" s="22">
        <f t="shared" si="20"/>
        <v>40.404391000000004</v>
      </c>
      <c r="T99" s="22">
        <f t="shared" si="21"/>
        <v>13.004690999999999</v>
      </c>
      <c r="U99" s="22">
        <f t="shared" si="22"/>
        <v>-0.83899999999999997</v>
      </c>
      <c r="V99" s="22" t="e">
        <f t="shared" si="23"/>
        <v>#REF!</v>
      </c>
      <c r="W99" s="22" t="e">
        <f t="shared" si="24"/>
        <v>#REF!</v>
      </c>
      <c r="X99" s="22" t="e">
        <f t="shared" si="25"/>
        <v>#REF!</v>
      </c>
      <c r="Y99" s="22">
        <f t="shared" si="26"/>
        <v>5.2373989999999999</v>
      </c>
      <c r="Z99" s="25" t="e">
        <f t="shared" si="27"/>
        <v>#REF!</v>
      </c>
    </row>
    <row r="100" spans="2:26" s="3" customFormat="1" ht="12" customHeight="1">
      <c r="B100" s="442" t="s">
        <v>119</v>
      </c>
      <c r="C100" s="26" t="s">
        <v>129</v>
      </c>
      <c r="D100" s="22">
        <f t="shared" si="14"/>
        <v>8.8071649999999995</v>
      </c>
      <c r="E100" s="22" t="e">
        <f t="shared" si="15"/>
        <v>#REF!</v>
      </c>
      <c r="F100" s="22">
        <f t="shared" ref="F100:J108" si="35">F42</f>
        <v>-3.7357999999999995E-2</v>
      </c>
      <c r="G100" s="22">
        <f t="shared" si="35"/>
        <v>7.8570949999999993</v>
      </c>
      <c r="H100" s="22">
        <f t="shared" si="35"/>
        <v>0</v>
      </c>
      <c r="I100" s="22">
        <f t="shared" si="35"/>
        <v>0</v>
      </c>
      <c r="J100" s="22">
        <f t="shared" si="35"/>
        <v>0</v>
      </c>
      <c r="K100" s="22">
        <f t="shared" si="16"/>
        <v>0.98742800000000008</v>
      </c>
      <c r="L100" s="22">
        <f t="shared" si="31"/>
        <v>0</v>
      </c>
      <c r="M100" s="22" t="e">
        <f t="shared" si="32"/>
        <v>#REF!</v>
      </c>
      <c r="N100" s="22">
        <f t="shared" si="33"/>
        <v>0.98742800000000008</v>
      </c>
      <c r="O100" s="22" t="e">
        <f t="shared" si="34"/>
        <v>#REF!</v>
      </c>
      <c r="P100" s="22">
        <f t="shared" si="17"/>
        <v>0</v>
      </c>
      <c r="Q100" s="22">
        <f t="shared" si="18"/>
        <v>0</v>
      </c>
      <c r="R100" s="22" t="e">
        <f t="shared" si="19"/>
        <v>#REF!</v>
      </c>
      <c r="S100" s="22">
        <f t="shared" si="20"/>
        <v>0</v>
      </c>
      <c r="T100" s="22">
        <f t="shared" si="21"/>
        <v>0</v>
      </c>
      <c r="U100" s="22">
        <f t="shared" si="22"/>
        <v>0</v>
      </c>
      <c r="V100" s="22" t="e">
        <f t="shared" si="23"/>
        <v>#REF!</v>
      </c>
      <c r="W100" s="22" t="e">
        <f t="shared" si="24"/>
        <v>#REF!</v>
      </c>
      <c r="X100" s="22" t="e">
        <f t="shared" si="25"/>
        <v>#REF!</v>
      </c>
      <c r="Y100" s="22">
        <f t="shared" si="26"/>
        <v>0</v>
      </c>
      <c r="Z100" s="25" t="e">
        <f t="shared" si="27"/>
        <v>#REF!</v>
      </c>
    </row>
    <row r="101" spans="2:26" s="3" customFormat="1" ht="12" customHeight="1">
      <c r="B101" s="443"/>
      <c r="C101" s="26" t="s">
        <v>130</v>
      </c>
      <c r="D101" s="22">
        <f t="shared" si="14"/>
        <v>19.432597999999999</v>
      </c>
      <c r="E101" s="22" t="e">
        <f t="shared" si="15"/>
        <v>#REF!</v>
      </c>
      <c r="F101" s="22">
        <f t="shared" si="35"/>
        <v>13.917453999999998</v>
      </c>
      <c r="G101" s="22">
        <f t="shared" si="35"/>
        <v>5.5151440000000003</v>
      </c>
      <c r="H101" s="22">
        <f t="shared" si="35"/>
        <v>0</v>
      </c>
      <c r="I101" s="22">
        <f t="shared" si="35"/>
        <v>0</v>
      </c>
      <c r="J101" s="22">
        <f t="shared" si="35"/>
        <v>0</v>
      </c>
      <c r="K101" s="22">
        <f t="shared" si="16"/>
        <v>0</v>
      </c>
      <c r="L101" s="22">
        <f t="shared" si="31"/>
        <v>0</v>
      </c>
      <c r="M101" s="22" t="e">
        <f t="shared" si="32"/>
        <v>#REF!</v>
      </c>
      <c r="N101" s="22">
        <f t="shared" si="33"/>
        <v>0</v>
      </c>
      <c r="O101" s="22" t="e">
        <f t="shared" si="34"/>
        <v>#REF!</v>
      </c>
      <c r="P101" s="22">
        <f t="shared" si="17"/>
        <v>0</v>
      </c>
      <c r="Q101" s="22">
        <f t="shared" si="18"/>
        <v>0</v>
      </c>
      <c r="R101" s="22" t="e">
        <f t="shared" si="19"/>
        <v>#REF!</v>
      </c>
      <c r="S101" s="22">
        <f t="shared" si="20"/>
        <v>0</v>
      </c>
      <c r="T101" s="22">
        <f t="shared" si="21"/>
        <v>0</v>
      </c>
      <c r="U101" s="22">
        <f t="shared" si="22"/>
        <v>0</v>
      </c>
      <c r="V101" s="22" t="e">
        <f t="shared" si="23"/>
        <v>#REF!</v>
      </c>
      <c r="W101" s="22" t="e">
        <f t="shared" si="24"/>
        <v>#REF!</v>
      </c>
      <c r="X101" s="22" t="e">
        <f t="shared" si="25"/>
        <v>#REF!</v>
      </c>
      <c r="Y101" s="22">
        <f t="shared" si="26"/>
        <v>0</v>
      </c>
      <c r="Z101" s="25" t="e">
        <f t="shared" si="27"/>
        <v>#REF!</v>
      </c>
    </row>
    <row r="102" spans="2:26" s="3" customFormat="1" ht="12" customHeight="1">
      <c r="B102" s="443"/>
      <c r="C102" s="26" t="s">
        <v>131</v>
      </c>
      <c r="D102" s="22">
        <f t="shared" si="14"/>
        <v>412.65184300000004</v>
      </c>
      <c r="E102" s="22" t="e">
        <f t="shared" si="15"/>
        <v>#REF!</v>
      </c>
      <c r="F102" s="22">
        <f t="shared" si="35"/>
        <v>59.195332999999991</v>
      </c>
      <c r="G102" s="22">
        <f t="shared" si="35"/>
        <v>189.662305</v>
      </c>
      <c r="H102" s="22">
        <f t="shared" si="35"/>
        <v>0</v>
      </c>
      <c r="I102" s="22">
        <f t="shared" si="35"/>
        <v>0.41731999999999997</v>
      </c>
      <c r="J102" s="22">
        <f t="shared" si="35"/>
        <v>0.10432999999999999</v>
      </c>
      <c r="K102" s="22">
        <f t="shared" si="16"/>
        <v>3.4197860000000002</v>
      </c>
      <c r="L102" s="22">
        <f t="shared" si="31"/>
        <v>0.10432999999999999</v>
      </c>
      <c r="M102" s="22" t="e">
        <f t="shared" si="32"/>
        <v>#REF!</v>
      </c>
      <c r="N102" s="22">
        <f t="shared" si="33"/>
        <v>3.2111260000000001</v>
      </c>
      <c r="O102" s="22" t="e">
        <f t="shared" si="34"/>
        <v>#REF!</v>
      </c>
      <c r="P102" s="22">
        <f t="shared" si="17"/>
        <v>156.77485200000001</v>
      </c>
      <c r="Q102" s="22">
        <f t="shared" si="18"/>
        <v>0.67711699999999997</v>
      </c>
      <c r="R102" s="22" t="e">
        <f t="shared" si="19"/>
        <v>#REF!</v>
      </c>
      <c r="S102" s="22">
        <f t="shared" si="20"/>
        <v>0.40626999999999996</v>
      </c>
      <c r="T102" s="22">
        <f t="shared" si="21"/>
        <v>0.270847</v>
      </c>
      <c r="U102" s="22">
        <f t="shared" si="22"/>
        <v>0</v>
      </c>
      <c r="V102" s="22" t="e">
        <f t="shared" si="23"/>
        <v>#REF!</v>
      </c>
      <c r="W102" s="22" t="e">
        <f t="shared" si="24"/>
        <v>#REF!</v>
      </c>
      <c r="X102" s="22" t="e">
        <f t="shared" si="25"/>
        <v>#REF!</v>
      </c>
      <c r="Y102" s="22">
        <f t="shared" si="26"/>
        <v>0</v>
      </c>
      <c r="Z102" s="25" t="e">
        <f t="shared" si="27"/>
        <v>#REF!</v>
      </c>
    </row>
    <row r="103" spans="2:26" s="3" customFormat="1" ht="12" customHeight="1">
      <c r="B103" s="443"/>
      <c r="C103" s="26" t="s">
        <v>132</v>
      </c>
      <c r="D103" s="22">
        <f t="shared" si="14"/>
        <v>152.93311299999999</v>
      </c>
      <c r="E103" s="22" t="e">
        <f t="shared" si="15"/>
        <v>#REF!</v>
      </c>
      <c r="F103" s="22">
        <f t="shared" si="35"/>
        <v>111.31729900000001</v>
      </c>
      <c r="G103" s="22">
        <f t="shared" si="35"/>
        <v>118.73640899999998</v>
      </c>
      <c r="H103" s="22">
        <f t="shared" si="35"/>
        <v>0</v>
      </c>
      <c r="I103" s="22">
        <f t="shared" si="35"/>
        <v>0.81097200000000003</v>
      </c>
      <c r="J103" s="22">
        <f t="shared" si="35"/>
        <v>0.71848100000000004</v>
      </c>
      <c r="K103" s="22">
        <f t="shared" si="16"/>
        <v>0.36632999999999999</v>
      </c>
      <c r="L103" s="22">
        <f t="shared" si="31"/>
        <v>7.8592999999999996E-2</v>
      </c>
      <c r="M103" s="22" t="e">
        <f t="shared" si="32"/>
        <v>#REF!</v>
      </c>
      <c r="N103" s="22">
        <f t="shared" si="33"/>
        <v>0.259411</v>
      </c>
      <c r="O103" s="22" t="e">
        <f t="shared" si="34"/>
        <v>#REF!</v>
      </c>
      <c r="P103" s="22">
        <f t="shared" si="17"/>
        <v>4.518764</v>
      </c>
      <c r="Q103" s="22">
        <f t="shared" si="18"/>
        <v>0</v>
      </c>
      <c r="R103" s="22" t="e">
        <f t="shared" si="19"/>
        <v>#REF!</v>
      </c>
      <c r="S103" s="22">
        <f t="shared" si="20"/>
        <v>0</v>
      </c>
      <c r="T103" s="22">
        <f t="shared" si="21"/>
        <v>0</v>
      </c>
      <c r="U103" s="22">
        <f t="shared" si="22"/>
        <v>0</v>
      </c>
      <c r="V103" s="22" t="e">
        <f t="shared" si="23"/>
        <v>#REF!</v>
      </c>
      <c r="W103" s="22" t="e">
        <f t="shared" si="24"/>
        <v>#REF!</v>
      </c>
      <c r="X103" s="22" t="e">
        <f t="shared" si="25"/>
        <v>#REF!</v>
      </c>
      <c r="Y103" s="22">
        <f t="shared" si="26"/>
        <v>0</v>
      </c>
      <c r="Z103" s="25" t="e">
        <f t="shared" si="27"/>
        <v>#REF!</v>
      </c>
    </row>
    <row r="104" spans="2:26" s="3" customFormat="1" ht="12" customHeight="1">
      <c r="B104" s="443"/>
      <c r="C104" s="26" t="s">
        <v>133</v>
      </c>
      <c r="D104" s="22">
        <f t="shared" si="14"/>
        <v>77.461333999999994</v>
      </c>
      <c r="E104" s="22" t="e">
        <f t="shared" si="15"/>
        <v>#REF!</v>
      </c>
      <c r="F104" s="22">
        <f t="shared" si="35"/>
        <v>71.137986999999995</v>
      </c>
      <c r="G104" s="22">
        <f t="shared" si="35"/>
        <v>5.1442620000000003</v>
      </c>
      <c r="H104" s="22">
        <f t="shared" si="35"/>
        <v>0</v>
      </c>
      <c r="I104" s="22">
        <f t="shared" si="35"/>
        <v>1.1161909999999999</v>
      </c>
      <c r="J104" s="22">
        <f t="shared" si="35"/>
        <v>1.1161909999999999</v>
      </c>
      <c r="K104" s="22">
        <f t="shared" si="16"/>
        <v>0</v>
      </c>
      <c r="L104" s="22">
        <f t="shared" si="31"/>
        <v>0</v>
      </c>
      <c r="M104" s="22" t="e">
        <f t="shared" si="32"/>
        <v>#REF!</v>
      </c>
      <c r="N104" s="22">
        <f t="shared" si="33"/>
        <v>0</v>
      </c>
      <c r="O104" s="22" t="e">
        <f t="shared" si="34"/>
        <v>#REF!</v>
      </c>
      <c r="P104" s="22">
        <f t="shared" si="17"/>
        <v>0</v>
      </c>
      <c r="Q104" s="22">
        <f t="shared" si="18"/>
        <v>0</v>
      </c>
      <c r="R104" s="22" t="e">
        <f t="shared" si="19"/>
        <v>#REF!</v>
      </c>
      <c r="S104" s="22">
        <f t="shared" si="20"/>
        <v>0</v>
      </c>
      <c r="T104" s="22">
        <f t="shared" si="21"/>
        <v>0</v>
      </c>
      <c r="U104" s="22">
        <f t="shared" si="22"/>
        <v>0</v>
      </c>
      <c r="V104" s="22" t="e">
        <f t="shared" si="23"/>
        <v>#REF!</v>
      </c>
      <c r="W104" s="22" t="e">
        <f t="shared" si="24"/>
        <v>#REF!</v>
      </c>
      <c r="X104" s="22" t="e">
        <f t="shared" si="25"/>
        <v>#REF!</v>
      </c>
      <c r="Y104" s="22">
        <f t="shared" si="26"/>
        <v>0</v>
      </c>
      <c r="Z104" s="25" t="e">
        <f t="shared" si="27"/>
        <v>#REF!</v>
      </c>
    </row>
    <row r="105" spans="2:26" s="3" customFormat="1" ht="12" customHeight="1">
      <c r="B105" s="443"/>
      <c r="C105" s="26" t="s">
        <v>134</v>
      </c>
      <c r="D105" s="22">
        <f t="shared" si="14"/>
        <v>59.564434999999996</v>
      </c>
      <c r="E105" s="22" t="e">
        <f t="shared" si="15"/>
        <v>#REF!</v>
      </c>
      <c r="F105" s="22">
        <f t="shared" si="35"/>
        <v>19.328161999999999</v>
      </c>
      <c r="G105" s="22">
        <f t="shared" si="35"/>
        <v>37.539394000000001</v>
      </c>
      <c r="H105" s="22">
        <f t="shared" si="35"/>
        <v>0.10278499999999999</v>
      </c>
      <c r="I105" s="22">
        <f t="shared" si="35"/>
        <v>1.0039960000000001</v>
      </c>
      <c r="J105" s="22">
        <f t="shared" si="35"/>
        <v>0.23030700000000001</v>
      </c>
      <c r="K105" s="22">
        <f t="shared" si="16"/>
        <v>0.65772000000000008</v>
      </c>
      <c r="L105" s="22">
        <f t="shared" si="31"/>
        <v>0.21924000000000002</v>
      </c>
      <c r="M105" s="22" t="e">
        <f t="shared" si="32"/>
        <v>#REF!</v>
      </c>
      <c r="N105" s="22">
        <f t="shared" si="33"/>
        <v>0.21924000000000002</v>
      </c>
      <c r="O105" s="22" t="e">
        <f t="shared" si="34"/>
        <v>#REF!</v>
      </c>
      <c r="P105" s="22">
        <f t="shared" si="17"/>
        <v>0.32958999999999999</v>
      </c>
      <c r="Q105" s="22">
        <f t="shared" si="18"/>
        <v>0.15682000000000001</v>
      </c>
      <c r="R105" s="22" t="e">
        <f t="shared" si="19"/>
        <v>#REF!</v>
      </c>
      <c r="S105" s="22">
        <f t="shared" si="20"/>
        <v>1.5667E-2</v>
      </c>
      <c r="T105" s="22">
        <f t="shared" si="21"/>
        <v>0.141153</v>
      </c>
      <c r="U105" s="22">
        <f t="shared" si="22"/>
        <v>0</v>
      </c>
      <c r="V105" s="22" t="e">
        <f t="shared" si="23"/>
        <v>#REF!</v>
      </c>
      <c r="W105" s="22" t="e">
        <f t="shared" si="24"/>
        <v>#REF!</v>
      </c>
      <c r="X105" s="22" t="e">
        <f t="shared" si="25"/>
        <v>#REF!</v>
      </c>
      <c r="Y105" s="22">
        <f t="shared" si="26"/>
        <v>0</v>
      </c>
      <c r="Z105" s="25" t="e">
        <f t="shared" si="27"/>
        <v>#REF!</v>
      </c>
    </row>
    <row r="106" spans="2:26" s="3" customFormat="1" ht="12" customHeight="1">
      <c r="B106" s="443"/>
      <c r="C106" s="26" t="s">
        <v>144</v>
      </c>
      <c r="D106" s="22">
        <f t="shared" si="14"/>
        <v>0</v>
      </c>
      <c r="E106" s="22" t="e">
        <f t="shared" si="15"/>
        <v>#REF!</v>
      </c>
      <c r="F106" s="22">
        <f t="shared" si="35"/>
        <v>0</v>
      </c>
      <c r="G106" s="22">
        <f t="shared" si="35"/>
        <v>0</v>
      </c>
      <c r="H106" s="22">
        <f t="shared" si="35"/>
        <v>0</v>
      </c>
      <c r="I106" s="22">
        <f t="shared" si="35"/>
        <v>0</v>
      </c>
      <c r="J106" s="22">
        <f t="shared" si="35"/>
        <v>0</v>
      </c>
      <c r="K106" s="22">
        <f t="shared" si="16"/>
        <v>0</v>
      </c>
      <c r="L106" s="22">
        <f t="shared" si="31"/>
        <v>0</v>
      </c>
      <c r="M106" s="22" t="e">
        <f t="shared" si="32"/>
        <v>#REF!</v>
      </c>
      <c r="N106" s="22">
        <f t="shared" si="33"/>
        <v>0</v>
      </c>
      <c r="O106" s="22" t="e">
        <f t="shared" si="34"/>
        <v>#REF!</v>
      </c>
      <c r="P106" s="22">
        <f t="shared" si="17"/>
        <v>0</v>
      </c>
      <c r="Q106" s="22">
        <f t="shared" si="18"/>
        <v>0</v>
      </c>
      <c r="R106" s="22" t="e">
        <f t="shared" si="19"/>
        <v>#REF!</v>
      </c>
      <c r="S106" s="22">
        <f t="shared" si="20"/>
        <v>0</v>
      </c>
      <c r="T106" s="22">
        <f t="shared" si="21"/>
        <v>0</v>
      </c>
      <c r="U106" s="22">
        <f t="shared" si="22"/>
        <v>0</v>
      </c>
      <c r="V106" s="22" t="e">
        <f t="shared" si="23"/>
        <v>#REF!</v>
      </c>
      <c r="W106" s="22" t="e">
        <f t="shared" si="24"/>
        <v>#REF!</v>
      </c>
      <c r="X106" s="22" t="e">
        <f t="shared" si="25"/>
        <v>#REF!</v>
      </c>
      <c r="Y106" s="22">
        <f t="shared" si="26"/>
        <v>0</v>
      </c>
      <c r="Z106" s="25" t="e">
        <f t="shared" si="27"/>
        <v>#REF!</v>
      </c>
    </row>
    <row r="107" spans="2:26" s="3" customFormat="1" ht="12" customHeight="1">
      <c r="B107" s="444"/>
      <c r="C107" s="26" t="s">
        <v>98</v>
      </c>
      <c r="D107" s="22">
        <f t="shared" si="14"/>
        <v>730.85048799999993</v>
      </c>
      <c r="E107" s="22" t="e">
        <f t="shared" si="15"/>
        <v>#REF!</v>
      </c>
      <c r="F107" s="22">
        <f t="shared" si="35"/>
        <v>274.85887700000001</v>
      </c>
      <c r="G107" s="22">
        <f t="shared" si="35"/>
        <v>364.454609</v>
      </c>
      <c r="H107" s="22">
        <f t="shared" si="35"/>
        <v>0.10278499999999999</v>
      </c>
      <c r="I107" s="22">
        <f t="shared" si="35"/>
        <v>3.3484790000000002</v>
      </c>
      <c r="J107" s="22">
        <f t="shared" si="35"/>
        <v>2.1693089999999997</v>
      </c>
      <c r="K107" s="22">
        <f t="shared" si="16"/>
        <v>5.4312640000000005</v>
      </c>
      <c r="L107" s="22">
        <f t="shared" si="31"/>
        <v>0.40216300000000005</v>
      </c>
      <c r="M107" s="22" t="e">
        <f t="shared" si="32"/>
        <v>#REF!</v>
      </c>
      <c r="N107" s="22">
        <f t="shared" si="33"/>
        <v>4.6772050000000007</v>
      </c>
      <c r="O107" s="22" t="e">
        <f t="shared" si="34"/>
        <v>#REF!</v>
      </c>
      <c r="P107" s="22">
        <f t="shared" si="17"/>
        <v>161.62320600000001</v>
      </c>
      <c r="Q107" s="22">
        <f t="shared" si="18"/>
        <v>0.83393699999999993</v>
      </c>
      <c r="R107" s="22" t="e">
        <f t="shared" si="19"/>
        <v>#REF!</v>
      </c>
      <c r="S107" s="22">
        <f t="shared" si="20"/>
        <v>0.42193699999999995</v>
      </c>
      <c r="T107" s="22">
        <f t="shared" si="21"/>
        <v>0.41200000000000003</v>
      </c>
      <c r="U107" s="22">
        <f t="shared" si="22"/>
        <v>0</v>
      </c>
      <c r="V107" s="22" t="e">
        <f t="shared" si="23"/>
        <v>#REF!</v>
      </c>
      <c r="W107" s="22" t="e">
        <f t="shared" si="24"/>
        <v>#REF!</v>
      </c>
      <c r="X107" s="22" t="e">
        <f t="shared" si="25"/>
        <v>#REF!</v>
      </c>
      <c r="Y107" s="22">
        <f t="shared" si="26"/>
        <v>0</v>
      </c>
      <c r="Z107" s="25" t="e">
        <f t="shared" si="27"/>
        <v>#REF!</v>
      </c>
    </row>
    <row r="108" spans="2:26" s="3" customFormat="1" ht="12" customHeight="1">
      <c r="B108" s="14"/>
      <c r="C108" s="27" t="s">
        <v>4</v>
      </c>
      <c r="D108" s="22">
        <f t="shared" si="14"/>
        <v>4303.1182839999992</v>
      </c>
      <c r="E108" s="22" t="e">
        <f t="shared" si="15"/>
        <v>#REF!</v>
      </c>
      <c r="F108" s="22">
        <f t="shared" si="35"/>
        <v>873.34959500000002</v>
      </c>
      <c r="G108" s="22">
        <f t="shared" si="35"/>
        <v>2509.1032439999999</v>
      </c>
      <c r="H108" s="22">
        <f t="shared" si="35"/>
        <v>28.913694</v>
      </c>
      <c r="I108" s="22">
        <f t="shared" si="35"/>
        <v>186.57916</v>
      </c>
      <c r="J108" s="22">
        <f t="shared" si="35"/>
        <v>25.170710999999997</v>
      </c>
      <c r="K108" s="22">
        <f t="shared" si="16"/>
        <v>36.617274999999992</v>
      </c>
      <c r="L108" s="22">
        <f t="shared" si="31"/>
        <v>-6.6796000000000086</v>
      </c>
      <c r="M108" s="22" t="e">
        <f t="shared" si="32"/>
        <v>#REF!</v>
      </c>
      <c r="N108" s="22">
        <f t="shared" si="33"/>
        <v>33.243671999999997</v>
      </c>
      <c r="O108" s="22" t="e">
        <f t="shared" si="34"/>
        <v>#REF!</v>
      </c>
      <c r="P108" s="22">
        <f t="shared" si="17"/>
        <v>188.940473</v>
      </c>
      <c r="Q108" s="22">
        <f t="shared" si="18"/>
        <v>357.63910599999997</v>
      </c>
      <c r="R108" s="22" t="e">
        <f t="shared" si="19"/>
        <v>#REF!</v>
      </c>
      <c r="S108" s="22">
        <f t="shared" si="20"/>
        <v>119.85572499999999</v>
      </c>
      <c r="T108" s="22">
        <f t="shared" si="21"/>
        <v>102.884207</v>
      </c>
      <c r="U108" s="22">
        <f t="shared" si="22"/>
        <v>0</v>
      </c>
      <c r="V108" s="22" t="e">
        <f t="shared" si="23"/>
        <v>#REF!</v>
      </c>
      <c r="W108" s="22" t="e">
        <f t="shared" si="24"/>
        <v>#REF!</v>
      </c>
      <c r="X108" s="22" t="e">
        <f t="shared" si="25"/>
        <v>#REF!</v>
      </c>
      <c r="Y108" s="22">
        <f t="shared" si="26"/>
        <v>59.959025999999994</v>
      </c>
      <c r="Z108" s="25" t="e">
        <f t="shared" si="27"/>
        <v>#REF!</v>
      </c>
    </row>
    <row r="112" spans="2:26" ht="12" customHeight="1">
      <c r="O112" s="28" t="e">
        <f>P17+O17</f>
        <v>#REF!</v>
      </c>
    </row>
    <row r="113" spans="15:15" ht="12" customHeight="1">
      <c r="O113" s="28" t="e">
        <f t="shared" ref="O113:O176" si="36">P18+O18</f>
        <v>#REF!</v>
      </c>
    </row>
    <row r="114" spans="15:15" ht="12" customHeight="1">
      <c r="O114" s="28" t="e">
        <f t="shared" si="36"/>
        <v>#REF!</v>
      </c>
    </row>
    <row r="115" spans="15:15" ht="12" customHeight="1">
      <c r="O115" s="28" t="e">
        <f t="shared" si="36"/>
        <v>#REF!</v>
      </c>
    </row>
    <row r="116" spans="15:15" ht="12" customHeight="1">
      <c r="O116" s="28" t="e">
        <f t="shared" si="36"/>
        <v>#REF!</v>
      </c>
    </row>
    <row r="117" spans="15:15" ht="12" customHeight="1">
      <c r="O117" s="28" t="e">
        <f t="shared" si="36"/>
        <v>#REF!</v>
      </c>
    </row>
    <row r="118" spans="15:15" ht="12" customHeight="1">
      <c r="O118" s="28" t="e">
        <f t="shared" si="36"/>
        <v>#REF!</v>
      </c>
    </row>
    <row r="119" spans="15:15" ht="12" customHeight="1">
      <c r="O119" s="28" t="e">
        <f t="shared" si="36"/>
        <v>#REF!</v>
      </c>
    </row>
    <row r="120" spans="15:15" ht="12" customHeight="1">
      <c r="O120" s="28" t="e">
        <f t="shared" si="36"/>
        <v>#REF!</v>
      </c>
    </row>
    <row r="121" spans="15:15" ht="12" customHeight="1">
      <c r="O121" s="28" t="e">
        <f t="shared" si="36"/>
        <v>#REF!</v>
      </c>
    </row>
    <row r="122" spans="15:15" ht="12" customHeight="1">
      <c r="O122" s="28" t="e">
        <f t="shared" si="36"/>
        <v>#REF!</v>
      </c>
    </row>
    <row r="123" spans="15:15" ht="12" customHeight="1">
      <c r="O123" s="28" t="e">
        <f t="shared" si="36"/>
        <v>#REF!</v>
      </c>
    </row>
    <row r="124" spans="15:15" ht="12" customHeight="1">
      <c r="O124" s="28" t="e">
        <f t="shared" si="36"/>
        <v>#REF!</v>
      </c>
    </row>
    <row r="125" spans="15:15" ht="12" customHeight="1">
      <c r="O125" s="28" t="e">
        <f t="shared" si="36"/>
        <v>#REF!</v>
      </c>
    </row>
    <row r="126" spans="15:15" ht="12" customHeight="1">
      <c r="O126" s="28" t="e">
        <f t="shared" si="36"/>
        <v>#REF!</v>
      </c>
    </row>
    <row r="127" spans="15:15" ht="12" customHeight="1">
      <c r="O127" s="28" t="e">
        <f t="shared" si="36"/>
        <v>#REF!</v>
      </c>
    </row>
    <row r="128" spans="15:15" ht="12" customHeight="1">
      <c r="O128" s="28" t="e">
        <f t="shared" si="36"/>
        <v>#REF!</v>
      </c>
    </row>
    <row r="129" spans="15:15" ht="12" customHeight="1">
      <c r="O129" s="28" t="e">
        <f t="shared" si="36"/>
        <v>#REF!</v>
      </c>
    </row>
    <row r="130" spans="15:15" ht="12" customHeight="1">
      <c r="O130" s="28" t="e">
        <f t="shared" si="36"/>
        <v>#REF!</v>
      </c>
    </row>
    <row r="131" spans="15:15" ht="12" customHeight="1">
      <c r="O131" s="28" t="e">
        <f t="shared" si="36"/>
        <v>#REF!</v>
      </c>
    </row>
    <row r="132" spans="15:15" ht="12" customHeight="1">
      <c r="O132" s="28" t="e">
        <f t="shared" si="36"/>
        <v>#REF!</v>
      </c>
    </row>
    <row r="133" spans="15:15" ht="12" customHeight="1">
      <c r="O133" s="28" t="e">
        <f t="shared" si="36"/>
        <v>#REF!</v>
      </c>
    </row>
    <row r="134" spans="15:15" ht="12" customHeight="1">
      <c r="O134" s="28" t="e">
        <f t="shared" si="36"/>
        <v>#REF!</v>
      </c>
    </row>
    <row r="135" spans="15:15" ht="12" customHeight="1">
      <c r="O135" s="28" t="e">
        <f t="shared" si="36"/>
        <v>#REF!</v>
      </c>
    </row>
    <row r="136" spans="15:15" ht="12" customHeight="1">
      <c r="O136" s="28" t="e">
        <f t="shared" si="36"/>
        <v>#REF!</v>
      </c>
    </row>
    <row r="137" spans="15:15" ht="12" customHeight="1">
      <c r="O137" s="28" t="e">
        <f t="shared" si="36"/>
        <v>#REF!</v>
      </c>
    </row>
    <row r="138" spans="15:15" ht="12" customHeight="1">
      <c r="O138" s="28" t="e">
        <f t="shared" si="36"/>
        <v>#REF!</v>
      </c>
    </row>
    <row r="139" spans="15:15" ht="12" customHeight="1">
      <c r="O139" s="28" t="e">
        <f t="shared" si="36"/>
        <v>#REF!</v>
      </c>
    </row>
    <row r="140" spans="15:15" ht="12" customHeight="1">
      <c r="O140" s="28" t="e">
        <f t="shared" si="36"/>
        <v>#REF!</v>
      </c>
    </row>
    <row r="141" spans="15:15" ht="12" customHeight="1">
      <c r="O141" s="28" t="e">
        <f t="shared" si="36"/>
        <v>#REF!</v>
      </c>
    </row>
    <row r="142" spans="15:15" ht="12" customHeight="1">
      <c r="O142" s="28" t="e">
        <f t="shared" si="36"/>
        <v>#REF!</v>
      </c>
    </row>
    <row r="143" spans="15:15" ht="12" customHeight="1">
      <c r="O143" s="28" t="e">
        <f t="shared" si="36"/>
        <v>#REF!</v>
      </c>
    </row>
    <row r="144" spans="15:15" ht="12" customHeight="1">
      <c r="O144" s="28" t="e">
        <f t="shared" si="36"/>
        <v>#REF!</v>
      </c>
    </row>
    <row r="145" spans="15:15" ht="12" customHeight="1">
      <c r="O145" s="28" t="e">
        <f t="shared" si="36"/>
        <v>#REF!</v>
      </c>
    </row>
    <row r="146" spans="15:15" ht="12" customHeight="1">
      <c r="O146" s="28">
        <f t="shared" si="36"/>
        <v>0</v>
      </c>
    </row>
    <row r="147" spans="15:15" ht="12" customHeight="1">
      <c r="O147" s="28" t="e">
        <f t="shared" si="36"/>
        <v>#VALUE!</v>
      </c>
    </row>
    <row r="148" spans="15:15" ht="12" customHeight="1">
      <c r="O148" s="28">
        <f t="shared" si="36"/>
        <v>0</v>
      </c>
    </row>
    <row r="149" spans="15:15" ht="12" customHeight="1">
      <c r="O149" s="28">
        <f t="shared" si="36"/>
        <v>0</v>
      </c>
    </row>
    <row r="150" spans="15:15" ht="12" customHeight="1">
      <c r="O150" s="28" t="e">
        <f t="shared" si="36"/>
        <v>#VALUE!</v>
      </c>
    </row>
    <row r="151" spans="15:15" ht="12" customHeight="1">
      <c r="O151" s="28">
        <f t="shared" si="36"/>
        <v>1.3610000000000002</v>
      </c>
    </row>
    <row r="152" spans="15:15" ht="12" customHeight="1">
      <c r="O152" s="28">
        <f t="shared" si="36"/>
        <v>0</v>
      </c>
    </row>
    <row r="153" spans="15:15" ht="12" customHeight="1">
      <c r="O153" s="28">
        <f t="shared" si="36"/>
        <v>0</v>
      </c>
    </row>
    <row r="154" spans="15:15" ht="12" customHeight="1">
      <c r="O154" s="28" t="e">
        <f t="shared" si="36"/>
        <v>#VALUE!</v>
      </c>
    </row>
    <row r="155" spans="15:15" ht="12" customHeight="1">
      <c r="O155" s="28" t="e">
        <f t="shared" si="36"/>
        <v>#REF!</v>
      </c>
    </row>
    <row r="156" spans="15:15" ht="12" customHeight="1">
      <c r="O156" s="28" t="e">
        <f t="shared" si="36"/>
        <v>#REF!</v>
      </c>
    </row>
    <row r="157" spans="15:15" ht="12" customHeight="1">
      <c r="O157" s="28" t="e">
        <f t="shared" si="36"/>
        <v>#REF!</v>
      </c>
    </row>
    <row r="158" spans="15:15" ht="12" customHeight="1">
      <c r="O158" s="28" t="e">
        <f t="shared" si="36"/>
        <v>#REF!</v>
      </c>
    </row>
    <row r="159" spans="15:15" ht="12" customHeight="1">
      <c r="O159" s="28" t="e">
        <f t="shared" si="36"/>
        <v>#REF!</v>
      </c>
    </row>
    <row r="160" spans="15:15" ht="12" customHeight="1">
      <c r="O160" s="28" t="e">
        <f t="shared" si="36"/>
        <v>#REF!</v>
      </c>
    </row>
    <row r="161" spans="15:15" ht="12" customHeight="1">
      <c r="O161" s="28" t="e">
        <f t="shared" si="36"/>
        <v>#REF!</v>
      </c>
    </row>
    <row r="162" spans="15:15" ht="12" customHeight="1">
      <c r="O162" s="28">
        <f t="shared" si="36"/>
        <v>1.3610000000000002</v>
      </c>
    </row>
    <row r="163" spans="15:15" ht="12" customHeight="1">
      <c r="O163" s="28" t="e">
        <f t="shared" si="36"/>
        <v>#REF!</v>
      </c>
    </row>
    <row r="164" spans="15:15" ht="12" customHeight="1">
      <c r="O164" s="28" t="e">
        <f t="shared" si="36"/>
        <v>#REF!</v>
      </c>
    </row>
    <row r="165" spans="15:15" ht="12" customHeight="1">
      <c r="O165" s="28" t="e">
        <f t="shared" si="36"/>
        <v>#REF!</v>
      </c>
    </row>
    <row r="166" spans="15:15" ht="12" customHeight="1">
      <c r="O166" s="28" t="e">
        <f t="shared" si="36"/>
        <v>#REF!</v>
      </c>
    </row>
    <row r="167" spans="15:15" ht="12" customHeight="1">
      <c r="O167" s="28" t="e">
        <f t="shared" si="36"/>
        <v>#REF!</v>
      </c>
    </row>
    <row r="168" spans="15:15" ht="12" customHeight="1">
      <c r="O168" s="28" t="e">
        <f t="shared" si="36"/>
        <v>#REF!</v>
      </c>
    </row>
    <row r="169" spans="15:15" ht="12" customHeight="1">
      <c r="O169" s="28" t="e">
        <f t="shared" si="36"/>
        <v>#REF!</v>
      </c>
    </row>
    <row r="170" spans="15:15" ht="12" customHeight="1">
      <c r="O170" s="28" t="e">
        <f t="shared" si="36"/>
        <v>#REF!</v>
      </c>
    </row>
    <row r="171" spans="15:15" ht="12" customHeight="1">
      <c r="O171" s="28" t="e">
        <f t="shared" si="36"/>
        <v>#REF!</v>
      </c>
    </row>
    <row r="172" spans="15:15" ht="12" customHeight="1">
      <c r="O172" s="28" t="e">
        <f t="shared" si="36"/>
        <v>#REF!</v>
      </c>
    </row>
    <row r="173" spans="15:15" ht="12" customHeight="1">
      <c r="O173" s="28" t="e">
        <f t="shared" si="36"/>
        <v>#REF!</v>
      </c>
    </row>
    <row r="174" spans="15:15" ht="12" customHeight="1">
      <c r="O174" s="28" t="e">
        <f t="shared" si="36"/>
        <v>#REF!</v>
      </c>
    </row>
    <row r="175" spans="15:15" ht="12" customHeight="1">
      <c r="O175" s="28" t="e">
        <f t="shared" si="36"/>
        <v>#REF!</v>
      </c>
    </row>
    <row r="176" spans="15:15" ht="12" customHeight="1">
      <c r="O176" s="28" t="e">
        <f t="shared" si="36"/>
        <v>#REF!</v>
      </c>
    </row>
    <row r="177" spans="15:15" ht="12" customHeight="1">
      <c r="O177" s="28" t="e">
        <f t="shared" ref="O177:O184" si="37">P82+O82</f>
        <v>#REF!</v>
      </c>
    </row>
    <row r="178" spans="15:15" ht="12" customHeight="1">
      <c r="O178" s="28" t="e">
        <f t="shared" si="37"/>
        <v>#REF!</v>
      </c>
    </row>
    <row r="179" spans="15:15" ht="12" customHeight="1">
      <c r="O179" s="28" t="e">
        <f t="shared" si="37"/>
        <v>#REF!</v>
      </c>
    </row>
    <row r="180" spans="15:15" ht="12" customHeight="1">
      <c r="O180" s="28" t="e">
        <f t="shared" si="37"/>
        <v>#REF!</v>
      </c>
    </row>
    <row r="181" spans="15:15" ht="12" customHeight="1">
      <c r="O181" s="28" t="e">
        <f t="shared" si="37"/>
        <v>#REF!</v>
      </c>
    </row>
    <row r="182" spans="15:15" ht="12" customHeight="1">
      <c r="O182" s="28" t="e">
        <f t="shared" si="37"/>
        <v>#REF!</v>
      </c>
    </row>
    <row r="183" spans="15:15" ht="12" customHeight="1">
      <c r="O183" s="28" t="e">
        <f t="shared" si="37"/>
        <v>#REF!</v>
      </c>
    </row>
    <row r="184" spans="15:15" ht="12" customHeight="1">
      <c r="O184" s="28" t="e">
        <f t="shared" si="37"/>
        <v>#REF!</v>
      </c>
    </row>
  </sheetData>
  <mergeCells count="8">
    <mergeCell ref="B70:B74"/>
    <mergeCell ref="B75:B99"/>
    <mergeCell ref="B100:B107"/>
    <mergeCell ref="A2:A11"/>
    <mergeCell ref="A12:A16"/>
    <mergeCell ref="A17:A41"/>
    <mergeCell ref="A42:A49"/>
    <mergeCell ref="B60:B69"/>
  </mergeCells>
  <phoneticPr fontId="36" type="noConversion"/>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60"/>
  <sheetViews>
    <sheetView workbookViewId="0">
      <pane xSplit="3" ySplit="4" topLeftCell="D111" activePane="bottomRight" state="frozen"/>
      <selection pane="topRight"/>
      <selection pane="bottomLeft"/>
      <selection pane="bottomRight" activeCell="D66" sqref="D66:AD66"/>
    </sheetView>
  </sheetViews>
  <sheetFormatPr defaultColWidth="9" defaultRowHeight="13.5"/>
  <cols>
    <col min="1" max="1" width="6" style="74" customWidth="1"/>
    <col min="2" max="2" width="17.375" style="74" customWidth="1"/>
    <col min="3" max="3" width="18" style="74" customWidth="1"/>
    <col min="4" max="4" width="16.375" style="74" customWidth="1"/>
    <col min="5" max="5" width="19.25" style="74" customWidth="1"/>
    <col min="6" max="6" width="18.375" style="74" customWidth="1"/>
    <col min="7" max="7" width="17.25" style="74" customWidth="1"/>
    <col min="8" max="11" width="14.625" style="74" customWidth="1"/>
    <col min="12" max="12" width="17.75" style="74" customWidth="1"/>
    <col min="13" max="14" width="16.75" style="74" customWidth="1"/>
    <col min="15" max="15" width="16.125" style="74" customWidth="1"/>
    <col min="16" max="16" width="15.5" style="74" customWidth="1"/>
    <col min="17" max="17" width="16.125" style="74" customWidth="1"/>
    <col min="18" max="18" width="17.5" style="74" customWidth="1"/>
    <col min="19" max="19" width="16.75" style="74" customWidth="1"/>
    <col min="20" max="20" width="17.25" style="75" customWidth="1"/>
    <col min="21" max="21" width="18.625" style="75" customWidth="1"/>
    <col min="22" max="27" width="17.25" style="75" customWidth="1"/>
    <col min="28" max="28" width="16.125" style="74" customWidth="1"/>
    <col min="29" max="29" width="16.25" style="74" customWidth="1"/>
    <col min="30" max="30" width="10.375" style="74" bestFit="1" customWidth="1"/>
    <col min="31" max="16384" width="9" style="74"/>
  </cols>
  <sheetData>
    <row r="1" spans="1:30" s="72" customFormat="1" ht="21" customHeight="1">
      <c r="A1" s="76" t="s">
        <v>83</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row>
    <row r="2" spans="1:30" ht="14.25" thickBot="1">
      <c r="A2" s="78"/>
      <c r="B2" s="79" t="s">
        <v>84</v>
      </c>
      <c r="C2" s="80" t="s">
        <v>2</v>
      </c>
      <c r="D2" s="78"/>
      <c r="E2" s="78"/>
      <c r="F2" s="78"/>
      <c r="G2" s="78"/>
      <c r="H2" s="78"/>
      <c r="I2" s="78"/>
      <c r="J2" s="78"/>
      <c r="K2" s="78"/>
      <c r="L2" s="78"/>
      <c r="M2" s="78"/>
      <c r="N2" s="78"/>
      <c r="O2" s="89"/>
      <c r="P2" s="89"/>
      <c r="Q2" s="89"/>
      <c r="R2" s="78"/>
      <c r="S2" s="78"/>
      <c r="T2" s="90"/>
      <c r="U2" s="90"/>
      <c r="V2" s="90"/>
      <c r="W2" s="90"/>
      <c r="X2" s="90"/>
      <c r="Y2" s="90"/>
      <c r="Z2" s="90"/>
      <c r="AA2" s="90"/>
      <c r="AB2" s="78"/>
      <c r="AC2" s="78"/>
    </row>
    <row r="3" spans="1:30">
      <c r="A3" s="17" t="s">
        <v>85</v>
      </c>
      <c r="B3" s="18" t="s">
        <v>86</v>
      </c>
      <c r="C3" s="196" t="s">
        <v>4</v>
      </c>
      <c r="D3" s="196" t="s">
        <v>5</v>
      </c>
      <c r="E3" s="196" t="s">
        <v>6</v>
      </c>
      <c r="F3" s="196" t="s">
        <v>7</v>
      </c>
      <c r="G3" s="196" t="s">
        <v>9</v>
      </c>
      <c r="H3" s="196" t="s">
        <v>454</v>
      </c>
      <c r="I3" s="196" t="s">
        <v>10</v>
      </c>
      <c r="J3" s="196" t="s">
        <v>12</v>
      </c>
      <c r="K3" s="196" t="s">
        <v>17</v>
      </c>
      <c r="L3" s="196" t="s">
        <v>453</v>
      </c>
      <c r="M3" s="196" t="s">
        <v>14</v>
      </c>
      <c r="N3" s="196" t="s">
        <v>15</v>
      </c>
      <c r="O3" s="196" t="s">
        <v>11</v>
      </c>
      <c r="P3" s="196" t="s">
        <v>16</v>
      </c>
      <c r="Q3" s="196" t="s">
        <v>452</v>
      </c>
      <c r="R3" s="196" t="s">
        <v>18</v>
      </c>
      <c r="S3" s="196" t="s">
        <v>19</v>
      </c>
      <c r="T3" s="196" t="s">
        <v>424</v>
      </c>
      <c r="U3" s="196" t="s">
        <v>21</v>
      </c>
      <c r="V3" s="196" t="s">
        <v>449</v>
      </c>
      <c r="W3" s="196" t="s">
        <v>450</v>
      </c>
      <c r="X3" s="196" t="s">
        <v>451</v>
      </c>
      <c r="Y3" s="196" t="s">
        <v>25</v>
      </c>
      <c r="Z3" s="196" t="s">
        <v>26</v>
      </c>
      <c r="AA3" s="196" t="s">
        <v>27</v>
      </c>
      <c r="AB3" s="196" t="s">
        <v>28</v>
      </c>
      <c r="AC3" s="196" t="s">
        <v>29</v>
      </c>
      <c r="AD3" s="196" t="s">
        <v>30</v>
      </c>
    </row>
    <row r="4" spans="1:30" ht="13.5" customHeight="1">
      <c r="A4" s="436" t="s">
        <v>87</v>
      </c>
      <c r="B4" s="81" t="s">
        <v>88</v>
      </c>
      <c r="C4" s="301">
        <f>D4+E4+F4+G4+H4+L4+Q4+T4+U4+AC4+AD4</f>
        <v>15820225.74</v>
      </c>
      <c r="D4" s="82">
        <f>费用表原始表!V3</f>
        <v>0</v>
      </c>
      <c r="E4" s="82">
        <f>SUM(费用表原始表!C3:U3)</f>
        <v>3910969.6799999997</v>
      </c>
      <c r="F4" s="82">
        <f>费用表原始表!Z3+费用表原始表!AA3+费用表原始表!AB3+费用表原始表!AE3</f>
        <v>7523158.5599999996</v>
      </c>
      <c r="G4" s="82">
        <f>费用表原始表!AV3</f>
        <v>193035.73</v>
      </c>
      <c r="H4" s="301">
        <f>I4+J4+K4</f>
        <v>745048.31</v>
      </c>
      <c r="I4" s="82">
        <f>费用表原始表!AW3</f>
        <v>228939.03</v>
      </c>
      <c r="J4" s="82">
        <f>费用表原始表!AU3</f>
        <v>181878</v>
      </c>
      <c r="K4" s="82">
        <f>费用表原始表!AI3</f>
        <v>334231.28000000003</v>
      </c>
      <c r="L4" s="301">
        <f>M4+N4+O4+P4</f>
        <v>374682.93</v>
      </c>
      <c r="M4" s="82">
        <f>费用表原始表!AG3</f>
        <v>95505</v>
      </c>
      <c r="N4" s="82">
        <f>费用表原始表!AH3</f>
        <v>138478.93</v>
      </c>
      <c r="O4" s="82">
        <f>费用表原始表!AX3</f>
        <v>84953</v>
      </c>
      <c r="P4" s="82">
        <f>费用表原始表!AL3</f>
        <v>55746</v>
      </c>
      <c r="Q4" s="301">
        <f>R4+S4</f>
        <v>346130.02</v>
      </c>
      <c r="R4" s="82">
        <f>费用表原始表!AK3</f>
        <v>155536.64000000001</v>
      </c>
      <c r="S4" s="82">
        <f>费用表原始表!AJ3</f>
        <v>190593.38</v>
      </c>
      <c r="T4" s="82">
        <f>费用表原始表!AF3</f>
        <v>110067.47</v>
      </c>
      <c r="U4" s="301">
        <f>SUM(V4:AB4)</f>
        <v>1800380.8099999998</v>
      </c>
      <c r="V4" s="82">
        <f>费用表原始表!AN3</f>
        <v>514252.23</v>
      </c>
      <c r="W4" s="82">
        <f>费用表原始表!AO3</f>
        <v>683215.42</v>
      </c>
      <c r="X4" s="82">
        <f>费用表原始表!AP3</f>
        <v>277809.46000000002</v>
      </c>
      <c r="Y4" s="82">
        <f>费用表原始表!AQ3</f>
        <v>108398</v>
      </c>
      <c r="Z4" s="82">
        <f>费用表原始表!AR3</f>
        <v>127984.7</v>
      </c>
      <c r="AA4" s="82">
        <f>费用表原始表!AS3</f>
        <v>88721</v>
      </c>
      <c r="AB4" s="82">
        <f>费用表原始表!AT3</f>
        <v>0</v>
      </c>
      <c r="AC4" s="82">
        <f>费用表原始表!AM3</f>
        <v>381629</v>
      </c>
      <c r="AD4" s="82">
        <f>费用表原始表!AD3</f>
        <v>435123.23</v>
      </c>
    </row>
    <row r="5" spans="1:30">
      <c r="A5" s="437"/>
      <c r="B5" s="81" t="s">
        <v>89</v>
      </c>
      <c r="C5" s="301">
        <f t="shared" ref="C5:C51" si="0">D5+E5+F5+G5+H5+L5+Q5+T5+U5+AC5+AD5</f>
        <v>165192.29999999999</v>
      </c>
      <c r="D5" s="82">
        <f>费用表原始表!V4</f>
        <v>0</v>
      </c>
      <c r="E5" s="82">
        <f>SUM(费用表原始表!C4:U4)</f>
        <v>75703.989999999991</v>
      </c>
      <c r="F5" s="82">
        <f>费用表原始表!Z4+费用表原始表!AA4+费用表原始表!AB4+费用表原始表!AE4</f>
        <v>30079.81</v>
      </c>
      <c r="G5" s="82">
        <f>费用表原始表!AV4</f>
        <v>6370</v>
      </c>
      <c r="H5" s="301">
        <f t="shared" ref="H5:H51" si="1">I5+J5+K5</f>
        <v>7945</v>
      </c>
      <c r="I5" s="82">
        <f>费用表原始表!AW4</f>
        <v>6125</v>
      </c>
      <c r="J5" s="82">
        <f>费用表原始表!AU4</f>
        <v>0</v>
      </c>
      <c r="K5" s="82">
        <f>费用表原始表!AI4</f>
        <v>1820</v>
      </c>
      <c r="L5" s="301">
        <f t="shared" ref="L5:L51" si="2">M5+N5+O5+P5</f>
        <v>-133.47999999999999</v>
      </c>
      <c r="M5" s="82">
        <f>费用表原始表!AG4</f>
        <v>0</v>
      </c>
      <c r="N5" s="82">
        <f>费用表原始表!AH4</f>
        <v>-133.47999999999999</v>
      </c>
      <c r="O5" s="82">
        <f>费用表原始表!AX4</f>
        <v>0</v>
      </c>
      <c r="P5" s="82">
        <f>费用表原始表!AL4</f>
        <v>0</v>
      </c>
      <c r="Q5" s="301">
        <f t="shared" ref="Q5:Q51" si="3">R5+S5</f>
        <v>770</v>
      </c>
      <c r="R5" s="82">
        <f>费用表原始表!AK4</f>
        <v>770</v>
      </c>
      <c r="S5" s="82">
        <f>费用表原始表!AJ4</f>
        <v>0</v>
      </c>
      <c r="T5" s="82">
        <f>费用表原始表!AF4</f>
        <v>35</v>
      </c>
      <c r="U5" s="301">
        <f t="shared" ref="U5:U51" si="4">SUM(V5:AB5)</f>
        <v>24341.41</v>
      </c>
      <c r="V5" s="82">
        <f>费用表原始表!AN4</f>
        <v>13436.41</v>
      </c>
      <c r="W5" s="82">
        <f>费用表原始表!AO4</f>
        <v>6055</v>
      </c>
      <c r="X5" s="82">
        <f>费用表原始表!AP4</f>
        <v>3675</v>
      </c>
      <c r="Y5" s="82">
        <f>费用表原始表!AQ4</f>
        <v>875</v>
      </c>
      <c r="Z5" s="82">
        <f>费用表原始表!AR4</f>
        <v>300</v>
      </c>
      <c r="AA5" s="82">
        <f>费用表原始表!AS4</f>
        <v>0</v>
      </c>
      <c r="AB5" s="82">
        <f>费用表原始表!AT4</f>
        <v>0</v>
      </c>
      <c r="AC5" s="82">
        <f>费用表原始表!AM4</f>
        <v>12949.89</v>
      </c>
      <c r="AD5" s="82">
        <f>费用表原始表!AD4</f>
        <v>7130.68</v>
      </c>
    </row>
    <row r="6" spans="1:30">
      <c r="A6" s="437"/>
      <c r="B6" s="81" t="s">
        <v>90</v>
      </c>
      <c r="C6" s="301">
        <f t="shared" si="0"/>
        <v>372321.19999999995</v>
      </c>
      <c r="D6" s="82">
        <f>费用表原始表!V5</f>
        <v>0</v>
      </c>
      <c r="E6" s="82">
        <f>SUM(费用表原始表!C5:U5)</f>
        <v>78823.350000000006</v>
      </c>
      <c r="F6" s="82">
        <f>费用表原始表!Z5+费用表原始表!AA5+费用表原始表!AB5+费用表原始表!AE5</f>
        <v>205372.71</v>
      </c>
      <c r="G6" s="82">
        <f>费用表原始表!AV5</f>
        <v>3860.71</v>
      </c>
      <c r="H6" s="301">
        <f t="shared" si="1"/>
        <v>14984.96</v>
      </c>
      <c r="I6" s="82">
        <f>费用表原始表!AW5</f>
        <v>4578.78</v>
      </c>
      <c r="J6" s="82">
        <f>费用表原始表!AU5</f>
        <v>3721.56</v>
      </c>
      <c r="K6" s="82">
        <f>费用表原始表!AI5</f>
        <v>6684.62</v>
      </c>
      <c r="L6" s="301">
        <f t="shared" si="2"/>
        <v>7535.66</v>
      </c>
      <c r="M6" s="82">
        <f>费用表原始表!AG5</f>
        <v>1910.1</v>
      </c>
      <c r="N6" s="82">
        <f>费用表原始表!AH5</f>
        <v>2769.58</v>
      </c>
      <c r="O6" s="82">
        <f>费用表原始表!AX5</f>
        <v>1741.06</v>
      </c>
      <c r="P6" s="82">
        <f>费用表原始表!AL5</f>
        <v>1114.92</v>
      </c>
      <c r="Q6" s="301">
        <f t="shared" si="3"/>
        <v>6922.6</v>
      </c>
      <c r="R6" s="82">
        <f>费用表原始表!AK5</f>
        <v>3110.73</v>
      </c>
      <c r="S6" s="82">
        <f>费用表原始表!AJ5</f>
        <v>3811.87</v>
      </c>
      <c r="T6" s="82">
        <f>费用表原始表!AF5</f>
        <v>2201.35</v>
      </c>
      <c r="U6" s="301">
        <f t="shared" si="4"/>
        <v>36007.609999999993</v>
      </c>
      <c r="V6" s="82">
        <f>费用表原始表!AN5</f>
        <v>10285.040000000001</v>
      </c>
      <c r="W6" s="82">
        <f>费用表原始表!AO5</f>
        <v>13664.31</v>
      </c>
      <c r="X6" s="82">
        <f>费用表原始表!AP5</f>
        <v>5556.19</v>
      </c>
      <c r="Y6" s="82">
        <f>费用表原始表!AQ5</f>
        <v>2167.96</v>
      </c>
      <c r="Z6" s="82">
        <f>费用表原始表!AR5</f>
        <v>2559.69</v>
      </c>
      <c r="AA6" s="82">
        <f>费用表原始表!AS5</f>
        <v>1774.42</v>
      </c>
      <c r="AB6" s="82">
        <f>费用表原始表!AT5</f>
        <v>0</v>
      </c>
      <c r="AC6" s="82">
        <f>费用表原始表!AM5</f>
        <v>7632.58</v>
      </c>
      <c r="AD6" s="82">
        <f>费用表原始表!AD5</f>
        <v>8979.67</v>
      </c>
    </row>
    <row r="7" spans="1:30">
      <c r="A7" s="437"/>
      <c r="B7" s="81" t="s">
        <v>91</v>
      </c>
      <c r="C7" s="301">
        <f t="shared" si="0"/>
        <v>86914.939999999988</v>
      </c>
      <c r="D7" s="82">
        <f>费用表原始表!V6</f>
        <v>0</v>
      </c>
      <c r="E7" s="82">
        <f>SUM(费用表原始表!C6:U6)</f>
        <v>0</v>
      </c>
      <c r="F7" s="82">
        <f>费用表原始表!Z6+费用表原始表!AA6+费用表原始表!AB6+费用表原始表!AE6</f>
        <v>73997.42</v>
      </c>
      <c r="G7" s="82">
        <f>费用表原始表!AV6</f>
        <v>2229.92</v>
      </c>
      <c r="H7" s="301">
        <f t="shared" si="1"/>
        <v>0</v>
      </c>
      <c r="I7" s="82">
        <f>费用表原始表!AW6</f>
        <v>0</v>
      </c>
      <c r="J7" s="82">
        <f>费用表原始表!AU6</f>
        <v>0</v>
      </c>
      <c r="K7" s="82">
        <f>费用表原始表!AI6</f>
        <v>0</v>
      </c>
      <c r="L7" s="301">
        <f t="shared" si="2"/>
        <v>0</v>
      </c>
      <c r="M7" s="82">
        <f>费用表原始表!AG6</f>
        <v>0</v>
      </c>
      <c r="N7" s="82">
        <f>费用表原始表!AH6</f>
        <v>0</v>
      </c>
      <c r="O7" s="82">
        <f>费用表原始表!AX6</f>
        <v>0</v>
      </c>
      <c r="P7" s="82">
        <f>费用表原始表!AL6</f>
        <v>0</v>
      </c>
      <c r="Q7" s="301">
        <f t="shared" si="3"/>
        <v>3615.53</v>
      </c>
      <c r="R7" s="82">
        <f>费用表原始表!AK6</f>
        <v>3615.53</v>
      </c>
      <c r="S7" s="82">
        <f>费用表原始表!AJ6</f>
        <v>0</v>
      </c>
      <c r="T7" s="82">
        <f>费用表原始表!AF6</f>
        <v>0</v>
      </c>
      <c r="U7" s="301">
        <f t="shared" si="4"/>
        <v>1202.92</v>
      </c>
      <c r="V7" s="82">
        <f>费用表原始表!AN6</f>
        <v>0</v>
      </c>
      <c r="W7" s="82">
        <f>费用表原始表!AO6</f>
        <v>1202.92</v>
      </c>
      <c r="X7" s="82">
        <f>费用表原始表!AP6</f>
        <v>0</v>
      </c>
      <c r="Y7" s="82">
        <f>费用表原始表!AQ6</f>
        <v>0</v>
      </c>
      <c r="Z7" s="82">
        <f>费用表原始表!AR6</f>
        <v>0</v>
      </c>
      <c r="AA7" s="82">
        <f>费用表原始表!AS6</f>
        <v>0</v>
      </c>
      <c r="AB7" s="82">
        <f>费用表原始表!AT6</f>
        <v>0</v>
      </c>
      <c r="AC7" s="82">
        <f>费用表原始表!AM6</f>
        <v>3092.51</v>
      </c>
      <c r="AD7" s="82">
        <f>费用表原始表!AD6</f>
        <v>2776.64</v>
      </c>
    </row>
    <row r="8" spans="1:30">
      <c r="A8" s="437"/>
      <c r="B8" s="81" t="s">
        <v>92</v>
      </c>
      <c r="C8" s="301">
        <f t="shared" si="0"/>
        <v>5256974.169999999</v>
      </c>
      <c r="D8" s="82">
        <f>费用表原始表!V7</f>
        <v>0</v>
      </c>
      <c r="E8" s="82">
        <f>SUM(费用表原始表!C7:U7)</f>
        <v>1329365.45</v>
      </c>
      <c r="F8" s="82">
        <f>费用表原始表!Z7+费用表原始表!AA7+费用表原始表!AB7+费用表原始表!AE7</f>
        <v>2478107.06</v>
      </c>
      <c r="G8" s="82">
        <f>费用表原始表!AV7</f>
        <v>80750.13</v>
      </c>
      <c r="H8" s="301">
        <f t="shared" si="1"/>
        <v>209721</v>
      </c>
      <c r="I8" s="82">
        <f>费用表原始表!AW7</f>
        <v>83952.24</v>
      </c>
      <c r="J8" s="82">
        <f>费用表原始表!AU7</f>
        <v>46694.28</v>
      </c>
      <c r="K8" s="82">
        <f>费用表原始表!AI7</f>
        <v>79074.48</v>
      </c>
      <c r="L8" s="301">
        <f t="shared" si="2"/>
        <v>113351.88</v>
      </c>
      <c r="M8" s="82">
        <f>费用表原始表!AG7</f>
        <v>25324.639999999999</v>
      </c>
      <c r="N8" s="82">
        <f>费用表原始表!AH7</f>
        <v>41954.86</v>
      </c>
      <c r="O8" s="82">
        <f>费用表原始表!AX7</f>
        <v>29608.79</v>
      </c>
      <c r="P8" s="82">
        <f>费用表原始表!AL7</f>
        <v>16463.59</v>
      </c>
      <c r="Q8" s="301">
        <f t="shared" si="3"/>
        <v>94724.31</v>
      </c>
      <c r="R8" s="82">
        <f>费用表原始表!AK7</f>
        <v>45855.77</v>
      </c>
      <c r="S8" s="82">
        <f>费用表原始表!AJ7</f>
        <v>48868.54</v>
      </c>
      <c r="T8" s="82">
        <f>费用表原始表!AF7</f>
        <v>41628.14</v>
      </c>
      <c r="U8" s="301">
        <f t="shared" si="4"/>
        <v>613278.5</v>
      </c>
      <c r="V8" s="82">
        <f>费用表原始表!AN7</f>
        <v>194197.99</v>
      </c>
      <c r="W8" s="82">
        <f>费用表原始表!AO7</f>
        <v>195078.33</v>
      </c>
      <c r="X8" s="82">
        <f>费用表原始表!AP7</f>
        <v>98682.86</v>
      </c>
      <c r="Y8" s="82">
        <f>费用表原始表!AQ7</f>
        <v>41883.879999999997</v>
      </c>
      <c r="Z8" s="82">
        <f>费用表原始表!AR7</f>
        <v>50806.76</v>
      </c>
      <c r="AA8" s="82">
        <f>费用表原始表!AS7</f>
        <v>32628.68</v>
      </c>
      <c r="AB8" s="82">
        <f>费用表原始表!AT7</f>
        <v>0</v>
      </c>
      <c r="AC8" s="82">
        <f>费用表原始表!AM7</f>
        <v>134805.4</v>
      </c>
      <c r="AD8" s="82">
        <f>费用表原始表!AD7</f>
        <v>161242.29999999999</v>
      </c>
    </row>
    <row r="9" spans="1:30">
      <c r="A9" s="437"/>
      <c r="B9" s="81" t="s">
        <v>93</v>
      </c>
      <c r="C9" s="301">
        <f t="shared" si="0"/>
        <v>0</v>
      </c>
      <c r="D9" s="82">
        <f>费用表原始表!V8</f>
        <v>0</v>
      </c>
      <c r="E9" s="82">
        <f>SUM(费用表原始表!C8:U8)</f>
        <v>0</v>
      </c>
      <c r="F9" s="82">
        <f>费用表原始表!Z8+费用表原始表!AA8+费用表原始表!AB8+费用表原始表!AE8</f>
        <v>0</v>
      </c>
      <c r="G9" s="82">
        <f>费用表原始表!AV8</f>
        <v>0</v>
      </c>
      <c r="H9" s="301">
        <f t="shared" si="1"/>
        <v>0</v>
      </c>
      <c r="I9" s="82">
        <f>费用表原始表!AW8</f>
        <v>0</v>
      </c>
      <c r="J9" s="82">
        <f>费用表原始表!AU8</f>
        <v>0</v>
      </c>
      <c r="K9" s="82">
        <f>费用表原始表!AI8</f>
        <v>0</v>
      </c>
      <c r="L9" s="301">
        <f t="shared" si="2"/>
        <v>0</v>
      </c>
      <c r="M9" s="82">
        <f>费用表原始表!AG8</f>
        <v>0</v>
      </c>
      <c r="N9" s="82">
        <f>费用表原始表!AH8</f>
        <v>0</v>
      </c>
      <c r="O9" s="82">
        <f>费用表原始表!AX8</f>
        <v>0</v>
      </c>
      <c r="P9" s="82">
        <f>费用表原始表!AL8</f>
        <v>0</v>
      </c>
      <c r="Q9" s="301">
        <f t="shared" si="3"/>
        <v>0</v>
      </c>
      <c r="R9" s="82">
        <f>费用表原始表!AK8</f>
        <v>0</v>
      </c>
      <c r="S9" s="82">
        <f>费用表原始表!AJ8</f>
        <v>0</v>
      </c>
      <c r="T9" s="82">
        <f>费用表原始表!AF8</f>
        <v>0</v>
      </c>
      <c r="U9" s="301">
        <f t="shared" si="4"/>
        <v>0</v>
      </c>
      <c r="V9" s="82">
        <f>费用表原始表!AN8</f>
        <v>0</v>
      </c>
      <c r="W9" s="82">
        <f>费用表原始表!AO8</f>
        <v>0</v>
      </c>
      <c r="X9" s="82">
        <f>费用表原始表!AP8</f>
        <v>0</v>
      </c>
      <c r="Y9" s="82">
        <f>费用表原始表!AQ8</f>
        <v>0</v>
      </c>
      <c r="Z9" s="82">
        <f>费用表原始表!AR8</f>
        <v>0</v>
      </c>
      <c r="AA9" s="82">
        <f>费用表原始表!AS8</f>
        <v>0</v>
      </c>
      <c r="AB9" s="82">
        <f>费用表原始表!AT8</f>
        <v>0</v>
      </c>
      <c r="AC9" s="82">
        <f>费用表原始表!AM8</f>
        <v>0</v>
      </c>
      <c r="AD9" s="82">
        <f>费用表原始表!AD8</f>
        <v>0</v>
      </c>
    </row>
    <row r="10" spans="1:30">
      <c r="A10" s="437"/>
      <c r="B10" s="81" t="s">
        <v>94</v>
      </c>
      <c r="C10" s="301">
        <f t="shared" si="0"/>
        <v>30905.78</v>
      </c>
      <c r="D10" s="82">
        <f>费用表原始表!V9</f>
        <v>0</v>
      </c>
      <c r="E10" s="82">
        <f>SUM(费用表原始表!C9:U9)</f>
        <v>-1575.5</v>
      </c>
      <c r="F10" s="82">
        <f>费用表原始表!Z9+费用表原始表!AA9+费用表原始表!AB9+费用表原始表!AE9</f>
        <v>35632.28</v>
      </c>
      <c r="G10" s="82">
        <f>费用表原始表!AV9</f>
        <v>0</v>
      </c>
      <c r="H10" s="301">
        <f t="shared" si="1"/>
        <v>0</v>
      </c>
      <c r="I10" s="82">
        <f>费用表原始表!AW9</f>
        <v>0</v>
      </c>
      <c r="J10" s="82">
        <f>费用表原始表!AU9</f>
        <v>0</v>
      </c>
      <c r="K10" s="82">
        <f>费用表原始表!AI9</f>
        <v>0</v>
      </c>
      <c r="L10" s="301">
        <f t="shared" si="2"/>
        <v>0</v>
      </c>
      <c r="M10" s="82">
        <f>费用表原始表!AG9</f>
        <v>0</v>
      </c>
      <c r="N10" s="82">
        <f>费用表原始表!AH9</f>
        <v>0</v>
      </c>
      <c r="O10" s="82">
        <f>费用表原始表!AX9</f>
        <v>0</v>
      </c>
      <c r="P10" s="82">
        <f>费用表原始表!AL9</f>
        <v>0</v>
      </c>
      <c r="Q10" s="301">
        <f t="shared" si="3"/>
        <v>0</v>
      </c>
      <c r="R10" s="82">
        <f>费用表原始表!AK9</f>
        <v>0</v>
      </c>
      <c r="S10" s="82">
        <f>费用表原始表!AJ9</f>
        <v>0</v>
      </c>
      <c r="T10" s="82">
        <f>费用表原始表!AF9</f>
        <v>0</v>
      </c>
      <c r="U10" s="301">
        <f t="shared" si="4"/>
        <v>-3151</v>
      </c>
      <c r="V10" s="82">
        <f>费用表原始表!AN9</f>
        <v>0</v>
      </c>
      <c r="W10" s="82">
        <f>费用表原始表!AO9</f>
        <v>-3151</v>
      </c>
      <c r="X10" s="82">
        <f>费用表原始表!AP9</f>
        <v>0</v>
      </c>
      <c r="Y10" s="82">
        <f>费用表原始表!AQ9</f>
        <v>0</v>
      </c>
      <c r="Z10" s="82">
        <f>费用表原始表!AR9</f>
        <v>0</v>
      </c>
      <c r="AA10" s="82">
        <f>费用表原始表!AS9</f>
        <v>0</v>
      </c>
      <c r="AB10" s="82">
        <f>费用表原始表!AT9</f>
        <v>0</v>
      </c>
      <c r="AC10" s="82">
        <f>费用表原始表!AM9</f>
        <v>0</v>
      </c>
      <c r="AD10" s="82">
        <f>费用表原始表!AD9</f>
        <v>0</v>
      </c>
    </row>
    <row r="11" spans="1:30">
      <c r="A11" s="437"/>
      <c r="B11" s="81" t="s">
        <v>95</v>
      </c>
      <c r="C11" s="301">
        <f t="shared" si="0"/>
        <v>196163.11</v>
      </c>
      <c r="D11" s="82">
        <f>费用表原始表!V10</f>
        <v>0</v>
      </c>
      <c r="E11" s="82">
        <f>SUM(费用表原始表!C10:U10)</f>
        <v>28276.9</v>
      </c>
      <c r="F11" s="82">
        <f>费用表原始表!Z10+费用表原始表!AA10+费用表原始表!AB10+费用表原始表!AE10</f>
        <v>147726.21</v>
      </c>
      <c r="G11" s="82">
        <f>费用表原始表!AV10</f>
        <v>0</v>
      </c>
      <c r="H11" s="301">
        <f t="shared" si="1"/>
        <v>4200</v>
      </c>
      <c r="I11" s="82">
        <f>费用表原始表!AW10</f>
        <v>0</v>
      </c>
      <c r="J11" s="82">
        <f>费用表原始表!AU10</f>
        <v>4200</v>
      </c>
      <c r="K11" s="82">
        <f>费用表原始表!AI10</f>
        <v>0</v>
      </c>
      <c r="L11" s="301">
        <f t="shared" si="2"/>
        <v>2100</v>
      </c>
      <c r="M11" s="82">
        <f>费用表原始表!AG10</f>
        <v>0</v>
      </c>
      <c r="N11" s="82">
        <f>费用表原始表!AH10</f>
        <v>0</v>
      </c>
      <c r="O11" s="82">
        <f>费用表原始表!AX10</f>
        <v>2100</v>
      </c>
      <c r="P11" s="82">
        <f>费用表原始表!AL10</f>
        <v>0</v>
      </c>
      <c r="Q11" s="301">
        <f t="shared" si="3"/>
        <v>0</v>
      </c>
      <c r="R11" s="82">
        <f>费用表原始表!AK10</f>
        <v>0</v>
      </c>
      <c r="S11" s="82">
        <f>费用表原始表!AJ10</f>
        <v>0</v>
      </c>
      <c r="T11" s="82">
        <f>费用表原始表!AF10</f>
        <v>0</v>
      </c>
      <c r="U11" s="301">
        <f t="shared" si="4"/>
        <v>0</v>
      </c>
      <c r="V11" s="82">
        <f>费用表原始表!AN10</f>
        <v>0</v>
      </c>
      <c r="W11" s="82">
        <f>费用表原始表!AO10</f>
        <v>0</v>
      </c>
      <c r="X11" s="82">
        <f>费用表原始表!AP10</f>
        <v>0</v>
      </c>
      <c r="Y11" s="82">
        <f>费用表原始表!AQ10</f>
        <v>0</v>
      </c>
      <c r="Z11" s="82">
        <f>费用表原始表!AR10</f>
        <v>0</v>
      </c>
      <c r="AA11" s="82">
        <f>费用表原始表!AS10</f>
        <v>0</v>
      </c>
      <c r="AB11" s="82">
        <f>费用表原始表!AT10</f>
        <v>0</v>
      </c>
      <c r="AC11" s="82">
        <f>费用表原始表!AM10</f>
        <v>0</v>
      </c>
      <c r="AD11" s="82">
        <f>费用表原始表!AD10</f>
        <v>13860</v>
      </c>
    </row>
    <row r="12" spans="1:30">
      <c r="A12" s="437"/>
      <c r="B12" s="81" t="s">
        <v>96</v>
      </c>
      <c r="C12" s="301">
        <f t="shared" si="0"/>
        <v>407339.86</v>
      </c>
      <c r="D12" s="82">
        <f>费用表原始表!V11</f>
        <v>0</v>
      </c>
      <c r="E12" s="82">
        <f>SUM(费用表原始表!C11:U11)</f>
        <v>157779.51</v>
      </c>
      <c r="F12" s="82">
        <f>费用表原始表!Z11+费用表原始表!AA11+费用表原始表!AB11+费用表原始表!AE11</f>
        <v>0</v>
      </c>
      <c r="G12" s="82">
        <f>费用表原始表!AV11</f>
        <v>0</v>
      </c>
      <c r="H12" s="301">
        <f t="shared" si="1"/>
        <v>0</v>
      </c>
      <c r="I12" s="82">
        <f>费用表原始表!AW11</f>
        <v>0</v>
      </c>
      <c r="J12" s="82">
        <f>费用表原始表!AU11</f>
        <v>0</v>
      </c>
      <c r="K12" s="82">
        <f>费用表原始表!AI11</f>
        <v>0</v>
      </c>
      <c r="L12" s="301">
        <f t="shared" si="2"/>
        <v>0</v>
      </c>
      <c r="M12" s="82">
        <f>费用表原始表!AG11</f>
        <v>0</v>
      </c>
      <c r="N12" s="82">
        <f>费用表原始表!AH11</f>
        <v>0</v>
      </c>
      <c r="O12" s="82">
        <f>费用表原始表!AX11</f>
        <v>0</v>
      </c>
      <c r="P12" s="82">
        <f>费用表原始表!AL11</f>
        <v>0</v>
      </c>
      <c r="Q12" s="301">
        <f t="shared" si="3"/>
        <v>0</v>
      </c>
      <c r="R12" s="82">
        <f>费用表原始表!AK11</f>
        <v>0</v>
      </c>
      <c r="S12" s="82">
        <f>费用表原始表!AJ11</f>
        <v>0</v>
      </c>
      <c r="T12" s="82">
        <f>费用表原始表!AF11</f>
        <v>34730.089999999997</v>
      </c>
      <c r="U12" s="301">
        <f t="shared" si="4"/>
        <v>0</v>
      </c>
      <c r="V12" s="82">
        <f>费用表原始表!AN11</f>
        <v>0</v>
      </c>
      <c r="W12" s="82">
        <f>费用表原始表!AO11</f>
        <v>0</v>
      </c>
      <c r="X12" s="82">
        <f>费用表原始表!AP11</f>
        <v>0</v>
      </c>
      <c r="Y12" s="82">
        <f>费用表原始表!AQ11</f>
        <v>0</v>
      </c>
      <c r="Z12" s="82">
        <f>费用表原始表!AR11</f>
        <v>0</v>
      </c>
      <c r="AA12" s="82">
        <f>费用表原始表!AS11</f>
        <v>0</v>
      </c>
      <c r="AB12" s="82">
        <f>费用表原始表!AT11</f>
        <v>0</v>
      </c>
      <c r="AC12" s="82">
        <f>费用表原始表!AM11</f>
        <v>10199.4</v>
      </c>
      <c r="AD12" s="82">
        <f>费用表原始表!AD11</f>
        <v>204630.86</v>
      </c>
    </row>
    <row r="13" spans="1:30">
      <c r="A13" s="437"/>
      <c r="B13" s="81" t="s">
        <v>97</v>
      </c>
      <c r="C13" s="301">
        <f t="shared" si="0"/>
        <v>0</v>
      </c>
      <c r="D13" s="82">
        <f>费用表原始表!V12</f>
        <v>0</v>
      </c>
      <c r="E13" s="82">
        <f>SUM(费用表原始表!C12:U12)</f>
        <v>0</v>
      </c>
      <c r="F13" s="82">
        <f>费用表原始表!Z12+费用表原始表!AA12+费用表原始表!AB12+费用表原始表!AE12</f>
        <v>0</v>
      </c>
      <c r="G13" s="82">
        <f>费用表原始表!AV12</f>
        <v>0</v>
      </c>
      <c r="H13" s="301">
        <f t="shared" si="1"/>
        <v>0</v>
      </c>
      <c r="I13" s="82">
        <f>费用表原始表!AW12</f>
        <v>0</v>
      </c>
      <c r="J13" s="82">
        <f>费用表原始表!AU12</f>
        <v>0</v>
      </c>
      <c r="K13" s="82">
        <f>费用表原始表!AI12</f>
        <v>0</v>
      </c>
      <c r="L13" s="301">
        <f t="shared" si="2"/>
        <v>0</v>
      </c>
      <c r="M13" s="82">
        <f>费用表原始表!AG12</f>
        <v>0</v>
      </c>
      <c r="N13" s="82">
        <f>费用表原始表!AH12</f>
        <v>0</v>
      </c>
      <c r="O13" s="82">
        <f>费用表原始表!AX12</f>
        <v>0</v>
      </c>
      <c r="P13" s="82">
        <f>费用表原始表!AL12</f>
        <v>0</v>
      </c>
      <c r="Q13" s="301">
        <f t="shared" si="3"/>
        <v>0</v>
      </c>
      <c r="R13" s="82">
        <f>费用表原始表!AK12</f>
        <v>0</v>
      </c>
      <c r="S13" s="82">
        <f>费用表原始表!AJ12</f>
        <v>0</v>
      </c>
      <c r="T13" s="82">
        <f>费用表原始表!AF12</f>
        <v>0</v>
      </c>
      <c r="U13" s="301">
        <f t="shared" si="4"/>
        <v>0</v>
      </c>
      <c r="V13" s="82">
        <f>费用表原始表!AN12</f>
        <v>0</v>
      </c>
      <c r="W13" s="82">
        <f>费用表原始表!AO12</f>
        <v>0</v>
      </c>
      <c r="X13" s="82">
        <f>费用表原始表!AP12</f>
        <v>0</v>
      </c>
      <c r="Y13" s="82">
        <f>费用表原始表!AQ12</f>
        <v>0</v>
      </c>
      <c r="Z13" s="82">
        <f>费用表原始表!AR12</f>
        <v>0</v>
      </c>
      <c r="AA13" s="82">
        <f>费用表原始表!AS12</f>
        <v>0</v>
      </c>
      <c r="AB13" s="82">
        <f>费用表原始表!AT12</f>
        <v>0</v>
      </c>
      <c r="AC13" s="82">
        <f>费用表原始表!AM12</f>
        <v>0</v>
      </c>
      <c r="AD13" s="82">
        <f>费用表原始表!AD12</f>
        <v>0</v>
      </c>
    </row>
    <row r="14" spans="1:30">
      <c r="A14" s="438"/>
      <c r="B14" s="83" t="s">
        <v>98</v>
      </c>
      <c r="C14" s="301">
        <f t="shared" si="0"/>
        <v>22336037.100000005</v>
      </c>
      <c r="D14" s="82">
        <f>费用表原始表!V13</f>
        <v>0</v>
      </c>
      <c r="E14" s="82">
        <f>SUM(费用表原始表!C13:U13)</f>
        <v>5579343.3800000018</v>
      </c>
      <c r="F14" s="82">
        <f>费用表原始表!Z13+费用表原始表!AA13+费用表原始表!AB13+费用表原始表!AE13</f>
        <v>10494074.050000001</v>
      </c>
      <c r="G14" s="82">
        <f>费用表原始表!AV13</f>
        <v>286246.49</v>
      </c>
      <c r="H14" s="301">
        <f t="shared" si="1"/>
        <v>981899.27</v>
      </c>
      <c r="I14" s="82">
        <f>费用表原始表!AW13</f>
        <v>323595.05</v>
      </c>
      <c r="J14" s="82">
        <f>费用表原始表!AU13</f>
        <v>236493.84</v>
      </c>
      <c r="K14" s="82">
        <f>费用表原始表!AI13</f>
        <v>421810.38</v>
      </c>
      <c r="L14" s="301">
        <f t="shared" si="2"/>
        <v>497536.99</v>
      </c>
      <c r="M14" s="82">
        <f>费用表原始表!AG13</f>
        <v>122739.74</v>
      </c>
      <c r="N14" s="82">
        <f>费用表原始表!AH13</f>
        <v>183069.89</v>
      </c>
      <c r="O14" s="82">
        <f>费用表原始表!AX13</f>
        <v>118402.85</v>
      </c>
      <c r="P14" s="82">
        <f>费用表原始表!AL13</f>
        <v>73324.509999999995</v>
      </c>
      <c r="Q14" s="301">
        <f t="shared" si="3"/>
        <v>452162.46</v>
      </c>
      <c r="R14" s="82">
        <f>费用表原始表!AK13</f>
        <v>208888.67</v>
      </c>
      <c r="S14" s="82">
        <f>费用表原始表!AJ13</f>
        <v>243273.79</v>
      </c>
      <c r="T14" s="82">
        <f>费用表原始表!AF13</f>
        <v>188662.05</v>
      </c>
      <c r="U14" s="301">
        <f t="shared" si="4"/>
        <v>2472060.25</v>
      </c>
      <c r="V14" s="82">
        <f>费用表原始表!AN13</f>
        <v>732171.67</v>
      </c>
      <c r="W14" s="82">
        <f>费用表原始表!AO13</f>
        <v>896064.98</v>
      </c>
      <c r="X14" s="82">
        <f>费用表原始表!AP13</f>
        <v>385723.51</v>
      </c>
      <c r="Y14" s="82">
        <f>费用表原始表!AQ13</f>
        <v>153324.84</v>
      </c>
      <c r="Z14" s="82">
        <f>费用表原始表!AR13</f>
        <v>181651.15</v>
      </c>
      <c r="AA14" s="82">
        <f>费用表原始表!AS13</f>
        <v>123124.1</v>
      </c>
      <c r="AB14" s="82">
        <f>费用表原始表!AT13</f>
        <v>0</v>
      </c>
      <c r="AC14" s="82">
        <f>费用表原始表!AM13</f>
        <v>550308.78</v>
      </c>
      <c r="AD14" s="82">
        <f>费用表原始表!AD13</f>
        <v>833743.38</v>
      </c>
    </row>
    <row r="15" spans="1:30" ht="13.5" customHeight="1">
      <c r="A15" s="439" t="s">
        <v>99</v>
      </c>
      <c r="B15" s="81" t="s">
        <v>100</v>
      </c>
      <c r="C15" s="301">
        <f t="shared" si="0"/>
        <v>1955524.7000000002</v>
      </c>
      <c r="D15" s="82">
        <f>费用表原始表!V14</f>
        <v>0</v>
      </c>
      <c r="E15" s="82">
        <f>SUM(费用表原始表!C14:U14)</f>
        <v>0</v>
      </c>
      <c r="F15" s="82">
        <f>费用表原始表!Z14+费用表原始表!AA14+费用表原始表!AB14+费用表原始表!AE14</f>
        <v>1955524.7000000002</v>
      </c>
      <c r="G15" s="82">
        <f>费用表原始表!AV14</f>
        <v>0</v>
      </c>
      <c r="H15" s="301">
        <f t="shared" si="1"/>
        <v>0</v>
      </c>
      <c r="I15" s="82">
        <f>费用表原始表!AW14</f>
        <v>0</v>
      </c>
      <c r="J15" s="82">
        <f>费用表原始表!AU14</f>
        <v>0</v>
      </c>
      <c r="K15" s="82">
        <f>费用表原始表!AI14</f>
        <v>0</v>
      </c>
      <c r="L15" s="301">
        <f t="shared" si="2"/>
        <v>0</v>
      </c>
      <c r="M15" s="82">
        <f>费用表原始表!AG14</f>
        <v>0</v>
      </c>
      <c r="N15" s="82">
        <f>费用表原始表!AH14</f>
        <v>0</v>
      </c>
      <c r="O15" s="82">
        <f>费用表原始表!AX14</f>
        <v>0</v>
      </c>
      <c r="P15" s="82">
        <f>费用表原始表!AL14</f>
        <v>0</v>
      </c>
      <c r="Q15" s="301">
        <f t="shared" si="3"/>
        <v>0</v>
      </c>
      <c r="R15" s="82">
        <f>费用表原始表!AK14</f>
        <v>0</v>
      </c>
      <c r="S15" s="82">
        <f>费用表原始表!AJ14</f>
        <v>0</v>
      </c>
      <c r="T15" s="82">
        <f>费用表原始表!AF14</f>
        <v>0</v>
      </c>
      <c r="U15" s="301">
        <f t="shared" si="4"/>
        <v>0</v>
      </c>
      <c r="V15" s="82">
        <f>费用表原始表!AN14</f>
        <v>0</v>
      </c>
      <c r="W15" s="82">
        <f>费用表原始表!AO14</f>
        <v>0</v>
      </c>
      <c r="X15" s="82">
        <f>费用表原始表!AP14</f>
        <v>0</v>
      </c>
      <c r="Y15" s="82">
        <f>费用表原始表!AQ14</f>
        <v>0</v>
      </c>
      <c r="Z15" s="82">
        <f>费用表原始表!AR14</f>
        <v>0</v>
      </c>
      <c r="AA15" s="82">
        <f>费用表原始表!AS14</f>
        <v>0</v>
      </c>
      <c r="AB15" s="82">
        <f>费用表原始表!AT14</f>
        <v>0</v>
      </c>
      <c r="AC15" s="82">
        <f>费用表原始表!AM14</f>
        <v>0</v>
      </c>
      <c r="AD15" s="82">
        <f>费用表原始表!AD14</f>
        <v>0</v>
      </c>
    </row>
    <row r="16" spans="1:30">
      <c r="A16" s="440"/>
      <c r="B16" s="81" t="s">
        <v>101</v>
      </c>
      <c r="C16" s="301">
        <f t="shared" si="0"/>
        <v>5181765.68</v>
      </c>
      <c r="D16" s="82">
        <f>费用表原始表!V15</f>
        <v>0</v>
      </c>
      <c r="E16" s="82">
        <f>SUM(费用表原始表!C15:U15)</f>
        <v>0</v>
      </c>
      <c r="F16" s="82">
        <f>费用表原始表!Z15+费用表原始表!AA15+费用表原始表!AB15+费用表原始表!AE15</f>
        <v>5024772.24</v>
      </c>
      <c r="G16" s="82">
        <f>费用表原始表!AV15</f>
        <v>0</v>
      </c>
      <c r="H16" s="301">
        <f t="shared" si="1"/>
        <v>0</v>
      </c>
      <c r="I16" s="82">
        <f>费用表原始表!AW15</f>
        <v>0</v>
      </c>
      <c r="J16" s="82">
        <f>费用表原始表!AU15</f>
        <v>0</v>
      </c>
      <c r="K16" s="82">
        <f>费用表原始表!AI15</f>
        <v>0</v>
      </c>
      <c r="L16" s="301">
        <f t="shared" si="2"/>
        <v>101180.8</v>
      </c>
      <c r="M16" s="82">
        <f>费用表原始表!AG15</f>
        <v>0</v>
      </c>
      <c r="N16" s="82">
        <f>费用表原始表!AH15</f>
        <v>0</v>
      </c>
      <c r="O16" s="82">
        <f>费用表原始表!AX15</f>
        <v>101180.8</v>
      </c>
      <c r="P16" s="82">
        <f>费用表原始表!AL15</f>
        <v>0</v>
      </c>
      <c r="Q16" s="301">
        <f t="shared" si="3"/>
        <v>0</v>
      </c>
      <c r="R16" s="82">
        <f>费用表原始表!AK15</f>
        <v>0</v>
      </c>
      <c r="S16" s="82">
        <f>费用表原始表!AJ15</f>
        <v>0</v>
      </c>
      <c r="T16" s="82">
        <f>费用表原始表!AF15</f>
        <v>0</v>
      </c>
      <c r="U16" s="301">
        <f t="shared" si="4"/>
        <v>55812.639999999999</v>
      </c>
      <c r="V16" s="82">
        <f>费用表原始表!AN15</f>
        <v>58252.43</v>
      </c>
      <c r="W16" s="82">
        <f>费用表原始表!AO15</f>
        <v>0</v>
      </c>
      <c r="X16" s="82">
        <f>费用表原始表!AP15</f>
        <v>-2439.79</v>
      </c>
      <c r="Y16" s="82">
        <f>费用表原始表!AQ15</f>
        <v>0</v>
      </c>
      <c r="Z16" s="82">
        <f>费用表原始表!AR15</f>
        <v>0</v>
      </c>
      <c r="AA16" s="82">
        <f>费用表原始表!AS15</f>
        <v>0</v>
      </c>
      <c r="AB16" s="82">
        <f>费用表原始表!AT15</f>
        <v>0</v>
      </c>
      <c r="AC16" s="82">
        <f>费用表原始表!AM15</f>
        <v>0</v>
      </c>
      <c r="AD16" s="82">
        <f>费用表原始表!AD15</f>
        <v>0</v>
      </c>
    </row>
    <row r="17" spans="1:30">
      <c r="A17" s="440"/>
      <c r="B17" s="81" t="s">
        <v>102</v>
      </c>
      <c r="C17" s="301">
        <f t="shared" si="0"/>
        <v>744741.1599999998</v>
      </c>
      <c r="D17" s="82">
        <f>费用表原始表!V16</f>
        <v>0</v>
      </c>
      <c r="E17" s="82">
        <f>SUM(费用表原始表!C16:U16)</f>
        <v>-488844.06</v>
      </c>
      <c r="F17" s="82">
        <f>费用表原始表!Z16+费用表原始表!AA16+费用表原始表!AB16+费用表原始表!AE16</f>
        <v>1383913.46</v>
      </c>
      <c r="G17" s="82">
        <f>费用表原始表!AV16</f>
        <v>10446.370000000001</v>
      </c>
      <c r="H17" s="301">
        <f t="shared" si="1"/>
        <v>623827.51</v>
      </c>
      <c r="I17" s="82">
        <f>费用表原始表!AW16</f>
        <v>33520.699999999997</v>
      </c>
      <c r="J17" s="82">
        <f>费用表原始表!AU16</f>
        <v>8782.7999999999993</v>
      </c>
      <c r="K17" s="82">
        <f>费用表原始表!AI16</f>
        <v>581524.01</v>
      </c>
      <c r="L17" s="301">
        <f t="shared" si="2"/>
        <v>313996.73</v>
      </c>
      <c r="M17" s="82">
        <f>费用表原始表!AG16</f>
        <v>102380.83</v>
      </c>
      <c r="N17" s="82">
        <f>费用表原始表!AH16</f>
        <v>181990.97</v>
      </c>
      <c r="O17" s="82">
        <f>费用表原始表!AX16</f>
        <v>28054.639999999999</v>
      </c>
      <c r="P17" s="82">
        <f>费用表原始表!AL16</f>
        <v>1570.29</v>
      </c>
      <c r="Q17" s="301">
        <f t="shared" si="3"/>
        <v>-1108420.83</v>
      </c>
      <c r="R17" s="82">
        <f>费用表原始表!AK16</f>
        <v>-1140931.8600000001</v>
      </c>
      <c r="S17" s="82">
        <f>费用表原始表!AJ16</f>
        <v>32511.03</v>
      </c>
      <c r="T17" s="82">
        <f>费用表原始表!AF16</f>
        <v>-0.83</v>
      </c>
      <c r="U17" s="301">
        <f t="shared" si="4"/>
        <v>9822.81</v>
      </c>
      <c r="V17" s="82">
        <f>费用表原始表!AN16</f>
        <v>-1730.13</v>
      </c>
      <c r="W17" s="82">
        <f>费用表原始表!AO16</f>
        <v>3114.99</v>
      </c>
      <c r="X17" s="82">
        <f>费用表原始表!AP16</f>
        <v>8437.92</v>
      </c>
      <c r="Y17" s="82">
        <f>费用表原始表!AQ16</f>
        <v>0</v>
      </c>
      <c r="Z17" s="82">
        <f>费用表原始表!AR16</f>
        <v>0</v>
      </c>
      <c r="AA17" s="82">
        <f>费用表原始表!AS16</f>
        <v>0.03</v>
      </c>
      <c r="AB17" s="82">
        <f>费用表原始表!AT16</f>
        <v>0</v>
      </c>
      <c r="AC17" s="82">
        <f>费用表原始表!AM16</f>
        <v>0</v>
      </c>
      <c r="AD17" s="82">
        <f>费用表原始表!AD16</f>
        <v>0</v>
      </c>
    </row>
    <row r="18" spans="1:30">
      <c r="A18" s="440"/>
      <c r="B18" s="81" t="s">
        <v>103</v>
      </c>
      <c r="C18" s="301">
        <f t="shared" si="0"/>
        <v>99250.37</v>
      </c>
      <c r="D18" s="82">
        <f>费用表原始表!V17</f>
        <v>0</v>
      </c>
      <c r="E18" s="82">
        <f>SUM(费用表原始表!C17:U17)</f>
        <v>22200</v>
      </c>
      <c r="F18" s="82">
        <f>费用表原始表!Z17+费用表原始表!AA17+费用表原始表!AB17+费用表原始表!AE17</f>
        <v>54139.93</v>
      </c>
      <c r="G18" s="82">
        <f>费用表原始表!AV17</f>
        <v>0</v>
      </c>
      <c r="H18" s="301">
        <f t="shared" si="1"/>
        <v>0</v>
      </c>
      <c r="I18" s="82">
        <f>费用表原始表!AW17</f>
        <v>0</v>
      </c>
      <c r="J18" s="82">
        <f>费用表原始表!AU17</f>
        <v>0</v>
      </c>
      <c r="K18" s="82">
        <f>费用表原始表!AI17</f>
        <v>0</v>
      </c>
      <c r="L18" s="301">
        <f t="shared" si="2"/>
        <v>0</v>
      </c>
      <c r="M18" s="82">
        <f>费用表原始表!AG17</f>
        <v>0</v>
      </c>
      <c r="N18" s="82">
        <f>费用表原始表!AH17</f>
        <v>0</v>
      </c>
      <c r="O18" s="82">
        <f>费用表原始表!AX17</f>
        <v>0</v>
      </c>
      <c r="P18" s="82">
        <f>费用表原始表!AL17</f>
        <v>0</v>
      </c>
      <c r="Q18" s="301">
        <f t="shared" si="3"/>
        <v>0</v>
      </c>
      <c r="R18" s="82">
        <f>费用表原始表!AK17</f>
        <v>0</v>
      </c>
      <c r="S18" s="82">
        <f>费用表原始表!AJ17</f>
        <v>0</v>
      </c>
      <c r="T18" s="82">
        <f>费用表原始表!AF17</f>
        <v>22910.44</v>
      </c>
      <c r="U18" s="301">
        <f t="shared" si="4"/>
        <v>0</v>
      </c>
      <c r="V18" s="82">
        <f>费用表原始表!AN17</f>
        <v>0</v>
      </c>
      <c r="W18" s="82">
        <f>费用表原始表!AO17</f>
        <v>0</v>
      </c>
      <c r="X18" s="82">
        <f>费用表原始表!AP17</f>
        <v>0</v>
      </c>
      <c r="Y18" s="82">
        <f>费用表原始表!AQ17</f>
        <v>0</v>
      </c>
      <c r="Z18" s="82">
        <f>费用表原始表!AR17</f>
        <v>0</v>
      </c>
      <c r="AA18" s="82">
        <f>费用表原始表!AS17</f>
        <v>0</v>
      </c>
      <c r="AB18" s="82">
        <f>费用表原始表!AT17</f>
        <v>0</v>
      </c>
      <c r="AC18" s="82">
        <f>费用表原始表!AM17</f>
        <v>0</v>
      </c>
      <c r="AD18" s="82">
        <f>费用表原始表!AD17</f>
        <v>0</v>
      </c>
    </row>
    <row r="19" spans="1:30">
      <c r="A19" s="440"/>
      <c r="B19" s="81" t="s">
        <v>104</v>
      </c>
      <c r="C19" s="301">
        <f t="shared" si="0"/>
        <v>0</v>
      </c>
      <c r="D19" s="82">
        <f>费用表原始表!V18</f>
        <v>0</v>
      </c>
      <c r="E19" s="82">
        <f>SUM(费用表原始表!C18:U18)</f>
        <v>0</v>
      </c>
      <c r="F19" s="82">
        <f>费用表原始表!Z18+费用表原始表!AA18+费用表原始表!AB18+费用表原始表!AE18</f>
        <v>0</v>
      </c>
      <c r="G19" s="82">
        <f>费用表原始表!AV18</f>
        <v>0</v>
      </c>
      <c r="H19" s="301">
        <f t="shared" si="1"/>
        <v>0</v>
      </c>
      <c r="I19" s="82">
        <f>费用表原始表!AW18</f>
        <v>0</v>
      </c>
      <c r="J19" s="82">
        <f>费用表原始表!AU18</f>
        <v>0</v>
      </c>
      <c r="K19" s="82">
        <f>费用表原始表!AI18</f>
        <v>0</v>
      </c>
      <c r="L19" s="301">
        <f t="shared" si="2"/>
        <v>0</v>
      </c>
      <c r="M19" s="82">
        <f>费用表原始表!AG18</f>
        <v>0</v>
      </c>
      <c r="N19" s="82">
        <f>费用表原始表!AH18</f>
        <v>0</v>
      </c>
      <c r="O19" s="82">
        <f>费用表原始表!AX18</f>
        <v>0</v>
      </c>
      <c r="P19" s="82">
        <f>费用表原始表!AL18</f>
        <v>0</v>
      </c>
      <c r="Q19" s="301">
        <f t="shared" si="3"/>
        <v>0</v>
      </c>
      <c r="R19" s="82">
        <f>费用表原始表!AK18</f>
        <v>0</v>
      </c>
      <c r="S19" s="82">
        <f>费用表原始表!AJ18</f>
        <v>0</v>
      </c>
      <c r="T19" s="82">
        <f>费用表原始表!AF18</f>
        <v>0</v>
      </c>
      <c r="U19" s="301">
        <f t="shared" si="4"/>
        <v>0</v>
      </c>
      <c r="V19" s="82">
        <f>费用表原始表!AN18</f>
        <v>0</v>
      </c>
      <c r="W19" s="82">
        <f>费用表原始表!AO18</f>
        <v>0</v>
      </c>
      <c r="X19" s="82">
        <f>费用表原始表!AP18</f>
        <v>0</v>
      </c>
      <c r="Y19" s="82">
        <f>费用表原始表!AQ18</f>
        <v>0</v>
      </c>
      <c r="Z19" s="82">
        <f>费用表原始表!AR18</f>
        <v>0</v>
      </c>
      <c r="AA19" s="82">
        <f>费用表原始表!AS18</f>
        <v>0</v>
      </c>
      <c r="AB19" s="82">
        <f>费用表原始表!AT18</f>
        <v>0</v>
      </c>
      <c r="AC19" s="82">
        <f>费用表原始表!AM18</f>
        <v>0</v>
      </c>
      <c r="AD19" s="82">
        <f>费用表原始表!AD18</f>
        <v>0</v>
      </c>
    </row>
    <row r="20" spans="1:30">
      <c r="A20" s="441"/>
      <c r="B20" s="83" t="s">
        <v>98</v>
      </c>
      <c r="C20" s="301">
        <f t="shared" si="0"/>
        <v>7981281.9100000001</v>
      </c>
      <c r="D20" s="82">
        <f>费用表原始表!V19</f>
        <v>0</v>
      </c>
      <c r="E20" s="82">
        <f>SUM(费用表原始表!C19:U19)</f>
        <v>-466644.06</v>
      </c>
      <c r="F20" s="82">
        <f>费用表原始表!Z19+费用表原始表!AA19+费用表原始表!AB19+费用表原始表!AE19</f>
        <v>8418350.3300000001</v>
      </c>
      <c r="G20" s="82">
        <f>费用表原始表!AV19</f>
        <v>10446.370000000001</v>
      </c>
      <c r="H20" s="301">
        <f t="shared" si="1"/>
        <v>623827.51</v>
      </c>
      <c r="I20" s="82">
        <f>费用表原始表!AW19</f>
        <v>33520.699999999997</v>
      </c>
      <c r="J20" s="82">
        <f>费用表原始表!AU19</f>
        <v>8782.7999999999993</v>
      </c>
      <c r="K20" s="82">
        <f>费用表原始表!AI19</f>
        <v>581524.01</v>
      </c>
      <c r="L20" s="301">
        <f t="shared" si="2"/>
        <v>415177.52999999997</v>
      </c>
      <c r="M20" s="82">
        <f>费用表原始表!AG19</f>
        <v>102380.83</v>
      </c>
      <c r="N20" s="82">
        <f>费用表原始表!AH19</f>
        <v>181990.97</v>
      </c>
      <c r="O20" s="82">
        <f>费用表原始表!AX19</f>
        <v>129235.44</v>
      </c>
      <c r="P20" s="82">
        <f>费用表原始表!AL19</f>
        <v>1570.29</v>
      </c>
      <c r="Q20" s="301">
        <f t="shared" si="3"/>
        <v>-1108420.83</v>
      </c>
      <c r="R20" s="82">
        <f>费用表原始表!AK19</f>
        <v>-1140931.8600000001</v>
      </c>
      <c r="S20" s="82">
        <f>费用表原始表!AJ19</f>
        <v>32511.03</v>
      </c>
      <c r="T20" s="82">
        <f>费用表原始表!AF19</f>
        <v>22909.61</v>
      </c>
      <c r="U20" s="301">
        <f t="shared" si="4"/>
        <v>65635.45</v>
      </c>
      <c r="V20" s="82">
        <f>费用表原始表!AN19</f>
        <v>56522.3</v>
      </c>
      <c r="W20" s="82">
        <f>费用表原始表!AO19</f>
        <v>3114.99</v>
      </c>
      <c r="X20" s="82">
        <f>费用表原始表!AP19</f>
        <v>5998.13</v>
      </c>
      <c r="Y20" s="82">
        <f>费用表原始表!AQ19</f>
        <v>0</v>
      </c>
      <c r="Z20" s="82">
        <f>费用表原始表!AR19</f>
        <v>0</v>
      </c>
      <c r="AA20" s="82">
        <f>费用表原始表!AS19</f>
        <v>0.03</v>
      </c>
      <c r="AB20" s="82">
        <f>费用表原始表!AT19</f>
        <v>0</v>
      </c>
      <c r="AC20" s="82">
        <f>费用表原始表!AM19</f>
        <v>0</v>
      </c>
      <c r="AD20" s="82">
        <f>费用表原始表!AD19</f>
        <v>0</v>
      </c>
    </row>
    <row r="21" spans="1:30" ht="13.5" customHeight="1">
      <c r="A21" s="442" t="s">
        <v>105</v>
      </c>
      <c r="B21" s="81" t="s">
        <v>106</v>
      </c>
      <c r="C21" s="301">
        <f t="shared" si="0"/>
        <v>1406602.72</v>
      </c>
      <c r="D21" s="82">
        <f>费用表原始表!V20</f>
        <v>0</v>
      </c>
      <c r="E21" s="82">
        <f>SUM(费用表原始表!C20:U20)</f>
        <v>122700.54</v>
      </c>
      <c r="F21" s="82">
        <f>费用表原始表!Z20+费用表原始表!AA20+费用表原始表!AB20+费用表原始表!AE20</f>
        <v>731227.89</v>
      </c>
      <c r="G21" s="82">
        <f>费用表原始表!AV20</f>
        <v>35511</v>
      </c>
      <c r="H21" s="301">
        <f t="shared" si="1"/>
        <v>45851</v>
      </c>
      <c r="I21" s="82">
        <f>费用表原始表!AW20</f>
        <v>10496</v>
      </c>
      <c r="J21" s="82">
        <f>费用表原始表!AU20</f>
        <v>6822</v>
      </c>
      <c r="K21" s="82">
        <f>费用表原始表!AI20</f>
        <v>28533</v>
      </c>
      <c r="L21" s="301">
        <f t="shared" si="2"/>
        <v>35569</v>
      </c>
      <c r="M21" s="82">
        <f>费用表原始表!AG20</f>
        <v>7482</v>
      </c>
      <c r="N21" s="82">
        <f>费用表原始表!AH20</f>
        <v>1114</v>
      </c>
      <c r="O21" s="82">
        <f>费用表原始表!AX20</f>
        <v>22461</v>
      </c>
      <c r="P21" s="82">
        <f>费用表原始表!AL20</f>
        <v>4512</v>
      </c>
      <c r="Q21" s="301">
        <f t="shared" si="3"/>
        <v>4008</v>
      </c>
      <c r="R21" s="82">
        <f>费用表原始表!AK20</f>
        <v>1735</v>
      </c>
      <c r="S21" s="82">
        <f>费用表原始表!AJ20</f>
        <v>2273</v>
      </c>
      <c r="T21" s="82">
        <f>费用表原始表!AF20</f>
        <v>23602</v>
      </c>
      <c r="U21" s="301">
        <f t="shared" si="4"/>
        <v>378893.57999999996</v>
      </c>
      <c r="V21" s="82">
        <f>费用表原始表!AN20</f>
        <v>132722.26999999999</v>
      </c>
      <c r="W21" s="82">
        <f>费用表原始表!AO20</f>
        <v>22366</v>
      </c>
      <c r="X21" s="82">
        <f>费用表原始表!AP20</f>
        <v>110191.4</v>
      </c>
      <c r="Y21" s="82">
        <f>费用表原始表!AQ20</f>
        <v>60253.599999999999</v>
      </c>
      <c r="Z21" s="82">
        <f>费用表原始表!AR20</f>
        <v>41787.449999999997</v>
      </c>
      <c r="AA21" s="82">
        <f>费用表原始表!AS20</f>
        <v>11572.86</v>
      </c>
      <c r="AB21" s="82">
        <f>费用表原始表!AT20</f>
        <v>0</v>
      </c>
      <c r="AC21" s="82">
        <f>费用表原始表!AM20</f>
        <v>19409</v>
      </c>
      <c r="AD21" s="82">
        <f>费用表原始表!AD20</f>
        <v>9830.7099999999991</v>
      </c>
    </row>
    <row r="22" spans="1:30">
      <c r="A22" s="443"/>
      <c r="B22" s="81" t="s">
        <v>107</v>
      </c>
      <c r="C22" s="301">
        <f t="shared" si="0"/>
        <v>825292.21000000008</v>
      </c>
      <c r="D22" s="82">
        <f>费用表原始表!V21</f>
        <v>0</v>
      </c>
      <c r="E22" s="82">
        <f>SUM(费用表原始表!C21:U21)</f>
        <v>78807.390000000014</v>
      </c>
      <c r="F22" s="82">
        <f>费用表原始表!Z21+费用表原始表!AA21+费用表原始表!AB21+费用表原始表!AE21</f>
        <v>100761.18000000001</v>
      </c>
      <c r="G22" s="82">
        <f>费用表原始表!AV21</f>
        <v>1342</v>
      </c>
      <c r="H22" s="301">
        <f t="shared" si="1"/>
        <v>30252.16</v>
      </c>
      <c r="I22" s="82">
        <f>费用表原始表!AW21</f>
        <v>4674.13</v>
      </c>
      <c r="J22" s="82">
        <f>费用表原始表!AU21</f>
        <v>7026.21</v>
      </c>
      <c r="K22" s="82">
        <f>费用表原始表!AI21</f>
        <v>18551.82</v>
      </c>
      <c r="L22" s="301">
        <f t="shared" si="2"/>
        <v>9669.76</v>
      </c>
      <c r="M22" s="82">
        <f>费用表原始表!AG21</f>
        <v>878.76</v>
      </c>
      <c r="N22" s="82">
        <f>费用表原始表!AH21</f>
        <v>845.5</v>
      </c>
      <c r="O22" s="82">
        <f>费用表原始表!AX21</f>
        <v>4097.5</v>
      </c>
      <c r="P22" s="82">
        <f>费用表原始表!AL21</f>
        <v>3848</v>
      </c>
      <c r="Q22" s="301">
        <f t="shared" si="3"/>
        <v>3699.8</v>
      </c>
      <c r="R22" s="82">
        <f>费用表原始表!AK21</f>
        <v>1417.05</v>
      </c>
      <c r="S22" s="82">
        <f>费用表原始表!AJ21</f>
        <v>2282.75</v>
      </c>
      <c r="T22" s="82">
        <f>费用表原始表!AF21</f>
        <v>5676.29</v>
      </c>
      <c r="U22" s="301">
        <f t="shared" si="4"/>
        <v>568804.31000000006</v>
      </c>
      <c r="V22" s="82">
        <f>费用表原始表!AN21</f>
        <v>246165.85</v>
      </c>
      <c r="W22" s="82">
        <f>费用表原始表!AO21</f>
        <v>95920.82</v>
      </c>
      <c r="X22" s="82">
        <f>费用表原始表!AP21</f>
        <v>99232.53</v>
      </c>
      <c r="Y22" s="82">
        <f>费用表原始表!AQ21</f>
        <v>39731.9</v>
      </c>
      <c r="Z22" s="82">
        <f>费用表原始表!AR21</f>
        <v>61326.83</v>
      </c>
      <c r="AA22" s="82">
        <f>费用表原始表!AS21</f>
        <v>26426.38</v>
      </c>
      <c r="AB22" s="82">
        <f>费用表原始表!AT21</f>
        <v>0</v>
      </c>
      <c r="AC22" s="82">
        <f>费用表原始表!AM21</f>
        <v>25546.49</v>
      </c>
      <c r="AD22" s="82">
        <f>费用表原始表!AD21</f>
        <v>732.83</v>
      </c>
    </row>
    <row r="23" spans="1:30">
      <c r="A23" s="443"/>
      <c r="B23" s="81" t="s">
        <v>108</v>
      </c>
      <c r="C23" s="301">
        <f t="shared" si="0"/>
        <v>180099.36999999997</v>
      </c>
      <c r="D23" s="82">
        <f>费用表原始表!V22</f>
        <v>0</v>
      </c>
      <c r="E23" s="82">
        <f>SUM(费用表原始表!C22:U22)</f>
        <v>59280.069999999992</v>
      </c>
      <c r="F23" s="82">
        <f>费用表原始表!Z22+费用表原始表!AA22+费用表原始表!AB22+费用表原始表!AE22</f>
        <v>76916.460000000006</v>
      </c>
      <c r="G23" s="82">
        <f>费用表原始表!AV22</f>
        <v>3843.36</v>
      </c>
      <c r="H23" s="301">
        <f t="shared" si="1"/>
        <v>3899.5699999999997</v>
      </c>
      <c r="I23" s="82">
        <f>费用表原始表!AW22</f>
        <v>1008.66</v>
      </c>
      <c r="J23" s="82">
        <f>费用表原始表!AU22</f>
        <v>751</v>
      </c>
      <c r="K23" s="82">
        <f>费用表原始表!AI22</f>
        <v>2139.91</v>
      </c>
      <c r="L23" s="301">
        <f t="shared" si="2"/>
        <v>2367</v>
      </c>
      <c r="M23" s="82">
        <f>费用表原始表!AG22</f>
        <v>559</v>
      </c>
      <c r="N23" s="82">
        <f>费用表原始表!AH22</f>
        <v>1010</v>
      </c>
      <c r="O23" s="82">
        <f>费用表原始表!AX22</f>
        <v>461</v>
      </c>
      <c r="P23" s="82">
        <f>费用表原始表!AL22</f>
        <v>337</v>
      </c>
      <c r="Q23" s="301">
        <f t="shared" si="3"/>
        <v>1497</v>
      </c>
      <c r="R23" s="82">
        <f>费用表原始表!AK22</f>
        <v>746</v>
      </c>
      <c r="S23" s="82">
        <f>费用表原始表!AJ22</f>
        <v>751</v>
      </c>
      <c r="T23" s="82">
        <f>费用表原始表!AF22</f>
        <v>2387.87</v>
      </c>
      <c r="U23" s="301">
        <f t="shared" si="4"/>
        <v>18988.3</v>
      </c>
      <c r="V23" s="82">
        <f>费用表原始表!AN22</f>
        <v>6839.8</v>
      </c>
      <c r="W23" s="82">
        <f>费用表原始表!AO22</f>
        <v>3246.92</v>
      </c>
      <c r="X23" s="82">
        <f>费用表原始表!AP22</f>
        <v>4450.6899999999996</v>
      </c>
      <c r="Y23" s="82">
        <f>费用表原始表!AQ22</f>
        <v>524.85</v>
      </c>
      <c r="Z23" s="82">
        <f>费用表原始表!AR22</f>
        <v>3893.02</v>
      </c>
      <c r="AA23" s="82">
        <f>费用表原始表!AS22</f>
        <v>33.020000000000003</v>
      </c>
      <c r="AB23" s="82">
        <f>费用表原始表!AT22</f>
        <v>0</v>
      </c>
      <c r="AC23" s="82">
        <f>费用表原始表!AM22</f>
        <v>1744.08</v>
      </c>
      <c r="AD23" s="82">
        <f>费用表原始表!AD22</f>
        <v>9175.66</v>
      </c>
    </row>
    <row r="24" spans="1:30">
      <c r="A24" s="443"/>
      <c r="B24" s="81" t="s">
        <v>109</v>
      </c>
      <c r="C24" s="301">
        <f t="shared" si="0"/>
        <v>60395.61</v>
      </c>
      <c r="D24" s="82">
        <f>费用表原始表!V23</f>
        <v>0</v>
      </c>
      <c r="E24" s="82">
        <f>SUM(费用表原始表!C23:U23)</f>
        <v>9788</v>
      </c>
      <c r="F24" s="82">
        <f>费用表原始表!Z23+费用表原始表!AA23+费用表原始表!AB23+费用表原始表!AE23</f>
        <v>46368.23</v>
      </c>
      <c r="G24" s="82">
        <f>费用表原始表!AV23</f>
        <v>524.27</v>
      </c>
      <c r="H24" s="301">
        <f t="shared" si="1"/>
        <v>0</v>
      </c>
      <c r="I24" s="82">
        <f>费用表原始表!AW23</f>
        <v>0</v>
      </c>
      <c r="J24" s="82">
        <f>费用表原始表!AU23</f>
        <v>0</v>
      </c>
      <c r="K24" s="82">
        <f>费用表原始表!AI23</f>
        <v>0</v>
      </c>
      <c r="L24" s="301">
        <f t="shared" si="2"/>
        <v>0</v>
      </c>
      <c r="M24" s="82">
        <f>费用表原始表!AG23</f>
        <v>0</v>
      </c>
      <c r="N24" s="82">
        <f>费用表原始表!AH23</f>
        <v>0</v>
      </c>
      <c r="O24" s="82">
        <f>费用表原始表!AX23</f>
        <v>0</v>
      </c>
      <c r="P24" s="82">
        <f>费用表原始表!AL23</f>
        <v>0</v>
      </c>
      <c r="Q24" s="301">
        <f t="shared" si="3"/>
        <v>0</v>
      </c>
      <c r="R24" s="82">
        <f>费用表原始表!AK23</f>
        <v>0</v>
      </c>
      <c r="S24" s="82">
        <f>费用表原始表!AJ23</f>
        <v>0</v>
      </c>
      <c r="T24" s="82">
        <f>费用表原始表!AF23</f>
        <v>0</v>
      </c>
      <c r="U24" s="301">
        <f t="shared" si="4"/>
        <v>1836.47</v>
      </c>
      <c r="V24" s="82">
        <f>费用表原始表!AN23</f>
        <v>1553.4</v>
      </c>
      <c r="W24" s="82">
        <f>费用表原始表!AO23</f>
        <v>0</v>
      </c>
      <c r="X24" s="82">
        <f>费用表原始表!AP23</f>
        <v>0</v>
      </c>
      <c r="Y24" s="82">
        <f>费用表原始表!AQ23</f>
        <v>131.07</v>
      </c>
      <c r="Z24" s="82">
        <f>费用表原始表!AR23</f>
        <v>0</v>
      </c>
      <c r="AA24" s="82">
        <f>费用表原始表!AS23</f>
        <v>152</v>
      </c>
      <c r="AB24" s="82">
        <f>费用表原始表!AT23</f>
        <v>0</v>
      </c>
      <c r="AC24" s="82">
        <f>费用表原始表!AM23</f>
        <v>854.37</v>
      </c>
      <c r="AD24" s="82">
        <f>费用表原始表!AD23</f>
        <v>1024.27</v>
      </c>
    </row>
    <row r="25" spans="1:30">
      <c r="A25" s="443"/>
      <c r="B25" s="81" t="s">
        <v>110</v>
      </c>
      <c r="C25" s="301">
        <f t="shared" si="0"/>
        <v>92796.15</v>
      </c>
      <c r="D25" s="82">
        <f>费用表原始表!V24</f>
        <v>0</v>
      </c>
      <c r="E25" s="82">
        <f>SUM(费用表原始表!C24:U24)</f>
        <v>47169.81</v>
      </c>
      <c r="F25" s="82">
        <f>费用表原始表!Z24+费用表原始表!AA24+费用表原始表!AB24+费用表原始表!AE24</f>
        <v>45626.34</v>
      </c>
      <c r="G25" s="82">
        <f>费用表原始表!AV24</f>
        <v>0</v>
      </c>
      <c r="H25" s="301">
        <f t="shared" si="1"/>
        <v>0</v>
      </c>
      <c r="I25" s="82">
        <f>费用表原始表!AW24</f>
        <v>0</v>
      </c>
      <c r="J25" s="82">
        <f>费用表原始表!AU24</f>
        <v>0</v>
      </c>
      <c r="K25" s="82">
        <f>费用表原始表!AI24</f>
        <v>0</v>
      </c>
      <c r="L25" s="301">
        <f t="shared" si="2"/>
        <v>0</v>
      </c>
      <c r="M25" s="82">
        <f>费用表原始表!AG24</f>
        <v>0</v>
      </c>
      <c r="N25" s="82">
        <f>费用表原始表!AH24</f>
        <v>0</v>
      </c>
      <c r="O25" s="82">
        <f>费用表原始表!AX24</f>
        <v>0</v>
      </c>
      <c r="P25" s="82">
        <f>费用表原始表!AL24</f>
        <v>0</v>
      </c>
      <c r="Q25" s="301">
        <f t="shared" si="3"/>
        <v>0</v>
      </c>
      <c r="R25" s="82">
        <f>费用表原始表!AK24</f>
        <v>0</v>
      </c>
      <c r="S25" s="82">
        <f>费用表原始表!AJ24</f>
        <v>0</v>
      </c>
      <c r="T25" s="82">
        <f>费用表原始表!AF24</f>
        <v>0</v>
      </c>
      <c r="U25" s="301">
        <f t="shared" si="4"/>
        <v>0</v>
      </c>
      <c r="V25" s="82">
        <f>费用表原始表!AN24</f>
        <v>0</v>
      </c>
      <c r="W25" s="82">
        <f>费用表原始表!AO24</f>
        <v>0</v>
      </c>
      <c r="X25" s="82">
        <f>费用表原始表!AP24</f>
        <v>0</v>
      </c>
      <c r="Y25" s="82">
        <f>费用表原始表!AQ24</f>
        <v>0</v>
      </c>
      <c r="Z25" s="82">
        <f>费用表原始表!AR24</f>
        <v>0</v>
      </c>
      <c r="AA25" s="82">
        <f>费用表原始表!AS24</f>
        <v>0</v>
      </c>
      <c r="AB25" s="82">
        <f>费用表原始表!AT24</f>
        <v>0</v>
      </c>
      <c r="AC25" s="82">
        <f>费用表原始表!AM24</f>
        <v>0</v>
      </c>
      <c r="AD25" s="82">
        <f>费用表原始表!AD24</f>
        <v>0</v>
      </c>
    </row>
    <row r="26" spans="1:30">
      <c r="A26" s="443"/>
      <c r="B26" s="81" t="s">
        <v>111</v>
      </c>
      <c r="C26" s="301">
        <f t="shared" si="0"/>
        <v>146226.41999999998</v>
      </c>
      <c r="D26" s="82">
        <f>费用表原始表!V25</f>
        <v>0</v>
      </c>
      <c r="E26" s="82">
        <f>SUM(费用表原始表!C25:U25)</f>
        <v>0</v>
      </c>
      <c r="F26" s="82">
        <f>费用表原始表!Z25+费用表原始表!AA25+费用表原始表!AB25+费用表原始表!AE25</f>
        <v>122641.51</v>
      </c>
      <c r="G26" s="82">
        <f>费用表原始表!AV25</f>
        <v>0</v>
      </c>
      <c r="H26" s="301">
        <f t="shared" si="1"/>
        <v>20440.259999999998</v>
      </c>
      <c r="I26" s="82">
        <f>费用表原始表!AW25</f>
        <v>0</v>
      </c>
      <c r="J26" s="82">
        <f>费用表原始表!AU25</f>
        <v>0</v>
      </c>
      <c r="K26" s="82">
        <f>费用表原始表!AI25</f>
        <v>20440.259999999998</v>
      </c>
      <c r="L26" s="301">
        <f t="shared" si="2"/>
        <v>0</v>
      </c>
      <c r="M26" s="82">
        <f>费用表原始表!AG25</f>
        <v>0</v>
      </c>
      <c r="N26" s="82">
        <f>费用表原始表!AH25</f>
        <v>0</v>
      </c>
      <c r="O26" s="82">
        <f>费用表原始表!AX25</f>
        <v>0</v>
      </c>
      <c r="P26" s="82">
        <f>费用表原始表!AL25</f>
        <v>0</v>
      </c>
      <c r="Q26" s="301">
        <f t="shared" si="3"/>
        <v>3144.65</v>
      </c>
      <c r="R26" s="82">
        <f>费用表原始表!AK25</f>
        <v>3144.65</v>
      </c>
      <c r="S26" s="82">
        <f>费用表原始表!AJ25</f>
        <v>0</v>
      </c>
      <c r="T26" s="82">
        <f>费用表原始表!AF25</f>
        <v>0</v>
      </c>
      <c r="U26" s="301">
        <f t="shared" si="4"/>
        <v>0</v>
      </c>
      <c r="V26" s="82">
        <f>费用表原始表!AN25</f>
        <v>0</v>
      </c>
      <c r="W26" s="82">
        <f>费用表原始表!AO25</f>
        <v>0</v>
      </c>
      <c r="X26" s="82">
        <f>费用表原始表!AP25</f>
        <v>0</v>
      </c>
      <c r="Y26" s="82">
        <f>费用表原始表!AQ25</f>
        <v>0</v>
      </c>
      <c r="Z26" s="82">
        <f>费用表原始表!AR25</f>
        <v>0</v>
      </c>
      <c r="AA26" s="82">
        <f>费用表原始表!AS25</f>
        <v>0</v>
      </c>
      <c r="AB26" s="82">
        <f>费用表原始表!AT25</f>
        <v>0</v>
      </c>
      <c r="AC26" s="82">
        <f>费用表原始表!AM25</f>
        <v>0</v>
      </c>
      <c r="AD26" s="82">
        <f>费用表原始表!AD25</f>
        <v>0</v>
      </c>
    </row>
    <row r="27" spans="1:30">
      <c r="A27" s="443"/>
      <c r="B27" s="81" t="s">
        <v>112</v>
      </c>
      <c r="C27" s="301">
        <f t="shared" si="0"/>
        <v>134063.97999999998</v>
      </c>
      <c r="D27" s="82">
        <f>费用表原始表!V26</f>
        <v>0</v>
      </c>
      <c r="E27" s="82">
        <f>SUM(费用表原始表!C26:U26)</f>
        <v>71929.87</v>
      </c>
      <c r="F27" s="82">
        <f>费用表原始表!Z26+费用表原始表!AA26+费用表原始表!AB26+费用表原始表!AE26</f>
        <v>63007.9</v>
      </c>
      <c r="G27" s="82">
        <f>费用表原始表!AV26</f>
        <v>0</v>
      </c>
      <c r="H27" s="301">
        <f t="shared" si="1"/>
        <v>0</v>
      </c>
      <c r="I27" s="82">
        <f>费用表原始表!AW26</f>
        <v>0</v>
      </c>
      <c r="J27" s="82">
        <f>费用表原始表!AU26</f>
        <v>0</v>
      </c>
      <c r="K27" s="82">
        <f>费用表原始表!AI26</f>
        <v>0</v>
      </c>
      <c r="L27" s="301">
        <f t="shared" si="2"/>
        <v>0</v>
      </c>
      <c r="M27" s="82">
        <f>费用表原始表!AG26</f>
        <v>0</v>
      </c>
      <c r="N27" s="82">
        <f>费用表原始表!AH26</f>
        <v>0</v>
      </c>
      <c r="O27" s="82">
        <f>费用表原始表!AX26</f>
        <v>0</v>
      </c>
      <c r="P27" s="82">
        <f>费用表原始表!AL26</f>
        <v>0</v>
      </c>
      <c r="Q27" s="301">
        <f t="shared" si="3"/>
        <v>0</v>
      </c>
      <c r="R27" s="82">
        <f>费用表原始表!AK26</f>
        <v>0</v>
      </c>
      <c r="S27" s="82">
        <f>费用表原始表!AJ26</f>
        <v>0</v>
      </c>
      <c r="T27" s="82">
        <f>费用表原始表!AF26</f>
        <v>0</v>
      </c>
      <c r="U27" s="301">
        <f t="shared" si="4"/>
        <v>0</v>
      </c>
      <c r="V27" s="82">
        <f>费用表原始表!AN26</f>
        <v>0</v>
      </c>
      <c r="W27" s="82">
        <f>费用表原始表!AO26</f>
        <v>0</v>
      </c>
      <c r="X27" s="82">
        <f>费用表原始表!AP26</f>
        <v>0</v>
      </c>
      <c r="Y27" s="82">
        <f>费用表原始表!AQ26</f>
        <v>0</v>
      </c>
      <c r="Z27" s="82">
        <f>费用表原始表!AR26</f>
        <v>0</v>
      </c>
      <c r="AA27" s="82">
        <f>费用表原始表!AS26</f>
        <v>0</v>
      </c>
      <c r="AB27" s="82">
        <f>费用表原始表!AT26</f>
        <v>0</v>
      </c>
      <c r="AC27" s="82">
        <f>费用表原始表!AM26</f>
        <v>0</v>
      </c>
      <c r="AD27" s="82">
        <f>费用表原始表!AD26</f>
        <v>-873.79</v>
      </c>
    </row>
    <row r="28" spans="1:30">
      <c r="A28" s="443"/>
      <c r="B28" s="81" t="s">
        <v>113</v>
      </c>
      <c r="C28" s="301">
        <f t="shared" si="0"/>
        <v>28977.93</v>
      </c>
      <c r="D28" s="82">
        <f>费用表原始表!V27</f>
        <v>0</v>
      </c>
      <c r="E28" s="82">
        <f>SUM(费用表原始表!C27:U27)</f>
        <v>2760</v>
      </c>
      <c r="F28" s="82">
        <f>费用表原始表!Z27+费用表原始表!AA27+费用表原始表!AB27+费用表原始表!AE27</f>
        <v>17116.09</v>
      </c>
      <c r="G28" s="82">
        <f>费用表原始表!AV27</f>
        <v>0</v>
      </c>
      <c r="H28" s="301">
        <f t="shared" si="1"/>
        <v>120</v>
      </c>
      <c r="I28" s="82">
        <f>费用表原始表!AW27</f>
        <v>0</v>
      </c>
      <c r="J28" s="82">
        <f>费用表原始表!AU27</f>
        <v>120</v>
      </c>
      <c r="K28" s="82">
        <f>费用表原始表!AI27</f>
        <v>0</v>
      </c>
      <c r="L28" s="301">
        <f t="shared" si="2"/>
        <v>720</v>
      </c>
      <c r="M28" s="82">
        <f>费用表原始表!AG27</f>
        <v>360</v>
      </c>
      <c r="N28" s="82">
        <f>费用表原始表!AH27</f>
        <v>300</v>
      </c>
      <c r="O28" s="82">
        <f>费用表原始表!AX27</f>
        <v>0</v>
      </c>
      <c r="P28" s="82">
        <f>费用表原始表!AL27</f>
        <v>60</v>
      </c>
      <c r="Q28" s="301">
        <f t="shared" si="3"/>
        <v>120</v>
      </c>
      <c r="R28" s="82">
        <f>费用表原始表!AK27</f>
        <v>60</v>
      </c>
      <c r="S28" s="82">
        <f>费用表原始表!AJ27</f>
        <v>60</v>
      </c>
      <c r="T28" s="82">
        <f>费用表原始表!AF27</f>
        <v>60</v>
      </c>
      <c r="U28" s="301">
        <f t="shared" si="4"/>
        <v>8081.84</v>
      </c>
      <c r="V28" s="82">
        <f>费用表原始表!AN27</f>
        <v>5724.44</v>
      </c>
      <c r="W28" s="82">
        <f>费用表原始表!AO27</f>
        <v>0</v>
      </c>
      <c r="X28" s="82">
        <f>费用表原始表!AP27</f>
        <v>0</v>
      </c>
      <c r="Y28" s="82">
        <f>费用表原始表!AQ27</f>
        <v>356</v>
      </c>
      <c r="Z28" s="82">
        <f>费用表原始表!AR27</f>
        <v>1541.4</v>
      </c>
      <c r="AA28" s="82">
        <f>费用表原始表!AS27</f>
        <v>460</v>
      </c>
      <c r="AB28" s="82">
        <f>费用表原始表!AT27</f>
        <v>0</v>
      </c>
      <c r="AC28" s="82">
        <f>费用表原始表!AM27</f>
        <v>0</v>
      </c>
      <c r="AD28" s="82">
        <f>费用表原始表!AD27</f>
        <v>0</v>
      </c>
    </row>
    <row r="29" spans="1:30">
      <c r="A29" s="443"/>
      <c r="B29" s="81" t="s">
        <v>114</v>
      </c>
      <c r="C29" s="301">
        <f t="shared" si="0"/>
        <v>9683.9500000000007</v>
      </c>
      <c r="D29" s="82">
        <f>费用表原始表!V28</f>
        <v>0</v>
      </c>
      <c r="E29" s="82">
        <f>SUM(费用表原始表!C28:U28)</f>
        <v>3557.55</v>
      </c>
      <c r="F29" s="82">
        <f>费用表原始表!Z28+费用表原始表!AA28+费用表原始表!AB28+费用表原始表!AE28</f>
        <v>6006.4</v>
      </c>
      <c r="G29" s="82">
        <f>费用表原始表!AV28</f>
        <v>0</v>
      </c>
      <c r="H29" s="301">
        <f t="shared" si="1"/>
        <v>0</v>
      </c>
      <c r="I29" s="82">
        <f>费用表原始表!AW28</f>
        <v>0</v>
      </c>
      <c r="J29" s="82">
        <f>费用表原始表!AU28</f>
        <v>0</v>
      </c>
      <c r="K29" s="82">
        <f>费用表原始表!AI28</f>
        <v>0</v>
      </c>
      <c r="L29" s="301">
        <f t="shared" si="2"/>
        <v>0</v>
      </c>
      <c r="M29" s="82">
        <f>费用表原始表!AG28</f>
        <v>0</v>
      </c>
      <c r="N29" s="82">
        <f>费用表原始表!AH28</f>
        <v>0</v>
      </c>
      <c r="O29" s="82">
        <f>费用表原始表!AX28</f>
        <v>0</v>
      </c>
      <c r="P29" s="82">
        <f>费用表原始表!AL28</f>
        <v>0</v>
      </c>
      <c r="Q29" s="301">
        <f t="shared" si="3"/>
        <v>0</v>
      </c>
      <c r="R29" s="82">
        <f>费用表原始表!AK28</f>
        <v>0</v>
      </c>
      <c r="S29" s="82">
        <f>费用表原始表!AJ28</f>
        <v>0</v>
      </c>
      <c r="T29" s="82">
        <f>费用表原始表!AF28</f>
        <v>0</v>
      </c>
      <c r="U29" s="301">
        <f t="shared" si="4"/>
        <v>0</v>
      </c>
      <c r="V29" s="82">
        <f>费用表原始表!AN28</f>
        <v>0</v>
      </c>
      <c r="W29" s="82">
        <f>费用表原始表!AO28</f>
        <v>0</v>
      </c>
      <c r="X29" s="82">
        <f>费用表原始表!AP28</f>
        <v>0</v>
      </c>
      <c r="Y29" s="82">
        <f>费用表原始表!AQ28</f>
        <v>0</v>
      </c>
      <c r="Z29" s="82">
        <f>费用表原始表!AR28</f>
        <v>0</v>
      </c>
      <c r="AA29" s="82">
        <f>费用表原始表!AS28</f>
        <v>0</v>
      </c>
      <c r="AB29" s="82">
        <f>费用表原始表!AT28</f>
        <v>0</v>
      </c>
      <c r="AC29" s="82">
        <f>费用表原始表!AM28</f>
        <v>0</v>
      </c>
      <c r="AD29" s="82">
        <f>费用表原始表!AD28</f>
        <v>120</v>
      </c>
    </row>
    <row r="30" spans="1:30">
      <c r="A30" s="443"/>
      <c r="B30" s="81" t="s">
        <v>115</v>
      </c>
      <c r="C30" s="301">
        <f t="shared" si="0"/>
        <v>64112.01999999999</v>
      </c>
      <c r="D30" s="82">
        <f>费用表原始表!V29</f>
        <v>0</v>
      </c>
      <c r="E30" s="82">
        <f>SUM(费用表原始表!C29:U29)</f>
        <v>14734.71</v>
      </c>
      <c r="F30" s="82">
        <f>费用表原始表!Z29+费用表原始表!AA29+费用表原始表!AB29+费用表原始表!AE29</f>
        <v>6363.7999999999993</v>
      </c>
      <c r="G30" s="82">
        <f>费用表原始表!AV29</f>
        <v>101.54</v>
      </c>
      <c r="H30" s="301">
        <f t="shared" si="1"/>
        <v>2661.44</v>
      </c>
      <c r="I30" s="82">
        <f>费用表原始表!AW29</f>
        <v>1148.99</v>
      </c>
      <c r="J30" s="82">
        <f>费用表原始表!AU29</f>
        <v>1512.45</v>
      </c>
      <c r="K30" s="82">
        <f>费用表原始表!AI29</f>
        <v>0</v>
      </c>
      <c r="L30" s="301">
        <f t="shared" si="2"/>
        <v>951.2299999999999</v>
      </c>
      <c r="M30" s="82">
        <f>费用表原始表!AG29</f>
        <v>34.51</v>
      </c>
      <c r="N30" s="82">
        <f>费用表原始表!AH29</f>
        <v>324.77999999999997</v>
      </c>
      <c r="O30" s="82">
        <f>费用表原始表!AX29</f>
        <v>370.9</v>
      </c>
      <c r="P30" s="82">
        <f>费用表原始表!AL29</f>
        <v>221.04</v>
      </c>
      <c r="Q30" s="301">
        <f t="shared" si="3"/>
        <v>1485.69</v>
      </c>
      <c r="R30" s="82">
        <f>费用表原始表!AK29</f>
        <v>305.5</v>
      </c>
      <c r="S30" s="82">
        <f>费用表原始表!AJ29</f>
        <v>1180.19</v>
      </c>
      <c r="T30" s="82">
        <f>费用表原始表!AF29</f>
        <v>79.44</v>
      </c>
      <c r="U30" s="301">
        <f t="shared" si="4"/>
        <v>37099.869999999995</v>
      </c>
      <c r="V30" s="82">
        <f>费用表原始表!AN29</f>
        <v>7368.26</v>
      </c>
      <c r="W30" s="82">
        <f>费用表原始表!AO29</f>
        <v>3493.36</v>
      </c>
      <c r="X30" s="82">
        <f>费用表原始表!AP29</f>
        <v>7468.05</v>
      </c>
      <c r="Y30" s="82">
        <f>费用表原始表!AQ29</f>
        <v>11937.09</v>
      </c>
      <c r="Z30" s="82">
        <f>费用表原始表!AR29</f>
        <v>5948.91</v>
      </c>
      <c r="AA30" s="82">
        <f>费用表原始表!AS29</f>
        <v>884.2</v>
      </c>
      <c r="AB30" s="82">
        <f>费用表原始表!AT29</f>
        <v>0</v>
      </c>
      <c r="AC30" s="82">
        <f>费用表原始表!AM29</f>
        <v>634.29999999999995</v>
      </c>
      <c r="AD30" s="82">
        <f>费用表原始表!AD29</f>
        <v>0</v>
      </c>
    </row>
    <row r="31" spans="1:30">
      <c r="A31" s="443"/>
      <c r="B31" s="81" t="s">
        <v>116</v>
      </c>
      <c r="C31" s="301">
        <f t="shared" si="0"/>
        <v>102192.8</v>
      </c>
      <c r="D31" s="82">
        <f>费用表原始表!V30</f>
        <v>0</v>
      </c>
      <c r="E31" s="82">
        <f>SUM(费用表原始表!C30:U30)</f>
        <v>42562.14</v>
      </c>
      <c r="F31" s="82">
        <f>费用表原始表!Z30+费用表原始表!AA30+费用表原始表!AB30+费用表原始表!AE30</f>
        <v>56630.66</v>
      </c>
      <c r="G31" s="82">
        <f>费用表原始表!AV30</f>
        <v>0</v>
      </c>
      <c r="H31" s="301">
        <f t="shared" si="1"/>
        <v>0</v>
      </c>
      <c r="I31" s="82">
        <f>费用表原始表!AW30</f>
        <v>0</v>
      </c>
      <c r="J31" s="82">
        <f>费用表原始表!AU30</f>
        <v>0</v>
      </c>
      <c r="K31" s="82">
        <f>费用表原始表!AI30</f>
        <v>0</v>
      </c>
      <c r="L31" s="301">
        <f t="shared" si="2"/>
        <v>0</v>
      </c>
      <c r="M31" s="82">
        <f>费用表原始表!AG30</f>
        <v>0</v>
      </c>
      <c r="N31" s="82">
        <f>费用表原始表!AH30</f>
        <v>0</v>
      </c>
      <c r="O31" s="82">
        <f>费用表原始表!AX30</f>
        <v>0</v>
      </c>
      <c r="P31" s="82">
        <f>费用表原始表!AL30</f>
        <v>0</v>
      </c>
      <c r="Q31" s="301">
        <f t="shared" si="3"/>
        <v>0</v>
      </c>
      <c r="R31" s="82">
        <f>费用表原始表!AK30</f>
        <v>0</v>
      </c>
      <c r="S31" s="82">
        <f>费用表原始表!AJ30</f>
        <v>0</v>
      </c>
      <c r="T31" s="82">
        <f>费用表原始表!AF30</f>
        <v>3000</v>
      </c>
      <c r="U31" s="301">
        <f t="shared" si="4"/>
        <v>0</v>
      </c>
      <c r="V31" s="82">
        <f>费用表原始表!AN30</f>
        <v>0</v>
      </c>
      <c r="W31" s="82">
        <f>费用表原始表!AO30</f>
        <v>0</v>
      </c>
      <c r="X31" s="82">
        <f>费用表原始表!AP30</f>
        <v>0</v>
      </c>
      <c r="Y31" s="82">
        <f>费用表原始表!AQ30</f>
        <v>0</v>
      </c>
      <c r="Z31" s="82">
        <f>费用表原始表!AR30</f>
        <v>0</v>
      </c>
      <c r="AA31" s="82">
        <f>费用表原始表!AS30</f>
        <v>0</v>
      </c>
      <c r="AB31" s="82">
        <f>费用表原始表!AT30</f>
        <v>0</v>
      </c>
      <c r="AC31" s="82">
        <f>费用表原始表!AM30</f>
        <v>0</v>
      </c>
      <c r="AD31" s="82">
        <f>费用表原始表!AD30</f>
        <v>0</v>
      </c>
    </row>
    <row r="32" spans="1:30">
      <c r="A32" s="443"/>
      <c r="B32" s="81" t="s">
        <v>117</v>
      </c>
      <c r="C32" s="301">
        <f t="shared" si="0"/>
        <v>694027.28</v>
      </c>
      <c r="D32" s="82">
        <f>费用表原始表!V31</f>
        <v>0</v>
      </c>
      <c r="E32" s="82">
        <f>SUM(费用表原始表!C31:U31)</f>
        <v>0</v>
      </c>
      <c r="F32" s="82">
        <f>费用表原始表!Z31+费用表原始表!AA31+费用表原始表!AB31+费用表原始表!AE31</f>
        <v>694027.28</v>
      </c>
      <c r="G32" s="82">
        <f>费用表原始表!AV31</f>
        <v>0</v>
      </c>
      <c r="H32" s="301">
        <f t="shared" si="1"/>
        <v>0</v>
      </c>
      <c r="I32" s="82">
        <f>费用表原始表!AW31</f>
        <v>0</v>
      </c>
      <c r="J32" s="82">
        <f>费用表原始表!AU31</f>
        <v>0</v>
      </c>
      <c r="K32" s="82">
        <f>费用表原始表!AI31</f>
        <v>0</v>
      </c>
      <c r="L32" s="301">
        <f t="shared" si="2"/>
        <v>0</v>
      </c>
      <c r="M32" s="82">
        <f>费用表原始表!AG31</f>
        <v>0</v>
      </c>
      <c r="N32" s="82">
        <f>费用表原始表!AH31</f>
        <v>0</v>
      </c>
      <c r="O32" s="82">
        <f>费用表原始表!AX31</f>
        <v>0</v>
      </c>
      <c r="P32" s="82">
        <f>费用表原始表!AL31</f>
        <v>0</v>
      </c>
      <c r="Q32" s="301">
        <f t="shared" si="3"/>
        <v>0</v>
      </c>
      <c r="R32" s="82">
        <f>费用表原始表!AK31</f>
        <v>0</v>
      </c>
      <c r="S32" s="82">
        <f>费用表原始表!AJ31</f>
        <v>0</v>
      </c>
      <c r="T32" s="82">
        <f>费用表原始表!AF31</f>
        <v>0</v>
      </c>
      <c r="U32" s="301">
        <f t="shared" si="4"/>
        <v>0</v>
      </c>
      <c r="V32" s="82">
        <f>费用表原始表!AN31</f>
        <v>0</v>
      </c>
      <c r="W32" s="82">
        <f>费用表原始表!AO31</f>
        <v>0</v>
      </c>
      <c r="X32" s="82">
        <f>费用表原始表!AP31</f>
        <v>0</v>
      </c>
      <c r="Y32" s="82">
        <f>费用表原始表!AQ31</f>
        <v>0</v>
      </c>
      <c r="Z32" s="82">
        <f>费用表原始表!AR31</f>
        <v>0</v>
      </c>
      <c r="AA32" s="82">
        <f>费用表原始表!AS31</f>
        <v>0</v>
      </c>
      <c r="AB32" s="82">
        <f>费用表原始表!AT31</f>
        <v>0</v>
      </c>
      <c r="AC32" s="82">
        <f>费用表原始表!AM31</f>
        <v>0</v>
      </c>
      <c r="AD32" s="82">
        <f>费用表原始表!AD31</f>
        <v>0</v>
      </c>
    </row>
    <row r="33" spans="1:30">
      <c r="A33" s="443"/>
      <c r="B33" s="81" t="s">
        <v>118</v>
      </c>
      <c r="C33" s="301">
        <f t="shared" si="0"/>
        <v>0</v>
      </c>
      <c r="D33" s="82">
        <f>费用表原始表!V32</f>
        <v>0</v>
      </c>
      <c r="E33" s="82">
        <f>SUM(费用表原始表!C32:U32)</f>
        <v>0</v>
      </c>
      <c r="F33" s="82">
        <f>费用表原始表!Z32+费用表原始表!AA32+费用表原始表!AB32+费用表原始表!AE32</f>
        <v>0</v>
      </c>
      <c r="G33" s="82">
        <f>费用表原始表!AV32</f>
        <v>0</v>
      </c>
      <c r="H33" s="301">
        <f t="shared" si="1"/>
        <v>0</v>
      </c>
      <c r="I33" s="82">
        <f>费用表原始表!AW32</f>
        <v>0</v>
      </c>
      <c r="J33" s="82">
        <f>费用表原始表!AU32</f>
        <v>0</v>
      </c>
      <c r="K33" s="82">
        <f>费用表原始表!AI32</f>
        <v>0</v>
      </c>
      <c r="L33" s="301">
        <f t="shared" si="2"/>
        <v>0</v>
      </c>
      <c r="M33" s="82">
        <f>费用表原始表!AG32</f>
        <v>0</v>
      </c>
      <c r="N33" s="82">
        <f>费用表原始表!AH32</f>
        <v>0</v>
      </c>
      <c r="O33" s="82">
        <f>费用表原始表!AX32</f>
        <v>0</v>
      </c>
      <c r="P33" s="82">
        <f>费用表原始表!AL32</f>
        <v>0</v>
      </c>
      <c r="Q33" s="301">
        <f t="shared" si="3"/>
        <v>0</v>
      </c>
      <c r="R33" s="82">
        <f>费用表原始表!AK32</f>
        <v>0</v>
      </c>
      <c r="S33" s="82">
        <f>费用表原始表!AJ32</f>
        <v>0</v>
      </c>
      <c r="T33" s="82">
        <f>费用表原始表!AF32</f>
        <v>0</v>
      </c>
      <c r="U33" s="301">
        <f t="shared" si="4"/>
        <v>0</v>
      </c>
      <c r="V33" s="82">
        <f>费用表原始表!AN32</f>
        <v>0</v>
      </c>
      <c r="W33" s="82">
        <f>费用表原始表!AO32</f>
        <v>0</v>
      </c>
      <c r="X33" s="82">
        <f>费用表原始表!AP32</f>
        <v>0</v>
      </c>
      <c r="Y33" s="82">
        <f>费用表原始表!AQ32</f>
        <v>0</v>
      </c>
      <c r="Z33" s="82">
        <f>费用表原始表!AR32</f>
        <v>0</v>
      </c>
      <c r="AA33" s="82">
        <f>费用表原始表!AS32</f>
        <v>0</v>
      </c>
      <c r="AB33" s="82">
        <f>费用表原始表!AT32</f>
        <v>0</v>
      </c>
      <c r="AC33" s="82">
        <f>费用表原始表!AM32</f>
        <v>0</v>
      </c>
      <c r="AD33" s="82">
        <f>费用表原始表!AD32</f>
        <v>0</v>
      </c>
    </row>
    <row r="34" spans="1:30">
      <c r="A34" s="444"/>
      <c r="B34" s="83" t="s">
        <v>98</v>
      </c>
      <c r="C34" s="301">
        <f t="shared" si="0"/>
        <v>3744470.4400000009</v>
      </c>
      <c r="D34" s="82">
        <f>费用表原始表!V33</f>
        <v>0</v>
      </c>
      <c r="E34" s="82">
        <f>SUM(费用表原始表!C33:U33)</f>
        <v>453290.0799999999</v>
      </c>
      <c r="F34" s="82">
        <f>费用表原始表!Z33+费用表原始表!AA33+费用表原始表!AB33+费用表原始表!AE33</f>
        <v>1966693.74</v>
      </c>
      <c r="G34" s="82">
        <f>费用表原始表!AV33</f>
        <v>41322.17</v>
      </c>
      <c r="H34" s="301">
        <f t="shared" si="1"/>
        <v>103224.43000000001</v>
      </c>
      <c r="I34" s="82">
        <f>费用表原始表!AW33</f>
        <v>17327.78</v>
      </c>
      <c r="J34" s="82">
        <f>费用表原始表!AU33</f>
        <v>16231.66</v>
      </c>
      <c r="K34" s="82">
        <f>费用表原始表!AI33</f>
        <v>69664.990000000005</v>
      </c>
      <c r="L34" s="301">
        <f t="shared" si="2"/>
        <v>49276.990000000005</v>
      </c>
      <c r="M34" s="82">
        <f>费用表原始表!AG33</f>
        <v>9314.27</v>
      </c>
      <c r="N34" s="82">
        <f>费用表原始表!AH33</f>
        <v>3594.28</v>
      </c>
      <c r="O34" s="82">
        <f>费用表原始表!AX33</f>
        <v>27390.400000000001</v>
      </c>
      <c r="P34" s="82">
        <f>费用表原始表!AL33</f>
        <v>8978.0400000000009</v>
      </c>
      <c r="Q34" s="301">
        <f t="shared" si="3"/>
        <v>13955.14</v>
      </c>
      <c r="R34" s="82">
        <f>费用表原始表!AK33</f>
        <v>7408.2</v>
      </c>
      <c r="S34" s="82">
        <f>费用表原始表!AJ33</f>
        <v>6546.94</v>
      </c>
      <c r="T34" s="82">
        <f>费用表原始表!AF33</f>
        <v>34805.599999999999</v>
      </c>
      <c r="U34" s="301">
        <f t="shared" si="4"/>
        <v>1013704.37</v>
      </c>
      <c r="V34" s="82">
        <f>费用表原始表!AN33</f>
        <v>400374.02</v>
      </c>
      <c r="W34" s="82">
        <f>费用表原始表!AO33</f>
        <v>125027.1</v>
      </c>
      <c r="X34" s="82">
        <f>费用表原始表!AP33</f>
        <v>221342.67</v>
      </c>
      <c r="Y34" s="82">
        <f>费用表原始表!AQ33</f>
        <v>112934.51</v>
      </c>
      <c r="Z34" s="82">
        <f>费用表原始表!AR33</f>
        <v>114497.61</v>
      </c>
      <c r="AA34" s="82">
        <f>费用表原始表!AS33</f>
        <v>39528.46</v>
      </c>
      <c r="AB34" s="82">
        <f>费用表原始表!AT33</f>
        <v>0</v>
      </c>
      <c r="AC34" s="82">
        <f>费用表原始表!AM33</f>
        <v>48188.24</v>
      </c>
      <c r="AD34" s="82">
        <f>费用表原始表!AD33</f>
        <v>20009.68</v>
      </c>
    </row>
    <row r="35" spans="1:30" ht="18.75" customHeight="1">
      <c r="A35" s="442" t="s">
        <v>119</v>
      </c>
      <c r="B35" s="81" t="s">
        <v>120</v>
      </c>
      <c r="C35" s="301">
        <f t="shared" si="0"/>
        <v>253316.12000000002</v>
      </c>
      <c r="D35" s="82">
        <f>费用表原始表!V34</f>
        <v>0</v>
      </c>
      <c r="E35" s="82">
        <f>SUM(费用表原始表!C34:U34)</f>
        <v>104285.7</v>
      </c>
      <c r="F35" s="82">
        <f>费用表原始表!Z34+费用表原始表!AA34+费用表原始表!AB34+费用表原始表!AE34</f>
        <v>127524.52</v>
      </c>
      <c r="G35" s="82">
        <f>费用表原始表!AV34</f>
        <v>0</v>
      </c>
      <c r="H35" s="301">
        <f t="shared" si="1"/>
        <v>2186.42</v>
      </c>
      <c r="I35" s="82">
        <f>费用表原始表!AW34</f>
        <v>0</v>
      </c>
      <c r="J35" s="82">
        <f>费用表原始表!AU34</f>
        <v>1093.21</v>
      </c>
      <c r="K35" s="82">
        <f>费用表原始表!AI34</f>
        <v>1093.21</v>
      </c>
      <c r="L35" s="301">
        <f t="shared" si="2"/>
        <v>4372.84</v>
      </c>
      <c r="M35" s="82">
        <f>费用表原始表!AG34</f>
        <v>1093.21</v>
      </c>
      <c r="N35" s="82">
        <f>费用表原始表!AH34</f>
        <v>1093.21</v>
      </c>
      <c r="O35" s="82">
        <f>费用表原始表!AX34</f>
        <v>1093.21</v>
      </c>
      <c r="P35" s="82">
        <f>费用表原始表!AL34</f>
        <v>1093.21</v>
      </c>
      <c r="Q35" s="301">
        <f t="shared" si="3"/>
        <v>2186.42</v>
      </c>
      <c r="R35" s="82">
        <f>费用表原始表!AK34</f>
        <v>1093.21</v>
      </c>
      <c r="S35" s="82">
        <f>费用表原始表!AJ34</f>
        <v>1093.21</v>
      </c>
      <c r="T35" s="82">
        <f>费用表原始表!AF34</f>
        <v>5398.38</v>
      </c>
      <c r="U35" s="301">
        <f t="shared" si="4"/>
        <v>7361.84</v>
      </c>
      <c r="V35" s="82">
        <f>费用表原始表!AN34</f>
        <v>4417.1000000000004</v>
      </c>
      <c r="W35" s="82">
        <f>费用表原始表!AO34</f>
        <v>2944.74</v>
      </c>
      <c r="X35" s="82">
        <f>费用表原始表!AP34</f>
        <v>0</v>
      </c>
      <c r="Y35" s="82">
        <f>费用表原始表!AQ34</f>
        <v>0</v>
      </c>
      <c r="Z35" s="82">
        <f>费用表原始表!AR34</f>
        <v>0</v>
      </c>
      <c r="AA35" s="82">
        <f>费用表原始表!AS34</f>
        <v>0</v>
      </c>
      <c r="AB35" s="82">
        <f>费用表原始表!AT34</f>
        <v>0</v>
      </c>
      <c r="AC35" s="82">
        <f>费用表原始表!AM34</f>
        <v>0</v>
      </c>
      <c r="AD35" s="82">
        <f>费用表原始表!AD34</f>
        <v>0</v>
      </c>
    </row>
    <row r="36" spans="1:30">
      <c r="A36" s="443"/>
      <c r="B36" s="81" t="s">
        <v>121</v>
      </c>
      <c r="C36" s="301">
        <f t="shared" si="0"/>
        <v>177504.32999999996</v>
      </c>
      <c r="D36" s="82">
        <f>费用表原始表!V35</f>
        <v>0</v>
      </c>
      <c r="E36" s="82">
        <f>SUM(费用表原始表!C35:U35)</f>
        <v>44089.039999999986</v>
      </c>
      <c r="F36" s="82">
        <f>费用表原始表!Z35+费用表原始表!AA35+费用表原始表!AB35+费用表原始表!AE35</f>
        <v>83785.539999999994</v>
      </c>
      <c r="G36" s="82">
        <f>费用表原始表!AV35</f>
        <v>877.81</v>
      </c>
      <c r="H36" s="301">
        <f t="shared" si="1"/>
        <v>4418.96</v>
      </c>
      <c r="I36" s="82">
        <f>费用表原始表!AW35</f>
        <v>300.24</v>
      </c>
      <c r="J36" s="82">
        <f>费用表原始表!AU35</f>
        <v>2621.52</v>
      </c>
      <c r="K36" s="82">
        <f>费用表原始表!AI35</f>
        <v>1497.2</v>
      </c>
      <c r="L36" s="301">
        <f t="shared" si="2"/>
        <v>6515.3499999999995</v>
      </c>
      <c r="M36" s="82">
        <f>费用表原始表!AG35</f>
        <v>929.41</v>
      </c>
      <c r="N36" s="82">
        <f>费用表原始表!AH35</f>
        <v>2499.81</v>
      </c>
      <c r="O36" s="82">
        <f>费用表原始表!AX35</f>
        <v>1214.72</v>
      </c>
      <c r="P36" s="82">
        <f>费用表原始表!AL35</f>
        <v>1871.41</v>
      </c>
      <c r="Q36" s="301">
        <f t="shared" si="3"/>
        <v>2696.15</v>
      </c>
      <c r="R36" s="82">
        <f>费用表原始表!AK35</f>
        <v>391.29</v>
      </c>
      <c r="S36" s="82">
        <f>费用表原始表!AJ35</f>
        <v>2304.86</v>
      </c>
      <c r="T36" s="82">
        <f>费用表原始表!AF35</f>
        <v>20291.21</v>
      </c>
      <c r="U36" s="301">
        <f t="shared" si="4"/>
        <v>6290.7699999999995</v>
      </c>
      <c r="V36" s="82">
        <f>费用表原始表!AN35</f>
        <v>852.79</v>
      </c>
      <c r="W36" s="82">
        <f>费用表原始表!AO35</f>
        <v>872.15</v>
      </c>
      <c r="X36" s="82">
        <f>费用表原始表!AP35</f>
        <v>1527.82</v>
      </c>
      <c r="Y36" s="82">
        <f>费用表原始表!AQ35</f>
        <v>1015.7</v>
      </c>
      <c r="Z36" s="82">
        <f>费用表原始表!AR35</f>
        <v>1331.95</v>
      </c>
      <c r="AA36" s="82">
        <f>费用表原始表!AS35</f>
        <v>690.36</v>
      </c>
      <c r="AB36" s="82">
        <f>费用表原始表!AT35</f>
        <v>0</v>
      </c>
      <c r="AC36" s="82">
        <f>费用表原始表!AM35</f>
        <v>1093.24</v>
      </c>
      <c r="AD36" s="82">
        <f>费用表原始表!AD35</f>
        <v>7446.26</v>
      </c>
    </row>
    <row r="37" spans="1:30">
      <c r="A37" s="443"/>
      <c r="B37" s="81" t="s">
        <v>122</v>
      </c>
      <c r="C37" s="301">
        <f t="shared" si="0"/>
        <v>33050.229999999996</v>
      </c>
      <c r="D37" s="82">
        <f>费用表原始表!V36</f>
        <v>0</v>
      </c>
      <c r="E37" s="82">
        <f>SUM(费用表原始表!C36:U36)</f>
        <v>29056.6</v>
      </c>
      <c r="F37" s="82">
        <f>费用表原始表!Z36+费用表原始表!AA36+费用表原始表!AB36+费用表原始表!AE36</f>
        <v>3993.63</v>
      </c>
      <c r="G37" s="82">
        <f>费用表原始表!AV36</f>
        <v>0</v>
      </c>
      <c r="H37" s="301">
        <f t="shared" si="1"/>
        <v>0</v>
      </c>
      <c r="I37" s="82">
        <f>费用表原始表!AW36</f>
        <v>0</v>
      </c>
      <c r="J37" s="82">
        <f>费用表原始表!AU36</f>
        <v>0</v>
      </c>
      <c r="K37" s="82">
        <f>费用表原始表!AI36</f>
        <v>0</v>
      </c>
      <c r="L37" s="301">
        <f t="shared" si="2"/>
        <v>0</v>
      </c>
      <c r="M37" s="82">
        <f>费用表原始表!AG36</f>
        <v>0</v>
      </c>
      <c r="N37" s="82">
        <f>费用表原始表!AH36</f>
        <v>0</v>
      </c>
      <c r="O37" s="82">
        <f>费用表原始表!AX36</f>
        <v>0</v>
      </c>
      <c r="P37" s="82">
        <f>费用表原始表!AL36</f>
        <v>0</v>
      </c>
      <c r="Q37" s="301">
        <f t="shared" si="3"/>
        <v>0</v>
      </c>
      <c r="R37" s="82">
        <f>费用表原始表!AK36</f>
        <v>0</v>
      </c>
      <c r="S37" s="82">
        <f>费用表原始表!AJ36</f>
        <v>0</v>
      </c>
      <c r="T37" s="82">
        <f>费用表原始表!AF36</f>
        <v>0</v>
      </c>
      <c r="U37" s="301">
        <f t="shared" si="4"/>
        <v>0</v>
      </c>
      <c r="V37" s="82">
        <f>费用表原始表!AN36</f>
        <v>0</v>
      </c>
      <c r="W37" s="82">
        <f>费用表原始表!AO36</f>
        <v>0</v>
      </c>
      <c r="X37" s="82">
        <f>费用表原始表!AP36</f>
        <v>0</v>
      </c>
      <c r="Y37" s="82">
        <f>费用表原始表!AQ36</f>
        <v>0</v>
      </c>
      <c r="Z37" s="82">
        <f>费用表原始表!AR36</f>
        <v>0</v>
      </c>
      <c r="AA37" s="82">
        <f>费用表原始表!AS36</f>
        <v>0</v>
      </c>
      <c r="AB37" s="82">
        <f>费用表原始表!AT36</f>
        <v>0</v>
      </c>
      <c r="AC37" s="82">
        <f>费用表原始表!AM36</f>
        <v>0</v>
      </c>
      <c r="AD37" s="82">
        <f>费用表原始表!AD36</f>
        <v>0</v>
      </c>
    </row>
    <row r="38" spans="1:30">
      <c r="A38" s="443"/>
      <c r="B38" s="81" t="s">
        <v>123</v>
      </c>
      <c r="C38" s="301">
        <f t="shared" si="0"/>
        <v>194991.99</v>
      </c>
      <c r="D38" s="82">
        <f>费用表原始表!V37</f>
        <v>0</v>
      </c>
      <c r="E38" s="82">
        <f>SUM(费用表原始表!C37:U37)</f>
        <v>34626.949999999997</v>
      </c>
      <c r="F38" s="82">
        <f>费用表原始表!Z37+费用表原始表!AA37+费用表原始表!AB37+费用表原始表!AE37</f>
        <v>148619.96</v>
      </c>
      <c r="G38" s="82">
        <f>费用表原始表!AV37</f>
        <v>0</v>
      </c>
      <c r="H38" s="301">
        <f t="shared" si="1"/>
        <v>1266.3399999999999</v>
      </c>
      <c r="I38" s="82">
        <f>费用表原始表!AW37</f>
        <v>0</v>
      </c>
      <c r="J38" s="82">
        <f>费用表原始表!AU37</f>
        <v>1105.82</v>
      </c>
      <c r="K38" s="82">
        <f>费用表原始表!AI37</f>
        <v>160.52000000000001</v>
      </c>
      <c r="L38" s="301">
        <f t="shared" si="2"/>
        <v>4423.28</v>
      </c>
      <c r="M38" s="82">
        <f>费用表原始表!AG37</f>
        <v>1105.82</v>
      </c>
      <c r="N38" s="82">
        <f>费用表原始表!AH37</f>
        <v>1105.82</v>
      </c>
      <c r="O38" s="82">
        <f>费用表原始表!AX37</f>
        <v>1105.82</v>
      </c>
      <c r="P38" s="82">
        <f>费用表原始表!AL37</f>
        <v>1105.82</v>
      </c>
      <c r="Q38" s="301">
        <f t="shared" si="3"/>
        <v>2211.64</v>
      </c>
      <c r="R38" s="82">
        <f>费用表原始表!AK37</f>
        <v>1105.82</v>
      </c>
      <c r="S38" s="82">
        <f>费用表原始表!AJ37</f>
        <v>1105.82</v>
      </c>
      <c r="T38" s="82">
        <f>费用表原始表!AF37</f>
        <v>1105.82</v>
      </c>
      <c r="U38" s="301">
        <f t="shared" si="4"/>
        <v>0</v>
      </c>
      <c r="V38" s="82">
        <f>费用表原始表!AN37</f>
        <v>0</v>
      </c>
      <c r="W38" s="82">
        <f>费用表原始表!AO37</f>
        <v>0</v>
      </c>
      <c r="X38" s="82">
        <f>费用表原始表!AP37</f>
        <v>0</v>
      </c>
      <c r="Y38" s="82">
        <f>费用表原始表!AQ37</f>
        <v>0</v>
      </c>
      <c r="Z38" s="82">
        <f>费用表原始表!AR37</f>
        <v>0</v>
      </c>
      <c r="AA38" s="82">
        <f>费用表原始表!AS37</f>
        <v>0</v>
      </c>
      <c r="AB38" s="82">
        <f>费用表原始表!AT37</f>
        <v>0</v>
      </c>
      <c r="AC38" s="82">
        <f>费用表原始表!AM37</f>
        <v>0</v>
      </c>
      <c r="AD38" s="82">
        <f>费用表原始表!AD37</f>
        <v>2738</v>
      </c>
    </row>
    <row r="39" spans="1:30">
      <c r="A39" s="443"/>
      <c r="B39" s="81" t="s">
        <v>124</v>
      </c>
      <c r="C39" s="301">
        <f t="shared" si="0"/>
        <v>47500</v>
      </c>
      <c r="D39" s="82">
        <f>费用表原始表!V38</f>
        <v>0</v>
      </c>
      <c r="E39" s="82">
        <f>SUM(费用表原始表!C38:U38)</f>
        <v>47500</v>
      </c>
      <c r="F39" s="82">
        <f>费用表原始表!Z38+费用表原始表!AA38+费用表原始表!AB38+费用表原始表!AE38</f>
        <v>0</v>
      </c>
      <c r="G39" s="82">
        <f>费用表原始表!AV38</f>
        <v>0</v>
      </c>
      <c r="H39" s="301">
        <f t="shared" si="1"/>
        <v>0</v>
      </c>
      <c r="I39" s="82">
        <f>费用表原始表!AW38</f>
        <v>0</v>
      </c>
      <c r="J39" s="82">
        <f>费用表原始表!AU38</f>
        <v>0</v>
      </c>
      <c r="K39" s="82">
        <f>费用表原始表!AI38</f>
        <v>0</v>
      </c>
      <c r="L39" s="301">
        <f t="shared" si="2"/>
        <v>0</v>
      </c>
      <c r="M39" s="82">
        <f>费用表原始表!AG38</f>
        <v>0</v>
      </c>
      <c r="N39" s="82">
        <f>费用表原始表!AH38</f>
        <v>0</v>
      </c>
      <c r="O39" s="82">
        <f>费用表原始表!AX38</f>
        <v>0</v>
      </c>
      <c r="P39" s="82">
        <f>费用表原始表!AL38</f>
        <v>0</v>
      </c>
      <c r="Q39" s="301">
        <f t="shared" si="3"/>
        <v>0</v>
      </c>
      <c r="R39" s="82">
        <f>费用表原始表!AK38</f>
        <v>0</v>
      </c>
      <c r="S39" s="82">
        <f>费用表原始表!AJ38</f>
        <v>0</v>
      </c>
      <c r="T39" s="82">
        <f>费用表原始表!AF38</f>
        <v>0</v>
      </c>
      <c r="U39" s="301">
        <f t="shared" si="4"/>
        <v>0</v>
      </c>
      <c r="V39" s="82">
        <f>费用表原始表!AN38</f>
        <v>0</v>
      </c>
      <c r="W39" s="82">
        <f>费用表原始表!AO38</f>
        <v>0</v>
      </c>
      <c r="X39" s="82">
        <f>费用表原始表!AP38</f>
        <v>0</v>
      </c>
      <c r="Y39" s="82">
        <f>费用表原始表!AQ38</f>
        <v>0</v>
      </c>
      <c r="Z39" s="82">
        <f>费用表原始表!AR38</f>
        <v>0</v>
      </c>
      <c r="AA39" s="82">
        <f>费用表原始表!AS38</f>
        <v>0</v>
      </c>
      <c r="AB39" s="82">
        <f>费用表原始表!AT38</f>
        <v>0</v>
      </c>
      <c r="AC39" s="82">
        <f>费用表原始表!AM38</f>
        <v>0</v>
      </c>
      <c r="AD39" s="82">
        <f>费用表原始表!AD38</f>
        <v>0</v>
      </c>
    </row>
    <row r="40" spans="1:30">
      <c r="A40" s="443"/>
      <c r="B40" s="81" t="s">
        <v>125</v>
      </c>
      <c r="C40" s="301">
        <f t="shared" si="0"/>
        <v>42004.15</v>
      </c>
      <c r="D40" s="82">
        <f>费用表原始表!V39</f>
        <v>0</v>
      </c>
      <c r="E40" s="82">
        <f>SUM(费用表原始表!C39:U39)</f>
        <v>22694.38</v>
      </c>
      <c r="F40" s="82">
        <f>费用表原始表!Z39+费用表原始表!AA39+费用表原始表!AB39+费用表原始表!AE39</f>
        <v>17789.77</v>
      </c>
      <c r="G40" s="82">
        <f>费用表原始表!AV39</f>
        <v>0</v>
      </c>
      <c r="H40" s="301">
        <f t="shared" si="1"/>
        <v>0</v>
      </c>
      <c r="I40" s="82">
        <f>费用表原始表!AW39</f>
        <v>0</v>
      </c>
      <c r="J40" s="82">
        <f>费用表原始表!AU39</f>
        <v>0</v>
      </c>
      <c r="K40" s="82">
        <f>费用表原始表!AI39</f>
        <v>0</v>
      </c>
      <c r="L40" s="301">
        <f t="shared" si="2"/>
        <v>0</v>
      </c>
      <c r="M40" s="82">
        <f>费用表原始表!AG39</f>
        <v>0</v>
      </c>
      <c r="N40" s="82">
        <f>费用表原始表!AH39</f>
        <v>0</v>
      </c>
      <c r="O40" s="82">
        <f>费用表原始表!AX39</f>
        <v>0</v>
      </c>
      <c r="P40" s="82">
        <f>费用表原始表!AL39</f>
        <v>0</v>
      </c>
      <c r="Q40" s="301">
        <f t="shared" si="3"/>
        <v>0</v>
      </c>
      <c r="R40" s="82">
        <f>费用表原始表!AK39</f>
        <v>0</v>
      </c>
      <c r="S40" s="82">
        <f>费用表原始表!AJ39</f>
        <v>0</v>
      </c>
      <c r="T40" s="82">
        <f>费用表原始表!AF39</f>
        <v>0</v>
      </c>
      <c r="U40" s="301">
        <f t="shared" si="4"/>
        <v>1520</v>
      </c>
      <c r="V40" s="82">
        <f>费用表原始表!AN39</f>
        <v>0</v>
      </c>
      <c r="W40" s="82">
        <f>费用表原始表!AO39</f>
        <v>0</v>
      </c>
      <c r="X40" s="82">
        <f>费用表原始表!AP39</f>
        <v>1040</v>
      </c>
      <c r="Y40" s="82">
        <f>费用表原始表!AQ39</f>
        <v>480</v>
      </c>
      <c r="Z40" s="82">
        <f>费用表原始表!AR39</f>
        <v>0</v>
      </c>
      <c r="AA40" s="82">
        <f>费用表原始表!AS39</f>
        <v>0</v>
      </c>
      <c r="AB40" s="82">
        <f>费用表原始表!AT39</f>
        <v>0</v>
      </c>
      <c r="AC40" s="82">
        <f>费用表原始表!AM39</f>
        <v>0</v>
      </c>
      <c r="AD40" s="82">
        <f>费用表原始表!AD39</f>
        <v>0</v>
      </c>
    </row>
    <row r="41" spans="1:30">
      <c r="A41" s="443"/>
      <c r="B41" s="81" t="s">
        <v>126</v>
      </c>
      <c r="C41" s="301">
        <f t="shared" si="0"/>
        <v>40000</v>
      </c>
      <c r="D41" s="82">
        <f>费用表原始表!V40</f>
        <v>0</v>
      </c>
      <c r="E41" s="82">
        <f>SUM(费用表原始表!C40:U40)</f>
        <v>0</v>
      </c>
      <c r="F41" s="82">
        <f>费用表原始表!Z40+费用表原始表!AA40+费用表原始表!AB40+费用表原始表!AE40</f>
        <v>40000</v>
      </c>
      <c r="G41" s="82">
        <f>费用表原始表!AV40</f>
        <v>0</v>
      </c>
      <c r="H41" s="301">
        <f t="shared" si="1"/>
        <v>0</v>
      </c>
      <c r="I41" s="82">
        <f>费用表原始表!AW40</f>
        <v>0</v>
      </c>
      <c r="J41" s="82">
        <f>费用表原始表!AU40</f>
        <v>0</v>
      </c>
      <c r="K41" s="82">
        <f>费用表原始表!AI40</f>
        <v>0</v>
      </c>
      <c r="L41" s="301">
        <f t="shared" si="2"/>
        <v>0</v>
      </c>
      <c r="M41" s="82">
        <f>费用表原始表!AG40</f>
        <v>0</v>
      </c>
      <c r="N41" s="82">
        <f>费用表原始表!AH40</f>
        <v>0</v>
      </c>
      <c r="O41" s="82">
        <f>费用表原始表!AX40</f>
        <v>0</v>
      </c>
      <c r="P41" s="82">
        <f>费用表原始表!AL40</f>
        <v>0</v>
      </c>
      <c r="Q41" s="301">
        <f t="shared" si="3"/>
        <v>0</v>
      </c>
      <c r="R41" s="82">
        <f>费用表原始表!AK40</f>
        <v>0</v>
      </c>
      <c r="S41" s="82">
        <f>费用表原始表!AJ40</f>
        <v>0</v>
      </c>
      <c r="T41" s="82">
        <f>费用表原始表!AF40</f>
        <v>0</v>
      </c>
      <c r="U41" s="301">
        <f t="shared" si="4"/>
        <v>0</v>
      </c>
      <c r="V41" s="82">
        <f>费用表原始表!AN40</f>
        <v>0</v>
      </c>
      <c r="W41" s="82">
        <f>费用表原始表!AO40</f>
        <v>0</v>
      </c>
      <c r="X41" s="82">
        <f>费用表原始表!AP40</f>
        <v>0</v>
      </c>
      <c r="Y41" s="82">
        <f>费用表原始表!AQ40</f>
        <v>0</v>
      </c>
      <c r="Z41" s="82">
        <f>费用表原始表!AR40</f>
        <v>0</v>
      </c>
      <c r="AA41" s="82">
        <f>费用表原始表!AS40</f>
        <v>0</v>
      </c>
      <c r="AB41" s="82">
        <f>费用表原始表!AT40</f>
        <v>0</v>
      </c>
      <c r="AC41" s="82">
        <f>费用表原始表!AM40</f>
        <v>0</v>
      </c>
      <c r="AD41" s="82">
        <f>费用表原始表!AD40</f>
        <v>0</v>
      </c>
    </row>
    <row r="42" spans="1:30">
      <c r="A42" s="443"/>
      <c r="B42" s="81" t="s">
        <v>127</v>
      </c>
      <c r="C42" s="301">
        <f t="shared" si="0"/>
        <v>872521.69</v>
      </c>
      <c r="D42" s="82">
        <f>费用表原始表!V41</f>
        <v>0</v>
      </c>
      <c r="E42" s="82">
        <f>SUM(费用表原始表!C41:U41)</f>
        <v>183962.26</v>
      </c>
      <c r="F42" s="82">
        <f>费用表原始表!Z41+费用表原始表!AA41+费用表原始表!AB41+费用表原始表!AE41</f>
        <v>91509.43</v>
      </c>
      <c r="G42" s="82">
        <f>费用表原始表!AV41</f>
        <v>0</v>
      </c>
      <c r="H42" s="301">
        <f t="shared" si="1"/>
        <v>0</v>
      </c>
      <c r="I42" s="82">
        <f>费用表原始表!AW41</f>
        <v>0</v>
      </c>
      <c r="J42" s="82">
        <f>费用表原始表!AU41</f>
        <v>0</v>
      </c>
      <c r="K42" s="82">
        <f>费用表原始表!AI41</f>
        <v>0</v>
      </c>
      <c r="L42" s="301">
        <f t="shared" si="2"/>
        <v>597050</v>
      </c>
      <c r="M42" s="82">
        <f>费用表原始表!AG41</f>
        <v>0</v>
      </c>
      <c r="N42" s="82">
        <f>费用表原始表!AH41</f>
        <v>597050</v>
      </c>
      <c r="O42" s="82">
        <f>费用表原始表!AX41</f>
        <v>0</v>
      </c>
      <c r="P42" s="82">
        <f>费用表原始表!AL41</f>
        <v>0</v>
      </c>
      <c r="Q42" s="301">
        <f t="shared" si="3"/>
        <v>0</v>
      </c>
      <c r="R42" s="82">
        <f>费用表原始表!AK41</f>
        <v>0</v>
      </c>
      <c r="S42" s="82">
        <f>费用表原始表!AJ41</f>
        <v>0</v>
      </c>
      <c r="T42" s="82">
        <f>费用表原始表!AF41</f>
        <v>0</v>
      </c>
      <c r="U42" s="301">
        <f t="shared" si="4"/>
        <v>0</v>
      </c>
      <c r="V42" s="82">
        <f>费用表原始表!AN41</f>
        <v>0</v>
      </c>
      <c r="W42" s="82">
        <f>费用表原始表!AO41</f>
        <v>0</v>
      </c>
      <c r="X42" s="82">
        <f>费用表原始表!AP41</f>
        <v>0</v>
      </c>
      <c r="Y42" s="82">
        <f>费用表原始表!AQ41</f>
        <v>0</v>
      </c>
      <c r="Z42" s="82">
        <f>费用表原始表!AR41</f>
        <v>0</v>
      </c>
      <c r="AA42" s="82">
        <f>费用表原始表!AS41</f>
        <v>0</v>
      </c>
      <c r="AB42" s="82">
        <f>费用表原始表!AT41</f>
        <v>0</v>
      </c>
      <c r="AC42" s="82">
        <f>费用表原始表!AM41</f>
        <v>0</v>
      </c>
      <c r="AD42" s="82">
        <f>费用表原始表!AD41</f>
        <v>0</v>
      </c>
    </row>
    <row r="43" spans="1:30">
      <c r="A43" s="443"/>
      <c r="B43" s="81" t="s">
        <v>128</v>
      </c>
      <c r="C43" s="301">
        <f t="shared" si="0"/>
        <v>0</v>
      </c>
      <c r="D43" s="82">
        <f>费用表原始表!V42</f>
        <v>0</v>
      </c>
      <c r="E43" s="82">
        <f>SUM(费用表原始表!C42:U42)</f>
        <v>0</v>
      </c>
      <c r="F43" s="82">
        <f>费用表原始表!Z42+费用表原始表!AA42+费用表原始表!AB42+费用表原始表!AE42</f>
        <v>0</v>
      </c>
      <c r="G43" s="82">
        <f>费用表原始表!AV42</f>
        <v>0</v>
      </c>
      <c r="H43" s="301">
        <f t="shared" si="1"/>
        <v>0</v>
      </c>
      <c r="I43" s="82">
        <f>费用表原始表!AW42</f>
        <v>0</v>
      </c>
      <c r="J43" s="82">
        <f>费用表原始表!AU42</f>
        <v>0</v>
      </c>
      <c r="K43" s="82">
        <f>费用表原始表!AI42</f>
        <v>0</v>
      </c>
      <c r="L43" s="301">
        <f t="shared" si="2"/>
        <v>0</v>
      </c>
      <c r="M43" s="82">
        <f>费用表原始表!AG42</f>
        <v>0</v>
      </c>
      <c r="N43" s="82">
        <f>费用表原始表!AH42</f>
        <v>0</v>
      </c>
      <c r="O43" s="82">
        <f>费用表原始表!AX42</f>
        <v>0</v>
      </c>
      <c r="P43" s="82">
        <f>费用表原始表!AL42</f>
        <v>0</v>
      </c>
      <c r="Q43" s="301">
        <f t="shared" si="3"/>
        <v>0</v>
      </c>
      <c r="R43" s="82">
        <f>费用表原始表!AK42</f>
        <v>0</v>
      </c>
      <c r="S43" s="82">
        <f>费用表原始表!AJ42</f>
        <v>0</v>
      </c>
      <c r="T43" s="82">
        <f>费用表原始表!AF42</f>
        <v>0</v>
      </c>
      <c r="U43" s="301">
        <f t="shared" si="4"/>
        <v>0</v>
      </c>
      <c r="V43" s="82">
        <f>费用表原始表!AN42</f>
        <v>0</v>
      </c>
      <c r="W43" s="82">
        <f>费用表原始表!AO42</f>
        <v>0</v>
      </c>
      <c r="X43" s="82">
        <f>费用表原始表!AP42</f>
        <v>0</v>
      </c>
      <c r="Y43" s="82">
        <f>费用表原始表!AQ42</f>
        <v>0</v>
      </c>
      <c r="Z43" s="82">
        <f>费用表原始表!AR42</f>
        <v>0</v>
      </c>
      <c r="AA43" s="82">
        <f>费用表原始表!AS42</f>
        <v>0</v>
      </c>
      <c r="AB43" s="82">
        <f>费用表原始表!AT42</f>
        <v>0</v>
      </c>
      <c r="AC43" s="82">
        <f>费用表原始表!AM42</f>
        <v>0</v>
      </c>
      <c r="AD43" s="82">
        <f>费用表原始表!AD42</f>
        <v>0</v>
      </c>
    </row>
    <row r="44" spans="1:30">
      <c r="A44" s="443"/>
      <c r="B44" s="81" t="s">
        <v>129</v>
      </c>
      <c r="C44" s="301">
        <f t="shared" si="0"/>
        <v>88071.65</v>
      </c>
      <c r="D44" s="82">
        <f>费用表原始表!V43</f>
        <v>0</v>
      </c>
      <c r="E44" s="82">
        <f>SUM(费用表原始表!C43:U43)</f>
        <v>-373.58</v>
      </c>
      <c r="F44" s="82">
        <f>费用表原始表!Z43+费用表原始表!AA43+费用表原始表!AB43+费用表原始表!AE43</f>
        <v>78570.95</v>
      </c>
      <c r="G44" s="82">
        <f>费用表原始表!AV43</f>
        <v>0</v>
      </c>
      <c r="H44" s="301">
        <f t="shared" si="1"/>
        <v>0</v>
      </c>
      <c r="I44" s="82">
        <f>费用表原始表!AW43</f>
        <v>0</v>
      </c>
      <c r="J44" s="82">
        <f>费用表原始表!AU43</f>
        <v>0</v>
      </c>
      <c r="K44" s="82">
        <f>费用表原始表!AI43</f>
        <v>0</v>
      </c>
      <c r="L44" s="301">
        <f t="shared" si="2"/>
        <v>0</v>
      </c>
      <c r="M44" s="82">
        <f>费用表原始表!AG43</f>
        <v>0</v>
      </c>
      <c r="N44" s="82">
        <f>费用表原始表!AH43</f>
        <v>0</v>
      </c>
      <c r="O44" s="82">
        <f>费用表原始表!AX43</f>
        <v>0</v>
      </c>
      <c r="P44" s="82">
        <f>费用表原始表!AL43</f>
        <v>0</v>
      </c>
      <c r="Q44" s="301">
        <f t="shared" si="3"/>
        <v>9874.2800000000007</v>
      </c>
      <c r="R44" s="82">
        <f>费用表原始表!AK43</f>
        <v>0</v>
      </c>
      <c r="S44" s="82">
        <f>费用表原始表!AJ43</f>
        <v>9874.2800000000007</v>
      </c>
      <c r="T44" s="82">
        <f>费用表原始表!AF43</f>
        <v>0</v>
      </c>
      <c r="U44" s="301">
        <f t="shared" si="4"/>
        <v>0</v>
      </c>
      <c r="V44" s="82">
        <f>费用表原始表!AN43</f>
        <v>0</v>
      </c>
      <c r="W44" s="82">
        <f>费用表原始表!AO43</f>
        <v>0</v>
      </c>
      <c r="X44" s="82">
        <f>费用表原始表!AP43</f>
        <v>0</v>
      </c>
      <c r="Y44" s="82">
        <f>费用表原始表!AQ43</f>
        <v>0</v>
      </c>
      <c r="Z44" s="82">
        <f>费用表原始表!AR43</f>
        <v>0</v>
      </c>
      <c r="AA44" s="82">
        <f>费用表原始表!AS43</f>
        <v>0</v>
      </c>
      <c r="AB44" s="82">
        <f>费用表原始表!AT43</f>
        <v>0</v>
      </c>
      <c r="AC44" s="82">
        <f>费用表原始表!AM43</f>
        <v>0</v>
      </c>
      <c r="AD44" s="82">
        <f>费用表原始表!AD43</f>
        <v>0</v>
      </c>
    </row>
    <row r="45" spans="1:30">
      <c r="A45" s="443"/>
      <c r="B45" s="84" t="s">
        <v>130</v>
      </c>
      <c r="C45" s="301">
        <f t="shared" si="0"/>
        <v>194325.97999999998</v>
      </c>
      <c r="D45" s="82">
        <f>费用表原始表!V44</f>
        <v>0</v>
      </c>
      <c r="E45" s="82">
        <f>SUM(费用表原始表!C44:U44)</f>
        <v>139174.53999999998</v>
      </c>
      <c r="F45" s="82">
        <f>费用表原始表!Z44+费用表原始表!AA44+费用表原始表!AB44+费用表原始表!AE44</f>
        <v>55151.44</v>
      </c>
      <c r="G45" s="82">
        <f>费用表原始表!AV44</f>
        <v>0</v>
      </c>
      <c r="H45" s="301">
        <f t="shared" si="1"/>
        <v>0</v>
      </c>
      <c r="I45" s="82">
        <f>费用表原始表!AW44</f>
        <v>0</v>
      </c>
      <c r="J45" s="82">
        <f>费用表原始表!AU44</f>
        <v>0</v>
      </c>
      <c r="K45" s="82">
        <f>费用表原始表!AI44</f>
        <v>0</v>
      </c>
      <c r="L45" s="301">
        <f t="shared" si="2"/>
        <v>0</v>
      </c>
      <c r="M45" s="82">
        <f>费用表原始表!AG44</f>
        <v>0</v>
      </c>
      <c r="N45" s="82">
        <f>费用表原始表!AH44</f>
        <v>0</v>
      </c>
      <c r="O45" s="82">
        <f>费用表原始表!AX44</f>
        <v>0</v>
      </c>
      <c r="P45" s="82">
        <f>费用表原始表!AL44</f>
        <v>0</v>
      </c>
      <c r="Q45" s="301">
        <f t="shared" si="3"/>
        <v>0</v>
      </c>
      <c r="R45" s="82">
        <f>费用表原始表!AK44</f>
        <v>0</v>
      </c>
      <c r="S45" s="82">
        <f>费用表原始表!AJ44</f>
        <v>0</v>
      </c>
      <c r="T45" s="82">
        <f>费用表原始表!AF44</f>
        <v>0</v>
      </c>
      <c r="U45" s="301">
        <f t="shared" si="4"/>
        <v>0</v>
      </c>
      <c r="V45" s="82">
        <f>费用表原始表!AN44</f>
        <v>0</v>
      </c>
      <c r="W45" s="82">
        <f>费用表原始表!AO44</f>
        <v>0</v>
      </c>
      <c r="X45" s="82">
        <f>费用表原始表!AP44</f>
        <v>0</v>
      </c>
      <c r="Y45" s="82">
        <f>费用表原始表!AQ44</f>
        <v>0</v>
      </c>
      <c r="Z45" s="82">
        <f>费用表原始表!AR44</f>
        <v>0</v>
      </c>
      <c r="AA45" s="82">
        <f>费用表原始表!AS44</f>
        <v>0</v>
      </c>
      <c r="AB45" s="82">
        <f>费用表原始表!AT44</f>
        <v>0</v>
      </c>
      <c r="AC45" s="82">
        <f>费用表原始表!AM44</f>
        <v>0</v>
      </c>
      <c r="AD45" s="82">
        <f>费用表原始表!AD44</f>
        <v>0</v>
      </c>
    </row>
    <row r="46" spans="1:30" ht="13.5" customHeight="1">
      <c r="A46" s="443"/>
      <c r="B46" s="81" t="s">
        <v>131</v>
      </c>
      <c r="C46" s="301">
        <f t="shared" si="0"/>
        <v>4064790.0900000003</v>
      </c>
      <c r="D46" s="82">
        <f>费用表原始表!V45</f>
        <v>0</v>
      </c>
      <c r="E46" s="82">
        <f>SUM(费用表原始表!C45:U45)</f>
        <v>561292.94999999995</v>
      </c>
      <c r="F46" s="82">
        <f>费用表原始表!Z45+费用表原始表!AA45+费用表原始表!AB45+费用表原始表!AE45</f>
        <v>1896623.05</v>
      </c>
      <c r="G46" s="82">
        <f>费用表原始表!AV45</f>
        <v>0</v>
      </c>
      <c r="H46" s="301">
        <f t="shared" si="1"/>
        <v>2086.6</v>
      </c>
      <c r="I46" s="82">
        <f>费用表原始表!AW45</f>
        <v>0</v>
      </c>
      <c r="J46" s="82">
        <f>费用表原始表!AU45</f>
        <v>1043.3</v>
      </c>
      <c r="K46" s="82">
        <f>费用表原始表!AI45</f>
        <v>1043.3</v>
      </c>
      <c r="L46" s="301">
        <f t="shared" si="2"/>
        <v>4173.2</v>
      </c>
      <c r="M46" s="82">
        <f>费用表原始表!AG45</f>
        <v>1043.3</v>
      </c>
      <c r="N46" s="82">
        <f>费用表原始表!AH45</f>
        <v>1043.3</v>
      </c>
      <c r="O46" s="82">
        <f>费用表原始表!AX45</f>
        <v>1043.3</v>
      </c>
      <c r="P46" s="82">
        <f>费用表原始表!AL45</f>
        <v>1043.3</v>
      </c>
      <c r="Q46" s="301">
        <f t="shared" si="3"/>
        <v>2086.6</v>
      </c>
      <c r="R46" s="82">
        <f>费用表原始表!AK45</f>
        <v>1043.3</v>
      </c>
      <c r="S46" s="82">
        <f>费用表原始表!AJ45</f>
        <v>1043.3</v>
      </c>
      <c r="T46" s="82">
        <f>费用表原始表!AF45</f>
        <v>1567748.52</v>
      </c>
      <c r="U46" s="301">
        <f t="shared" si="4"/>
        <v>6771.17</v>
      </c>
      <c r="V46" s="82">
        <f>费用表原始表!AN45</f>
        <v>4062.7</v>
      </c>
      <c r="W46" s="82">
        <f>费用表原始表!AO45</f>
        <v>2708.47</v>
      </c>
      <c r="X46" s="82">
        <f>费用表原始表!AP45</f>
        <v>0</v>
      </c>
      <c r="Y46" s="82">
        <f>费用表原始表!AQ45</f>
        <v>0</v>
      </c>
      <c r="Z46" s="82">
        <f>费用表原始表!AR45</f>
        <v>0</v>
      </c>
      <c r="AA46" s="82">
        <f>费用表原始表!AS45</f>
        <v>0</v>
      </c>
      <c r="AB46" s="82">
        <f>费用表原始表!AT45</f>
        <v>0</v>
      </c>
      <c r="AC46" s="82">
        <f>费用表原始表!AM45</f>
        <v>0</v>
      </c>
      <c r="AD46" s="82">
        <f>费用表原始表!AD45</f>
        <v>24008</v>
      </c>
    </row>
    <row r="47" spans="1:30">
      <c r="A47" s="443"/>
      <c r="B47" s="81" t="s">
        <v>132</v>
      </c>
      <c r="C47" s="301">
        <f t="shared" si="0"/>
        <v>1529331.13</v>
      </c>
      <c r="D47" s="82">
        <f>费用表原始表!V46</f>
        <v>0</v>
      </c>
      <c r="E47" s="82">
        <f>SUM(费用表原始表!C46:U46)</f>
        <v>1113172.99</v>
      </c>
      <c r="F47" s="82">
        <f>费用表原始表!Z46+费用表原始表!AA46+费用表原始表!AB46+费用表原始表!AE46</f>
        <v>354030.76</v>
      </c>
      <c r="G47" s="82">
        <f>费用表原始表!AV46</f>
        <v>0</v>
      </c>
      <c r="H47" s="301">
        <f t="shared" si="1"/>
        <v>5449.98</v>
      </c>
      <c r="I47" s="82">
        <f>费用表原始表!AW46</f>
        <v>0</v>
      </c>
      <c r="J47" s="82">
        <f>费用表原始表!AU46</f>
        <v>0</v>
      </c>
      <c r="K47" s="82">
        <f>费用表原始表!AI46</f>
        <v>5449.98</v>
      </c>
      <c r="L47" s="301">
        <f t="shared" si="2"/>
        <v>8109.72</v>
      </c>
      <c r="M47" s="82">
        <f>费用表原始表!AG46</f>
        <v>7184.81</v>
      </c>
      <c r="N47" s="82">
        <f>费用表原始表!AH46</f>
        <v>641.65</v>
      </c>
      <c r="O47" s="82">
        <f>费用表原始表!AX46</f>
        <v>0</v>
      </c>
      <c r="P47" s="82">
        <f>费用表原始表!AL46</f>
        <v>283.26</v>
      </c>
      <c r="Q47" s="301">
        <f t="shared" si="3"/>
        <v>3380.04</v>
      </c>
      <c r="R47" s="82">
        <f>费用表原始表!AK46</f>
        <v>785.93</v>
      </c>
      <c r="S47" s="82">
        <f>费用表原始表!AJ46</f>
        <v>2594.11</v>
      </c>
      <c r="T47" s="82">
        <f>费用表原始表!AF46</f>
        <v>45187.64</v>
      </c>
      <c r="U47" s="301">
        <f t="shared" si="4"/>
        <v>0</v>
      </c>
      <c r="V47" s="82">
        <f>费用表原始表!AN46</f>
        <v>0</v>
      </c>
      <c r="W47" s="82">
        <f>费用表原始表!AO46</f>
        <v>0</v>
      </c>
      <c r="X47" s="82">
        <f>费用表原始表!AP46</f>
        <v>0</v>
      </c>
      <c r="Y47" s="82">
        <f>费用表原始表!AQ46</f>
        <v>0</v>
      </c>
      <c r="Z47" s="82">
        <f>费用表原始表!AR46</f>
        <v>0</v>
      </c>
      <c r="AA47" s="82">
        <f>费用表原始表!AS46</f>
        <v>0</v>
      </c>
      <c r="AB47" s="82">
        <f>费用表原始表!AT46</f>
        <v>0</v>
      </c>
      <c r="AC47" s="82">
        <f>费用表原始表!AM46</f>
        <v>0</v>
      </c>
      <c r="AD47" s="82">
        <f>费用表原始表!AD46</f>
        <v>0</v>
      </c>
    </row>
    <row r="48" spans="1:30">
      <c r="A48" s="443"/>
      <c r="B48" s="81" t="s">
        <v>133</v>
      </c>
      <c r="C48" s="301">
        <f t="shared" si="0"/>
        <v>774613.34</v>
      </c>
      <c r="D48" s="82">
        <f>费用表原始表!V47</f>
        <v>0</v>
      </c>
      <c r="E48" s="82">
        <f>SUM(费用表原始表!C47:U47)</f>
        <v>711379.87</v>
      </c>
      <c r="F48" s="82">
        <f>费用表原始表!Z47+费用表原始表!AA47+费用表原始表!AB47+费用表原始表!AE47</f>
        <v>51442.62</v>
      </c>
      <c r="G48" s="82">
        <f>费用表原始表!AV47</f>
        <v>0</v>
      </c>
      <c r="H48" s="301">
        <f t="shared" si="1"/>
        <v>0</v>
      </c>
      <c r="I48" s="82">
        <f>费用表原始表!AW47</f>
        <v>0</v>
      </c>
      <c r="J48" s="82">
        <f>费用表原始表!AU47</f>
        <v>0</v>
      </c>
      <c r="K48" s="82">
        <f>费用表原始表!AI47</f>
        <v>0</v>
      </c>
      <c r="L48" s="301">
        <f t="shared" si="2"/>
        <v>11161.91</v>
      </c>
      <c r="M48" s="82">
        <f>费用表原始表!AG47</f>
        <v>11161.91</v>
      </c>
      <c r="N48" s="82">
        <f>费用表原始表!AH47</f>
        <v>0</v>
      </c>
      <c r="O48" s="82">
        <f>费用表原始表!AX47</f>
        <v>0</v>
      </c>
      <c r="P48" s="82">
        <f>费用表原始表!AL47</f>
        <v>0</v>
      </c>
      <c r="Q48" s="301">
        <f t="shared" si="3"/>
        <v>0</v>
      </c>
      <c r="R48" s="82">
        <f>费用表原始表!AK47</f>
        <v>0</v>
      </c>
      <c r="S48" s="82">
        <f>费用表原始表!AJ47</f>
        <v>0</v>
      </c>
      <c r="T48" s="82">
        <f>费用表原始表!AF47</f>
        <v>0</v>
      </c>
      <c r="U48" s="301">
        <f t="shared" si="4"/>
        <v>0</v>
      </c>
      <c r="V48" s="82">
        <f>费用表原始表!AN47</f>
        <v>0</v>
      </c>
      <c r="W48" s="82">
        <f>费用表原始表!AO47</f>
        <v>0</v>
      </c>
      <c r="X48" s="82">
        <f>费用表原始表!AP47</f>
        <v>0</v>
      </c>
      <c r="Y48" s="82">
        <f>费用表原始表!AQ47</f>
        <v>0</v>
      </c>
      <c r="Z48" s="82">
        <f>费用表原始表!AR47</f>
        <v>0</v>
      </c>
      <c r="AA48" s="82">
        <f>费用表原始表!AS47</f>
        <v>0</v>
      </c>
      <c r="AB48" s="82">
        <f>费用表原始表!AT47</f>
        <v>0</v>
      </c>
      <c r="AC48" s="82">
        <f>费用表原始表!AM47</f>
        <v>0</v>
      </c>
      <c r="AD48" s="82">
        <f>费用表原始表!AD47</f>
        <v>628.94000000000005</v>
      </c>
    </row>
    <row r="49" spans="1:30">
      <c r="A49" s="443"/>
      <c r="B49" s="81" t="s">
        <v>134</v>
      </c>
      <c r="C49" s="301">
        <f t="shared" si="0"/>
        <v>595644.35</v>
      </c>
      <c r="D49" s="82">
        <f>费用表原始表!V48</f>
        <v>0</v>
      </c>
      <c r="E49" s="82">
        <f>SUM(费用表原始表!C48:U48)</f>
        <v>182350.94</v>
      </c>
      <c r="F49" s="82">
        <f>费用表原始表!Z48+费用表原始表!AA48+费用表原始表!AB48+费用表原始表!AE48</f>
        <v>386324.62</v>
      </c>
      <c r="G49" s="82">
        <f>费用表原始表!AV48</f>
        <v>1027.8499999999999</v>
      </c>
      <c r="H49" s="301">
        <f t="shared" si="1"/>
        <v>6652.08</v>
      </c>
      <c r="I49" s="82">
        <f>费用表原始表!AW48</f>
        <v>0</v>
      </c>
      <c r="J49" s="82">
        <f>费用表原始表!AU48</f>
        <v>4459.68</v>
      </c>
      <c r="K49" s="82">
        <f>费用表原始表!AI48</f>
        <v>2192.4</v>
      </c>
      <c r="L49" s="301">
        <f t="shared" si="2"/>
        <v>10039.960000000001</v>
      </c>
      <c r="M49" s="82">
        <f>费用表原始表!AG48</f>
        <v>2303.0700000000002</v>
      </c>
      <c r="N49" s="82">
        <f>费用表原始表!AH48</f>
        <v>2192.4</v>
      </c>
      <c r="O49" s="82">
        <f>费用表原始表!AX48</f>
        <v>3352.09</v>
      </c>
      <c r="P49" s="82">
        <f>费用表原始表!AL48</f>
        <v>2192.4</v>
      </c>
      <c r="Q49" s="301">
        <f t="shared" si="3"/>
        <v>4384.8</v>
      </c>
      <c r="R49" s="82">
        <f>费用表原始表!AK48</f>
        <v>2192.4</v>
      </c>
      <c r="S49" s="82">
        <f>费用表原始表!AJ48</f>
        <v>2192.4</v>
      </c>
      <c r="T49" s="82">
        <f>费用表原始表!AF48</f>
        <v>3295.9</v>
      </c>
      <c r="U49" s="301">
        <f t="shared" si="4"/>
        <v>1568.2</v>
      </c>
      <c r="V49" s="82">
        <f>费用表原始表!AN48</f>
        <v>156.66999999999999</v>
      </c>
      <c r="W49" s="82">
        <f>费用表原始表!AO48</f>
        <v>1411.53</v>
      </c>
      <c r="X49" s="82">
        <f>费用表原始表!AP48</f>
        <v>0</v>
      </c>
      <c r="Y49" s="82">
        <f>费用表原始表!AQ48</f>
        <v>0</v>
      </c>
      <c r="Z49" s="82">
        <f>费用表原始表!AR48</f>
        <v>0</v>
      </c>
      <c r="AA49" s="82">
        <f>费用表原始表!AS48</f>
        <v>0</v>
      </c>
      <c r="AB49" s="82">
        <f>费用表原始表!AT48</f>
        <v>0</v>
      </c>
      <c r="AC49" s="82">
        <f>费用表原始表!AM48</f>
        <v>0</v>
      </c>
      <c r="AD49" s="82">
        <f>费用表原始表!AD48</f>
        <v>0</v>
      </c>
    </row>
    <row r="50" spans="1:30">
      <c r="A50" s="443"/>
      <c r="B50" s="81" t="s">
        <v>135</v>
      </c>
      <c r="C50" s="301">
        <f t="shared" si="0"/>
        <v>61728.34</v>
      </c>
      <c r="D50" s="82">
        <f>费用表原始表!V49</f>
        <v>0</v>
      </c>
      <c r="E50" s="82">
        <f>SUM(费用表原始表!C49:U49)</f>
        <v>30660.38</v>
      </c>
      <c r="F50" s="82">
        <f>费用表原始表!Z49+费用表原始表!AA49+费用表原始表!AB49+费用表原始表!AE49</f>
        <v>0</v>
      </c>
      <c r="G50" s="82">
        <f>费用表原始表!AV49</f>
        <v>0</v>
      </c>
      <c r="H50" s="301">
        <f t="shared" si="1"/>
        <v>0</v>
      </c>
      <c r="I50" s="82">
        <f>费用表原始表!AW49</f>
        <v>0</v>
      </c>
      <c r="J50" s="82">
        <f>费用表原始表!AU49</f>
        <v>0</v>
      </c>
      <c r="K50" s="82">
        <f>费用表原始表!AI49</f>
        <v>0</v>
      </c>
      <c r="L50" s="301">
        <f t="shared" si="2"/>
        <v>0</v>
      </c>
      <c r="M50" s="82">
        <f>费用表原始表!AG49</f>
        <v>0</v>
      </c>
      <c r="N50" s="82">
        <f>费用表原始表!AH49</f>
        <v>0</v>
      </c>
      <c r="O50" s="82">
        <f>费用表原始表!AX49</f>
        <v>0</v>
      </c>
      <c r="P50" s="82">
        <f>费用表原始表!AL49</f>
        <v>0</v>
      </c>
      <c r="Q50" s="301">
        <f t="shared" si="3"/>
        <v>31067.96</v>
      </c>
      <c r="R50" s="82">
        <f>费用表原始表!AK49</f>
        <v>0</v>
      </c>
      <c r="S50" s="82">
        <f>费用表原始表!AJ49</f>
        <v>31067.96</v>
      </c>
      <c r="T50" s="82">
        <f>费用表原始表!AF49</f>
        <v>0</v>
      </c>
      <c r="U50" s="301">
        <f t="shared" si="4"/>
        <v>0</v>
      </c>
      <c r="V50" s="82">
        <f>费用表原始表!AN49</f>
        <v>0</v>
      </c>
      <c r="W50" s="82">
        <f>费用表原始表!AO49</f>
        <v>0</v>
      </c>
      <c r="X50" s="82">
        <f>费用表原始表!AP49</f>
        <v>0</v>
      </c>
      <c r="Y50" s="82">
        <f>费用表原始表!AQ49</f>
        <v>0</v>
      </c>
      <c r="Z50" s="82">
        <f>费用表原始表!AR49</f>
        <v>0</v>
      </c>
      <c r="AA50" s="82">
        <f>费用表原始表!AS49</f>
        <v>0</v>
      </c>
      <c r="AB50" s="82">
        <f>费用表原始表!AT49</f>
        <v>0</v>
      </c>
      <c r="AC50" s="82">
        <f>费用表原始表!AM49</f>
        <v>0</v>
      </c>
      <c r="AD50" s="82">
        <f>费用表原始表!AD49</f>
        <v>0</v>
      </c>
    </row>
    <row r="51" spans="1:30">
      <c r="A51" s="444"/>
      <c r="B51" s="85" t="s">
        <v>98</v>
      </c>
      <c r="C51" s="301">
        <f t="shared" si="0"/>
        <v>8969393.3900000006</v>
      </c>
      <c r="D51" s="82">
        <f>费用表原始表!V50</f>
        <v>0</v>
      </c>
      <c r="E51" s="82">
        <f>SUM(费用表原始表!C50:U50)</f>
        <v>3203873.0200000009</v>
      </c>
      <c r="F51" s="82">
        <f>费用表原始表!Z50+费用表原始表!AA50+费用表原始表!AB50+费用表原始表!AE50</f>
        <v>3335366.29</v>
      </c>
      <c r="G51" s="82">
        <f>费用表原始表!AV50</f>
        <v>1905.66</v>
      </c>
      <c r="H51" s="301">
        <f t="shared" si="1"/>
        <v>22060.38</v>
      </c>
      <c r="I51" s="82">
        <f>费用表原始表!AW50</f>
        <v>300.24</v>
      </c>
      <c r="J51" s="82">
        <f>费用表原始表!AU50</f>
        <v>10323.530000000001</v>
      </c>
      <c r="K51" s="82">
        <f>费用表原始表!AI50</f>
        <v>11436.61</v>
      </c>
      <c r="L51" s="301">
        <f t="shared" si="2"/>
        <v>645846.26</v>
      </c>
      <c r="M51" s="82">
        <f>费用表原始表!AG50</f>
        <v>24821.53</v>
      </c>
      <c r="N51" s="82">
        <f>费用表原始表!AH50</f>
        <v>605626.18999999994</v>
      </c>
      <c r="O51" s="82">
        <f>费用表原始表!AX50</f>
        <v>7809.14</v>
      </c>
      <c r="P51" s="82">
        <f>费用表原始表!AL50</f>
        <v>7589.4</v>
      </c>
      <c r="Q51" s="301">
        <f t="shared" si="3"/>
        <v>57887.89</v>
      </c>
      <c r="R51" s="82">
        <f>费用表原始表!AK50</f>
        <v>6611.95</v>
      </c>
      <c r="S51" s="82">
        <f>费用表原始表!AJ50</f>
        <v>51275.94</v>
      </c>
      <c r="T51" s="82">
        <f>费用表原始表!AF50</f>
        <v>1643027.47</v>
      </c>
      <c r="U51" s="301">
        <f t="shared" si="4"/>
        <v>23511.980000000003</v>
      </c>
      <c r="V51" s="82">
        <f>费用表原始表!AN50</f>
        <v>9489.26</v>
      </c>
      <c r="W51" s="82">
        <f>费用表原始表!AO50</f>
        <v>7936.89</v>
      </c>
      <c r="X51" s="82">
        <f>费用表原始表!AP50</f>
        <v>2567.8200000000002</v>
      </c>
      <c r="Y51" s="82">
        <f>费用表原始表!AQ50</f>
        <v>1495.7</v>
      </c>
      <c r="Z51" s="82">
        <f>费用表原始表!AR50</f>
        <v>1331.95</v>
      </c>
      <c r="AA51" s="82">
        <f>费用表原始表!AS50</f>
        <v>690.36</v>
      </c>
      <c r="AB51" s="82">
        <f>费用表原始表!AT50</f>
        <v>0</v>
      </c>
      <c r="AC51" s="82">
        <f>费用表原始表!AM50</f>
        <v>1093.24</v>
      </c>
      <c r="AD51" s="82">
        <f>费用表原始表!AD50</f>
        <v>34821.199999999997</v>
      </c>
    </row>
    <row r="52" spans="1:30" ht="14.25" thickBot="1">
      <c r="A52" s="14"/>
      <c r="B52" s="86" t="s">
        <v>4</v>
      </c>
      <c r="C52" s="301">
        <f>C14+C20+C34+C51</f>
        <v>43031182.840000004</v>
      </c>
      <c r="D52" s="301">
        <f t="shared" ref="D52:AD52" si="5">D14+D20+D34+D51</f>
        <v>0</v>
      </c>
      <c r="E52" s="301">
        <f t="shared" si="5"/>
        <v>8769862.4200000037</v>
      </c>
      <c r="F52" s="301">
        <f t="shared" si="5"/>
        <v>24214484.41</v>
      </c>
      <c r="G52" s="301">
        <f t="shared" si="5"/>
        <v>339920.68999999994</v>
      </c>
      <c r="H52" s="301">
        <f t="shared" si="5"/>
        <v>1731011.5899999999</v>
      </c>
      <c r="I52" s="301">
        <f t="shared" si="5"/>
        <v>374743.77</v>
      </c>
      <c r="J52" s="301">
        <f t="shared" si="5"/>
        <v>271831.83</v>
      </c>
      <c r="K52" s="301">
        <f t="shared" si="5"/>
        <v>1084435.9900000002</v>
      </c>
      <c r="L52" s="301">
        <f t="shared" si="5"/>
        <v>1607837.77</v>
      </c>
      <c r="M52" s="301">
        <f t="shared" si="5"/>
        <v>259256.37</v>
      </c>
      <c r="N52" s="301">
        <f t="shared" si="5"/>
        <v>974281.33</v>
      </c>
      <c r="O52" s="301">
        <f t="shared" si="5"/>
        <v>282837.83</v>
      </c>
      <c r="P52" s="301">
        <f t="shared" si="5"/>
        <v>91462.239999999991</v>
      </c>
      <c r="Q52" s="301">
        <f t="shared" si="5"/>
        <v>-584415.34000000008</v>
      </c>
      <c r="R52" s="301">
        <f t="shared" si="5"/>
        <v>-918023.04000000015</v>
      </c>
      <c r="S52" s="301">
        <f t="shared" si="5"/>
        <v>333607.7</v>
      </c>
      <c r="T52" s="301">
        <f t="shared" si="5"/>
        <v>1889404.73</v>
      </c>
      <c r="U52" s="301">
        <f t="shared" si="5"/>
        <v>3574912.0500000003</v>
      </c>
      <c r="V52" s="301">
        <f t="shared" si="5"/>
        <v>1198557.2500000002</v>
      </c>
      <c r="W52" s="301">
        <f t="shared" si="5"/>
        <v>1032143.96</v>
      </c>
      <c r="X52" s="301">
        <f t="shared" si="5"/>
        <v>615632.13</v>
      </c>
      <c r="Y52" s="301">
        <f t="shared" si="5"/>
        <v>267755.05</v>
      </c>
      <c r="Z52" s="301">
        <f t="shared" si="5"/>
        <v>297480.71000000002</v>
      </c>
      <c r="AA52" s="301">
        <f t="shared" si="5"/>
        <v>163342.94999999998</v>
      </c>
      <c r="AB52" s="301">
        <f t="shared" si="5"/>
        <v>0</v>
      </c>
      <c r="AC52" s="301">
        <f t="shared" si="5"/>
        <v>599590.26</v>
      </c>
      <c r="AD52" s="301">
        <f t="shared" si="5"/>
        <v>888574.26</v>
      </c>
    </row>
    <row r="53" spans="1:30">
      <c r="A53" s="17"/>
      <c r="B53" s="18" t="s">
        <v>55</v>
      </c>
      <c r="C53" s="82">
        <f>累计利润调整表!B19-累计考核费用!C52</f>
        <v>0</v>
      </c>
      <c r="D53" s="82">
        <f>累计利润调整表!C19-累计考核费用!D52</f>
        <v>0</v>
      </c>
      <c r="E53" s="82">
        <f>累计利润调整表!D19-累计考核费用!E52</f>
        <v>0</v>
      </c>
      <c r="F53" s="82">
        <f>累计利润调整表!E19-累计考核费用!F52</f>
        <v>0</v>
      </c>
      <c r="G53" s="82">
        <f>累计利润调整表!F19-累计考核费用!G52</f>
        <v>0</v>
      </c>
      <c r="H53" s="82">
        <f>累计利润调整表!G19-累计考核费用!H52</f>
        <v>0</v>
      </c>
      <c r="I53" s="82">
        <f>累计利润调整表!H19-累计考核费用!I52</f>
        <v>0</v>
      </c>
      <c r="J53" s="82">
        <f>累计利润调整表!I19-累计考核费用!J52</f>
        <v>0</v>
      </c>
      <c r="K53" s="82">
        <f>累计利润调整表!J19-累计考核费用!K52</f>
        <v>0</v>
      </c>
      <c r="L53" s="82">
        <f>累计利润调整表!K19-累计考核费用!L52</f>
        <v>0</v>
      </c>
      <c r="M53" s="82">
        <f>累计利润调整表!L19-累计考核费用!M52</f>
        <v>0</v>
      </c>
      <c r="N53" s="82">
        <f>累计利润调整表!M19-累计考核费用!N52</f>
        <v>0</v>
      </c>
      <c r="O53" s="82">
        <f>累计利润调整表!N19-累计考核费用!O52</f>
        <v>0</v>
      </c>
      <c r="P53" s="82">
        <f>累计利润调整表!O19-累计考核费用!P52</f>
        <v>0</v>
      </c>
      <c r="Q53" s="82">
        <f>累计利润调整表!P19-累计考核费用!Q52</f>
        <v>0</v>
      </c>
      <c r="R53" s="82">
        <f>累计利润调整表!Q19-累计考核费用!R52</f>
        <v>0</v>
      </c>
      <c r="S53" s="82">
        <f>累计利润调整表!R19-累计考核费用!S52</f>
        <v>0</v>
      </c>
      <c r="T53" s="82">
        <f>累计利润调整表!S19-累计考核费用!T52</f>
        <v>0</v>
      </c>
      <c r="U53" s="82">
        <f>累计利润调整表!T19-累计考核费用!U52</f>
        <v>0</v>
      </c>
      <c r="V53" s="82">
        <f>累计利润调整表!U19-累计考核费用!V52</f>
        <v>0</v>
      </c>
      <c r="W53" s="82">
        <f>累计利润调整表!V19-累计考核费用!W52</f>
        <v>0</v>
      </c>
      <c r="X53" s="82">
        <f>累计利润调整表!W19-累计考核费用!X52</f>
        <v>0</v>
      </c>
      <c r="Y53" s="82">
        <f>累计利润调整表!X19-累计考核费用!Y52</f>
        <v>0</v>
      </c>
      <c r="Z53" s="82">
        <f>累计利润调整表!Y19-累计考核费用!Z52</f>
        <v>0</v>
      </c>
      <c r="AA53" s="82">
        <f>累计利润调整表!Z19-累计考核费用!AA52</f>
        <v>0</v>
      </c>
      <c r="AB53" s="82">
        <f>累计利润调整表!AA19-累计考核费用!AB52</f>
        <v>0</v>
      </c>
      <c r="AC53" s="82">
        <f>累计利润调整表!AB19-累计考核费用!AC52</f>
        <v>0</v>
      </c>
      <c r="AD53" s="82">
        <f>累计利润调整表!AC19-累计考核费用!AD52</f>
        <v>0</v>
      </c>
    </row>
    <row r="54" spans="1:30" ht="14.25" thickBot="1">
      <c r="B54" s="87" t="s">
        <v>136</v>
      </c>
      <c r="E54" s="74">
        <v>0</v>
      </c>
    </row>
    <row r="55" spans="1:30">
      <c r="A55" s="17" t="s">
        <v>85</v>
      </c>
      <c r="B55" s="18" t="s">
        <v>86</v>
      </c>
      <c r="C55" s="19" t="str">
        <f>C3</f>
        <v>合计</v>
      </c>
      <c r="D55" s="19" t="str">
        <f t="shared" ref="D55:AD55" si="6">D3</f>
        <v>其他</v>
      </c>
      <c r="E55" s="19" t="str">
        <f t="shared" si="6"/>
        <v>总部中后台</v>
      </c>
      <c r="F55" s="19" t="str">
        <f t="shared" si="6"/>
        <v>经纪业务部</v>
      </c>
      <c r="G55" s="19" t="str">
        <f t="shared" si="6"/>
        <v>资产管理部</v>
      </c>
      <c r="H55" s="19" t="str">
        <f t="shared" si="6"/>
        <v>权益投资小计</v>
      </c>
      <c r="I55" s="19" t="str">
        <f t="shared" si="6"/>
        <v>权益产品投资部</v>
      </c>
      <c r="J55" s="19" t="str">
        <f t="shared" si="6"/>
        <v>量化产品投资部</v>
      </c>
      <c r="K55" s="19" t="str">
        <f t="shared" si="6"/>
        <v>证券投资部</v>
      </c>
      <c r="L55" s="19" t="str">
        <f t="shared" si="6"/>
        <v>固收投资小计</v>
      </c>
      <c r="M55" s="19" t="str">
        <f t="shared" si="6"/>
        <v>固定收益投资部</v>
      </c>
      <c r="N55" s="19" t="str">
        <f t="shared" si="6"/>
        <v>固定收益市场部</v>
      </c>
      <c r="O55" s="19" t="str">
        <f t="shared" si="6"/>
        <v>固收产品投资部</v>
      </c>
      <c r="P55" s="19" t="str">
        <f t="shared" si="6"/>
        <v>投顾业务部</v>
      </c>
      <c r="Q55" s="19" t="str">
        <f t="shared" si="6"/>
        <v>深分投资小计</v>
      </c>
      <c r="R55" s="19" t="str">
        <f t="shared" si="6"/>
        <v>做市业务部</v>
      </c>
      <c r="S55" s="19" t="str">
        <f t="shared" si="6"/>
        <v>金融衍生品部</v>
      </c>
      <c r="T55" s="19" t="str">
        <f t="shared" si="6"/>
        <v>深圳管理部</v>
      </c>
      <c r="U55" s="19" t="str">
        <f t="shared" si="6"/>
        <v>投资银行合计</v>
      </c>
      <c r="V55" s="19" t="str">
        <f t="shared" si="6"/>
        <v>投资银行一部</v>
      </c>
      <c r="W55" s="19" t="str">
        <f t="shared" si="6"/>
        <v>投资银行二部</v>
      </c>
      <c r="X55" s="19" t="str">
        <f t="shared" si="6"/>
        <v>投资银行三部</v>
      </c>
      <c r="Y55" s="19" t="str">
        <f t="shared" si="6"/>
        <v>投资银行四部</v>
      </c>
      <c r="Z55" s="19" t="str">
        <f t="shared" si="6"/>
        <v>投资银行北京一部</v>
      </c>
      <c r="AA55" s="19" t="str">
        <f t="shared" si="6"/>
        <v>投资银行北京二部</v>
      </c>
      <c r="AB55" s="19" t="str">
        <f t="shared" si="6"/>
        <v>投资银行深圳一部（筹）</v>
      </c>
      <c r="AC55" s="19" t="str">
        <f t="shared" si="6"/>
        <v>投资银行管理部</v>
      </c>
      <c r="AD55" s="19" t="str">
        <f t="shared" si="6"/>
        <v>运营支持部</v>
      </c>
    </row>
    <row r="56" spans="1:30" ht="13.5" customHeight="1">
      <c r="A56" s="436" t="s">
        <v>87</v>
      </c>
      <c r="B56" s="48" t="s">
        <v>88</v>
      </c>
      <c r="C56" s="301">
        <f>D56+E56+F56+G56+H56+L56+Q56+T56+U56+AC56+AD56</f>
        <v>0</v>
      </c>
      <c r="D56" s="88">
        <f>SUMIFS(考核调整事项表!$C:$C,考核调整事项表!$G:$G,累计考核费用!$B56,考核调整事项表!$D:$D,累计考核费用!D$55)+SUMIFS(考核调整事项表!$E:$E,考核调整事项表!$G:$G,累计考核费用!$B56,考核调整事项表!$F:$F,累计考核费用!D$55)</f>
        <v>0</v>
      </c>
      <c r="E56" s="88">
        <f>SUMIFS(考核调整事项表!$C:$C,考核调整事项表!$G:$G,累计考核费用!$B56,考核调整事项表!$D:$D,累计考核费用!E$55)+SUMIFS(考核调整事项表!$E:$E,考核调整事项表!$G:$G,累计考核费用!$B56,考核调整事项表!$F:$F,累计考核费用!E$55)</f>
        <v>0</v>
      </c>
      <c r="F56" s="88">
        <f>SUMIFS(考核调整事项表!$C:$C,考核调整事项表!$G:$G,累计考核费用!$B56,考核调整事项表!$D:$D,累计考核费用!F$55)+SUMIFS(考核调整事项表!$E:$E,考核调整事项表!$G:$G,累计考核费用!$B56,考核调整事项表!$F:$F,累计考核费用!F$55)</f>
        <v>0</v>
      </c>
      <c r="G56" s="88">
        <f>SUMIFS(考核调整事项表!$C:$C,考核调整事项表!$G:$G,累计考核费用!$B56,考核调整事项表!$D:$D,累计考核费用!G$55)+SUMIFS(考核调整事项表!$E:$E,考核调整事项表!$G:$G,累计考核费用!$B56,考核调整事项表!$F:$F,累计考核费用!G$55)</f>
        <v>0</v>
      </c>
      <c r="H56" s="88">
        <f>SUM(I56:K56)</f>
        <v>0</v>
      </c>
      <c r="I56" s="88">
        <f>SUMIFS(考核调整事项表!$C:$C,考核调整事项表!$G:$G,累计考核费用!$B56,考核调整事项表!$D:$D,累计考核费用!I$55)+SUMIFS(考核调整事项表!$E:$E,考核调整事项表!$G:$G,累计考核费用!$B56,考核调整事项表!$F:$F,累计考核费用!I$55)</f>
        <v>0</v>
      </c>
      <c r="J56" s="88">
        <f>SUMIFS(考核调整事项表!$C:$C,考核调整事项表!$G:$G,累计考核费用!$B56,考核调整事项表!$D:$D,累计考核费用!J$55)+SUMIFS(考核调整事项表!$E:$E,考核调整事项表!$G:$G,累计考核费用!$B56,考核调整事项表!$F:$F,累计考核费用!J$55)</f>
        <v>0</v>
      </c>
      <c r="K56" s="88">
        <f>SUMIFS(考核调整事项表!$C:$C,考核调整事项表!$G:$G,累计考核费用!$B56,考核调整事项表!$D:$D,累计考核费用!K$55)+SUMIFS(考核调整事项表!$E:$E,考核调整事项表!$G:$G,累计考核费用!$B56,考核调整事项表!$F:$F,累计考核费用!K$55)</f>
        <v>0</v>
      </c>
      <c r="L56" s="88">
        <f>SUM(M56:P56)</f>
        <v>0</v>
      </c>
      <c r="M56" s="88">
        <f>SUMIFS(考核调整事项表!$C:$C,考核调整事项表!$G:$G,累计考核费用!$B56,考核调整事项表!$D:$D,累计考核费用!M$55)+SUMIFS(考核调整事项表!$E:$E,考核调整事项表!$G:$G,累计考核费用!$B56,考核调整事项表!$F:$F,累计考核费用!M$55)</f>
        <v>0</v>
      </c>
      <c r="N56" s="88">
        <f>SUMIFS(考核调整事项表!$C:$C,考核调整事项表!$G:$G,累计考核费用!$B56,考核调整事项表!$D:$D,累计考核费用!N$55)+SUMIFS(考核调整事项表!$E:$E,考核调整事项表!$G:$G,累计考核费用!$B56,考核调整事项表!$F:$F,累计考核费用!N$55)</f>
        <v>0</v>
      </c>
      <c r="O56" s="88">
        <f>SUMIFS(考核调整事项表!$C:$C,考核调整事项表!$G:$G,累计考核费用!$B56,考核调整事项表!$D:$D,累计考核费用!O$55)+SUMIFS(考核调整事项表!$E:$E,考核调整事项表!$G:$G,累计考核费用!$B56,考核调整事项表!$F:$F,累计考核费用!O$55)</f>
        <v>0</v>
      </c>
      <c r="P56" s="88">
        <f>SUMIFS(考核调整事项表!$C:$C,考核调整事项表!$G:$G,累计考核费用!$B56,考核调整事项表!$D:$D,累计考核费用!P$55)+SUMIFS(考核调整事项表!$E:$E,考核调整事项表!$G:$G,累计考核费用!$B56,考核调整事项表!$F:$F,累计考核费用!P$55)</f>
        <v>0</v>
      </c>
      <c r="Q56" s="88">
        <f>R56+S56</f>
        <v>0</v>
      </c>
      <c r="R56" s="88">
        <f>SUMIFS(考核调整事项表!$C:$C,考核调整事项表!$G:$G,累计考核费用!$B56,考核调整事项表!$D:$D,累计考核费用!R$55)+SUMIFS(考核调整事项表!$E:$E,考核调整事项表!$G:$G,累计考核费用!$B56,考核调整事项表!$F:$F,累计考核费用!R$55)</f>
        <v>0</v>
      </c>
      <c r="S56" s="88">
        <f>SUMIFS(考核调整事项表!$C:$C,考核调整事项表!$G:$G,累计考核费用!$B56,考核调整事项表!$D:$D,累计考核费用!S$55)+SUMIFS(考核调整事项表!$E:$E,考核调整事项表!$G:$G,累计考核费用!$B56,考核调整事项表!$F:$F,累计考核费用!S$55)</f>
        <v>0</v>
      </c>
      <c r="T56" s="88">
        <f>SUMIFS(考核调整事项表!$C:$C,考核调整事项表!$G:$G,累计考核费用!$B56,考核调整事项表!$D:$D,累计考核费用!T$55)+SUMIFS(考核调整事项表!$E:$E,考核调整事项表!$G:$G,累计考核费用!$B56,考核调整事项表!$F:$F,累计考核费用!T$55)</f>
        <v>0</v>
      </c>
      <c r="U56" s="88">
        <f>V56+W56+X56+Y56+Z56+AA56+AB56</f>
        <v>0</v>
      </c>
      <c r="V56" s="88">
        <f>SUMIFS(考核调整事项表!$C:$C,考核调整事项表!$G:$G,累计考核费用!$B56,考核调整事项表!$D:$D,累计考核费用!V$55)+SUMIFS(考核调整事项表!$E:$E,考核调整事项表!$G:$G,累计考核费用!$B56,考核调整事项表!$F:$F,累计考核费用!V$55)</f>
        <v>0</v>
      </c>
      <c r="W56" s="88">
        <f>SUMIFS(考核调整事项表!$C:$C,考核调整事项表!$G:$G,累计考核费用!$B56,考核调整事项表!$D:$D,累计考核费用!W$55)+SUMIFS(考核调整事项表!$E:$E,考核调整事项表!$G:$G,累计考核费用!$B56,考核调整事项表!$F:$F,累计考核费用!W$55)</f>
        <v>0</v>
      </c>
      <c r="X56" s="88">
        <f>SUMIFS(考核调整事项表!$C:$C,考核调整事项表!$G:$G,累计考核费用!$B56,考核调整事项表!$D:$D,累计考核费用!X$55)+SUMIFS(考核调整事项表!$E:$E,考核调整事项表!$G:$G,累计考核费用!$B56,考核调整事项表!$F:$F,累计考核费用!X$55)</f>
        <v>0</v>
      </c>
      <c r="Y56" s="88">
        <f>SUMIFS(考核调整事项表!$C:$C,考核调整事项表!$G:$G,累计考核费用!$B56,考核调整事项表!$D:$D,累计考核费用!Y$55)+SUMIFS(考核调整事项表!$E:$E,考核调整事项表!$G:$G,累计考核费用!$B56,考核调整事项表!$F:$F,累计考核费用!Y$55)</f>
        <v>0</v>
      </c>
      <c r="Z56" s="88">
        <f>SUMIFS(考核调整事项表!$C:$C,考核调整事项表!$G:$G,累计考核费用!$B56,考核调整事项表!$D:$D,累计考核费用!Z$55)+SUMIFS(考核调整事项表!$E:$E,考核调整事项表!$G:$G,累计考核费用!$B56,考核调整事项表!$F:$F,累计考核费用!Z$55)</f>
        <v>0</v>
      </c>
      <c r="AA56" s="88">
        <f>SUMIFS(考核调整事项表!$C:$C,考核调整事项表!$G:$G,累计考核费用!$B56,考核调整事项表!$D:$D,累计考核费用!AA$55)+SUMIFS(考核调整事项表!$E:$E,考核调整事项表!$G:$G,累计考核费用!$B56,考核调整事项表!$F:$F,累计考核费用!AA$55)</f>
        <v>0</v>
      </c>
      <c r="AB56" s="88">
        <f>SUMIFS(考核调整事项表!$C:$C,考核调整事项表!$G:$G,累计考核费用!$B56,考核调整事项表!$D:$D,累计考核费用!AB$55)+SUMIFS(考核调整事项表!$E:$E,考核调整事项表!$G:$G,累计考核费用!$B56,考核调整事项表!$F:$F,累计考核费用!AB$55)</f>
        <v>0</v>
      </c>
      <c r="AC56" s="88">
        <f>SUMIFS(考核调整事项表!$C:$C,考核调整事项表!$G:$G,累计考核费用!$B56,考核调整事项表!$D:$D,累计考核费用!AC$55)+SUMIFS(考核调整事项表!$E:$E,考核调整事项表!$G:$G,累计考核费用!$B56,考核调整事项表!$F:$F,累计考核费用!AC$55)</f>
        <v>0</v>
      </c>
      <c r="AD56" s="88">
        <f>SUMIFS(考核调整事项表!$C:$C,考核调整事项表!$G:$G,累计考核费用!$B56,考核调整事项表!$D:$D,累计考核费用!AD$55)+SUMIFS(考核调整事项表!$E:$E,考核调整事项表!$G:$G,累计考核费用!$B56,考核调整事项表!$F:$F,累计考核费用!AD$55)</f>
        <v>0</v>
      </c>
    </row>
    <row r="57" spans="1:30">
      <c r="A57" s="437"/>
      <c r="B57" s="48" t="s">
        <v>89</v>
      </c>
      <c r="C57" s="9">
        <f t="shared" ref="C57:C104" si="7">SUM(D57:G57)+H57+L57+Q57+T57+U57+AC57+AD57</f>
        <v>0</v>
      </c>
      <c r="D57" s="88">
        <f>SUMIFS(考核调整事项表!$C:$C,考核调整事项表!$G:$G,累计考核费用!$B57,考核调整事项表!$D:$D,累计考核费用!D$55)+SUMIFS(考核调整事项表!$E:$E,考核调整事项表!$G:$G,累计考核费用!$B57,考核调整事项表!$F:$F,累计考核费用!D$55)</f>
        <v>0</v>
      </c>
      <c r="E57" s="88">
        <f>SUMIFS(考核调整事项表!$C:$C,考核调整事项表!$G:$G,累计考核费用!$B57,考核调整事项表!$D:$D,累计考核费用!E$55)+SUMIFS(考核调整事项表!$E:$E,考核调整事项表!$G:$G,累计考核费用!$B57,考核调整事项表!$F:$F,累计考核费用!E$55)</f>
        <v>0</v>
      </c>
      <c r="F57" s="88">
        <f>SUMIFS(考核调整事项表!$C:$C,考核调整事项表!$G:$G,累计考核费用!$B57,考核调整事项表!$D:$D,累计考核费用!F$55)+SUMIFS(考核调整事项表!$E:$E,考核调整事项表!$G:$G,累计考核费用!$B57,考核调整事项表!$F:$F,累计考核费用!F$55)</f>
        <v>0</v>
      </c>
      <c r="G57" s="88">
        <f>SUMIFS(考核调整事项表!$C:$C,考核调整事项表!$G:$G,累计考核费用!$B57,考核调整事项表!$D:$D,累计考核费用!G$55)+SUMIFS(考核调整事项表!$E:$E,考核调整事项表!$G:$G,累计考核费用!$B57,考核调整事项表!$F:$F,累计考核费用!G$55)</f>
        <v>0</v>
      </c>
      <c r="H57" s="88">
        <f t="shared" ref="H57:H102" si="8">SUM(I57:K57)</f>
        <v>0</v>
      </c>
      <c r="I57" s="88">
        <f>SUMIFS(考核调整事项表!$C:$C,考核调整事项表!$G:$G,累计考核费用!$B57,考核调整事项表!$D:$D,累计考核费用!I$55)+SUMIFS(考核调整事项表!$E:$E,考核调整事项表!$G:$G,累计考核费用!$B57,考核调整事项表!$F:$F,累计考核费用!I$55)</f>
        <v>0</v>
      </c>
      <c r="J57" s="88">
        <f>SUMIFS(考核调整事项表!$C:$C,考核调整事项表!$G:$G,累计考核费用!$B57,考核调整事项表!$D:$D,累计考核费用!J$55)+SUMIFS(考核调整事项表!$E:$E,考核调整事项表!$G:$G,累计考核费用!$B57,考核调整事项表!$F:$F,累计考核费用!J$55)</f>
        <v>0</v>
      </c>
      <c r="K57" s="88">
        <f>SUMIFS(考核调整事项表!$C:$C,考核调整事项表!$G:$G,累计考核费用!$B57,考核调整事项表!$D:$D,累计考核费用!K$55)+SUMIFS(考核调整事项表!$E:$E,考核调整事项表!$G:$G,累计考核费用!$B57,考核调整事项表!$F:$F,累计考核费用!K$55)</f>
        <v>0</v>
      </c>
      <c r="L57" s="88">
        <f t="shared" ref="L57:L102" si="9">SUM(M57:P57)</f>
        <v>0</v>
      </c>
      <c r="M57" s="88">
        <f>SUMIFS(考核调整事项表!$C:$C,考核调整事项表!$G:$G,累计考核费用!$B57,考核调整事项表!$D:$D,累计考核费用!M$55)+SUMIFS(考核调整事项表!$E:$E,考核调整事项表!$G:$G,累计考核费用!$B57,考核调整事项表!$F:$F,累计考核费用!M$55)</f>
        <v>0</v>
      </c>
      <c r="N57" s="88">
        <f>SUMIFS(考核调整事项表!$C:$C,考核调整事项表!$G:$G,累计考核费用!$B57,考核调整事项表!$D:$D,累计考核费用!N$55)+SUMIFS(考核调整事项表!$E:$E,考核调整事项表!$G:$G,累计考核费用!$B57,考核调整事项表!$F:$F,累计考核费用!N$55)</f>
        <v>0</v>
      </c>
      <c r="O57" s="88">
        <f>SUMIFS(考核调整事项表!$C:$C,考核调整事项表!$G:$G,累计考核费用!$B57,考核调整事项表!$D:$D,累计考核费用!O$55)+SUMIFS(考核调整事项表!$E:$E,考核调整事项表!$G:$G,累计考核费用!$B57,考核调整事项表!$F:$F,累计考核费用!O$55)</f>
        <v>0</v>
      </c>
      <c r="P57" s="88">
        <f>SUMIFS(考核调整事项表!$C:$C,考核调整事项表!$G:$G,累计考核费用!$B57,考核调整事项表!$D:$D,累计考核费用!P$55)+SUMIFS(考核调整事项表!$E:$E,考核调整事项表!$G:$G,累计考核费用!$B57,考核调整事项表!$F:$F,累计考核费用!P$55)</f>
        <v>0</v>
      </c>
      <c r="Q57" s="88">
        <f t="shared" ref="Q57:Q102" si="10">R57+S57</f>
        <v>0</v>
      </c>
      <c r="R57" s="88">
        <f>SUMIFS(考核调整事项表!$C:$C,考核调整事项表!$G:$G,累计考核费用!$B57,考核调整事项表!$D:$D,累计考核费用!R$55)+SUMIFS(考核调整事项表!$E:$E,考核调整事项表!$G:$G,累计考核费用!$B57,考核调整事项表!$F:$F,累计考核费用!R$55)</f>
        <v>0</v>
      </c>
      <c r="S57" s="88">
        <f>SUMIFS(考核调整事项表!$C:$C,考核调整事项表!$G:$G,累计考核费用!$B57,考核调整事项表!$D:$D,累计考核费用!S$55)+SUMIFS(考核调整事项表!$E:$E,考核调整事项表!$G:$G,累计考核费用!$B57,考核调整事项表!$F:$F,累计考核费用!S$55)</f>
        <v>0</v>
      </c>
      <c r="T57" s="91">
        <f>SUMIFS(考核调整事项表!$C:$C,考核调整事项表!$G:$G,累计考核费用!$B57,考核调整事项表!$D:$D,累计考核费用!T$55)+SUMIFS(考核调整事项表!$E:$E,考核调整事项表!$G:$G,累计考核费用!$B57,考核调整事项表!$F:$F,累计考核费用!T$55)</f>
        <v>0</v>
      </c>
      <c r="U57" s="88">
        <f t="shared" ref="U57:U102" si="11">V57+W57+X57+Y57+Z57+AA57+AB57</f>
        <v>0</v>
      </c>
      <c r="V57" s="88">
        <f>SUMIFS(考核调整事项表!$C:$C,考核调整事项表!$G:$G,累计考核费用!$B57,考核调整事项表!$D:$D,累计考核费用!V$55)+SUMIFS(考核调整事项表!$E:$E,考核调整事项表!$G:$G,累计考核费用!$B57,考核调整事项表!$F:$F,累计考核费用!V$55)</f>
        <v>0</v>
      </c>
      <c r="W57" s="88">
        <f>SUMIFS(考核调整事项表!$C:$C,考核调整事项表!$G:$G,累计考核费用!$B57,考核调整事项表!$D:$D,累计考核费用!W$55)+SUMIFS(考核调整事项表!$E:$E,考核调整事项表!$G:$G,累计考核费用!$B57,考核调整事项表!$F:$F,累计考核费用!W$55)</f>
        <v>0</v>
      </c>
      <c r="X57" s="88">
        <f>SUMIFS(考核调整事项表!$C:$C,考核调整事项表!$G:$G,累计考核费用!$B57,考核调整事项表!$D:$D,累计考核费用!X$55)+SUMIFS(考核调整事项表!$E:$E,考核调整事项表!$G:$G,累计考核费用!$B57,考核调整事项表!$F:$F,累计考核费用!X$55)</f>
        <v>0</v>
      </c>
      <c r="Y57" s="88">
        <f>SUMIFS(考核调整事项表!$C:$C,考核调整事项表!$G:$G,累计考核费用!$B57,考核调整事项表!$D:$D,累计考核费用!Y$55)+SUMIFS(考核调整事项表!$E:$E,考核调整事项表!$G:$G,累计考核费用!$B57,考核调整事项表!$F:$F,累计考核费用!Y$55)</f>
        <v>0</v>
      </c>
      <c r="Z57" s="88">
        <f>SUMIFS(考核调整事项表!$C:$C,考核调整事项表!$G:$G,累计考核费用!$B57,考核调整事项表!$D:$D,累计考核费用!Z$55)+SUMIFS(考核调整事项表!$E:$E,考核调整事项表!$G:$G,累计考核费用!$B57,考核调整事项表!$F:$F,累计考核费用!Z$55)</f>
        <v>0</v>
      </c>
      <c r="AA57" s="88">
        <f>SUMIFS(考核调整事项表!$C:$C,考核调整事项表!$G:$G,累计考核费用!$B57,考核调整事项表!$D:$D,累计考核费用!AA$55)+SUMIFS(考核调整事项表!$E:$E,考核调整事项表!$G:$G,累计考核费用!$B57,考核调整事项表!$F:$F,累计考核费用!AA$55)</f>
        <v>0</v>
      </c>
      <c r="AB57" s="88">
        <f>SUMIFS(考核调整事项表!$C:$C,考核调整事项表!$G:$G,累计考核费用!$B57,考核调整事项表!$D:$D,累计考核费用!AB$55)+SUMIFS(考核调整事项表!$E:$E,考核调整事项表!$G:$G,累计考核费用!$B57,考核调整事项表!$F:$F,累计考核费用!AB$55)</f>
        <v>0</v>
      </c>
      <c r="AC57" s="88">
        <f>SUMIFS(考核调整事项表!$C:$C,考核调整事项表!$G:$G,累计考核费用!$B57,考核调整事项表!$D:$D,累计考核费用!AC$55)+SUMIFS(考核调整事项表!$E:$E,考核调整事项表!$G:$G,累计考核费用!$B57,考核调整事项表!$F:$F,累计考核费用!AC$55)</f>
        <v>0</v>
      </c>
      <c r="AD57" s="88">
        <f>SUMIFS(考核调整事项表!$C:$C,考核调整事项表!$G:$G,累计考核费用!$B57,考核调整事项表!$D:$D,累计考核费用!AD$55)+SUMIFS(考核调整事项表!$E:$E,考核调整事项表!$G:$G,累计考核费用!$B57,考核调整事项表!$F:$F,累计考核费用!AD$55)</f>
        <v>0</v>
      </c>
    </row>
    <row r="58" spans="1:30">
      <c r="A58" s="437"/>
      <c r="B58" s="48" t="s">
        <v>90</v>
      </c>
      <c r="C58" s="9">
        <f t="shared" si="7"/>
        <v>0</v>
      </c>
      <c r="D58" s="88">
        <f>SUMIFS(考核调整事项表!$C:$C,考核调整事项表!$G:$G,累计考核费用!$B58,考核调整事项表!$D:$D,累计考核费用!D$55)+SUMIFS(考核调整事项表!$E:$E,考核调整事项表!$G:$G,累计考核费用!$B58,考核调整事项表!$F:$F,累计考核费用!D$55)</f>
        <v>0</v>
      </c>
      <c r="E58" s="88">
        <f>SUMIFS(考核调整事项表!$C:$C,考核调整事项表!$G:$G,累计考核费用!$B58,考核调整事项表!$D:$D,累计考核费用!E$55)+SUMIFS(考核调整事项表!$E:$E,考核调整事项表!$G:$G,累计考核费用!$B58,考核调整事项表!$F:$F,累计考核费用!E$55)</f>
        <v>0</v>
      </c>
      <c r="F58" s="88">
        <f>SUMIFS(考核调整事项表!$C:$C,考核调整事项表!$G:$G,累计考核费用!$B58,考核调整事项表!$D:$D,累计考核费用!F$55)+SUMIFS(考核调整事项表!$E:$E,考核调整事项表!$G:$G,累计考核费用!$B58,考核调整事项表!$F:$F,累计考核费用!F$55)</f>
        <v>0</v>
      </c>
      <c r="G58" s="88">
        <f>SUMIFS(考核调整事项表!$C:$C,考核调整事项表!$G:$G,累计考核费用!$B58,考核调整事项表!$D:$D,累计考核费用!G$55)+SUMIFS(考核调整事项表!$E:$E,考核调整事项表!$G:$G,累计考核费用!$B58,考核调整事项表!$F:$F,累计考核费用!G$55)</f>
        <v>0</v>
      </c>
      <c r="H58" s="88">
        <f t="shared" si="8"/>
        <v>0</v>
      </c>
      <c r="I58" s="88">
        <f>SUMIFS(考核调整事项表!$C:$C,考核调整事项表!$G:$G,累计考核费用!$B58,考核调整事项表!$D:$D,累计考核费用!I$55)+SUMIFS(考核调整事项表!$E:$E,考核调整事项表!$G:$G,累计考核费用!$B58,考核调整事项表!$F:$F,累计考核费用!I$55)</f>
        <v>0</v>
      </c>
      <c r="J58" s="88">
        <f>SUMIFS(考核调整事项表!$C:$C,考核调整事项表!$G:$G,累计考核费用!$B58,考核调整事项表!$D:$D,累计考核费用!J$55)+SUMIFS(考核调整事项表!$E:$E,考核调整事项表!$G:$G,累计考核费用!$B58,考核调整事项表!$F:$F,累计考核费用!J$55)</f>
        <v>0</v>
      </c>
      <c r="K58" s="88">
        <f>SUMIFS(考核调整事项表!$C:$C,考核调整事项表!$G:$G,累计考核费用!$B58,考核调整事项表!$D:$D,累计考核费用!K$55)+SUMIFS(考核调整事项表!$E:$E,考核调整事项表!$G:$G,累计考核费用!$B58,考核调整事项表!$F:$F,累计考核费用!K$55)</f>
        <v>0</v>
      </c>
      <c r="L58" s="88">
        <f t="shared" si="9"/>
        <v>0</v>
      </c>
      <c r="M58" s="88">
        <f>SUMIFS(考核调整事项表!$C:$C,考核调整事项表!$G:$G,累计考核费用!$B58,考核调整事项表!$D:$D,累计考核费用!M$55)+SUMIFS(考核调整事项表!$E:$E,考核调整事项表!$G:$G,累计考核费用!$B58,考核调整事项表!$F:$F,累计考核费用!M$55)</f>
        <v>0</v>
      </c>
      <c r="N58" s="88">
        <f>SUMIFS(考核调整事项表!$C:$C,考核调整事项表!$G:$G,累计考核费用!$B58,考核调整事项表!$D:$D,累计考核费用!N$55)+SUMIFS(考核调整事项表!$E:$E,考核调整事项表!$G:$G,累计考核费用!$B58,考核调整事项表!$F:$F,累计考核费用!N$55)</f>
        <v>0</v>
      </c>
      <c r="O58" s="88">
        <f>SUMIFS(考核调整事项表!$C:$C,考核调整事项表!$G:$G,累计考核费用!$B58,考核调整事项表!$D:$D,累计考核费用!O$55)+SUMIFS(考核调整事项表!$E:$E,考核调整事项表!$G:$G,累计考核费用!$B58,考核调整事项表!$F:$F,累计考核费用!O$55)</f>
        <v>0</v>
      </c>
      <c r="P58" s="88">
        <f>SUMIFS(考核调整事项表!$C:$C,考核调整事项表!$G:$G,累计考核费用!$B58,考核调整事项表!$D:$D,累计考核费用!P$55)+SUMIFS(考核调整事项表!$E:$E,考核调整事项表!$G:$G,累计考核费用!$B58,考核调整事项表!$F:$F,累计考核费用!P$55)</f>
        <v>0</v>
      </c>
      <c r="Q58" s="88">
        <f t="shared" si="10"/>
        <v>0</v>
      </c>
      <c r="R58" s="88">
        <f>SUMIFS(考核调整事项表!$C:$C,考核调整事项表!$G:$G,累计考核费用!$B58,考核调整事项表!$D:$D,累计考核费用!R$55)+SUMIFS(考核调整事项表!$E:$E,考核调整事项表!$G:$G,累计考核费用!$B58,考核调整事项表!$F:$F,累计考核费用!R$55)</f>
        <v>0</v>
      </c>
      <c r="S58" s="88">
        <f>SUMIFS(考核调整事项表!$C:$C,考核调整事项表!$G:$G,累计考核费用!$B58,考核调整事项表!$D:$D,累计考核费用!S$55)+SUMIFS(考核调整事项表!$E:$E,考核调整事项表!$G:$G,累计考核费用!$B58,考核调整事项表!$F:$F,累计考核费用!S$55)</f>
        <v>0</v>
      </c>
      <c r="T58" s="91">
        <f>SUMIFS(考核调整事项表!$C:$C,考核调整事项表!$G:$G,累计考核费用!$B58,考核调整事项表!$D:$D,累计考核费用!T$55)+SUMIFS(考核调整事项表!$E:$E,考核调整事项表!$G:$G,累计考核费用!$B58,考核调整事项表!$F:$F,累计考核费用!T$55)</f>
        <v>0</v>
      </c>
      <c r="U58" s="88">
        <f t="shared" si="11"/>
        <v>0</v>
      </c>
      <c r="V58" s="88">
        <f>SUMIFS(考核调整事项表!$C:$C,考核调整事项表!$G:$G,累计考核费用!$B58,考核调整事项表!$D:$D,累计考核费用!V$55)+SUMIFS(考核调整事项表!$E:$E,考核调整事项表!$G:$G,累计考核费用!$B58,考核调整事项表!$F:$F,累计考核费用!V$55)</f>
        <v>0</v>
      </c>
      <c r="W58" s="88">
        <f>SUMIFS(考核调整事项表!$C:$C,考核调整事项表!$G:$G,累计考核费用!$B58,考核调整事项表!$D:$D,累计考核费用!W$55)+SUMIFS(考核调整事项表!$E:$E,考核调整事项表!$G:$G,累计考核费用!$B58,考核调整事项表!$F:$F,累计考核费用!W$55)</f>
        <v>0</v>
      </c>
      <c r="X58" s="88">
        <f>SUMIFS(考核调整事项表!$C:$C,考核调整事项表!$G:$G,累计考核费用!$B58,考核调整事项表!$D:$D,累计考核费用!X$55)+SUMIFS(考核调整事项表!$E:$E,考核调整事项表!$G:$G,累计考核费用!$B58,考核调整事项表!$F:$F,累计考核费用!X$55)</f>
        <v>0</v>
      </c>
      <c r="Y58" s="88">
        <f>SUMIFS(考核调整事项表!$C:$C,考核调整事项表!$G:$G,累计考核费用!$B58,考核调整事项表!$D:$D,累计考核费用!Y$55)+SUMIFS(考核调整事项表!$E:$E,考核调整事项表!$G:$G,累计考核费用!$B58,考核调整事项表!$F:$F,累计考核费用!Y$55)</f>
        <v>0</v>
      </c>
      <c r="Z58" s="88">
        <f>SUMIFS(考核调整事项表!$C:$C,考核调整事项表!$G:$G,累计考核费用!$B58,考核调整事项表!$D:$D,累计考核费用!Z$55)+SUMIFS(考核调整事项表!$E:$E,考核调整事项表!$G:$G,累计考核费用!$B58,考核调整事项表!$F:$F,累计考核费用!Z$55)</f>
        <v>0</v>
      </c>
      <c r="AA58" s="88">
        <f>SUMIFS(考核调整事项表!$C:$C,考核调整事项表!$G:$G,累计考核费用!$B58,考核调整事项表!$D:$D,累计考核费用!AA$55)+SUMIFS(考核调整事项表!$E:$E,考核调整事项表!$G:$G,累计考核费用!$B58,考核调整事项表!$F:$F,累计考核费用!AA$55)</f>
        <v>0</v>
      </c>
      <c r="AB58" s="88">
        <f>SUMIFS(考核调整事项表!$C:$C,考核调整事项表!$G:$G,累计考核费用!$B58,考核调整事项表!$D:$D,累计考核费用!AB$55)+SUMIFS(考核调整事项表!$E:$E,考核调整事项表!$G:$G,累计考核费用!$B58,考核调整事项表!$F:$F,累计考核费用!AB$55)</f>
        <v>0</v>
      </c>
      <c r="AC58" s="88">
        <f>SUMIFS(考核调整事项表!$C:$C,考核调整事项表!$G:$G,累计考核费用!$B58,考核调整事项表!$D:$D,累计考核费用!AC$55)+SUMIFS(考核调整事项表!$E:$E,考核调整事项表!$G:$G,累计考核费用!$B58,考核调整事项表!$F:$F,累计考核费用!AC$55)</f>
        <v>0</v>
      </c>
      <c r="AD58" s="88">
        <f>SUMIFS(考核调整事项表!$C:$C,考核调整事项表!$G:$G,累计考核费用!$B58,考核调整事项表!$D:$D,累计考核费用!AD$55)+SUMIFS(考核调整事项表!$E:$E,考核调整事项表!$G:$G,累计考核费用!$B58,考核调整事项表!$F:$F,累计考核费用!AD$55)</f>
        <v>0</v>
      </c>
    </row>
    <row r="59" spans="1:30">
      <c r="A59" s="437"/>
      <c r="B59" s="48" t="s">
        <v>91</v>
      </c>
      <c r="C59" s="9">
        <f t="shared" si="7"/>
        <v>0</v>
      </c>
      <c r="D59" s="88">
        <f>SUMIFS(考核调整事项表!$C:$C,考核调整事项表!$G:$G,累计考核费用!$B59,考核调整事项表!$D:$D,累计考核费用!D$55)+SUMIFS(考核调整事项表!$E:$E,考核调整事项表!$G:$G,累计考核费用!$B59,考核调整事项表!$F:$F,累计考核费用!D$55)</f>
        <v>0</v>
      </c>
      <c r="E59" s="88">
        <f>SUMIFS(考核调整事项表!$C:$C,考核调整事项表!$G:$G,累计考核费用!$B59,考核调整事项表!$D:$D,累计考核费用!E$55)+SUMIFS(考核调整事项表!$E:$E,考核调整事项表!$G:$G,累计考核费用!$B59,考核调整事项表!$F:$F,累计考核费用!E$55)</f>
        <v>0</v>
      </c>
      <c r="F59" s="88">
        <f>SUMIFS(考核调整事项表!$C:$C,考核调整事项表!$G:$G,累计考核费用!$B59,考核调整事项表!$D:$D,累计考核费用!F$55)+SUMIFS(考核调整事项表!$E:$E,考核调整事项表!$G:$G,累计考核费用!$B59,考核调整事项表!$F:$F,累计考核费用!F$55)</f>
        <v>0</v>
      </c>
      <c r="G59" s="88">
        <f>SUMIFS(考核调整事项表!$C:$C,考核调整事项表!$G:$G,累计考核费用!$B59,考核调整事项表!$D:$D,累计考核费用!G$55)+SUMIFS(考核调整事项表!$E:$E,考核调整事项表!$G:$G,累计考核费用!$B59,考核调整事项表!$F:$F,累计考核费用!G$55)</f>
        <v>0</v>
      </c>
      <c r="H59" s="88">
        <f t="shared" si="8"/>
        <v>0</v>
      </c>
      <c r="I59" s="88">
        <f>SUMIFS(考核调整事项表!$C:$C,考核调整事项表!$G:$G,累计考核费用!$B59,考核调整事项表!$D:$D,累计考核费用!I$55)+SUMIFS(考核调整事项表!$E:$E,考核调整事项表!$G:$G,累计考核费用!$B59,考核调整事项表!$F:$F,累计考核费用!I$55)</f>
        <v>0</v>
      </c>
      <c r="J59" s="88">
        <f>SUMIFS(考核调整事项表!$C:$C,考核调整事项表!$G:$G,累计考核费用!$B59,考核调整事项表!$D:$D,累计考核费用!J$55)+SUMIFS(考核调整事项表!$E:$E,考核调整事项表!$G:$G,累计考核费用!$B59,考核调整事项表!$F:$F,累计考核费用!J$55)</f>
        <v>0</v>
      </c>
      <c r="K59" s="88">
        <f>SUMIFS(考核调整事项表!$C:$C,考核调整事项表!$G:$G,累计考核费用!$B59,考核调整事项表!$D:$D,累计考核费用!K$55)+SUMIFS(考核调整事项表!$E:$E,考核调整事项表!$G:$G,累计考核费用!$B59,考核调整事项表!$F:$F,累计考核费用!K$55)</f>
        <v>0</v>
      </c>
      <c r="L59" s="88">
        <f t="shared" si="9"/>
        <v>0</v>
      </c>
      <c r="M59" s="88">
        <f>SUMIFS(考核调整事项表!$C:$C,考核调整事项表!$G:$G,累计考核费用!$B59,考核调整事项表!$D:$D,累计考核费用!M$55)+SUMIFS(考核调整事项表!$E:$E,考核调整事项表!$G:$G,累计考核费用!$B59,考核调整事项表!$F:$F,累计考核费用!M$55)</f>
        <v>0</v>
      </c>
      <c r="N59" s="88">
        <f>SUMIFS(考核调整事项表!$C:$C,考核调整事项表!$G:$G,累计考核费用!$B59,考核调整事项表!$D:$D,累计考核费用!N$55)+SUMIFS(考核调整事项表!$E:$E,考核调整事项表!$G:$G,累计考核费用!$B59,考核调整事项表!$F:$F,累计考核费用!N$55)</f>
        <v>0</v>
      </c>
      <c r="O59" s="88">
        <f>SUMIFS(考核调整事项表!$C:$C,考核调整事项表!$G:$G,累计考核费用!$B59,考核调整事项表!$D:$D,累计考核费用!O$55)+SUMIFS(考核调整事项表!$E:$E,考核调整事项表!$G:$G,累计考核费用!$B59,考核调整事项表!$F:$F,累计考核费用!O$55)</f>
        <v>0</v>
      </c>
      <c r="P59" s="88">
        <f>SUMIFS(考核调整事项表!$C:$C,考核调整事项表!$G:$G,累计考核费用!$B59,考核调整事项表!$D:$D,累计考核费用!P$55)+SUMIFS(考核调整事项表!$E:$E,考核调整事项表!$G:$G,累计考核费用!$B59,考核调整事项表!$F:$F,累计考核费用!P$55)</f>
        <v>0</v>
      </c>
      <c r="Q59" s="88">
        <f t="shared" si="10"/>
        <v>0</v>
      </c>
      <c r="R59" s="88">
        <f>SUMIFS(考核调整事项表!$C:$C,考核调整事项表!$G:$G,累计考核费用!$B59,考核调整事项表!$D:$D,累计考核费用!R$55)+SUMIFS(考核调整事项表!$E:$E,考核调整事项表!$G:$G,累计考核费用!$B59,考核调整事项表!$F:$F,累计考核费用!R$55)</f>
        <v>0</v>
      </c>
      <c r="S59" s="88">
        <f>SUMIFS(考核调整事项表!$C:$C,考核调整事项表!$G:$G,累计考核费用!$B59,考核调整事项表!$D:$D,累计考核费用!S$55)+SUMIFS(考核调整事项表!$E:$E,考核调整事项表!$G:$G,累计考核费用!$B59,考核调整事项表!$F:$F,累计考核费用!S$55)</f>
        <v>0</v>
      </c>
      <c r="T59" s="91">
        <f>SUMIFS(考核调整事项表!$C:$C,考核调整事项表!$G:$G,累计考核费用!$B59,考核调整事项表!$D:$D,累计考核费用!T$55)+SUMIFS(考核调整事项表!$E:$E,考核调整事项表!$G:$G,累计考核费用!$B59,考核调整事项表!$F:$F,累计考核费用!T$55)</f>
        <v>0</v>
      </c>
      <c r="U59" s="88">
        <f t="shared" si="11"/>
        <v>0</v>
      </c>
      <c r="V59" s="88">
        <f>SUMIFS(考核调整事项表!$C:$C,考核调整事项表!$G:$G,累计考核费用!$B59,考核调整事项表!$D:$D,累计考核费用!V$55)+SUMIFS(考核调整事项表!$E:$E,考核调整事项表!$G:$G,累计考核费用!$B59,考核调整事项表!$F:$F,累计考核费用!V$55)</f>
        <v>0</v>
      </c>
      <c r="W59" s="88">
        <f>SUMIFS(考核调整事项表!$C:$C,考核调整事项表!$G:$G,累计考核费用!$B59,考核调整事项表!$D:$D,累计考核费用!W$55)+SUMIFS(考核调整事项表!$E:$E,考核调整事项表!$G:$G,累计考核费用!$B59,考核调整事项表!$F:$F,累计考核费用!W$55)</f>
        <v>0</v>
      </c>
      <c r="X59" s="88">
        <f>SUMIFS(考核调整事项表!$C:$C,考核调整事项表!$G:$G,累计考核费用!$B59,考核调整事项表!$D:$D,累计考核费用!X$55)+SUMIFS(考核调整事项表!$E:$E,考核调整事项表!$G:$G,累计考核费用!$B59,考核调整事项表!$F:$F,累计考核费用!X$55)</f>
        <v>0</v>
      </c>
      <c r="Y59" s="88">
        <f>SUMIFS(考核调整事项表!$C:$C,考核调整事项表!$G:$G,累计考核费用!$B59,考核调整事项表!$D:$D,累计考核费用!Y$55)+SUMIFS(考核调整事项表!$E:$E,考核调整事项表!$G:$G,累计考核费用!$B59,考核调整事项表!$F:$F,累计考核费用!Y$55)</f>
        <v>0</v>
      </c>
      <c r="Z59" s="88">
        <f>SUMIFS(考核调整事项表!$C:$C,考核调整事项表!$G:$G,累计考核费用!$B59,考核调整事项表!$D:$D,累计考核费用!Z$55)+SUMIFS(考核调整事项表!$E:$E,考核调整事项表!$G:$G,累计考核费用!$B59,考核调整事项表!$F:$F,累计考核费用!Z$55)</f>
        <v>0</v>
      </c>
      <c r="AA59" s="88">
        <f>SUMIFS(考核调整事项表!$C:$C,考核调整事项表!$G:$G,累计考核费用!$B59,考核调整事项表!$D:$D,累计考核费用!AA$55)+SUMIFS(考核调整事项表!$E:$E,考核调整事项表!$G:$G,累计考核费用!$B59,考核调整事项表!$F:$F,累计考核费用!AA$55)</f>
        <v>0</v>
      </c>
      <c r="AB59" s="88">
        <f>SUMIFS(考核调整事项表!$C:$C,考核调整事项表!$G:$G,累计考核费用!$B59,考核调整事项表!$D:$D,累计考核费用!AB$55)+SUMIFS(考核调整事项表!$E:$E,考核调整事项表!$G:$G,累计考核费用!$B59,考核调整事项表!$F:$F,累计考核费用!AB$55)</f>
        <v>0</v>
      </c>
      <c r="AC59" s="88">
        <f>SUMIFS(考核调整事项表!$C:$C,考核调整事项表!$G:$G,累计考核费用!$B59,考核调整事项表!$D:$D,累计考核费用!AC$55)+SUMIFS(考核调整事项表!$E:$E,考核调整事项表!$G:$G,累计考核费用!$B59,考核调整事项表!$F:$F,累计考核费用!AC$55)</f>
        <v>0</v>
      </c>
      <c r="AD59" s="88">
        <f>SUMIFS(考核调整事项表!$C:$C,考核调整事项表!$G:$G,累计考核费用!$B59,考核调整事项表!$D:$D,累计考核费用!AD$55)+SUMIFS(考核调整事项表!$E:$E,考核调整事项表!$G:$G,累计考核费用!$B59,考核调整事项表!$F:$F,累计考核费用!AD$55)</f>
        <v>0</v>
      </c>
    </row>
    <row r="60" spans="1:30">
      <c r="A60" s="437"/>
      <c r="B60" s="48" t="s">
        <v>92</v>
      </c>
      <c r="C60" s="9">
        <f t="shared" si="7"/>
        <v>0</v>
      </c>
      <c r="D60" s="88">
        <f>SUMIFS(考核调整事项表!$C:$C,考核调整事项表!$G:$G,累计考核费用!$B60,考核调整事项表!$D:$D,累计考核费用!D$55)+SUMIFS(考核调整事项表!$E:$E,考核调整事项表!$G:$G,累计考核费用!$B60,考核调整事项表!$F:$F,累计考核费用!D$55)</f>
        <v>0</v>
      </c>
      <c r="E60" s="88">
        <f>SUMIFS(考核调整事项表!$C:$C,考核调整事项表!$G:$G,累计考核费用!$B60,考核调整事项表!$D:$D,累计考核费用!E$55)+SUMIFS(考核调整事项表!$E:$E,考核调整事项表!$G:$G,累计考核费用!$B60,考核调整事项表!$F:$F,累计考核费用!E$55)</f>
        <v>0</v>
      </c>
      <c r="F60" s="88">
        <f>SUMIFS(考核调整事项表!$C:$C,考核调整事项表!$G:$G,累计考核费用!$B60,考核调整事项表!$D:$D,累计考核费用!F$55)+SUMIFS(考核调整事项表!$E:$E,考核调整事项表!$G:$G,累计考核费用!$B60,考核调整事项表!$F:$F,累计考核费用!F$55)</f>
        <v>0</v>
      </c>
      <c r="G60" s="88">
        <f>SUMIFS(考核调整事项表!$C:$C,考核调整事项表!$G:$G,累计考核费用!$B60,考核调整事项表!$D:$D,累计考核费用!G$55)+SUMIFS(考核调整事项表!$E:$E,考核调整事项表!$G:$G,累计考核费用!$B60,考核调整事项表!$F:$F,累计考核费用!G$55)</f>
        <v>0</v>
      </c>
      <c r="H60" s="88">
        <f t="shared" si="8"/>
        <v>0</v>
      </c>
      <c r="I60" s="88">
        <f>SUMIFS(考核调整事项表!$C:$C,考核调整事项表!$G:$G,累计考核费用!$B60,考核调整事项表!$D:$D,累计考核费用!I$55)+SUMIFS(考核调整事项表!$E:$E,考核调整事项表!$G:$G,累计考核费用!$B60,考核调整事项表!$F:$F,累计考核费用!I$55)</f>
        <v>0</v>
      </c>
      <c r="J60" s="88">
        <f>SUMIFS(考核调整事项表!$C:$C,考核调整事项表!$G:$G,累计考核费用!$B60,考核调整事项表!$D:$D,累计考核费用!J$55)+SUMIFS(考核调整事项表!$E:$E,考核调整事项表!$G:$G,累计考核费用!$B60,考核调整事项表!$F:$F,累计考核费用!J$55)</f>
        <v>0</v>
      </c>
      <c r="K60" s="88">
        <f>SUMIFS(考核调整事项表!$C:$C,考核调整事项表!$G:$G,累计考核费用!$B60,考核调整事项表!$D:$D,累计考核费用!K$55)+SUMIFS(考核调整事项表!$E:$E,考核调整事项表!$G:$G,累计考核费用!$B60,考核调整事项表!$F:$F,累计考核费用!K$55)</f>
        <v>0</v>
      </c>
      <c r="L60" s="88">
        <f t="shared" si="9"/>
        <v>0</v>
      </c>
      <c r="M60" s="88">
        <f>SUMIFS(考核调整事项表!$C:$C,考核调整事项表!$G:$G,累计考核费用!$B60,考核调整事项表!$D:$D,累计考核费用!M$55)+SUMIFS(考核调整事项表!$E:$E,考核调整事项表!$G:$G,累计考核费用!$B60,考核调整事项表!$F:$F,累计考核费用!M$55)</f>
        <v>0</v>
      </c>
      <c r="N60" s="88">
        <f>SUMIFS(考核调整事项表!$C:$C,考核调整事项表!$G:$G,累计考核费用!$B60,考核调整事项表!$D:$D,累计考核费用!N$55)+SUMIFS(考核调整事项表!$E:$E,考核调整事项表!$G:$G,累计考核费用!$B60,考核调整事项表!$F:$F,累计考核费用!N$55)</f>
        <v>0</v>
      </c>
      <c r="O60" s="88">
        <f>SUMIFS(考核调整事项表!$C:$C,考核调整事项表!$G:$G,累计考核费用!$B60,考核调整事项表!$D:$D,累计考核费用!O$55)+SUMIFS(考核调整事项表!$E:$E,考核调整事项表!$G:$G,累计考核费用!$B60,考核调整事项表!$F:$F,累计考核费用!O$55)</f>
        <v>0</v>
      </c>
      <c r="P60" s="88">
        <f>SUMIFS(考核调整事项表!$C:$C,考核调整事项表!$G:$G,累计考核费用!$B60,考核调整事项表!$D:$D,累计考核费用!P$55)+SUMIFS(考核调整事项表!$E:$E,考核调整事项表!$G:$G,累计考核费用!$B60,考核调整事项表!$F:$F,累计考核费用!P$55)</f>
        <v>0</v>
      </c>
      <c r="Q60" s="88">
        <f t="shared" si="10"/>
        <v>0</v>
      </c>
      <c r="R60" s="88">
        <f>SUMIFS(考核调整事项表!$C:$C,考核调整事项表!$G:$G,累计考核费用!$B60,考核调整事项表!$D:$D,累计考核费用!R$55)+SUMIFS(考核调整事项表!$E:$E,考核调整事项表!$G:$G,累计考核费用!$B60,考核调整事项表!$F:$F,累计考核费用!R$55)</f>
        <v>0</v>
      </c>
      <c r="S60" s="88">
        <f>SUMIFS(考核调整事项表!$C:$C,考核调整事项表!$G:$G,累计考核费用!$B60,考核调整事项表!$D:$D,累计考核费用!S$55)+SUMIFS(考核调整事项表!$E:$E,考核调整事项表!$G:$G,累计考核费用!$B60,考核调整事项表!$F:$F,累计考核费用!S$55)</f>
        <v>0</v>
      </c>
      <c r="T60" s="91">
        <f>SUMIFS(考核调整事项表!$C:$C,考核调整事项表!$G:$G,累计考核费用!$B60,考核调整事项表!$D:$D,累计考核费用!T$55)+SUMIFS(考核调整事项表!$E:$E,考核调整事项表!$G:$G,累计考核费用!$B60,考核调整事项表!$F:$F,累计考核费用!T$55)</f>
        <v>0</v>
      </c>
      <c r="U60" s="88">
        <f t="shared" si="11"/>
        <v>0</v>
      </c>
      <c r="V60" s="88">
        <f>SUMIFS(考核调整事项表!$C:$C,考核调整事项表!$G:$G,累计考核费用!$B60,考核调整事项表!$D:$D,累计考核费用!V$55)+SUMIFS(考核调整事项表!$E:$E,考核调整事项表!$G:$G,累计考核费用!$B60,考核调整事项表!$F:$F,累计考核费用!V$55)</f>
        <v>0</v>
      </c>
      <c r="W60" s="88">
        <f>SUMIFS(考核调整事项表!$C:$C,考核调整事项表!$G:$G,累计考核费用!$B60,考核调整事项表!$D:$D,累计考核费用!W$55)+SUMIFS(考核调整事项表!$E:$E,考核调整事项表!$G:$G,累计考核费用!$B60,考核调整事项表!$F:$F,累计考核费用!W$55)</f>
        <v>0</v>
      </c>
      <c r="X60" s="88">
        <f>SUMIFS(考核调整事项表!$C:$C,考核调整事项表!$G:$G,累计考核费用!$B60,考核调整事项表!$D:$D,累计考核费用!X$55)+SUMIFS(考核调整事项表!$E:$E,考核调整事项表!$G:$G,累计考核费用!$B60,考核调整事项表!$F:$F,累计考核费用!X$55)</f>
        <v>0</v>
      </c>
      <c r="Y60" s="88">
        <f>SUMIFS(考核调整事项表!$C:$C,考核调整事项表!$G:$G,累计考核费用!$B60,考核调整事项表!$D:$D,累计考核费用!Y$55)+SUMIFS(考核调整事项表!$E:$E,考核调整事项表!$G:$G,累计考核费用!$B60,考核调整事项表!$F:$F,累计考核费用!Y$55)</f>
        <v>0</v>
      </c>
      <c r="Z60" s="88">
        <f>SUMIFS(考核调整事项表!$C:$C,考核调整事项表!$G:$G,累计考核费用!$B60,考核调整事项表!$D:$D,累计考核费用!Z$55)+SUMIFS(考核调整事项表!$E:$E,考核调整事项表!$G:$G,累计考核费用!$B60,考核调整事项表!$F:$F,累计考核费用!Z$55)</f>
        <v>0</v>
      </c>
      <c r="AA60" s="88">
        <f>SUMIFS(考核调整事项表!$C:$C,考核调整事项表!$G:$G,累计考核费用!$B60,考核调整事项表!$D:$D,累计考核费用!AA$55)+SUMIFS(考核调整事项表!$E:$E,考核调整事项表!$G:$G,累计考核费用!$B60,考核调整事项表!$F:$F,累计考核费用!AA$55)</f>
        <v>0</v>
      </c>
      <c r="AB60" s="88">
        <f>SUMIFS(考核调整事项表!$C:$C,考核调整事项表!$G:$G,累计考核费用!$B60,考核调整事项表!$D:$D,累计考核费用!AB$55)+SUMIFS(考核调整事项表!$E:$E,考核调整事项表!$G:$G,累计考核费用!$B60,考核调整事项表!$F:$F,累计考核费用!AB$55)</f>
        <v>0</v>
      </c>
      <c r="AC60" s="88">
        <f>SUMIFS(考核调整事项表!$C:$C,考核调整事项表!$G:$G,累计考核费用!$B60,考核调整事项表!$D:$D,累计考核费用!AC$55)+SUMIFS(考核调整事项表!$E:$E,考核调整事项表!$G:$G,累计考核费用!$B60,考核调整事项表!$F:$F,累计考核费用!AC$55)</f>
        <v>0</v>
      </c>
      <c r="AD60" s="88">
        <f>SUMIFS(考核调整事项表!$C:$C,考核调整事项表!$G:$G,累计考核费用!$B60,考核调整事项表!$D:$D,累计考核费用!AD$55)+SUMIFS(考核调整事项表!$E:$E,考核调整事项表!$G:$G,累计考核费用!$B60,考核调整事项表!$F:$F,累计考核费用!AD$55)</f>
        <v>0</v>
      </c>
    </row>
    <row r="61" spans="1:30">
      <c r="A61" s="437"/>
      <c r="B61" s="48" t="s">
        <v>93</v>
      </c>
      <c r="C61" s="9">
        <f t="shared" si="7"/>
        <v>0</v>
      </c>
      <c r="D61" s="88">
        <f>SUMIFS(考核调整事项表!$C:$C,考核调整事项表!$G:$G,累计考核费用!$B61,考核调整事项表!$D:$D,累计考核费用!D$55)+SUMIFS(考核调整事项表!$E:$E,考核调整事项表!$G:$G,累计考核费用!$B61,考核调整事项表!$F:$F,累计考核费用!D$55)</f>
        <v>0</v>
      </c>
      <c r="E61" s="88">
        <f>SUMIFS(考核调整事项表!$C:$C,考核调整事项表!$G:$G,累计考核费用!$B61,考核调整事项表!$D:$D,累计考核费用!E$55)+SUMIFS(考核调整事项表!$E:$E,考核调整事项表!$G:$G,累计考核费用!$B61,考核调整事项表!$F:$F,累计考核费用!E$55)</f>
        <v>0</v>
      </c>
      <c r="F61" s="88">
        <f>SUMIFS(考核调整事项表!$C:$C,考核调整事项表!$G:$G,累计考核费用!$B61,考核调整事项表!$D:$D,累计考核费用!F$55)+SUMIFS(考核调整事项表!$E:$E,考核调整事项表!$G:$G,累计考核费用!$B61,考核调整事项表!$F:$F,累计考核费用!F$55)</f>
        <v>0</v>
      </c>
      <c r="G61" s="88">
        <f>SUMIFS(考核调整事项表!$C:$C,考核调整事项表!$G:$G,累计考核费用!$B61,考核调整事项表!$D:$D,累计考核费用!G$55)+SUMIFS(考核调整事项表!$E:$E,考核调整事项表!$G:$G,累计考核费用!$B61,考核调整事项表!$F:$F,累计考核费用!G$55)</f>
        <v>0</v>
      </c>
      <c r="H61" s="88">
        <f t="shared" si="8"/>
        <v>0</v>
      </c>
      <c r="I61" s="88">
        <f>SUMIFS(考核调整事项表!$C:$C,考核调整事项表!$G:$G,累计考核费用!$B61,考核调整事项表!$D:$D,累计考核费用!I$55)+SUMIFS(考核调整事项表!$E:$E,考核调整事项表!$G:$G,累计考核费用!$B61,考核调整事项表!$F:$F,累计考核费用!I$55)</f>
        <v>0</v>
      </c>
      <c r="J61" s="88">
        <f>SUMIFS(考核调整事项表!$C:$C,考核调整事项表!$G:$G,累计考核费用!$B61,考核调整事项表!$D:$D,累计考核费用!J$55)+SUMIFS(考核调整事项表!$E:$E,考核调整事项表!$G:$G,累计考核费用!$B61,考核调整事项表!$F:$F,累计考核费用!J$55)</f>
        <v>0</v>
      </c>
      <c r="K61" s="88">
        <f>SUMIFS(考核调整事项表!$C:$C,考核调整事项表!$G:$G,累计考核费用!$B61,考核调整事项表!$D:$D,累计考核费用!K$55)+SUMIFS(考核调整事项表!$E:$E,考核调整事项表!$G:$G,累计考核费用!$B61,考核调整事项表!$F:$F,累计考核费用!K$55)</f>
        <v>0</v>
      </c>
      <c r="L61" s="88">
        <f t="shared" si="9"/>
        <v>0</v>
      </c>
      <c r="M61" s="88">
        <f>SUMIFS(考核调整事项表!$C:$C,考核调整事项表!$G:$G,累计考核费用!$B61,考核调整事项表!$D:$D,累计考核费用!M$55)+SUMIFS(考核调整事项表!$E:$E,考核调整事项表!$G:$G,累计考核费用!$B61,考核调整事项表!$F:$F,累计考核费用!M$55)</f>
        <v>0</v>
      </c>
      <c r="N61" s="88">
        <f>SUMIFS(考核调整事项表!$C:$C,考核调整事项表!$G:$G,累计考核费用!$B61,考核调整事项表!$D:$D,累计考核费用!N$55)+SUMIFS(考核调整事项表!$E:$E,考核调整事项表!$G:$G,累计考核费用!$B61,考核调整事项表!$F:$F,累计考核费用!N$55)</f>
        <v>0</v>
      </c>
      <c r="O61" s="88">
        <f>SUMIFS(考核调整事项表!$C:$C,考核调整事项表!$G:$G,累计考核费用!$B61,考核调整事项表!$D:$D,累计考核费用!O$55)+SUMIFS(考核调整事项表!$E:$E,考核调整事项表!$G:$G,累计考核费用!$B61,考核调整事项表!$F:$F,累计考核费用!O$55)</f>
        <v>0</v>
      </c>
      <c r="P61" s="88">
        <f>SUMIFS(考核调整事项表!$C:$C,考核调整事项表!$G:$G,累计考核费用!$B61,考核调整事项表!$D:$D,累计考核费用!P$55)+SUMIFS(考核调整事项表!$E:$E,考核调整事项表!$G:$G,累计考核费用!$B61,考核调整事项表!$F:$F,累计考核费用!P$55)</f>
        <v>0</v>
      </c>
      <c r="Q61" s="88">
        <f t="shared" si="10"/>
        <v>0</v>
      </c>
      <c r="R61" s="88">
        <f>SUMIFS(考核调整事项表!$C:$C,考核调整事项表!$G:$G,累计考核费用!$B61,考核调整事项表!$D:$D,累计考核费用!R$55)+SUMIFS(考核调整事项表!$E:$E,考核调整事项表!$G:$G,累计考核费用!$B61,考核调整事项表!$F:$F,累计考核费用!R$55)</f>
        <v>0</v>
      </c>
      <c r="S61" s="88">
        <f>SUMIFS(考核调整事项表!$C:$C,考核调整事项表!$G:$G,累计考核费用!$B61,考核调整事项表!$D:$D,累计考核费用!S$55)+SUMIFS(考核调整事项表!$E:$E,考核调整事项表!$G:$G,累计考核费用!$B61,考核调整事项表!$F:$F,累计考核费用!S$55)</f>
        <v>0</v>
      </c>
      <c r="T61" s="91">
        <f>SUMIFS(考核调整事项表!$C:$C,考核调整事项表!$G:$G,累计考核费用!$B61,考核调整事项表!$D:$D,累计考核费用!T$55)+SUMIFS(考核调整事项表!$E:$E,考核调整事项表!$G:$G,累计考核费用!$B61,考核调整事项表!$F:$F,累计考核费用!T$55)</f>
        <v>0</v>
      </c>
      <c r="U61" s="88">
        <f t="shared" si="11"/>
        <v>0</v>
      </c>
      <c r="V61" s="88">
        <f>SUMIFS(考核调整事项表!$C:$C,考核调整事项表!$G:$G,累计考核费用!$B61,考核调整事项表!$D:$D,累计考核费用!V$55)+SUMIFS(考核调整事项表!$E:$E,考核调整事项表!$G:$G,累计考核费用!$B61,考核调整事项表!$F:$F,累计考核费用!V$55)</f>
        <v>0</v>
      </c>
      <c r="W61" s="88">
        <f>SUMIFS(考核调整事项表!$C:$C,考核调整事项表!$G:$G,累计考核费用!$B61,考核调整事项表!$D:$D,累计考核费用!W$55)+SUMIFS(考核调整事项表!$E:$E,考核调整事项表!$G:$G,累计考核费用!$B61,考核调整事项表!$F:$F,累计考核费用!W$55)</f>
        <v>0</v>
      </c>
      <c r="X61" s="88">
        <f>SUMIFS(考核调整事项表!$C:$C,考核调整事项表!$G:$G,累计考核费用!$B61,考核调整事项表!$D:$D,累计考核费用!X$55)+SUMIFS(考核调整事项表!$E:$E,考核调整事项表!$G:$G,累计考核费用!$B61,考核调整事项表!$F:$F,累计考核费用!X$55)</f>
        <v>0</v>
      </c>
      <c r="Y61" s="88">
        <f>SUMIFS(考核调整事项表!$C:$C,考核调整事项表!$G:$G,累计考核费用!$B61,考核调整事项表!$D:$D,累计考核费用!Y$55)+SUMIFS(考核调整事项表!$E:$E,考核调整事项表!$G:$G,累计考核费用!$B61,考核调整事项表!$F:$F,累计考核费用!Y$55)</f>
        <v>0</v>
      </c>
      <c r="Z61" s="88">
        <f>SUMIFS(考核调整事项表!$C:$C,考核调整事项表!$G:$G,累计考核费用!$B61,考核调整事项表!$D:$D,累计考核费用!Z$55)+SUMIFS(考核调整事项表!$E:$E,考核调整事项表!$G:$G,累计考核费用!$B61,考核调整事项表!$F:$F,累计考核费用!Z$55)</f>
        <v>0</v>
      </c>
      <c r="AA61" s="88">
        <f>SUMIFS(考核调整事项表!$C:$C,考核调整事项表!$G:$G,累计考核费用!$B61,考核调整事项表!$D:$D,累计考核费用!AA$55)+SUMIFS(考核调整事项表!$E:$E,考核调整事项表!$G:$G,累计考核费用!$B61,考核调整事项表!$F:$F,累计考核费用!AA$55)</f>
        <v>0</v>
      </c>
      <c r="AB61" s="88">
        <f>SUMIFS(考核调整事项表!$C:$C,考核调整事项表!$G:$G,累计考核费用!$B61,考核调整事项表!$D:$D,累计考核费用!AB$55)+SUMIFS(考核调整事项表!$E:$E,考核调整事项表!$G:$G,累计考核费用!$B61,考核调整事项表!$F:$F,累计考核费用!AB$55)</f>
        <v>0</v>
      </c>
      <c r="AC61" s="88">
        <f>SUMIFS(考核调整事项表!$C:$C,考核调整事项表!$G:$G,累计考核费用!$B61,考核调整事项表!$D:$D,累计考核费用!AC$55)+SUMIFS(考核调整事项表!$E:$E,考核调整事项表!$G:$G,累计考核费用!$B61,考核调整事项表!$F:$F,累计考核费用!AC$55)</f>
        <v>0</v>
      </c>
      <c r="AD61" s="88">
        <f>SUMIFS(考核调整事项表!$C:$C,考核调整事项表!$G:$G,累计考核费用!$B61,考核调整事项表!$D:$D,累计考核费用!AD$55)+SUMIFS(考核调整事项表!$E:$E,考核调整事项表!$G:$G,累计考核费用!$B61,考核调整事项表!$F:$F,累计考核费用!AD$55)</f>
        <v>0</v>
      </c>
    </row>
    <row r="62" spans="1:30">
      <c r="A62" s="437"/>
      <c r="B62" s="48" t="s">
        <v>94</v>
      </c>
      <c r="C62" s="9">
        <f t="shared" si="7"/>
        <v>0</v>
      </c>
      <c r="D62" s="88">
        <f>SUMIFS(考核调整事项表!$C:$C,考核调整事项表!$G:$G,累计考核费用!$B62,考核调整事项表!$D:$D,累计考核费用!D$55)+SUMIFS(考核调整事项表!$E:$E,考核调整事项表!$G:$G,累计考核费用!$B62,考核调整事项表!$F:$F,累计考核费用!D$55)</f>
        <v>0</v>
      </c>
      <c r="E62" s="88">
        <f>SUMIFS(考核调整事项表!$C:$C,考核调整事项表!$G:$G,累计考核费用!$B62,考核调整事项表!$D:$D,累计考核费用!E$55)+SUMIFS(考核调整事项表!$E:$E,考核调整事项表!$G:$G,累计考核费用!$B62,考核调整事项表!$F:$F,累计考核费用!E$55)</f>
        <v>0</v>
      </c>
      <c r="F62" s="88">
        <f>SUMIFS(考核调整事项表!$C:$C,考核调整事项表!$G:$G,累计考核费用!$B62,考核调整事项表!$D:$D,累计考核费用!F$55)+SUMIFS(考核调整事项表!$E:$E,考核调整事项表!$G:$G,累计考核费用!$B62,考核调整事项表!$F:$F,累计考核费用!F$55)</f>
        <v>0</v>
      </c>
      <c r="G62" s="88">
        <f>SUMIFS(考核调整事项表!$C:$C,考核调整事项表!$G:$G,累计考核费用!$B62,考核调整事项表!$D:$D,累计考核费用!G$55)+SUMIFS(考核调整事项表!$E:$E,考核调整事项表!$G:$G,累计考核费用!$B62,考核调整事项表!$F:$F,累计考核费用!G$55)</f>
        <v>0</v>
      </c>
      <c r="H62" s="88">
        <f t="shared" si="8"/>
        <v>0</v>
      </c>
      <c r="I62" s="88">
        <f>SUMIFS(考核调整事项表!$C:$C,考核调整事项表!$G:$G,累计考核费用!$B62,考核调整事项表!$D:$D,累计考核费用!I$55)+SUMIFS(考核调整事项表!$E:$E,考核调整事项表!$G:$G,累计考核费用!$B62,考核调整事项表!$F:$F,累计考核费用!I$55)</f>
        <v>0</v>
      </c>
      <c r="J62" s="88">
        <f>SUMIFS(考核调整事项表!$C:$C,考核调整事项表!$G:$G,累计考核费用!$B62,考核调整事项表!$D:$D,累计考核费用!J$55)+SUMIFS(考核调整事项表!$E:$E,考核调整事项表!$G:$G,累计考核费用!$B62,考核调整事项表!$F:$F,累计考核费用!J$55)</f>
        <v>0</v>
      </c>
      <c r="K62" s="88">
        <f>SUMIFS(考核调整事项表!$C:$C,考核调整事项表!$G:$G,累计考核费用!$B62,考核调整事项表!$D:$D,累计考核费用!K$55)+SUMIFS(考核调整事项表!$E:$E,考核调整事项表!$G:$G,累计考核费用!$B62,考核调整事项表!$F:$F,累计考核费用!K$55)</f>
        <v>0</v>
      </c>
      <c r="L62" s="88">
        <f t="shared" si="9"/>
        <v>0</v>
      </c>
      <c r="M62" s="88">
        <f>SUMIFS(考核调整事项表!$C:$C,考核调整事项表!$G:$G,累计考核费用!$B62,考核调整事项表!$D:$D,累计考核费用!M$55)+SUMIFS(考核调整事项表!$E:$E,考核调整事项表!$G:$G,累计考核费用!$B62,考核调整事项表!$F:$F,累计考核费用!M$55)</f>
        <v>0</v>
      </c>
      <c r="N62" s="88">
        <f>SUMIFS(考核调整事项表!$C:$C,考核调整事项表!$G:$G,累计考核费用!$B62,考核调整事项表!$D:$D,累计考核费用!N$55)+SUMIFS(考核调整事项表!$E:$E,考核调整事项表!$G:$G,累计考核费用!$B62,考核调整事项表!$F:$F,累计考核费用!N$55)</f>
        <v>0</v>
      </c>
      <c r="O62" s="88">
        <f>SUMIFS(考核调整事项表!$C:$C,考核调整事项表!$G:$G,累计考核费用!$B62,考核调整事项表!$D:$D,累计考核费用!O$55)+SUMIFS(考核调整事项表!$E:$E,考核调整事项表!$G:$G,累计考核费用!$B62,考核调整事项表!$F:$F,累计考核费用!O$55)</f>
        <v>0</v>
      </c>
      <c r="P62" s="88">
        <f>SUMIFS(考核调整事项表!$C:$C,考核调整事项表!$G:$G,累计考核费用!$B62,考核调整事项表!$D:$D,累计考核费用!P$55)+SUMIFS(考核调整事项表!$E:$E,考核调整事项表!$G:$G,累计考核费用!$B62,考核调整事项表!$F:$F,累计考核费用!P$55)</f>
        <v>0</v>
      </c>
      <c r="Q62" s="88">
        <f t="shared" si="10"/>
        <v>0</v>
      </c>
      <c r="R62" s="88">
        <f>SUMIFS(考核调整事项表!$C:$C,考核调整事项表!$G:$G,累计考核费用!$B62,考核调整事项表!$D:$D,累计考核费用!R$55)+SUMIFS(考核调整事项表!$E:$E,考核调整事项表!$G:$G,累计考核费用!$B62,考核调整事项表!$F:$F,累计考核费用!R$55)</f>
        <v>0</v>
      </c>
      <c r="S62" s="88">
        <f>SUMIFS(考核调整事项表!$C:$C,考核调整事项表!$G:$G,累计考核费用!$B62,考核调整事项表!$D:$D,累计考核费用!S$55)+SUMIFS(考核调整事项表!$E:$E,考核调整事项表!$G:$G,累计考核费用!$B62,考核调整事项表!$F:$F,累计考核费用!S$55)</f>
        <v>0</v>
      </c>
      <c r="T62" s="91">
        <f>SUMIFS(考核调整事项表!$C:$C,考核调整事项表!$G:$G,累计考核费用!$B62,考核调整事项表!$D:$D,累计考核费用!T$55)+SUMIFS(考核调整事项表!$E:$E,考核调整事项表!$G:$G,累计考核费用!$B62,考核调整事项表!$F:$F,累计考核费用!T$55)</f>
        <v>0</v>
      </c>
      <c r="U62" s="88">
        <f t="shared" si="11"/>
        <v>0</v>
      </c>
      <c r="V62" s="88">
        <f>SUMIFS(考核调整事项表!$C:$C,考核调整事项表!$G:$G,累计考核费用!$B62,考核调整事项表!$D:$D,累计考核费用!V$55)+SUMIFS(考核调整事项表!$E:$E,考核调整事项表!$G:$G,累计考核费用!$B62,考核调整事项表!$F:$F,累计考核费用!V$55)</f>
        <v>0</v>
      </c>
      <c r="W62" s="88">
        <f>SUMIFS(考核调整事项表!$C:$C,考核调整事项表!$G:$G,累计考核费用!$B62,考核调整事项表!$D:$D,累计考核费用!W$55)+SUMIFS(考核调整事项表!$E:$E,考核调整事项表!$G:$G,累计考核费用!$B62,考核调整事项表!$F:$F,累计考核费用!W$55)</f>
        <v>0</v>
      </c>
      <c r="X62" s="88">
        <f>SUMIFS(考核调整事项表!$C:$C,考核调整事项表!$G:$G,累计考核费用!$B62,考核调整事项表!$D:$D,累计考核费用!X$55)+SUMIFS(考核调整事项表!$E:$E,考核调整事项表!$G:$G,累计考核费用!$B62,考核调整事项表!$F:$F,累计考核费用!X$55)</f>
        <v>0</v>
      </c>
      <c r="Y62" s="88">
        <f>SUMIFS(考核调整事项表!$C:$C,考核调整事项表!$G:$G,累计考核费用!$B62,考核调整事项表!$D:$D,累计考核费用!Y$55)+SUMIFS(考核调整事项表!$E:$E,考核调整事项表!$G:$G,累计考核费用!$B62,考核调整事项表!$F:$F,累计考核费用!Y$55)</f>
        <v>0</v>
      </c>
      <c r="Z62" s="88">
        <f>SUMIFS(考核调整事项表!$C:$C,考核调整事项表!$G:$G,累计考核费用!$B62,考核调整事项表!$D:$D,累计考核费用!Z$55)+SUMIFS(考核调整事项表!$E:$E,考核调整事项表!$G:$G,累计考核费用!$B62,考核调整事项表!$F:$F,累计考核费用!Z$55)</f>
        <v>0</v>
      </c>
      <c r="AA62" s="88">
        <f>SUMIFS(考核调整事项表!$C:$C,考核调整事项表!$G:$G,累计考核费用!$B62,考核调整事项表!$D:$D,累计考核费用!AA$55)+SUMIFS(考核调整事项表!$E:$E,考核调整事项表!$G:$G,累计考核费用!$B62,考核调整事项表!$F:$F,累计考核费用!AA$55)</f>
        <v>0</v>
      </c>
      <c r="AB62" s="88">
        <f>SUMIFS(考核调整事项表!$C:$C,考核调整事项表!$G:$G,累计考核费用!$B62,考核调整事项表!$D:$D,累计考核费用!AB$55)+SUMIFS(考核调整事项表!$E:$E,考核调整事项表!$G:$G,累计考核费用!$B62,考核调整事项表!$F:$F,累计考核费用!AB$55)</f>
        <v>0</v>
      </c>
      <c r="AC62" s="88">
        <f>SUMIFS(考核调整事项表!$C:$C,考核调整事项表!$G:$G,累计考核费用!$B62,考核调整事项表!$D:$D,累计考核费用!AC$55)+SUMIFS(考核调整事项表!$E:$E,考核调整事项表!$G:$G,累计考核费用!$B62,考核调整事项表!$F:$F,累计考核费用!AC$55)</f>
        <v>0</v>
      </c>
      <c r="AD62" s="88">
        <f>SUMIFS(考核调整事项表!$C:$C,考核调整事项表!$G:$G,累计考核费用!$B62,考核调整事项表!$D:$D,累计考核费用!AD$55)+SUMIFS(考核调整事项表!$E:$E,考核调整事项表!$G:$G,累计考核费用!$B62,考核调整事项表!$F:$F,累计考核费用!AD$55)</f>
        <v>0</v>
      </c>
    </row>
    <row r="63" spans="1:30">
      <c r="A63" s="437"/>
      <c r="B63" s="48" t="s">
        <v>95</v>
      </c>
      <c r="C63" s="9">
        <f t="shared" si="7"/>
        <v>0</v>
      </c>
      <c r="D63" s="88">
        <f>SUMIFS(考核调整事项表!$C:$C,考核调整事项表!$G:$G,累计考核费用!$B63,考核调整事项表!$D:$D,累计考核费用!D$55)+SUMIFS(考核调整事项表!$E:$E,考核调整事项表!$G:$G,累计考核费用!$B63,考核调整事项表!$F:$F,累计考核费用!D$55)</f>
        <v>0</v>
      </c>
      <c r="E63" s="88">
        <f>SUMIFS(考核调整事项表!$C:$C,考核调整事项表!$G:$G,累计考核费用!$B63,考核调整事项表!$D:$D,累计考核费用!E$55)+SUMIFS(考核调整事项表!$E:$E,考核调整事项表!$G:$G,累计考核费用!$B63,考核调整事项表!$F:$F,累计考核费用!E$55)</f>
        <v>0</v>
      </c>
      <c r="F63" s="88">
        <f>SUMIFS(考核调整事项表!$C:$C,考核调整事项表!$G:$G,累计考核费用!$B63,考核调整事项表!$D:$D,累计考核费用!F$55)+SUMIFS(考核调整事项表!$E:$E,考核调整事项表!$G:$G,累计考核费用!$B63,考核调整事项表!$F:$F,累计考核费用!F$55)</f>
        <v>0</v>
      </c>
      <c r="G63" s="88">
        <f>SUMIFS(考核调整事项表!$C:$C,考核调整事项表!$G:$G,累计考核费用!$B63,考核调整事项表!$D:$D,累计考核费用!G$55)+SUMIFS(考核调整事项表!$E:$E,考核调整事项表!$G:$G,累计考核费用!$B63,考核调整事项表!$F:$F,累计考核费用!G$55)</f>
        <v>0</v>
      </c>
      <c r="H63" s="88">
        <f t="shared" si="8"/>
        <v>0</v>
      </c>
      <c r="I63" s="88">
        <f>SUMIFS(考核调整事项表!$C:$C,考核调整事项表!$G:$G,累计考核费用!$B63,考核调整事项表!$D:$D,累计考核费用!I$55)+SUMIFS(考核调整事项表!$E:$E,考核调整事项表!$G:$G,累计考核费用!$B63,考核调整事项表!$F:$F,累计考核费用!I$55)</f>
        <v>0</v>
      </c>
      <c r="J63" s="88">
        <f>SUMIFS(考核调整事项表!$C:$C,考核调整事项表!$G:$G,累计考核费用!$B63,考核调整事项表!$D:$D,累计考核费用!J$55)+SUMIFS(考核调整事项表!$E:$E,考核调整事项表!$G:$G,累计考核费用!$B63,考核调整事项表!$F:$F,累计考核费用!J$55)</f>
        <v>0</v>
      </c>
      <c r="K63" s="88">
        <f>SUMIFS(考核调整事项表!$C:$C,考核调整事项表!$G:$G,累计考核费用!$B63,考核调整事项表!$D:$D,累计考核费用!K$55)+SUMIFS(考核调整事项表!$E:$E,考核调整事项表!$G:$G,累计考核费用!$B63,考核调整事项表!$F:$F,累计考核费用!K$55)</f>
        <v>0</v>
      </c>
      <c r="L63" s="88">
        <f t="shared" si="9"/>
        <v>0</v>
      </c>
      <c r="M63" s="88">
        <f>SUMIFS(考核调整事项表!$C:$C,考核调整事项表!$G:$G,累计考核费用!$B63,考核调整事项表!$D:$D,累计考核费用!M$55)+SUMIFS(考核调整事项表!$E:$E,考核调整事项表!$G:$G,累计考核费用!$B63,考核调整事项表!$F:$F,累计考核费用!M$55)</f>
        <v>0</v>
      </c>
      <c r="N63" s="88">
        <f>SUMIFS(考核调整事项表!$C:$C,考核调整事项表!$G:$G,累计考核费用!$B63,考核调整事项表!$D:$D,累计考核费用!N$55)+SUMIFS(考核调整事项表!$E:$E,考核调整事项表!$G:$G,累计考核费用!$B63,考核调整事项表!$F:$F,累计考核费用!N$55)</f>
        <v>0</v>
      </c>
      <c r="O63" s="88">
        <f>SUMIFS(考核调整事项表!$C:$C,考核调整事项表!$G:$G,累计考核费用!$B63,考核调整事项表!$D:$D,累计考核费用!O$55)+SUMIFS(考核调整事项表!$E:$E,考核调整事项表!$G:$G,累计考核费用!$B63,考核调整事项表!$F:$F,累计考核费用!O$55)</f>
        <v>0</v>
      </c>
      <c r="P63" s="88">
        <f>SUMIFS(考核调整事项表!$C:$C,考核调整事项表!$G:$G,累计考核费用!$B63,考核调整事项表!$D:$D,累计考核费用!P$55)+SUMIFS(考核调整事项表!$E:$E,考核调整事项表!$G:$G,累计考核费用!$B63,考核调整事项表!$F:$F,累计考核费用!P$55)</f>
        <v>0</v>
      </c>
      <c r="Q63" s="88">
        <f t="shared" si="10"/>
        <v>0</v>
      </c>
      <c r="R63" s="88">
        <f>SUMIFS(考核调整事项表!$C:$C,考核调整事项表!$G:$G,累计考核费用!$B63,考核调整事项表!$D:$D,累计考核费用!R$55)+SUMIFS(考核调整事项表!$E:$E,考核调整事项表!$G:$G,累计考核费用!$B63,考核调整事项表!$F:$F,累计考核费用!R$55)</f>
        <v>0</v>
      </c>
      <c r="S63" s="88">
        <f>SUMIFS(考核调整事项表!$C:$C,考核调整事项表!$G:$G,累计考核费用!$B63,考核调整事项表!$D:$D,累计考核费用!S$55)+SUMIFS(考核调整事项表!$E:$E,考核调整事项表!$G:$G,累计考核费用!$B63,考核调整事项表!$F:$F,累计考核费用!S$55)</f>
        <v>0</v>
      </c>
      <c r="T63" s="91">
        <f>SUMIFS(考核调整事项表!$C:$C,考核调整事项表!$G:$G,累计考核费用!$B63,考核调整事项表!$D:$D,累计考核费用!T$55)+SUMIFS(考核调整事项表!$E:$E,考核调整事项表!$G:$G,累计考核费用!$B63,考核调整事项表!$F:$F,累计考核费用!T$55)</f>
        <v>0</v>
      </c>
      <c r="U63" s="88">
        <f t="shared" si="11"/>
        <v>0</v>
      </c>
      <c r="V63" s="88">
        <f>SUMIFS(考核调整事项表!$C:$C,考核调整事项表!$G:$G,累计考核费用!$B63,考核调整事项表!$D:$D,累计考核费用!V$55)+SUMIFS(考核调整事项表!$E:$E,考核调整事项表!$G:$G,累计考核费用!$B63,考核调整事项表!$F:$F,累计考核费用!V$55)</f>
        <v>0</v>
      </c>
      <c r="W63" s="88">
        <f>SUMIFS(考核调整事项表!$C:$C,考核调整事项表!$G:$G,累计考核费用!$B63,考核调整事项表!$D:$D,累计考核费用!W$55)+SUMIFS(考核调整事项表!$E:$E,考核调整事项表!$G:$G,累计考核费用!$B63,考核调整事项表!$F:$F,累计考核费用!W$55)</f>
        <v>0</v>
      </c>
      <c r="X63" s="88">
        <f>SUMIFS(考核调整事项表!$C:$C,考核调整事项表!$G:$G,累计考核费用!$B63,考核调整事项表!$D:$D,累计考核费用!X$55)+SUMIFS(考核调整事项表!$E:$E,考核调整事项表!$G:$G,累计考核费用!$B63,考核调整事项表!$F:$F,累计考核费用!X$55)</f>
        <v>0</v>
      </c>
      <c r="Y63" s="88">
        <f>SUMIFS(考核调整事项表!$C:$C,考核调整事项表!$G:$G,累计考核费用!$B63,考核调整事项表!$D:$D,累计考核费用!Y$55)+SUMIFS(考核调整事项表!$E:$E,考核调整事项表!$G:$G,累计考核费用!$B63,考核调整事项表!$F:$F,累计考核费用!Y$55)</f>
        <v>0</v>
      </c>
      <c r="Z63" s="88">
        <f>SUMIFS(考核调整事项表!$C:$C,考核调整事项表!$G:$G,累计考核费用!$B63,考核调整事项表!$D:$D,累计考核费用!Z$55)+SUMIFS(考核调整事项表!$E:$E,考核调整事项表!$G:$G,累计考核费用!$B63,考核调整事项表!$F:$F,累计考核费用!Z$55)</f>
        <v>0</v>
      </c>
      <c r="AA63" s="88">
        <f>SUMIFS(考核调整事项表!$C:$C,考核调整事项表!$G:$G,累计考核费用!$B63,考核调整事项表!$D:$D,累计考核费用!AA$55)+SUMIFS(考核调整事项表!$E:$E,考核调整事项表!$G:$G,累计考核费用!$B63,考核调整事项表!$F:$F,累计考核费用!AA$55)</f>
        <v>0</v>
      </c>
      <c r="AB63" s="88">
        <f>SUMIFS(考核调整事项表!$C:$C,考核调整事项表!$G:$G,累计考核费用!$B63,考核调整事项表!$D:$D,累计考核费用!AB$55)+SUMIFS(考核调整事项表!$E:$E,考核调整事项表!$G:$G,累计考核费用!$B63,考核调整事项表!$F:$F,累计考核费用!AB$55)</f>
        <v>0</v>
      </c>
      <c r="AC63" s="88">
        <f>SUMIFS(考核调整事项表!$C:$C,考核调整事项表!$G:$G,累计考核费用!$B63,考核调整事项表!$D:$D,累计考核费用!AC$55)+SUMIFS(考核调整事项表!$E:$E,考核调整事项表!$G:$G,累计考核费用!$B63,考核调整事项表!$F:$F,累计考核费用!AC$55)</f>
        <v>0</v>
      </c>
      <c r="AD63" s="88">
        <f>SUMIFS(考核调整事项表!$C:$C,考核调整事项表!$G:$G,累计考核费用!$B63,考核调整事项表!$D:$D,累计考核费用!AD$55)+SUMIFS(考核调整事项表!$E:$E,考核调整事项表!$G:$G,累计考核费用!$B63,考核调整事项表!$F:$F,累计考核费用!AD$55)</f>
        <v>0</v>
      </c>
    </row>
    <row r="64" spans="1:30">
      <c r="A64" s="437"/>
      <c r="B64" s="48" t="s">
        <v>96</v>
      </c>
      <c r="C64" s="9">
        <f t="shared" si="7"/>
        <v>0</v>
      </c>
      <c r="D64" s="88">
        <f>SUMIFS(考核调整事项表!$C:$C,考核调整事项表!$G:$G,累计考核费用!$B64,考核调整事项表!$D:$D,累计考核费用!D$55)+SUMIFS(考核调整事项表!$E:$E,考核调整事项表!$G:$G,累计考核费用!$B64,考核调整事项表!$F:$F,累计考核费用!D$55)</f>
        <v>0</v>
      </c>
      <c r="E64" s="88">
        <f>SUMIFS(考核调整事项表!$C:$C,考核调整事项表!$G:$G,累计考核费用!$B64,考核调整事项表!$D:$D,累计考核费用!E$55)+SUMIFS(考核调整事项表!$E:$E,考核调整事项表!$G:$G,累计考核费用!$B64,考核调整事项表!$F:$F,累计考核费用!E$55)</f>
        <v>0</v>
      </c>
      <c r="F64" s="88">
        <f>SUMIFS(考核调整事项表!$C:$C,考核调整事项表!$G:$G,累计考核费用!$B64,考核调整事项表!$D:$D,累计考核费用!F$55)+SUMIFS(考核调整事项表!$E:$E,考核调整事项表!$G:$G,累计考核费用!$B64,考核调整事项表!$F:$F,累计考核费用!F$55)</f>
        <v>0</v>
      </c>
      <c r="G64" s="88">
        <f>SUMIFS(考核调整事项表!$C:$C,考核调整事项表!$G:$G,累计考核费用!$B64,考核调整事项表!$D:$D,累计考核费用!G$55)+SUMIFS(考核调整事项表!$E:$E,考核调整事项表!$G:$G,累计考核费用!$B64,考核调整事项表!$F:$F,累计考核费用!G$55)</f>
        <v>0</v>
      </c>
      <c r="H64" s="88">
        <f t="shared" si="8"/>
        <v>0</v>
      </c>
      <c r="I64" s="88">
        <f>SUMIFS(考核调整事项表!$C:$C,考核调整事项表!$G:$G,累计考核费用!$B64,考核调整事项表!$D:$D,累计考核费用!I$55)+SUMIFS(考核调整事项表!$E:$E,考核调整事项表!$G:$G,累计考核费用!$B64,考核调整事项表!$F:$F,累计考核费用!I$55)</f>
        <v>0</v>
      </c>
      <c r="J64" s="88">
        <f>SUMIFS(考核调整事项表!$C:$C,考核调整事项表!$G:$G,累计考核费用!$B64,考核调整事项表!$D:$D,累计考核费用!J$55)+SUMIFS(考核调整事项表!$E:$E,考核调整事项表!$G:$G,累计考核费用!$B64,考核调整事项表!$F:$F,累计考核费用!J$55)</f>
        <v>0</v>
      </c>
      <c r="K64" s="88">
        <f>SUMIFS(考核调整事项表!$C:$C,考核调整事项表!$G:$G,累计考核费用!$B64,考核调整事项表!$D:$D,累计考核费用!K$55)+SUMIFS(考核调整事项表!$E:$E,考核调整事项表!$G:$G,累计考核费用!$B64,考核调整事项表!$F:$F,累计考核费用!K$55)</f>
        <v>0</v>
      </c>
      <c r="L64" s="88">
        <f t="shared" si="9"/>
        <v>0</v>
      </c>
      <c r="M64" s="88">
        <f>SUMIFS(考核调整事项表!$C:$C,考核调整事项表!$G:$G,累计考核费用!$B64,考核调整事项表!$D:$D,累计考核费用!M$55)+SUMIFS(考核调整事项表!$E:$E,考核调整事项表!$G:$G,累计考核费用!$B64,考核调整事项表!$F:$F,累计考核费用!M$55)</f>
        <v>0</v>
      </c>
      <c r="N64" s="88">
        <f>SUMIFS(考核调整事项表!$C:$C,考核调整事项表!$G:$G,累计考核费用!$B64,考核调整事项表!$D:$D,累计考核费用!N$55)+SUMIFS(考核调整事项表!$E:$E,考核调整事项表!$G:$G,累计考核费用!$B64,考核调整事项表!$F:$F,累计考核费用!N$55)</f>
        <v>0</v>
      </c>
      <c r="O64" s="88">
        <f>SUMIFS(考核调整事项表!$C:$C,考核调整事项表!$G:$G,累计考核费用!$B64,考核调整事项表!$D:$D,累计考核费用!O$55)+SUMIFS(考核调整事项表!$E:$E,考核调整事项表!$G:$G,累计考核费用!$B64,考核调整事项表!$F:$F,累计考核费用!O$55)</f>
        <v>0</v>
      </c>
      <c r="P64" s="88">
        <f>SUMIFS(考核调整事项表!$C:$C,考核调整事项表!$G:$G,累计考核费用!$B64,考核调整事项表!$D:$D,累计考核费用!P$55)+SUMIFS(考核调整事项表!$E:$E,考核调整事项表!$G:$G,累计考核费用!$B64,考核调整事项表!$F:$F,累计考核费用!P$55)</f>
        <v>0</v>
      </c>
      <c r="Q64" s="88">
        <f t="shared" si="10"/>
        <v>0</v>
      </c>
      <c r="R64" s="88">
        <f>SUMIFS(考核调整事项表!$C:$C,考核调整事项表!$G:$G,累计考核费用!$B64,考核调整事项表!$D:$D,累计考核费用!R$55)+SUMIFS(考核调整事项表!$E:$E,考核调整事项表!$G:$G,累计考核费用!$B64,考核调整事项表!$F:$F,累计考核费用!R$55)</f>
        <v>0</v>
      </c>
      <c r="S64" s="88">
        <f>SUMIFS(考核调整事项表!$C:$C,考核调整事项表!$G:$G,累计考核费用!$B64,考核调整事项表!$D:$D,累计考核费用!S$55)+SUMIFS(考核调整事项表!$E:$E,考核调整事项表!$G:$G,累计考核费用!$B64,考核调整事项表!$F:$F,累计考核费用!S$55)</f>
        <v>0</v>
      </c>
      <c r="T64" s="91">
        <f>SUMIFS(考核调整事项表!$C:$C,考核调整事项表!$G:$G,累计考核费用!$B64,考核调整事项表!$D:$D,累计考核费用!T$55)+SUMIFS(考核调整事项表!$E:$E,考核调整事项表!$G:$G,累计考核费用!$B64,考核调整事项表!$F:$F,累计考核费用!T$55)</f>
        <v>0</v>
      </c>
      <c r="U64" s="88">
        <f t="shared" si="11"/>
        <v>0</v>
      </c>
      <c r="V64" s="88">
        <f>SUMIFS(考核调整事项表!$C:$C,考核调整事项表!$G:$G,累计考核费用!$B64,考核调整事项表!$D:$D,累计考核费用!V$55)+SUMIFS(考核调整事项表!$E:$E,考核调整事项表!$G:$G,累计考核费用!$B64,考核调整事项表!$F:$F,累计考核费用!V$55)</f>
        <v>0</v>
      </c>
      <c r="W64" s="88">
        <f>SUMIFS(考核调整事项表!$C:$C,考核调整事项表!$G:$G,累计考核费用!$B64,考核调整事项表!$D:$D,累计考核费用!W$55)+SUMIFS(考核调整事项表!$E:$E,考核调整事项表!$G:$G,累计考核费用!$B64,考核调整事项表!$F:$F,累计考核费用!W$55)</f>
        <v>0</v>
      </c>
      <c r="X64" s="88">
        <f>SUMIFS(考核调整事项表!$C:$C,考核调整事项表!$G:$G,累计考核费用!$B64,考核调整事项表!$D:$D,累计考核费用!X$55)+SUMIFS(考核调整事项表!$E:$E,考核调整事项表!$G:$G,累计考核费用!$B64,考核调整事项表!$F:$F,累计考核费用!X$55)</f>
        <v>0</v>
      </c>
      <c r="Y64" s="88">
        <f>SUMIFS(考核调整事项表!$C:$C,考核调整事项表!$G:$G,累计考核费用!$B64,考核调整事项表!$D:$D,累计考核费用!Y$55)+SUMIFS(考核调整事项表!$E:$E,考核调整事项表!$G:$G,累计考核费用!$B64,考核调整事项表!$F:$F,累计考核费用!Y$55)</f>
        <v>0</v>
      </c>
      <c r="Z64" s="88">
        <f>SUMIFS(考核调整事项表!$C:$C,考核调整事项表!$G:$G,累计考核费用!$B64,考核调整事项表!$D:$D,累计考核费用!Z$55)+SUMIFS(考核调整事项表!$E:$E,考核调整事项表!$G:$G,累计考核费用!$B64,考核调整事项表!$F:$F,累计考核费用!Z$55)</f>
        <v>0</v>
      </c>
      <c r="AA64" s="88">
        <f>SUMIFS(考核调整事项表!$C:$C,考核调整事项表!$G:$G,累计考核费用!$B64,考核调整事项表!$D:$D,累计考核费用!AA$55)+SUMIFS(考核调整事项表!$E:$E,考核调整事项表!$G:$G,累计考核费用!$B64,考核调整事项表!$F:$F,累计考核费用!AA$55)</f>
        <v>0</v>
      </c>
      <c r="AB64" s="88">
        <f>SUMIFS(考核调整事项表!$C:$C,考核调整事项表!$G:$G,累计考核费用!$B64,考核调整事项表!$D:$D,累计考核费用!AB$55)+SUMIFS(考核调整事项表!$E:$E,考核调整事项表!$G:$G,累计考核费用!$B64,考核调整事项表!$F:$F,累计考核费用!AB$55)</f>
        <v>0</v>
      </c>
      <c r="AC64" s="88">
        <f>SUMIFS(考核调整事项表!$C:$C,考核调整事项表!$G:$G,累计考核费用!$B64,考核调整事项表!$D:$D,累计考核费用!AC$55)+SUMIFS(考核调整事项表!$E:$E,考核调整事项表!$G:$G,累计考核费用!$B64,考核调整事项表!$F:$F,累计考核费用!AC$55)</f>
        <v>0</v>
      </c>
      <c r="AD64" s="88">
        <f>SUMIFS(考核调整事项表!$C:$C,考核调整事项表!$G:$G,累计考核费用!$B64,考核调整事项表!$D:$D,累计考核费用!AD$55)+SUMIFS(考核调整事项表!$E:$E,考核调整事项表!$G:$G,累计考核费用!$B64,考核调整事项表!$F:$F,累计考核费用!AD$55)</f>
        <v>0</v>
      </c>
    </row>
    <row r="65" spans="1:30">
      <c r="A65" s="437"/>
      <c r="B65" s="48" t="s">
        <v>97</v>
      </c>
      <c r="C65" s="9">
        <f t="shared" si="7"/>
        <v>0</v>
      </c>
      <c r="D65" s="88">
        <f>SUMIFS(考核调整事项表!$C:$C,考核调整事项表!$G:$G,累计考核费用!$B65,考核调整事项表!$D:$D,累计考核费用!D$55)+SUMIFS(考核调整事项表!$E:$E,考核调整事项表!$G:$G,累计考核费用!$B65,考核调整事项表!$F:$F,累计考核费用!D$55)</f>
        <v>0</v>
      </c>
      <c r="E65" s="88">
        <f>SUMIFS(考核调整事项表!$C:$C,考核调整事项表!$G:$G,累计考核费用!$B65,考核调整事项表!$D:$D,累计考核费用!E$55)+SUMIFS(考核调整事项表!$E:$E,考核调整事项表!$G:$G,累计考核费用!$B65,考核调整事项表!$F:$F,累计考核费用!E$55)</f>
        <v>0</v>
      </c>
      <c r="F65" s="88">
        <f>SUMIFS(考核调整事项表!$C:$C,考核调整事项表!$G:$G,累计考核费用!$B65,考核调整事项表!$D:$D,累计考核费用!F$55)+SUMIFS(考核调整事项表!$E:$E,考核调整事项表!$G:$G,累计考核费用!$B65,考核调整事项表!$F:$F,累计考核费用!F$55)</f>
        <v>0</v>
      </c>
      <c r="G65" s="88">
        <f>SUMIFS(考核调整事项表!$C:$C,考核调整事项表!$G:$G,累计考核费用!$B65,考核调整事项表!$D:$D,累计考核费用!G$55)+SUMIFS(考核调整事项表!$E:$E,考核调整事项表!$G:$G,累计考核费用!$B65,考核调整事项表!$F:$F,累计考核费用!G$55)</f>
        <v>0</v>
      </c>
      <c r="H65" s="88">
        <f t="shared" si="8"/>
        <v>0</v>
      </c>
      <c r="I65" s="88">
        <f>SUMIFS(考核调整事项表!$C:$C,考核调整事项表!$G:$G,累计考核费用!$B65,考核调整事项表!$D:$D,累计考核费用!I$55)+SUMIFS(考核调整事项表!$E:$E,考核调整事项表!$G:$G,累计考核费用!$B65,考核调整事项表!$F:$F,累计考核费用!I$55)</f>
        <v>0</v>
      </c>
      <c r="J65" s="88">
        <f>SUMIFS(考核调整事项表!$C:$C,考核调整事项表!$G:$G,累计考核费用!$B65,考核调整事项表!$D:$D,累计考核费用!J$55)+SUMIFS(考核调整事项表!$E:$E,考核调整事项表!$G:$G,累计考核费用!$B65,考核调整事项表!$F:$F,累计考核费用!J$55)</f>
        <v>0</v>
      </c>
      <c r="K65" s="88">
        <f>SUMIFS(考核调整事项表!$C:$C,考核调整事项表!$G:$G,累计考核费用!$B65,考核调整事项表!$D:$D,累计考核费用!K$55)+SUMIFS(考核调整事项表!$E:$E,考核调整事项表!$G:$G,累计考核费用!$B65,考核调整事项表!$F:$F,累计考核费用!K$55)</f>
        <v>0</v>
      </c>
      <c r="L65" s="88">
        <f t="shared" si="9"/>
        <v>0</v>
      </c>
      <c r="M65" s="88">
        <f>SUMIFS(考核调整事项表!$C:$C,考核调整事项表!$G:$G,累计考核费用!$B65,考核调整事项表!$D:$D,累计考核费用!M$55)+SUMIFS(考核调整事项表!$E:$E,考核调整事项表!$G:$G,累计考核费用!$B65,考核调整事项表!$F:$F,累计考核费用!M$55)</f>
        <v>0</v>
      </c>
      <c r="N65" s="88">
        <f>SUMIFS(考核调整事项表!$C:$C,考核调整事项表!$G:$G,累计考核费用!$B65,考核调整事项表!$D:$D,累计考核费用!N$55)+SUMIFS(考核调整事项表!$E:$E,考核调整事项表!$G:$G,累计考核费用!$B65,考核调整事项表!$F:$F,累计考核费用!N$55)</f>
        <v>0</v>
      </c>
      <c r="O65" s="88">
        <f>SUMIFS(考核调整事项表!$C:$C,考核调整事项表!$G:$G,累计考核费用!$B65,考核调整事项表!$D:$D,累计考核费用!O$55)+SUMIFS(考核调整事项表!$E:$E,考核调整事项表!$G:$G,累计考核费用!$B65,考核调整事项表!$F:$F,累计考核费用!O$55)</f>
        <v>0</v>
      </c>
      <c r="P65" s="88">
        <f>SUMIFS(考核调整事项表!$C:$C,考核调整事项表!$G:$G,累计考核费用!$B65,考核调整事项表!$D:$D,累计考核费用!P$55)+SUMIFS(考核调整事项表!$E:$E,考核调整事项表!$G:$G,累计考核费用!$B65,考核调整事项表!$F:$F,累计考核费用!P$55)</f>
        <v>0</v>
      </c>
      <c r="Q65" s="88">
        <f t="shared" si="10"/>
        <v>0</v>
      </c>
      <c r="R65" s="88">
        <f>SUMIFS(考核调整事项表!$C:$C,考核调整事项表!$G:$G,累计考核费用!$B65,考核调整事项表!$D:$D,累计考核费用!R$55)+SUMIFS(考核调整事项表!$E:$E,考核调整事项表!$G:$G,累计考核费用!$B65,考核调整事项表!$F:$F,累计考核费用!R$55)</f>
        <v>0</v>
      </c>
      <c r="S65" s="88">
        <f>SUMIFS(考核调整事项表!$C:$C,考核调整事项表!$G:$G,累计考核费用!$B65,考核调整事项表!$D:$D,累计考核费用!S$55)+SUMIFS(考核调整事项表!$E:$E,考核调整事项表!$G:$G,累计考核费用!$B65,考核调整事项表!$F:$F,累计考核费用!S$55)</f>
        <v>0</v>
      </c>
      <c r="T65" s="91">
        <f>SUMIFS(考核调整事项表!$C:$C,考核调整事项表!$G:$G,累计考核费用!$B65,考核调整事项表!$D:$D,累计考核费用!T$55)+SUMIFS(考核调整事项表!$E:$E,考核调整事项表!$G:$G,累计考核费用!$B65,考核调整事项表!$F:$F,累计考核费用!T$55)</f>
        <v>0</v>
      </c>
      <c r="U65" s="88">
        <f t="shared" si="11"/>
        <v>0</v>
      </c>
      <c r="V65" s="88">
        <f>SUMIFS(考核调整事项表!$C:$C,考核调整事项表!$G:$G,累计考核费用!$B65,考核调整事项表!$D:$D,累计考核费用!V$55)+SUMIFS(考核调整事项表!$E:$E,考核调整事项表!$G:$G,累计考核费用!$B65,考核调整事项表!$F:$F,累计考核费用!V$55)</f>
        <v>0</v>
      </c>
      <c r="W65" s="88">
        <f>SUMIFS(考核调整事项表!$C:$C,考核调整事项表!$G:$G,累计考核费用!$B65,考核调整事项表!$D:$D,累计考核费用!W$55)+SUMIFS(考核调整事项表!$E:$E,考核调整事项表!$G:$G,累计考核费用!$B65,考核调整事项表!$F:$F,累计考核费用!W$55)</f>
        <v>0</v>
      </c>
      <c r="X65" s="88">
        <f>SUMIFS(考核调整事项表!$C:$C,考核调整事项表!$G:$G,累计考核费用!$B65,考核调整事项表!$D:$D,累计考核费用!X$55)+SUMIFS(考核调整事项表!$E:$E,考核调整事项表!$G:$G,累计考核费用!$B65,考核调整事项表!$F:$F,累计考核费用!X$55)</f>
        <v>0</v>
      </c>
      <c r="Y65" s="88">
        <f>SUMIFS(考核调整事项表!$C:$C,考核调整事项表!$G:$G,累计考核费用!$B65,考核调整事项表!$D:$D,累计考核费用!Y$55)+SUMIFS(考核调整事项表!$E:$E,考核调整事项表!$G:$G,累计考核费用!$B65,考核调整事项表!$F:$F,累计考核费用!Y$55)</f>
        <v>0</v>
      </c>
      <c r="Z65" s="88">
        <f>SUMIFS(考核调整事项表!$C:$C,考核调整事项表!$G:$G,累计考核费用!$B65,考核调整事项表!$D:$D,累计考核费用!Z$55)+SUMIFS(考核调整事项表!$E:$E,考核调整事项表!$G:$G,累计考核费用!$B65,考核调整事项表!$F:$F,累计考核费用!Z$55)</f>
        <v>0</v>
      </c>
      <c r="AA65" s="88">
        <f>SUMIFS(考核调整事项表!$C:$C,考核调整事项表!$G:$G,累计考核费用!$B65,考核调整事项表!$D:$D,累计考核费用!AA$55)+SUMIFS(考核调整事项表!$E:$E,考核调整事项表!$G:$G,累计考核费用!$B65,考核调整事项表!$F:$F,累计考核费用!AA$55)</f>
        <v>0</v>
      </c>
      <c r="AB65" s="88">
        <f>SUMIFS(考核调整事项表!$C:$C,考核调整事项表!$G:$G,累计考核费用!$B65,考核调整事项表!$D:$D,累计考核费用!AB$55)+SUMIFS(考核调整事项表!$E:$E,考核调整事项表!$G:$G,累计考核费用!$B65,考核调整事项表!$F:$F,累计考核费用!AB$55)</f>
        <v>0</v>
      </c>
      <c r="AC65" s="88">
        <f>SUMIFS(考核调整事项表!$C:$C,考核调整事项表!$G:$G,累计考核费用!$B65,考核调整事项表!$D:$D,累计考核费用!AC$55)+SUMIFS(考核调整事项表!$E:$E,考核调整事项表!$G:$G,累计考核费用!$B65,考核调整事项表!$F:$F,累计考核费用!AC$55)</f>
        <v>0</v>
      </c>
      <c r="AD65" s="88">
        <f>SUMIFS(考核调整事项表!$C:$C,考核调整事项表!$G:$G,累计考核费用!$B65,考核调整事项表!$D:$D,累计考核费用!AD$55)+SUMIFS(考核调整事项表!$E:$E,考核调整事项表!$G:$G,累计考核费用!$B65,考核调整事项表!$F:$F,累计考核费用!AD$55)</f>
        <v>0</v>
      </c>
    </row>
    <row r="66" spans="1:30" ht="13.5" customHeight="1">
      <c r="A66" s="438"/>
      <c r="B66" s="60" t="s">
        <v>98</v>
      </c>
      <c r="C66" s="92">
        <f t="shared" si="7"/>
        <v>0</v>
      </c>
      <c r="D66" s="92">
        <f t="shared" ref="D66:AD66" si="12">SUM(D56:D65)</f>
        <v>0</v>
      </c>
      <c r="E66" s="92">
        <f t="shared" si="12"/>
        <v>0</v>
      </c>
      <c r="F66" s="92">
        <f t="shared" si="12"/>
        <v>0</v>
      </c>
      <c r="G66" s="92">
        <f t="shared" si="12"/>
        <v>0</v>
      </c>
      <c r="H66" s="92">
        <f t="shared" si="12"/>
        <v>0</v>
      </c>
      <c r="I66" s="92">
        <f t="shared" si="12"/>
        <v>0</v>
      </c>
      <c r="J66" s="92">
        <f t="shared" si="12"/>
        <v>0</v>
      </c>
      <c r="K66" s="92">
        <f t="shared" si="12"/>
        <v>0</v>
      </c>
      <c r="L66" s="92">
        <f t="shared" si="12"/>
        <v>0</v>
      </c>
      <c r="M66" s="92">
        <f t="shared" si="12"/>
        <v>0</v>
      </c>
      <c r="N66" s="92">
        <f t="shared" si="12"/>
        <v>0</v>
      </c>
      <c r="O66" s="92">
        <f t="shared" si="12"/>
        <v>0</v>
      </c>
      <c r="P66" s="92">
        <f t="shared" si="12"/>
        <v>0</v>
      </c>
      <c r="Q66" s="92">
        <f t="shared" si="12"/>
        <v>0</v>
      </c>
      <c r="R66" s="92">
        <f t="shared" si="12"/>
        <v>0</v>
      </c>
      <c r="S66" s="92">
        <f t="shared" si="12"/>
        <v>0</v>
      </c>
      <c r="T66" s="92">
        <f t="shared" si="12"/>
        <v>0</v>
      </c>
      <c r="U66" s="92">
        <f t="shared" si="12"/>
        <v>0</v>
      </c>
      <c r="V66" s="92">
        <f t="shared" si="12"/>
        <v>0</v>
      </c>
      <c r="W66" s="92">
        <f t="shared" si="12"/>
        <v>0</v>
      </c>
      <c r="X66" s="92">
        <f t="shared" si="12"/>
        <v>0</v>
      </c>
      <c r="Y66" s="92">
        <f t="shared" si="12"/>
        <v>0</v>
      </c>
      <c r="Z66" s="92">
        <f t="shared" si="12"/>
        <v>0</v>
      </c>
      <c r="AA66" s="92">
        <f t="shared" si="12"/>
        <v>0</v>
      </c>
      <c r="AB66" s="92">
        <f t="shared" si="12"/>
        <v>0</v>
      </c>
      <c r="AC66" s="92">
        <f t="shared" si="12"/>
        <v>0</v>
      </c>
      <c r="AD66" s="92">
        <f t="shared" si="12"/>
        <v>0</v>
      </c>
    </row>
    <row r="67" spans="1:30" ht="13.5" customHeight="1">
      <c r="A67" s="439" t="s">
        <v>99</v>
      </c>
      <c r="B67" s="48" t="s">
        <v>100</v>
      </c>
      <c r="C67" s="9">
        <f t="shared" si="7"/>
        <v>0</v>
      </c>
      <c r="D67" s="88">
        <f>SUMIFS(考核调整事项表!$C:$C,考核调整事项表!$G:$G,累计考核费用!$B67,考核调整事项表!$D:$D,累计考核费用!D$55)+SUMIFS(考核调整事项表!$E:$E,考核调整事项表!$G:$G,累计考核费用!$B67,考核调整事项表!$F:$F,累计考核费用!D$55)</f>
        <v>-211344.14</v>
      </c>
      <c r="E67" s="88">
        <f>SUMIFS(考核调整事项表!$C:$C,考核调整事项表!$G:$G,累计考核费用!$B67,考核调整事项表!$D:$D,累计考核费用!E$55)+SUMIFS(考核调整事项表!$E:$E,考核调整事项表!$G:$G,累计考核费用!$B67,考核调整事项表!$F:$F,累计考核费用!E$55)</f>
        <v>0</v>
      </c>
      <c r="F67" s="88">
        <f>SUMIFS(考核调整事项表!$C:$C,考核调整事项表!$G:$G,累计考核费用!$B67,考核调整事项表!$D:$D,累计考核费用!F$55)+SUMIFS(考核调整事项表!$E:$E,考核调整事项表!$G:$G,累计考核费用!$B67,考核调整事项表!$F:$F,累计考核费用!F$55)</f>
        <v>0</v>
      </c>
      <c r="G67" s="88">
        <f>SUMIFS(考核调整事项表!$C:$C,考核调整事项表!$G:$G,累计考核费用!$B67,考核调整事项表!$D:$D,累计考核费用!G$55)+SUMIFS(考核调整事项表!$E:$E,考核调整事项表!$G:$G,累计考核费用!$B67,考核调整事项表!$F:$F,累计考核费用!G$55)</f>
        <v>-55668.56</v>
      </c>
      <c r="H67" s="88">
        <f t="shared" si="8"/>
        <v>0</v>
      </c>
      <c r="I67" s="88">
        <f>SUMIFS(考核调整事项表!$C:$C,考核调整事项表!$G:$G,累计考核费用!$B67,考核调整事项表!$D:$D,累计考核费用!I$55)+SUMIFS(考核调整事项表!$E:$E,考核调整事项表!$G:$G,累计考核费用!$B67,考核调整事项表!$F:$F,累计考核费用!I$55)</f>
        <v>0</v>
      </c>
      <c r="J67" s="88">
        <f>SUMIFS(考核调整事项表!$C:$C,考核调整事项表!$G:$G,累计考核费用!$B67,考核调整事项表!$D:$D,累计考核费用!J$55)+SUMIFS(考核调整事项表!$E:$E,考核调整事项表!$G:$G,累计考核费用!$B67,考核调整事项表!$F:$F,累计考核费用!J$55)</f>
        <v>0</v>
      </c>
      <c r="K67" s="88">
        <f>SUMIFS(考核调整事项表!$C:$C,考核调整事项表!$G:$G,累计考核费用!$B67,考核调整事项表!$D:$D,累计考核费用!K$55)+SUMIFS(考核调整事项表!$E:$E,考核调整事项表!$G:$G,累计考核费用!$B67,考核调整事项表!$F:$F,累计考核费用!K$55)</f>
        <v>0</v>
      </c>
      <c r="L67" s="88">
        <f t="shared" si="9"/>
        <v>267012.7</v>
      </c>
      <c r="M67" s="88">
        <f>SUMIFS(考核调整事项表!$C:$C,考核调整事项表!$G:$G,累计考核费用!$B67,考核调整事项表!$D:$D,累计考核费用!M$55)+SUMIFS(考核调整事项表!$E:$E,考核调整事项表!$G:$G,累计考核费用!$B67,考核调整事项表!$F:$F,累计考核费用!M$55)</f>
        <v>0</v>
      </c>
      <c r="N67" s="88">
        <f>SUMIFS(考核调整事项表!$C:$C,考核调整事项表!$G:$G,累计考核费用!$B67,考核调整事项表!$D:$D,累计考核费用!N$55)+SUMIFS(考核调整事项表!$E:$E,考核调整事项表!$G:$G,累计考核费用!$B67,考核调整事项表!$F:$F,累计考核费用!N$55)</f>
        <v>0</v>
      </c>
      <c r="O67" s="88">
        <f>SUMIFS(考核调整事项表!$C:$C,考核调整事项表!$G:$G,累计考核费用!$B67,考核调整事项表!$D:$D,累计考核费用!O$55)+SUMIFS(考核调整事项表!$E:$E,考核调整事项表!$G:$G,累计考核费用!$B67,考核调整事项表!$F:$F,累计考核费用!O$55)</f>
        <v>267012.7</v>
      </c>
      <c r="P67" s="88">
        <f>SUMIFS(考核调整事项表!$C:$C,考核调整事项表!$G:$G,累计考核费用!$B67,考核调整事项表!$D:$D,累计考核费用!P$55)+SUMIFS(考核调整事项表!$E:$E,考核调整事项表!$G:$G,累计考核费用!$B67,考核调整事项表!$F:$F,累计考核费用!P$55)</f>
        <v>0</v>
      </c>
      <c r="Q67" s="88">
        <f t="shared" si="10"/>
        <v>0</v>
      </c>
      <c r="R67" s="88">
        <f>SUMIFS(考核调整事项表!$C:$C,考核调整事项表!$G:$G,累计考核费用!$B67,考核调整事项表!$D:$D,累计考核费用!R$55)+SUMIFS(考核调整事项表!$E:$E,考核调整事项表!$G:$G,累计考核费用!$B67,考核调整事项表!$F:$F,累计考核费用!R$55)</f>
        <v>0</v>
      </c>
      <c r="S67" s="88">
        <f>SUMIFS(考核调整事项表!$C:$C,考核调整事项表!$G:$G,累计考核费用!$B67,考核调整事项表!$D:$D,累计考核费用!S$55)+SUMIFS(考核调整事项表!$E:$E,考核调整事项表!$G:$G,累计考核费用!$B67,考核调整事项表!$F:$F,累计考核费用!S$55)</f>
        <v>0</v>
      </c>
      <c r="T67" s="91">
        <f>SUMIFS(考核调整事项表!$C:$C,考核调整事项表!$G:$G,累计考核费用!$B67,考核调整事项表!$D:$D,累计考核费用!T$55)+SUMIFS(考核调整事项表!$E:$E,考核调整事项表!$G:$G,累计考核费用!$B67,考核调整事项表!$F:$F,累计考核费用!T$55)</f>
        <v>0</v>
      </c>
      <c r="U67" s="88">
        <f t="shared" si="11"/>
        <v>0</v>
      </c>
      <c r="V67" s="88">
        <f>SUMIFS(考核调整事项表!$C:$C,考核调整事项表!$G:$G,累计考核费用!$B67,考核调整事项表!$D:$D,累计考核费用!V$55)+SUMIFS(考核调整事项表!$E:$E,考核调整事项表!$G:$G,累计考核费用!$B67,考核调整事项表!$F:$F,累计考核费用!V$55)</f>
        <v>0</v>
      </c>
      <c r="W67" s="88">
        <f>SUMIFS(考核调整事项表!$C:$C,考核调整事项表!$G:$G,累计考核费用!$B67,考核调整事项表!$D:$D,累计考核费用!W$55)+SUMIFS(考核调整事项表!$E:$E,考核调整事项表!$G:$G,累计考核费用!$B67,考核调整事项表!$F:$F,累计考核费用!W$55)</f>
        <v>0</v>
      </c>
      <c r="X67" s="88">
        <f>SUMIFS(考核调整事项表!$C:$C,考核调整事项表!$G:$G,累计考核费用!$B67,考核调整事项表!$D:$D,累计考核费用!X$55)+SUMIFS(考核调整事项表!$E:$E,考核调整事项表!$G:$G,累计考核费用!$B67,考核调整事项表!$F:$F,累计考核费用!X$55)</f>
        <v>0</v>
      </c>
      <c r="Y67" s="88">
        <f>SUMIFS(考核调整事项表!$C:$C,考核调整事项表!$G:$G,累计考核费用!$B67,考核调整事项表!$D:$D,累计考核费用!Y$55)+SUMIFS(考核调整事项表!$E:$E,考核调整事项表!$G:$G,累计考核费用!$B67,考核调整事项表!$F:$F,累计考核费用!Y$55)</f>
        <v>0</v>
      </c>
      <c r="Z67" s="88">
        <f>SUMIFS(考核调整事项表!$C:$C,考核调整事项表!$G:$G,累计考核费用!$B67,考核调整事项表!$D:$D,累计考核费用!Z$55)+SUMIFS(考核调整事项表!$E:$E,考核调整事项表!$G:$G,累计考核费用!$B67,考核调整事项表!$F:$F,累计考核费用!Z$55)</f>
        <v>0</v>
      </c>
      <c r="AA67" s="88">
        <f>SUMIFS(考核调整事项表!$C:$C,考核调整事项表!$G:$G,累计考核费用!$B67,考核调整事项表!$D:$D,累计考核费用!AA$55)+SUMIFS(考核调整事项表!$E:$E,考核调整事项表!$G:$G,累计考核费用!$B67,考核调整事项表!$F:$F,累计考核费用!AA$55)</f>
        <v>0</v>
      </c>
      <c r="AB67" s="88">
        <f>SUMIFS(考核调整事项表!$C:$C,考核调整事项表!$G:$G,累计考核费用!$B67,考核调整事项表!$D:$D,累计考核费用!AB$55)+SUMIFS(考核调整事项表!$E:$E,考核调整事项表!$G:$G,累计考核费用!$B67,考核调整事项表!$F:$F,累计考核费用!AB$55)</f>
        <v>0</v>
      </c>
      <c r="AC67" s="88">
        <f>SUMIFS(考核调整事项表!$C:$C,考核调整事项表!$G:$G,累计考核费用!$B67,考核调整事项表!$D:$D,累计考核费用!AC$55)+SUMIFS(考核调整事项表!$E:$E,考核调整事项表!$G:$G,累计考核费用!$B67,考核调整事项表!$F:$F,累计考核费用!AC$55)</f>
        <v>0</v>
      </c>
      <c r="AD67" s="88">
        <f>SUMIFS(考核调整事项表!$C:$C,考核调整事项表!$G:$G,累计考核费用!$B67,考核调整事项表!$D:$D,累计考核费用!AD$55)+SUMIFS(考核调整事项表!$E:$E,考核调整事项表!$G:$G,累计考核费用!$B67,考核调整事项表!$F:$F,累计考核费用!AD$55)</f>
        <v>0</v>
      </c>
    </row>
    <row r="68" spans="1:30">
      <c r="A68" s="440"/>
      <c r="B68" s="48" t="s">
        <v>101</v>
      </c>
      <c r="C68" s="9">
        <f t="shared" si="7"/>
        <v>0</v>
      </c>
      <c r="D68" s="88">
        <f>SUMIFS(考核调整事项表!$C:$C,考核调整事项表!$G:$G,累计考核费用!$B68,考核调整事项表!$D:$D,累计考核费用!D$55)+SUMIFS(考核调整事项表!$E:$E,考核调整事项表!$G:$G,累计考核费用!$B68,考核调整事项表!$F:$F,累计考核费用!D$55)</f>
        <v>0</v>
      </c>
      <c r="E68" s="88">
        <f>SUMIFS(考核调整事项表!$C:$C,考核调整事项表!$G:$G,累计考核费用!$B68,考核调整事项表!$D:$D,累计考核费用!E$55)+SUMIFS(考核调整事项表!$E:$E,考核调整事项表!$G:$G,累计考核费用!$B68,考核调整事项表!$F:$F,累计考核费用!E$55)</f>
        <v>0</v>
      </c>
      <c r="F68" s="88">
        <f>SUMIFS(考核调整事项表!$C:$C,考核调整事项表!$G:$G,累计考核费用!$B68,考核调整事项表!$D:$D,累计考核费用!F$55)+SUMIFS(考核调整事项表!$E:$E,考核调整事项表!$G:$G,累计考核费用!$B68,考核调整事项表!$F:$F,累计考核费用!F$55)</f>
        <v>0</v>
      </c>
      <c r="G68" s="88">
        <f>SUMIFS(考核调整事项表!$C:$C,考核调整事项表!$G:$G,累计考核费用!$B68,考核调整事项表!$D:$D,累计考核费用!G$55)+SUMIFS(考核调整事项表!$E:$E,考核调整事项表!$G:$G,累计考核费用!$B68,考核调整事项表!$F:$F,累计考核费用!G$55)</f>
        <v>0</v>
      </c>
      <c r="H68" s="88">
        <f t="shared" si="8"/>
        <v>0</v>
      </c>
      <c r="I68" s="88">
        <f>SUMIFS(考核调整事项表!$C:$C,考核调整事项表!$G:$G,累计考核费用!$B68,考核调整事项表!$D:$D,累计考核费用!I$55)+SUMIFS(考核调整事项表!$E:$E,考核调整事项表!$G:$G,累计考核费用!$B68,考核调整事项表!$F:$F,累计考核费用!I$55)</f>
        <v>0</v>
      </c>
      <c r="J68" s="88">
        <f>SUMIFS(考核调整事项表!$C:$C,考核调整事项表!$G:$G,累计考核费用!$B68,考核调整事项表!$D:$D,累计考核费用!J$55)+SUMIFS(考核调整事项表!$E:$E,考核调整事项表!$G:$G,累计考核费用!$B68,考核调整事项表!$F:$F,累计考核费用!J$55)</f>
        <v>0</v>
      </c>
      <c r="K68" s="88">
        <f>SUMIFS(考核调整事项表!$C:$C,考核调整事项表!$G:$G,累计考核费用!$B68,考核调整事项表!$D:$D,累计考核费用!K$55)+SUMIFS(考核调整事项表!$E:$E,考核调整事项表!$G:$G,累计考核费用!$B68,考核调整事项表!$F:$F,累计考核费用!K$55)</f>
        <v>0</v>
      </c>
      <c r="L68" s="88">
        <f t="shared" si="9"/>
        <v>0</v>
      </c>
      <c r="M68" s="88">
        <f>SUMIFS(考核调整事项表!$C:$C,考核调整事项表!$G:$G,累计考核费用!$B68,考核调整事项表!$D:$D,累计考核费用!M$55)+SUMIFS(考核调整事项表!$E:$E,考核调整事项表!$G:$G,累计考核费用!$B68,考核调整事项表!$F:$F,累计考核费用!M$55)</f>
        <v>0</v>
      </c>
      <c r="N68" s="88">
        <f>SUMIFS(考核调整事项表!$C:$C,考核调整事项表!$G:$G,累计考核费用!$B68,考核调整事项表!$D:$D,累计考核费用!N$55)+SUMIFS(考核调整事项表!$E:$E,考核调整事项表!$G:$G,累计考核费用!$B68,考核调整事项表!$F:$F,累计考核费用!N$55)</f>
        <v>0</v>
      </c>
      <c r="O68" s="88">
        <f>SUMIFS(考核调整事项表!$C:$C,考核调整事项表!$G:$G,累计考核费用!$B68,考核调整事项表!$D:$D,累计考核费用!O$55)+SUMIFS(考核调整事项表!$E:$E,考核调整事项表!$G:$G,累计考核费用!$B68,考核调整事项表!$F:$F,累计考核费用!O$55)</f>
        <v>0</v>
      </c>
      <c r="P68" s="88">
        <f>SUMIFS(考核调整事项表!$C:$C,考核调整事项表!$G:$G,累计考核费用!$B68,考核调整事项表!$D:$D,累计考核费用!P$55)+SUMIFS(考核调整事项表!$E:$E,考核调整事项表!$G:$G,累计考核费用!$B68,考核调整事项表!$F:$F,累计考核费用!P$55)</f>
        <v>0</v>
      </c>
      <c r="Q68" s="88">
        <f t="shared" si="10"/>
        <v>0</v>
      </c>
      <c r="R68" s="88">
        <f>SUMIFS(考核调整事项表!$C:$C,考核调整事项表!$G:$G,累计考核费用!$B68,考核调整事项表!$D:$D,累计考核费用!R$55)+SUMIFS(考核调整事项表!$E:$E,考核调整事项表!$G:$G,累计考核费用!$B68,考核调整事项表!$F:$F,累计考核费用!R$55)</f>
        <v>0</v>
      </c>
      <c r="S68" s="88">
        <f>SUMIFS(考核调整事项表!$C:$C,考核调整事项表!$G:$G,累计考核费用!$B68,考核调整事项表!$D:$D,累计考核费用!S$55)+SUMIFS(考核调整事项表!$E:$E,考核调整事项表!$G:$G,累计考核费用!$B68,考核调整事项表!$F:$F,累计考核费用!S$55)</f>
        <v>0</v>
      </c>
      <c r="T68" s="91">
        <f>SUMIFS(考核调整事项表!$C:$C,考核调整事项表!$G:$G,累计考核费用!$B68,考核调整事项表!$D:$D,累计考核费用!T$55)+SUMIFS(考核调整事项表!$E:$E,考核调整事项表!$G:$G,累计考核费用!$B68,考核调整事项表!$F:$F,累计考核费用!T$55)</f>
        <v>0</v>
      </c>
      <c r="U68" s="88">
        <f t="shared" si="11"/>
        <v>0</v>
      </c>
      <c r="V68" s="88">
        <f>SUMIFS(考核调整事项表!$C:$C,考核调整事项表!$G:$G,累计考核费用!$B68,考核调整事项表!$D:$D,累计考核费用!V$55)+SUMIFS(考核调整事项表!$E:$E,考核调整事项表!$G:$G,累计考核费用!$B68,考核调整事项表!$F:$F,累计考核费用!V$55)</f>
        <v>0</v>
      </c>
      <c r="W68" s="88">
        <f>SUMIFS(考核调整事项表!$C:$C,考核调整事项表!$G:$G,累计考核费用!$B68,考核调整事项表!$D:$D,累计考核费用!W$55)+SUMIFS(考核调整事项表!$E:$E,考核调整事项表!$G:$G,累计考核费用!$B68,考核调整事项表!$F:$F,累计考核费用!W$55)</f>
        <v>0</v>
      </c>
      <c r="X68" s="88">
        <f>SUMIFS(考核调整事项表!$C:$C,考核调整事项表!$G:$G,累计考核费用!$B68,考核调整事项表!$D:$D,累计考核费用!X$55)+SUMIFS(考核调整事项表!$E:$E,考核调整事项表!$G:$G,累计考核费用!$B68,考核调整事项表!$F:$F,累计考核费用!X$55)</f>
        <v>0</v>
      </c>
      <c r="Y68" s="88">
        <f>SUMIFS(考核调整事项表!$C:$C,考核调整事项表!$G:$G,累计考核费用!$B68,考核调整事项表!$D:$D,累计考核费用!Y$55)+SUMIFS(考核调整事项表!$E:$E,考核调整事项表!$G:$G,累计考核费用!$B68,考核调整事项表!$F:$F,累计考核费用!Y$55)</f>
        <v>0</v>
      </c>
      <c r="Z68" s="88">
        <f>SUMIFS(考核调整事项表!$C:$C,考核调整事项表!$G:$G,累计考核费用!$B68,考核调整事项表!$D:$D,累计考核费用!Z$55)+SUMIFS(考核调整事项表!$E:$E,考核调整事项表!$G:$G,累计考核费用!$B68,考核调整事项表!$F:$F,累计考核费用!Z$55)</f>
        <v>0</v>
      </c>
      <c r="AA68" s="88">
        <f>SUMIFS(考核调整事项表!$C:$C,考核调整事项表!$G:$G,累计考核费用!$B68,考核调整事项表!$D:$D,累计考核费用!AA$55)+SUMIFS(考核调整事项表!$E:$E,考核调整事项表!$G:$G,累计考核费用!$B68,考核调整事项表!$F:$F,累计考核费用!AA$55)</f>
        <v>0</v>
      </c>
      <c r="AB68" s="88">
        <f>SUMIFS(考核调整事项表!$C:$C,考核调整事项表!$G:$G,累计考核费用!$B68,考核调整事项表!$D:$D,累计考核费用!AB$55)+SUMIFS(考核调整事项表!$E:$E,考核调整事项表!$G:$G,累计考核费用!$B68,考核调整事项表!$F:$F,累计考核费用!AB$55)</f>
        <v>0</v>
      </c>
      <c r="AC68" s="88">
        <f>SUMIFS(考核调整事项表!$C:$C,考核调整事项表!$G:$G,累计考核费用!$B68,考核调整事项表!$D:$D,累计考核费用!AC$55)+SUMIFS(考核调整事项表!$E:$E,考核调整事项表!$G:$G,累计考核费用!$B68,考核调整事项表!$F:$F,累计考核费用!AC$55)</f>
        <v>0</v>
      </c>
      <c r="AD68" s="88">
        <f>SUMIFS(考核调整事项表!$C:$C,考核调整事项表!$G:$G,累计考核费用!$B68,考核调整事项表!$D:$D,累计考核费用!AD$55)+SUMIFS(考核调整事项表!$E:$E,考核调整事项表!$G:$G,累计考核费用!$B68,考核调整事项表!$F:$F,累计考核费用!AD$55)</f>
        <v>0</v>
      </c>
    </row>
    <row r="69" spans="1:30">
      <c r="A69" s="440"/>
      <c r="B69" s="48" t="s">
        <v>102</v>
      </c>
      <c r="C69" s="9">
        <f t="shared" si="7"/>
        <v>1.0732037480920553E-10</v>
      </c>
      <c r="D69" s="88">
        <f>SUMIFS(考核调整事项表!$C:$C,考核调整事项表!$G:$G,累计考核费用!$B69,考核调整事项表!$D:$D,累计考核费用!D$55)+SUMIFS(考核调整事项表!$E:$E,考核调整事项表!$G:$G,累计考核费用!$B69,考核调整事项表!$F:$F,累计考核费用!D$55)</f>
        <v>-848193</v>
      </c>
      <c r="E69" s="88">
        <f>SUMIFS(考核调整事项表!$C:$C,考核调整事项表!$G:$G,累计考核费用!$B69,考核调整事项表!$D:$D,累计考核费用!E$55)+SUMIFS(考核调整事项表!$E:$E,考核调整事项表!$G:$G,累计考核费用!$B69,考核调整事项表!$F:$F,累计考核费用!E$55)</f>
        <v>-39932.15</v>
      </c>
      <c r="F69" s="88">
        <f>SUMIFS(考核调整事项表!$C:$C,考核调整事项表!$G:$G,累计考核费用!$B69,考核调整事项表!$D:$D,累计考核费用!F$55)+SUMIFS(考核调整事项表!$E:$E,考核调整事项表!$G:$G,累计考核费用!$B69,考核调整事项表!$F:$F,累计考核费用!F$55)</f>
        <v>52465.380000000005</v>
      </c>
      <c r="G69" s="88">
        <f>SUMIFS(考核调整事项表!$C:$C,考核调整事项表!$G:$G,累计考核费用!$B69,考核调整事项表!$D:$D,累计考核费用!G$55)+SUMIFS(考核调整事项表!$E:$E,考核调整事项表!$G:$G,累计考核费用!$B69,考核调整事项表!$F:$F,累计考核费用!G$55)</f>
        <v>4599.8099999999995</v>
      </c>
      <c r="H69" s="88">
        <f t="shared" si="8"/>
        <v>-6016.24</v>
      </c>
      <c r="I69" s="88">
        <f>SUMIFS(考核调整事项表!$C:$C,考核调整事项表!$G:$G,累计考核费用!$B69,考核调整事项表!$D:$D,累计考核费用!I$55)+SUMIFS(考核调整事项表!$E:$E,考核调整事项表!$G:$G,累计考核费用!$B69,考核调整事项表!$F:$F,累计考核费用!I$55)</f>
        <v>0</v>
      </c>
      <c r="J69" s="88">
        <f>SUMIFS(考核调整事项表!$C:$C,考核调整事项表!$G:$G,累计考核费用!$B69,考核调整事项表!$D:$D,累计考核费用!J$55)+SUMIFS(考核调整事项表!$E:$E,考核调整事项表!$G:$G,累计考核费用!$B69,考核调整事项表!$F:$F,累计考核费用!J$55)</f>
        <v>0</v>
      </c>
      <c r="K69" s="88">
        <f>SUMIFS(考核调整事项表!$C:$C,考核调整事项表!$G:$G,累计考核费用!$B69,考核调整事项表!$D:$D,累计考核费用!K$55)+SUMIFS(考核调整事项表!$E:$E,考核调整事项表!$G:$G,累计考核费用!$B69,考核调整事项表!$F:$F,累计考核费用!K$55)</f>
        <v>-6016.24</v>
      </c>
      <c r="L69" s="88">
        <f t="shared" si="9"/>
        <v>-9058.869999999999</v>
      </c>
      <c r="M69" s="88">
        <f>SUMIFS(考核调整事项表!$C:$C,考核调整事项表!$G:$G,累计考核费用!$B69,考核调整事项表!$D:$D,累计考核费用!M$55)+SUMIFS(考核调整事项表!$E:$E,考核调整事项表!$G:$G,累计考核费用!$B69,考核调整事项表!$F:$F,累计考核费用!M$55)</f>
        <v>-7549.26</v>
      </c>
      <c r="N69" s="88">
        <f>SUMIFS(考核调整事项表!$C:$C,考核调整事项表!$G:$G,累计考核费用!$B69,考核调整事项表!$D:$D,累计考核费用!N$55)+SUMIFS(考核调整事项表!$E:$E,考核调整事项表!$G:$G,累计考核费用!$B69,考核调整事项表!$F:$F,累计考核费用!N$55)</f>
        <v>-1305.0600000000002</v>
      </c>
      <c r="O69" s="88">
        <f>SUMIFS(考核调整事项表!$C:$C,考核调整事项表!$G:$G,累计考核费用!$B69,考核调整事项表!$D:$D,累计考核费用!O$55)+SUMIFS(考核调整事项表!$E:$E,考核调整事项表!$G:$G,累计考核费用!$B69,考核调整事项表!$F:$F,累计考核费用!O$55)</f>
        <v>-9274.34</v>
      </c>
      <c r="P69" s="88">
        <f>SUMIFS(考核调整事项表!$C:$C,考核调整事项表!$G:$G,累计考核费用!$B69,考核调整事项表!$D:$D,累计考核费用!P$55)+SUMIFS(考核调整事项表!$E:$E,考核调整事项表!$G:$G,累计考核费用!$B69,考核调整事项表!$F:$F,累计考核费用!P$55)</f>
        <v>9069.7900000000009</v>
      </c>
      <c r="Q69" s="88">
        <f t="shared" si="10"/>
        <v>850056.06</v>
      </c>
      <c r="R69" s="88">
        <f>SUMIFS(考核调整事项表!$C:$C,考核调整事项表!$G:$G,累计考核费用!$B69,考核调整事项表!$D:$D,累计考核费用!R$55)+SUMIFS(考核调整事项表!$E:$E,考核调整事项表!$G:$G,累计考核费用!$B69,考核调整事项表!$F:$F,累计考核费用!R$55)</f>
        <v>851227.04</v>
      </c>
      <c r="S69" s="88">
        <f>SUMIFS(考核调整事项表!$C:$C,考核调整事项表!$G:$G,累计考核费用!$B69,考核调整事项表!$D:$D,累计考核费用!S$55)+SUMIFS(考核调整事项表!$E:$E,考核调整事项表!$G:$G,累计考核费用!$B69,考核调整事项表!$F:$F,累计考核费用!S$55)</f>
        <v>-1170.98</v>
      </c>
      <c r="T69" s="91">
        <f>SUMIFS(考核调整事项表!$C:$C,考核调整事项表!$G:$G,累计考核费用!$B69,考核调整事项表!$D:$D,累计考核费用!T$55)+SUMIFS(考核调整事项表!$E:$E,考核调整事项表!$G:$G,累计考核费用!$B69,考核调整事项表!$F:$F,累计考核费用!T$55)</f>
        <v>0</v>
      </c>
      <c r="U69" s="88">
        <f t="shared" si="11"/>
        <v>-3920.99</v>
      </c>
      <c r="V69" s="88">
        <f>SUMIFS(考核调整事项表!$C:$C,考核调整事项表!$G:$G,累计考核费用!$B69,考核调整事项表!$D:$D,累计考核费用!V$55)+SUMIFS(考核调整事项表!$E:$E,考核调整事项表!$G:$G,累计考核费用!$B69,考核调整事项表!$F:$F,累计考核费用!V$55)</f>
        <v>0</v>
      </c>
      <c r="W69" s="88">
        <f>SUMIFS(考核调整事项表!$C:$C,考核调整事项表!$G:$G,累计考核费用!$B69,考核调整事项表!$D:$D,累计考核费用!W$55)+SUMIFS(考核调整事项表!$E:$E,考核调整事项表!$G:$G,累计考核费用!$B69,考核调整事项表!$F:$F,累计考核费用!W$55)</f>
        <v>-3301.89</v>
      </c>
      <c r="X69" s="88">
        <f>SUMIFS(考核调整事项表!$C:$C,考核调整事项表!$G:$G,累计考核费用!$B69,考核调整事项表!$D:$D,累计考核费用!X$55)+SUMIFS(考核调整事项表!$E:$E,考核调整事项表!$G:$G,累计考核费用!$B69,考核调整事项表!$F:$F,累计考核费用!X$55)</f>
        <v>-619.1</v>
      </c>
      <c r="Y69" s="88">
        <f>SUMIFS(考核调整事项表!$C:$C,考核调整事项表!$G:$G,累计考核费用!$B69,考核调整事项表!$D:$D,累计考核费用!Y$55)+SUMIFS(考核调整事项表!$E:$E,考核调整事项表!$G:$G,累计考核费用!$B69,考核调整事项表!$F:$F,累计考核费用!Y$55)</f>
        <v>0</v>
      </c>
      <c r="Z69" s="88">
        <f>SUMIFS(考核调整事项表!$C:$C,考核调整事项表!$G:$G,累计考核费用!$B69,考核调整事项表!$D:$D,累计考核费用!Z$55)+SUMIFS(考核调整事项表!$E:$E,考核调整事项表!$G:$G,累计考核费用!$B69,考核调整事项表!$F:$F,累计考核费用!Z$55)</f>
        <v>0</v>
      </c>
      <c r="AA69" s="88">
        <f>SUMIFS(考核调整事项表!$C:$C,考核调整事项表!$G:$G,累计考核费用!$B69,考核调整事项表!$D:$D,累计考核费用!AA$55)+SUMIFS(考核调整事项表!$E:$E,考核调整事项表!$G:$G,累计考核费用!$B69,考核调整事项表!$F:$F,累计考核费用!AA$55)</f>
        <v>0</v>
      </c>
      <c r="AB69" s="88">
        <f>SUMIFS(考核调整事项表!$C:$C,考核调整事项表!$G:$G,累计考核费用!$B69,考核调整事项表!$D:$D,累计考核费用!AB$55)+SUMIFS(考核调整事项表!$E:$E,考核调整事项表!$G:$G,累计考核费用!$B69,考核调整事项表!$F:$F,累计考核费用!AB$55)</f>
        <v>0</v>
      </c>
      <c r="AC69" s="88">
        <f>SUMIFS(考核调整事项表!$C:$C,考核调整事项表!$G:$G,累计考核费用!$B69,考核调整事项表!$D:$D,累计考核费用!AC$55)+SUMIFS(考核调整事项表!$E:$E,考核调整事项表!$G:$G,累计考核费用!$B69,考核调整事项表!$F:$F,累计考核费用!AC$55)</f>
        <v>0</v>
      </c>
      <c r="AD69" s="88">
        <f>SUMIFS(考核调整事项表!$C:$C,考核调整事项表!$G:$G,累计考核费用!$B69,考核调整事项表!$D:$D,累计考核费用!AD$55)+SUMIFS(考核调整事项表!$E:$E,考核调整事项表!$G:$G,累计考核费用!$B69,考核调整事项表!$F:$F,累计考核费用!AD$55)</f>
        <v>0</v>
      </c>
    </row>
    <row r="70" spans="1:30">
      <c r="A70" s="440"/>
      <c r="B70" s="48" t="s">
        <v>103</v>
      </c>
      <c r="C70" s="9">
        <f t="shared" si="7"/>
        <v>0</v>
      </c>
      <c r="D70" s="88">
        <f>SUMIFS(考核调整事项表!$C:$C,考核调整事项表!$G:$G,累计考核费用!$B70,考核调整事项表!$D:$D,累计考核费用!D$55)+SUMIFS(考核调整事项表!$E:$E,考核调整事项表!$G:$G,累计考核费用!$B70,考核调整事项表!$F:$F,累计考核费用!D$55)</f>
        <v>0</v>
      </c>
      <c r="E70" s="88">
        <f>SUMIFS(考核调整事项表!$C:$C,考核调整事项表!$G:$G,累计考核费用!$B70,考核调整事项表!$D:$D,累计考核费用!E$55)+SUMIFS(考核调整事项表!$E:$E,考核调整事项表!$G:$G,累计考核费用!$B70,考核调整事项表!$F:$F,累计考核费用!E$55)</f>
        <v>0</v>
      </c>
      <c r="F70" s="88">
        <f>SUMIFS(考核调整事项表!$C:$C,考核调整事项表!$G:$G,累计考核费用!$B70,考核调整事项表!$D:$D,累计考核费用!F$55)+SUMIFS(考核调整事项表!$E:$E,考核调整事项表!$G:$G,累计考核费用!$B70,考核调整事项表!$F:$F,累计考核费用!F$55)</f>
        <v>0</v>
      </c>
      <c r="G70" s="88">
        <f>SUMIFS(考核调整事项表!$C:$C,考核调整事项表!$G:$G,累计考核费用!$B70,考核调整事项表!$D:$D,累计考核费用!G$55)+SUMIFS(考核调整事项表!$E:$E,考核调整事项表!$G:$G,累计考核费用!$B70,考核调整事项表!$F:$F,累计考核费用!G$55)</f>
        <v>0</v>
      </c>
      <c r="H70" s="88">
        <f t="shared" si="8"/>
        <v>0</v>
      </c>
      <c r="I70" s="88">
        <f>SUMIFS(考核调整事项表!$C:$C,考核调整事项表!$G:$G,累计考核费用!$B70,考核调整事项表!$D:$D,累计考核费用!I$55)+SUMIFS(考核调整事项表!$E:$E,考核调整事项表!$G:$G,累计考核费用!$B70,考核调整事项表!$F:$F,累计考核费用!I$55)</f>
        <v>0</v>
      </c>
      <c r="J70" s="88">
        <f>SUMIFS(考核调整事项表!$C:$C,考核调整事项表!$G:$G,累计考核费用!$B70,考核调整事项表!$D:$D,累计考核费用!J$55)+SUMIFS(考核调整事项表!$E:$E,考核调整事项表!$G:$G,累计考核费用!$B70,考核调整事项表!$F:$F,累计考核费用!J$55)</f>
        <v>0</v>
      </c>
      <c r="K70" s="88">
        <f>SUMIFS(考核调整事项表!$C:$C,考核调整事项表!$G:$G,累计考核费用!$B70,考核调整事项表!$D:$D,累计考核费用!K$55)+SUMIFS(考核调整事项表!$E:$E,考核调整事项表!$G:$G,累计考核费用!$B70,考核调整事项表!$F:$F,累计考核费用!K$55)</f>
        <v>0</v>
      </c>
      <c r="L70" s="88">
        <f t="shared" si="9"/>
        <v>0</v>
      </c>
      <c r="M70" s="88">
        <f>SUMIFS(考核调整事项表!$C:$C,考核调整事项表!$G:$G,累计考核费用!$B70,考核调整事项表!$D:$D,累计考核费用!M$55)+SUMIFS(考核调整事项表!$E:$E,考核调整事项表!$G:$G,累计考核费用!$B70,考核调整事项表!$F:$F,累计考核费用!M$55)</f>
        <v>0</v>
      </c>
      <c r="N70" s="88">
        <f>SUMIFS(考核调整事项表!$C:$C,考核调整事项表!$G:$G,累计考核费用!$B70,考核调整事项表!$D:$D,累计考核费用!N$55)+SUMIFS(考核调整事项表!$E:$E,考核调整事项表!$G:$G,累计考核费用!$B70,考核调整事项表!$F:$F,累计考核费用!N$55)</f>
        <v>0</v>
      </c>
      <c r="O70" s="88">
        <f>SUMIFS(考核调整事项表!$C:$C,考核调整事项表!$G:$G,累计考核费用!$B70,考核调整事项表!$D:$D,累计考核费用!O$55)+SUMIFS(考核调整事项表!$E:$E,考核调整事项表!$G:$G,累计考核费用!$B70,考核调整事项表!$F:$F,累计考核费用!O$55)</f>
        <v>0</v>
      </c>
      <c r="P70" s="88">
        <f>SUMIFS(考核调整事项表!$C:$C,考核调整事项表!$G:$G,累计考核费用!$B70,考核调整事项表!$D:$D,累计考核费用!P$55)+SUMIFS(考核调整事项表!$E:$E,考核调整事项表!$G:$G,累计考核费用!$B70,考核调整事项表!$F:$F,累计考核费用!P$55)</f>
        <v>0</v>
      </c>
      <c r="Q70" s="88">
        <f t="shared" si="10"/>
        <v>0</v>
      </c>
      <c r="R70" s="88">
        <f>SUMIFS(考核调整事项表!$C:$C,考核调整事项表!$G:$G,累计考核费用!$B70,考核调整事项表!$D:$D,累计考核费用!R$55)+SUMIFS(考核调整事项表!$E:$E,考核调整事项表!$G:$G,累计考核费用!$B70,考核调整事项表!$F:$F,累计考核费用!R$55)</f>
        <v>0</v>
      </c>
      <c r="S70" s="88">
        <f>SUMIFS(考核调整事项表!$C:$C,考核调整事项表!$G:$G,累计考核费用!$B70,考核调整事项表!$D:$D,累计考核费用!S$55)+SUMIFS(考核调整事项表!$E:$E,考核调整事项表!$G:$G,累计考核费用!$B70,考核调整事项表!$F:$F,累计考核费用!S$55)</f>
        <v>0</v>
      </c>
      <c r="T70" s="91">
        <f>SUMIFS(考核调整事项表!$C:$C,考核调整事项表!$G:$G,累计考核费用!$B70,考核调整事项表!$D:$D,累计考核费用!T$55)+SUMIFS(考核调整事项表!$E:$E,考核调整事项表!$G:$G,累计考核费用!$B70,考核调整事项表!$F:$F,累计考核费用!T$55)</f>
        <v>0</v>
      </c>
      <c r="U70" s="88">
        <f t="shared" si="11"/>
        <v>0</v>
      </c>
      <c r="V70" s="88">
        <f>SUMIFS(考核调整事项表!$C:$C,考核调整事项表!$G:$G,累计考核费用!$B70,考核调整事项表!$D:$D,累计考核费用!V$55)+SUMIFS(考核调整事项表!$E:$E,考核调整事项表!$G:$G,累计考核费用!$B70,考核调整事项表!$F:$F,累计考核费用!V$55)</f>
        <v>0</v>
      </c>
      <c r="W70" s="88">
        <f>SUMIFS(考核调整事项表!$C:$C,考核调整事项表!$G:$G,累计考核费用!$B70,考核调整事项表!$D:$D,累计考核费用!W$55)+SUMIFS(考核调整事项表!$E:$E,考核调整事项表!$G:$G,累计考核费用!$B70,考核调整事项表!$F:$F,累计考核费用!W$55)</f>
        <v>0</v>
      </c>
      <c r="X70" s="88">
        <f>SUMIFS(考核调整事项表!$C:$C,考核调整事项表!$G:$G,累计考核费用!$B70,考核调整事项表!$D:$D,累计考核费用!X$55)+SUMIFS(考核调整事项表!$E:$E,考核调整事项表!$G:$G,累计考核费用!$B70,考核调整事项表!$F:$F,累计考核费用!X$55)</f>
        <v>0</v>
      </c>
      <c r="Y70" s="88">
        <f>SUMIFS(考核调整事项表!$C:$C,考核调整事项表!$G:$G,累计考核费用!$B70,考核调整事项表!$D:$D,累计考核费用!Y$55)+SUMIFS(考核调整事项表!$E:$E,考核调整事项表!$G:$G,累计考核费用!$B70,考核调整事项表!$F:$F,累计考核费用!Y$55)</f>
        <v>0</v>
      </c>
      <c r="Z70" s="88">
        <f>SUMIFS(考核调整事项表!$C:$C,考核调整事项表!$G:$G,累计考核费用!$B70,考核调整事项表!$D:$D,累计考核费用!Z$55)+SUMIFS(考核调整事项表!$E:$E,考核调整事项表!$G:$G,累计考核费用!$B70,考核调整事项表!$F:$F,累计考核费用!Z$55)</f>
        <v>0</v>
      </c>
      <c r="AA70" s="88">
        <f>SUMIFS(考核调整事项表!$C:$C,考核调整事项表!$G:$G,累计考核费用!$B70,考核调整事项表!$D:$D,累计考核费用!AA$55)+SUMIFS(考核调整事项表!$E:$E,考核调整事项表!$G:$G,累计考核费用!$B70,考核调整事项表!$F:$F,累计考核费用!AA$55)</f>
        <v>0</v>
      </c>
      <c r="AB70" s="88">
        <f>SUMIFS(考核调整事项表!$C:$C,考核调整事项表!$G:$G,累计考核费用!$B70,考核调整事项表!$D:$D,累计考核费用!AB$55)+SUMIFS(考核调整事项表!$E:$E,考核调整事项表!$G:$G,累计考核费用!$B70,考核调整事项表!$F:$F,累计考核费用!AB$55)</f>
        <v>0</v>
      </c>
      <c r="AC70" s="88">
        <f>SUMIFS(考核调整事项表!$C:$C,考核调整事项表!$G:$G,累计考核费用!$B70,考核调整事项表!$D:$D,累计考核费用!AC$55)+SUMIFS(考核调整事项表!$E:$E,考核调整事项表!$G:$G,累计考核费用!$B70,考核调整事项表!$F:$F,累计考核费用!AC$55)</f>
        <v>0</v>
      </c>
      <c r="AD70" s="88">
        <f>SUMIFS(考核调整事项表!$C:$C,考核调整事项表!$G:$G,累计考核费用!$B70,考核调整事项表!$D:$D,累计考核费用!AD$55)+SUMIFS(考核调整事项表!$E:$E,考核调整事项表!$G:$G,累计考核费用!$B70,考核调整事项表!$F:$F,累计考核费用!AD$55)</f>
        <v>0</v>
      </c>
    </row>
    <row r="71" spans="1:30" ht="13.5" customHeight="1">
      <c r="A71" s="440"/>
      <c r="B71" s="48" t="s">
        <v>104</v>
      </c>
      <c r="C71" s="9">
        <f t="shared" si="7"/>
        <v>0</v>
      </c>
      <c r="D71" s="88">
        <f>SUMIFS(考核调整事项表!$C:$C,考核调整事项表!$G:$G,累计考核费用!$B71,考核调整事项表!$D:$D,累计考核费用!D$55)+SUMIFS(考核调整事项表!$E:$E,考核调整事项表!$G:$G,累计考核费用!$B71,考核调整事项表!$F:$F,累计考核费用!D$55)</f>
        <v>0</v>
      </c>
      <c r="E71" s="88">
        <f>SUMIFS(考核调整事项表!$C:$C,考核调整事项表!$G:$G,累计考核费用!$B71,考核调整事项表!$D:$D,累计考核费用!E$55)+SUMIFS(考核调整事项表!$E:$E,考核调整事项表!$G:$G,累计考核费用!$B71,考核调整事项表!$F:$F,累计考核费用!E$55)</f>
        <v>0</v>
      </c>
      <c r="F71" s="88">
        <f>SUMIFS(考核调整事项表!$C:$C,考核调整事项表!$G:$G,累计考核费用!$B71,考核调整事项表!$D:$D,累计考核费用!F$55)+SUMIFS(考核调整事项表!$E:$E,考核调整事项表!$G:$G,累计考核费用!$B71,考核调整事项表!$F:$F,累计考核费用!F$55)</f>
        <v>0</v>
      </c>
      <c r="G71" s="88">
        <f>SUMIFS(考核调整事项表!$C:$C,考核调整事项表!$G:$G,累计考核费用!$B71,考核调整事项表!$D:$D,累计考核费用!G$55)+SUMIFS(考核调整事项表!$E:$E,考核调整事项表!$G:$G,累计考核费用!$B71,考核调整事项表!$F:$F,累计考核费用!G$55)</f>
        <v>0</v>
      </c>
      <c r="H71" s="88">
        <f t="shared" si="8"/>
        <v>0</v>
      </c>
      <c r="I71" s="88">
        <f>SUMIFS(考核调整事项表!$C:$C,考核调整事项表!$G:$G,累计考核费用!$B71,考核调整事项表!$D:$D,累计考核费用!I$55)+SUMIFS(考核调整事项表!$E:$E,考核调整事项表!$G:$G,累计考核费用!$B71,考核调整事项表!$F:$F,累计考核费用!I$55)</f>
        <v>0</v>
      </c>
      <c r="J71" s="88">
        <f>SUMIFS(考核调整事项表!$C:$C,考核调整事项表!$G:$G,累计考核费用!$B71,考核调整事项表!$D:$D,累计考核费用!J$55)+SUMIFS(考核调整事项表!$E:$E,考核调整事项表!$G:$G,累计考核费用!$B71,考核调整事项表!$F:$F,累计考核费用!J$55)</f>
        <v>0</v>
      </c>
      <c r="K71" s="88">
        <f>SUMIFS(考核调整事项表!$C:$C,考核调整事项表!$G:$G,累计考核费用!$B71,考核调整事项表!$D:$D,累计考核费用!K$55)+SUMIFS(考核调整事项表!$E:$E,考核调整事项表!$G:$G,累计考核费用!$B71,考核调整事项表!$F:$F,累计考核费用!K$55)</f>
        <v>0</v>
      </c>
      <c r="L71" s="88">
        <f t="shared" si="9"/>
        <v>0</v>
      </c>
      <c r="M71" s="88">
        <f>SUMIFS(考核调整事项表!$C:$C,考核调整事项表!$G:$G,累计考核费用!$B71,考核调整事项表!$D:$D,累计考核费用!M$55)+SUMIFS(考核调整事项表!$E:$E,考核调整事项表!$G:$G,累计考核费用!$B71,考核调整事项表!$F:$F,累计考核费用!M$55)</f>
        <v>0</v>
      </c>
      <c r="N71" s="88">
        <f>SUMIFS(考核调整事项表!$C:$C,考核调整事项表!$G:$G,累计考核费用!$B71,考核调整事项表!$D:$D,累计考核费用!N$55)+SUMIFS(考核调整事项表!$E:$E,考核调整事项表!$G:$G,累计考核费用!$B71,考核调整事项表!$F:$F,累计考核费用!N$55)</f>
        <v>0</v>
      </c>
      <c r="O71" s="88">
        <f>SUMIFS(考核调整事项表!$C:$C,考核调整事项表!$G:$G,累计考核费用!$B71,考核调整事项表!$D:$D,累计考核费用!O$55)+SUMIFS(考核调整事项表!$E:$E,考核调整事项表!$G:$G,累计考核费用!$B71,考核调整事项表!$F:$F,累计考核费用!O$55)</f>
        <v>0</v>
      </c>
      <c r="P71" s="88">
        <f>SUMIFS(考核调整事项表!$C:$C,考核调整事项表!$G:$G,累计考核费用!$B71,考核调整事项表!$D:$D,累计考核费用!P$55)+SUMIFS(考核调整事项表!$E:$E,考核调整事项表!$G:$G,累计考核费用!$B71,考核调整事项表!$F:$F,累计考核费用!P$55)</f>
        <v>0</v>
      </c>
      <c r="Q71" s="88">
        <f t="shared" si="10"/>
        <v>0</v>
      </c>
      <c r="R71" s="88">
        <f>SUMIFS(考核调整事项表!$C:$C,考核调整事项表!$G:$G,累计考核费用!$B71,考核调整事项表!$D:$D,累计考核费用!R$55)+SUMIFS(考核调整事项表!$E:$E,考核调整事项表!$G:$G,累计考核费用!$B71,考核调整事项表!$F:$F,累计考核费用!R$55)</f>
        <v>0</v>
      </c>
      <c r="S71" s="88">
        <f>SUMIFS(考核调整事项表!$C:$C,考核调整事项表!$G:$G,累计考核费用!$B71,考核调整事项表!$D:$D,累计考核费用!S$55)+SUMIFS(考核调整事项表!$E:$E,考核调整事项表!$G:$G,累计考核费用!$B71,考核调整事项表!$F:$F,累计考核费用!S$55)</f>
        <v>0</v>
      </c>
      <c r="T71" s="91">
        <f>SUMIFS(考核调整事项表!$C:$C,考核调整事项表!$G:$G,累计考核费用!$B71,考核调整事项表!$D:$D,累计考核费用!T$55)+SUMIFS(考核调整事项表!$E:$E,考核调整事项表!$G:$G,累计考核费用!$B71,考核调整事项表!$F:$F,累计考核费用!T$55)</f>
        <v>0</v>
      </c>
      <c r="U71" s="88">
        <f t="shared" si="11"/>
        <v>0</v>
      </c>
      <c r="V71" s="88">
        <f>SUMIFS(考核调整事项表!$C:$C,考核调整事项表!$G:$G,累计考核费用!$B71,考核调整事项表!$D:$D,累计考核费用!V$55)+SUMIFS(考核调整事项表!$E:$E,考核调整事项表!$G:$G,累计考核费用!$B71,考核调整事项表!$F:$F,累计考核费用!V$55)</f>
        <v>0</v>
      </c>
      <c r="W71" s="88">
        <f>SUMIFS(考核调整事项表!$C:$C,考核调整事项表!$G:$G,累计考核费用!$B71,考核调整事项表!$D:$D,累计考核费用!W$55)+SUMIFS(考核调整事项表!$E:$E,考核调整事项表!$G:$G,累计考核费用!$B71,考核调整事项表!$F:$F,累计考核费用!W$55)</f>
        <v>0</v>
      </c>
      <c r="X71" s="88">
        <f>SUMIFS(考核调整事项表!$C:$C,考核调整事项表!$G:$G,累计考核费用!$B71,考核调整事项表!$D:$D,累计考核费用!X$55)+SUMIFS(考核调整事项表!$E:$E,考核调整事项表!$G:$G,累计考核费用!$B71,考核调整事项表!$F:$F,累计考核费用!X$55)</f>
        <v>0</v>
      </c>
      <c r="Y71" s="88">
        <f>SUMIFS(考核调整事项表!$C:$C,考核调整事项表!$G:$G,累计考核费用!$B71,考核调整事项表!$D:$D,累计考核费用!Y$55)+SUMIFS(考核调整事项表!$E:$E,考核调整事项表!$G:$G,累计考核费用!$B71,考核调整事项表!$F:$F,累计考核费用!Y$55)</f>
        <v>0</v>
      </c>
      <c r="Z71" s="88">
        <f>SUMIFS(考核调整事项表!$C:$C,考核调整事项表!$G:$G,累计考核费用!$B71,考核调整事项表!$D:$D,累计考核费用!Z$55)+SUMIFS(考核调整事项表!$E:$E,考核调整事项表!$G:$G,累计考核费用!$B71,考核调整事项表!$F:$F,累计考核费用!Z$55)</f>
        <v>0</v>
      </c>
      <c r="AA71" s="88">
        <f>SUMIFS(考核调整事项表!$C:$C,考核调整事项表!$G:$G,累计考核费用!$B71,考核调整事项表!$D:$D,累计考核费用!AA$55)+SUMIFS(考核调整事项表!$E:$E,考核调整事项表!$G:$G,累计考核费用!$B71,考核调整事项表!$F:$F,累计考核费用!AA$55)</f>
        <v>0</v>
      </c>
      <c r="AB71" s="88">
        <f>SUMIFS(考核调整事项表!$C:$C,考核调整事项表!$G:$G,累计考核费用!$B71,考核调整事项表!$D:$D,累计考核费用!AB$55)+SUMIFS(考核调整事项表!$E:$E,考核调整事项表!$G:$G,累计考核费用!$B71,考核调整事项表!$F:$F,累计考核费用!AB$55)</f>
        <v>0</v>
      </c>
      <c r="AC71" s="88">
        <f>SUMIFS(考核调整事项表!$C:$C,考核调整事项表!$G:$G,累计考核费用!$B71,考核调整事项表!$D:$D,累计考核费用!AC$55)+SUMIFS(考核调整事项表!$E:$E,考核调整事项表!$G:$G,累计考核费用!$B71,考核调整事项表!$F:$F,累计考核费用!AC$55)</f>
        <v>0</v>
      </c>
      <c r="AD71" s="88">
        <f>SUMIFS(考核调整事项表!$C:$C,考核调整事项表!$G:$G,累计考核费用!$B71,考核调整事项表!$D:$D,累计考核费用!AD$55)+SUMIFS(考核调整事项表!$E:$E,考核调整事项表!$G:$G,累计考核费用!$B71,考核调整事项表!$F:$F,累计考核费用!AD$55)</f>
        <v>0</v>
      </c>
    </row>
    <row r="72" spans="1:30">
      <c r="A72" s="441"/>
      <c r="B72" s="60" t="s">
        <v>98</v>
      </c>
      <c r="C72" s="92">
        <f t="shared" si="7"/>
        <v>-9.0949470177292824E-12</v>
      </c>
      <c r="D72" s="92">
        <f t="shared" ref="D72:AD72" si="13">SUM(D67:D71)</f>
        <v>-1059537.1400000001</v>
      </c>
      <c r="E72" s="92">
        <f t="shared" si="13"/>
        <v>-39932.15</v>
      </c>
      <c r="F72" s="92">
        <f t="shared" si="13"/>
        <v>52465.380000000005</v>
      </c>
      <c r="G72" s="92">
        <f t="shared" si="13"/>
        <v>-51068.75</v>
      </c>
      <c r="H72" s="92">
        <f t="shared" si="13"/>
        <v>-6016.24</v>
      </c>
      <c r="I72" s="92">
        <f t="shared" si="13"/>
        <v>0</v>
      </c>
      <c r="J72" s="92">
        <f t="shared" si="13"/>
        <v>0</v>
      </c>
      <c r="K72" s="92">
        <f t="shared" si="13"/>
        <v>-6016.24</v>
      </c>
      <c r="L72" s="92">
        <f t="shared" si="13"/>
        <v>257953.83000000002</v>
      </c>
      <c r="M72" s="92">
        <f t="shared" si="13"/>
        <v>-7549.26</v>
      </c>
      <c r="N72" s="92">
        <f t="shared" si="13"/>
        <v>-1305.0600000000002</v>
      </c>
      <c r="O72" s="92">
        <f t="shared" si="13"/>
        <v>257738.36000000002</v>
      </c>
      <c r="P72" s="92">
        <f t="shared" si="13"/>
        <v>9069.7900000000009</v>
      </c>
      <c r="Q72" s="92">
        <f t="shared" si="13"/>
        <v>850056.06</v>
      </c>
      <c r="R72" s="92">
        <f t="shared" si="13"/>
        <v>851227.04</v>
      </c>
      <c r="S72" s="92">
        <f t="shared" si="13"/>
        <v>-1170.98</v>
      </c>
      <c r="T72" s="92">
        <f t="shared" si="13"/>
        <v>0</v>
      </c>
      <c r="U72" s="92">
        <f t="shared" si="13"/>
        <v>-3920.99</v>
      </c>
      <c r="V72" s="92">
        <f t="shared" si="13"/>
        <v>0</v>
      </c>
      <c r="W72" s="92">
        <f t="shared" si="13"/>
        <v>-3301.89</v>
      </c>
      <c r="X72" s="92">
        <f t="shared" si="13"/>
        <v>-619.1</v>
      </c>
      <c r="Y72" s="92">
        <f t="shared" si="13"/>
        <v>0</v>
      </c>
      <c r="Z72" s="92">
        <f t="shared" si="13"/>
        <v>0</v>
      </c>
      <c r="AA72" s="92">
        <f t="shared" si="13"/>
        <v>0</v>
      </c>
      <c r="AB72" s="92">
        <f t="shared" si="13"/>
        <v>0</v>
      </c>
      <c r="AC72" s="92">
        <f t="shared" si="13"/>
        <v>0</v>
      </c>
      <c r="AD72" s="92">
        <f t="shared" si="13"/>
        <v>0</v>
      </c>
    </row>
    <row r="73" spans="1:30" ht="13.5" customHeight="1">
      <c r="A73" s="442" t="s">
        <v>105</v>
      </c>
      <c r="B73" s="48" t="s">
        <v>106</v>
      </c>
      <c r="C73" s="9">
        <f t="shared" si="7"/>
        <v>0</v>
      </c>
      <c r="D73" s="88">
        <f>SUMIFS(考核调整事项表!$C:$C,考核调整事项表!$G:$G,累计考核费用!$B73,考核调整事项表!$D:$D,累计考核费用!D$55)+SUMIFS(考核调整事项表!$E:$E,考核调整事项表!$G:$G,累计考核费用!$B73,考核调整事项表!$F:$F,累计考核费用!D$55)</f>
        <v>0</v>
      </c>
      <c r="E73" s="88">
        <f>SUMIFS(考核调整事项表!$C:$C,考核调整事项表!$G:$G,累计考核费用!$B73,考核调整事项表!$D:$D,累计考核费用!E$55)+SUMIFS(考核调整事项表!$E:$E,考核调整事项表!$G:$G,累计考核费用!$B73,考核调整事项表!$F:$F,累计考核费用!E$55)</f>
        <v>-7365</v>
      </c>
      <c r="F73" s="88">
        <f>SUMIFS(考核调整事项表!$C:$C,考核调整事项表!$G:$G,累计考核费用!$B73,考核调整事项表!$D:$D,累计考核费用!F$55)+SUMIFS(考核调整事项表!$E:$E,考核调整事项表!$G:$G,累计考核费用!$B73,考核调整事项表!$F:$F,累计考核费用!F$55)</f>
        <v>1680</v>
      </c>
      <c r="G73" s="88">
        <f>SUMIFS(考核调整事项表!$C:$C,考核调整事项表!$G:$G,累计考核费用!$B73,考核调整事项表!$D:$D,累计考核费用!G$55)+SUMIFS(考核调整事项表!$E:$E,考核调整事项表!$G:$G,累计考核费用!$B73,考核调整事项表!$F:$F,累计考核费用!G$55)</f>
        <v>285</v>
      </c>
      <c r="H73" s="88">
        <f t="shared" si="8"/>
        <v>0</v>
      </c>
      <c r="I73" s="88">
        <f>SUMIFS(考核调整事项表!$C:$C,考核调整事项表!$G:$G,累计考核费用!$B73,考核调整事项表!$D:$D,累计考核费用!I$55)+SUMIFS(考核调整事项表!$E:$E,考核调整事项表!$G:$G,累计考核费用!$B73,考核调整事项表!$F:$F,累计考核费用!I$55)</f>
        <v>0</v>
      </c>
      <c r="J73" s="88">
        <f>SUMIFS(考核调整事项表!$C:$C,考核调整事项表!$G:$G,累计考核费用!$B73,考核调整事项表!$D:$D,累计考核费用!J$55)+SUMIFS(考核调整事项表!$E:$E,考核调整事项表!$G:$G,累计考核费用!$B73,考核调整事项表!$F:$F,累计考核费用!J$55)</f>
        <v>0</v>
      </c>
      <c r="K73" s="88">
        <f>SUMIFS(考核调整事项表!$C:$C,考核调整事项表!$G:$G,累计考核费用!$B73,考核调整事项表!$D:$D,累计考核费用!K$55)+SUMIFS(考核调整事项表!$E:$E,考核调整事项表!$G:$G,累计考核费用!$B73,考核调整事项表!$F:$F,累计考核费用!K$55)</f>
        <v>0</v>
      </c>
      <c r="L73" s="88">
        <f t="shared" si="9"/>
        <v>0</v>
      </c>
      <c r="M73" s="88">
        <f>SUMIFS(考核调整事项表!$C:$C,考核调整事项表!$G:$G,累计考核费用!$B73,考核调整事项表!$D:$D,累计考核费用!M$55)+SUMIFS(考核调整事项表!$E:$E,考核调整事项表!$G:$G,累计考核费用!$B73,考核调整事项表!$F:$F,累计考核费用!M$55)</f>
        <v>0</v>
      </c>
      <c r="N73" s="88">
        <f>SUMIFS(考核调整事项表!$C:$C,考核调整事项表!$G:$G,累计考核费用!$B73,考核调整事项表!$D:$D,累计考核费用!N$55)+SUMIFS(考核调整事项表!$E:$E,考核调整事项表!$G:$G,累计考核费用!$B73,考核调整事项表!$F:$F,累计考核费用!N$55)</f>
        <v>0</v>
      </c>
      <c r="O73" s="88">
        <f>SUMIFS(考核调整事项表!$C:$C,考核调整事项表!$G:$G,累计考核费用!$B73,考核调整事项表!$D:$D,累计考核费用!O$55)+SUMIFS(考核调整事项表!$E:$E,考核调整事项表!$G:$G,累计考核费用!$B73,考核调整事项表!$F:$F,累计考核费用!O$55)</f>
        <v>0</v>
      </c>
      <c r="P73" s="88">
        <f>SUMIFS(考核调整事项表!$C:$C,考核调整事项表!$G:$G,累计考核费用!$B73,考核调整事项表!$D:$D,累计考核费用!P$55)+SUMIFS(考核调整事项表!$E:$E,考核调整事项表!$G:$G,累计考核费用!$B73,考核调整事项表!$F:$F,累计考核费用!P$55)</f>
        <v>0</v>
      </c>
      <c r="Q73" s="88">
        <f t="shared" si="10"/>
        <v>0</v>
      </c>
      <c r="R73" s="88">
        <f>SUMIFS(考核调整事项表!$C:$C,考核调整事项表!$G:$G,累计考核费用!$B73,考核调整事项表!$D:$D,累计考核费用!R$55)+SUMIFS(考核调整事项表!$E:$E,考核调整事项表!$G:$G,累计考核费用!$B73,考核调整事项表!$F:$F,累计考核费用!R$55)</f>
        <v>0</v>
      </c>
      <c r="S73" s="88">
        <f>SUMIFS(考核调整事项表!$C:$C,考核调整事项表!$G:$G,累计考核费用!$B73,考核调整事项表!$D:$D,累计考核费用!S$55)+SUMIFS(考核调整事项表!$E:$E,考核调整事项表!$G:$G,累计考核费用!$B73,考核调整事项表!$F:$F,累计考核费用!S$55)</f>
        <v>0</v>
      </c>
      <c r="T73" s="91">
        <f>SUMIFS(考核调整事项表!$C:$C,考核调整事项表!$G:$G,累计考核费用!$B73,考核调整事项表!$D:$D,累计考核费用!T$55)+SUMIFS(考核调整事项表!$E:$E,考核调整事项表!$G:$G,累计考核费用!$B73,考核调整事项表!$F:$F,累计考核费用!T$55)</f>
        <v>0</v>
      </c>
      <c r="U73" s="88">
        <f t="shared" si="11"/>
        <v>5400</v>
      </c>
      <c r="V73" s="88">
        <f>SUMIFS(考核调整事项表!$C:$C,考核调整事项表!$G:$G,累计考核费用!$B73,考核调整事项表!$D:$D,累计考核费用!V$55)+SUMIFS(考核调整事项表!$E:$E,考核调整事项表!$G:$G,累计考核费用!$B73,考核调整事项表!$F:$F,累计考核费用!V$55)</f>
        <v>0</v>
      </c>
      <c r="W73" s="88">
        <f>SUMIFS(考核调整事项表!$C:$C,考核调整事项表!$G:$G,累计考核费用!$B73,考核调整事项表!$D:$D,累计考核费用!W$55)+SUMIFS(考核调整事项表!$E:$E,考核调整事项表!$G:$G,累计考核费用!$B73,考核调整事项表!$F:$F,累计考核费用!W$55)</f>
        <v>0</v>
      </c>
      <c r="X73" s="88">
        <f>SUMIFS(考核调整事项表!$C:$C,考核调整事项表!$G:$G,累计考核费用!$B73,考核调整事项表!$D:$D,累计考核费用!X$55)+SUMIFS(考核调整事项表!$E:$E,考核调整事项表!$G:$G,累计考核费用!$B73,考核调整事项表!$F:$F,累计考核费用!X$55)</f>
        <v>5400</v>
      </c>
      <c r="Y73" s="88">
        <f>SUMIFS(考核调整事项表!$C:$C,考核调整事项表!$G:$G,累计考核费用!$B73,考核调整事项表!$D:$D,累计考核费用!Y$55)+SUMIFS(考核调整事项表!$E:$E,考核调整事项表!$G:$G,累计考核费用!$B73,考核调整事项表!$F:$F,累计考核费用!Y$55)</f>
        <v>0</v>
      </c>
      <c r="Z73" s="88">
        <f>SUMIFS(考核调整事项表!$C:$C,考核调整事项表!$G:$G,累计考核费用!$B73,考核调整事项表!$D:$D,累计考核费用!Z$55)+SUMIFS(考核调整事项表!$E:$E,考核调整事项表!$G:$G,累计考核费用!$B73,考核调整事项表!$F:$F,累计考核费用!Z$55)</f>
        <v>0</v>
      </c>
      <c r="AA73" s="88">
        <f>SUMIFS(考核调整事项表!$C:$C,考核调整事项表!$G:$G,累计考核费用!$B73,考核调整事项表!$D:$D,累计考核费用!AA$55)+SUMIFS(考核调整事项表!$E:$E,考核调整事项表!$G:$G,累计考核费用!$B73,考核调整事项表!$F:$F,累计考核费用!AA$55)</f>
        <v>0</v>
      </c>
      <c r="AB73" s="88">
        <f>SUMIFS(考核调整事项表!$C:$C,考核调整事项表!$G:$G,累计考核费用!$B73,考核调整事项表!$D:$D,累计考核费用!AB$55)+SUMIFS(考核调整事项表!$E:$E,考核调整事项表!$G:$G,累计考核费用!$B73,考核调整事项表!$F:$F,累计考核费用!AB$55)</f>
        <v>0</v>
      </c>
      <c r="AC73" s="88">
        <f>SUMIFS(考核调整事项表!$C:$C,考核调整事项表!$G:$G,累计考核费用!$B73,考核调整事项表!$D:$D,累计考核费用!AC$55)+SUMIFS(考核调整事项表!$E:$E,考核调整事项表!$G:$G,累计考核费用!$B73,考核调整事项表!$F:$F,累计考核费用!AC$55)</f>
        <v>0</v>
      </c>
      <c r="AD73" s="88">
        <f>SUMIFS(考核调整事项表!$C:$C,考核调整事项表!$G:$G,累计考核费用!$B73,考核调整事项表!$D:$D,累计考核费用!AD$55)+SUMIFS(考核调整事项表!$E:$E,考核调整事项表!$G:$G,累计考核费用!$B73,考核调整事项表!$F:$F,累计考核费用!AD$55)</f>
        <v>0</v>
      </c>
    </row>
    <row r="74" spans="1:30">
      <c r="A74" s="443"/>
      <c r="B74" s="48" t="s">
        <v>107</v>
      </c>
      <c r="C74" s="9">
        <f t="shared" si="7"/>
        <v>0</v>
      </c>
      <c r="D74" s="88">
        <f>SUMIFS(考核调整事项表!$C:$C,考核调整事项表!$G:$G,累计考核费用!$B74,考核调整事项表!$D:$D,累计考核费用!D$55)+SUMIFS(考核调整事项表!$E:$E,考核调整事项表!$G:$G,累计考核费用!$B74,考核调整事项表!$F:$F,累计考核费用!D$55)</f>
        <v>0</v>
      </c>
      <c r="E74" s="88">
        <f>SUMIFS(考核调整事项表!$C:$C,考核调整事项表!$G:$G,累计考核费用!$B74,考核调整事项表!$D:$D,累计考核费用!E$55)+SUMIFS(考核调整事项表!$E:$E,考核调整事项表!$G:$G,累计考核费用!$B74,考核调整事项表!$F:$F,累计考核费用!E$55)</f>
        <v>0</v>
      </c>
      <c r="F74" s="88">
        <f>SUMIFS(考核调整事项表!$C:$C,考核调整事项表!$G:$G,累计考核费用!$B74,考核调整事项表!$D:$D,累计考核费用!F$55)+SUMIFS(考核调整事项表!$E:$E,考核调整事项表!$G:$G,累计考核费用!$B74,考核调整事项表!$F:$F,累计考核费用!F$55)</f>
        <v>0</v>
      </c>
      <c r="G74" s="88">
        <f>SUMIFS(考核调整事项表!$C:$C,考核调整事项表!$G:$G,累计考核费用!$B74,考核调整事项表!$D:$D,累计考核费用!G$55)+SUMIFS(考核调整事项表!$E:$E,考核调整事项表!$G:$G,累计考核费用!$B74,考核调整事项表!$F:$F,累计考核费用!G$55)</f>
        <v>0</v>
      </c>
      <c r="H74" s="88">
        <f t="shared" si="8"/>
        <v>0</v>
      </c>
      <c r="I74" s="88">
        <f>SUMIFS(考核调整事项表!$C:$C,考核调整事项表!$G:$G,累计考核费用!$B74,考核调整事项表!$D:$D,累计考核费用!I$55)+SUMIFS(考核调整事项表!$E:$E,考核调整事项表!$G:$G,累计考核费用!$B74,考核调整事项表!$F:$F,累计考核费用!I$55)</f>
        <v>0</v>
      </c>
      <c r="J74" s="88">
        <f>SUMIFS(考核调整事项表!$C:$C,考核调整事项表!$G:$G,累计考核费用!$B74,考核调整事项表!$D:$D,累计考核费用!J$55)+SUMIFS(考核调整事项表!$E:$E,考核调整事项表!$G:$G,累计考核费用!$B74,考核调整事项表!$F:$F,累计考核费用!J$55)</f>
        <v>0</v>
      </c>
      <c r="K74" s="88">
        <f>SUMIFS(考核调整事项表!$C:$C,考核调整事项表!$G:$G,累计考核费用!$B74,考核调整事项表!$D:$D,累计考核费用!K$55)+SUMIFS(考核调整事项表!$E:$E,考核调整事项表!$G:$G,累计考核费用!$B74,考核调整事项表!$F:$F,累计考核费用!K$55)</f>
        <v>0</v>
      </c>
      <c r="L74" s="88">
        <f t="shared" si="9"/>
        <v>0</v>
      </c>
      <c r="M74" s="88">
        <f>SUMIFS(考核调整事项表!$C:$C,考核调整事项表!$G:$G,累计考核费用!$B74,考核调整事项表!$D:$D,累计考核费用!M$55)+SUMIFS(考核调整事项表!$E:$E,考核调整事项表!$G:$G,累计考核费用!$B74,考核调整事项表!$F:$F,累计考核费用!M$55)</f>
        <v>0</v>
      </c>
      <c r="N74" s="88">
        <f>SUMIFS(考核调整事项表!$C:$C,考核调整事项表!$G:$G,累计考核费用!$B74,考核调整事项表!$D:$D,累计考核费用!N$55)+SUMIFS(考核调整事项表!$E:$E,考核调整事项表!$G:$G,累计考核费用!$B74,考核调整事项表!$F:$F,累计考核费用!N$55)</f>
        <v>0</v>
      </c>
      <c r="O74" s="88">
        <f>SUMIFS(考核调整事项表!$C:$C,考核调整事项表!$G:$G,累计考核费用!$B74,考核调整事项表!$D:$D,累计考核费用!O$55)+SUMIFS(考核调整事项表!$E:$E,考核调整事项表!$G:$G,累计考核费用!$B74,考核调整事项表!$F:$F,累计考核费用!O$55)</f>
        <v>0</v>
      </c>
      <c r="P74" s="88">
        <f>SUMIFS(考核调整事项表!$C:$C,考核调整事项表!$G:$G,累计考核费用!$B74,考核调整事项表!$D:$D,累计考核费用!P$55)+SUMIFS(考核调整事项表!$E:$E,考核调整事项表!$G:$G,累计考核费用!$B74,考核调整事项表!$F:$F,累计考核费用!P$55)</f>
        <v>0</v>
      </c>
      <c r="Q74" s="88">
        <f t="shared" si="10"/>
        <v>0</v>
      </c>
      <c r="R74" s="88">
        <f>SUMIFS(考核调整事项表!$C:$C,考核调整事项表!$G:$G,累计考核费用!$B74,考核调整事项表!$D:$D,累计考核费用!R$55)+SUMIFS(考核调整事项表!$E:$E,考核调整事项表!$G:$G,累计考核费用!$B74,考核调整事项表!$F:$F,累计考核费用!R$55)</f>
        <v>0</v>
      </c>
      <c r="S74" s="88">
        <f>SUMIFS(考核调整事项表!$C:$C,考核调整事项表!$G:$G,累计考核费用!$B74,考核调整事项表!$D:$D,累计考核费用!S$55)+SUMIFS(考核调整事项表!$E:$E,考核调整事项表!$G:$G,累计考核费用!$B74,考核调整事项表!$F:$F,累计考核费用!S$55)</f>
        <v>0</v>
      </c>
      <c r="T74" s="91">
        <f>SUMIFS(考核调整事项表!$C:$C,考核调整事项表!$G:$G,累计考核费用!$B74,考核调整事项表!$D:$D,累计考核费用!T$55)+SUMIFS(考核调整事项表!$E:$E,考核调整事项表!$G:$G,累计考核费用!$B74,考核调整事项表!$F:$F,累计考核费用!T$55)</f>
        <v>0</v>
      </c>
      <c r="U74" s="88">
        <f t="shared" si="11"/>
        <v>0</v>
      </c>
      <c r="V74" s="88">
        <f>SUMIFS(考核调整事项表!$C:$C,考核调整事项表!$G:$G,累计考核费用!$B74,考核调整事项表!$D:$D,累计考核费用!V$55)+SUMIFS(考核调整事项表!$E:$E,考核调整事项表!$G:$G,累计考核费用!$B74,考核调整事项表!$F:$F,累计考核费用!V$55)</f>
        <v>0</v>
      </c>
      <c r="W74" s="88">
        <f>SUMIFS(考核调整事项表!$C:$C,考核调整事项表!$G:$G,累计考核费用!$B74,考核调整事项表!$D:$D,累计考核费用!W$55)+SUMIFS(考核调整事项表!$E:$E,考核调整事项表!$G:$G,累计考核费用!$B74,考核调整事项表!$F:$F,累计考核费用!W$55)</f>
        <v>0</v>
      </c>
      <c r="X74" s="88">
        <f>SUMIFS(考核调整事项表!$C:$C,考核调整事项表!$G:$G,累计考核费用!$B74,考核调整事项表!$D:$D,累计考核费用!X$55)+SUMIFS(考核调整事项表!$E:$E,考核调整事项表!$G:$G,累计考核费用!$B74,考核调整事项表!$F:$F,累计考核费用!X$55)</f>
        <v>0</v>
      </c>
      <c r="Y74" s="88">
        <f>SUMIFS(考核调整事项表!$C:$C,考核调整事项表!$G:$G,累计考核费用!$B74,考核调整事项表!$D:$D,累计考核费用!Y$55)+SUMIFS(考核调整事项表!$E:$E,考核调整事项表!$G:$G,累计考核费用!$B74,考核调整事项表!$F:$F,累计考核费用!Y$55)</f>
        <v>0</v>
      </c>
      <c r="Z74" s="88">
        <f>SUMIFS(考核调整事项表!$C:$C,考核调整事项表!$G:$G,累计考核费用!$B74,考核调整事项表!$D:$D,累计考核费用!Z$55)+SUMIFS(考核调整事项表!$E:$E,考核调整事项表!$G:$G,累计考核费用!$B74,考核调整事项表!$F:$F,累计考核费用!Z$55)</f>
        <v>0</v>
      </c>
      <c r="AA74" s="88">
        <f>SUMIFS(考核调整事项表!$C:$C,考核调整事项表!$G:$G,累计考核费用!$B74,考核调整事项表!$D:$D,累计考核费用!AA$55)+SUMIFS(考核调整事项表!$E:$E,考核调整事项表!$G:$G,累计考核费用!$B74,考核调整事项表!$F:$F,累计考核费用!AA$55)</f>
        <v>0</v>
      </c>
      <c r="AB74" s="88">
        <f>SUMIFS(考核调整事项表!$C:$C,考核调整事项表!$G:$G,累计考核费用!$B74,考核调整事项表!$D:$D,累计考核费用!AB$55)+SUMIFS(考核调整事项表!$E:$E,考核调整事项表!$G:$G,累计考核费用!$B74,考核调整事项表!$F:$F,累计考核费用!AB$55)</f>
        <v>0</v>
      </c>
      <c r="AC74" s="88">
        <f>SUMIFS(考核调整事项表!$C:$C,考核调整事项表!$G:$G,累计考核费用!$B74,考核调整事项表!$D:$D,累计考核费用!AC$55)+SUMIFS(考核调整事项表!$E:$E,考核调整事项表!$G:$G,累计考核费用!$B74,考核调整事项表!$F:$F,累计考核费用!AC$55)</f>
        <v>0</v>
      </c>
      <c r="AD74" s="88">
        <f>SUMIFS(考核调整事项表!$C:$C,考核调整事项表!$G:$G,累计考核费用!$B74,考核调整事项表!$D:$D,累计考核费用!AD$55)+SUMIFS(考核调整事项表!$E:$E,考核调整事项表!$G:$G,累计考核费用!$B74,考核调整事项表!$F:$F,累计考核费用!AD$55)</f>
        <v>0</v>
      </c>
    </row>
    <row r="75" spans="1:30">
      <c r="A75" s="443"/>
      <c r="B75" s="48" t="s">
        <v>108</v>
      </c>
      <c r="C75" s="9">
        <f t="shared" si="7"/>
        <v>0</v>
      </c>
      <c r="D75" s="88">
        <f>SUMIFS(考核调整事项表!$C:$C,考核调整事项表!$G:$G,累计考核费用!$B75,考核调整事项表!$D:$D,累计考核费用!D$55)+SUMIFS(考核调整事项表!$E:$E,考核调整事项表!$G:$G,累计考核费用!$B75,考核调整事项表!$F:$F,累计考核费用!D$55)</f>
        <v>0</v>
      </c>
      <c r="E75" s="88">
        <f>SUMIFS(考核调整事项表!$C:$C,考核调整事项表!$G:$G,累计考核费用!$B75,考核调整事项表!$D:$D,累计考核费用!E$55)+SUMIFS(考核调整事项表!$E:$E,考核调整事项表!$G:$G,累计考核费用!$B75,考核调整事项表!$F:$F,累计考核费用!E$55)</f>
        <v>0</v>
      </c>
      <c r="F75" s="88">
        <f>SUMIFS(考核调整事项表!$C:$C,考核调整事项表!$G:$G,累计考核费用!$B75,考核调整事项表!$D:$D,累计考核费用!F$55)+SUMIFS(考核调整事项表!$E:$E,考核调整事项表!$G:$G,累计考核费用!$B75,考核调整事项表!$F:$F,累计考核费用!F$55)</f>
        <v>0</v>
      </c>
      <c r="G75" s="88">
        <f>SUMIFS(考核调整事项表!$C:$C,考核调整事项表!$G:$G,累计考核费用!$B75,考核调整事项表!$D:$D,累计考核费用!G$55)+SUMIFS(考核调整事项表!$E:$E,考核调整事项表!$G:$G,累计考核费用!$B75,考核调整事项表!$F:$F,累计考核费用!G$55)</f>
        <v>0</v>
      </c>
      <c r="H75" s="88">
        <f t="shared" si="8"/>
        <v>0</v>
      </c>
      <c r="I75" s="88">
        <f>SUMIFS(考核调整事项表!$C:$C,考核调整事项表!$G:$G,累计考核费用!$B75,考核调整事项表!$D:$D,累计考核费用!I$55)+SUMIFS(考核调整事项表!$E:$E,考核调整事项表!$G:$G,累计考核费用!$B75,考核调整事项表!$F:$F,累计考核费用!I$55)</f>
        <v>0</v>
      </c>
      <c r="J75" s="88">
        <f>SUMIFS(考核调整事项表!$C:$C,考核调整事项表!$G:$G,累计考核费用!$B75,考核调整事项表!$D:$D,累计考核费用!J$55)+SUMIFS(考核调整事项表!$E:$E,考核调整事项表!$G:$G,累计考核费用!$B75,考核调整事项表!$F:$F,累计考核费用!J$55)</f>
        <v>0</v>
      </c>
      <c r="K75" s="88">
        <f>SUMIFS(考核调整事项表!$C:$C,考核调整事项表!$G:$G,累计考核费用!$B75,考核调整事项表!$D:$D,累计考核费用!K$55)+SUMIFS(考核调整事项表!$E:$E,考核调整事项表!$G:$G,累计考核费用!$B75,考核调整事项表!$F:$F,累计考核费用!K$55)</f>
        <v>0</v>
      </c>
      <c r="L75" s="88">
        <f t="shared" si="9"/>
        <v>0</v>
      </c>
      <c r="M75" s="88">
        <f>SUMIFS(考核调整事项表!$C:$C,考核调整事项表!$G:$G,累计考核费用!$B75,考核调整事项表!$D:$D,累计考核费用!M$55)+SUMIFS(考核调整事项表!$E:$E,考核调整事项表!$G:$G,累计考核费用!$B75,考核调整事项表!$F:$F,累计考核费用!M$55)</f>
        <v>0</v>
      </c>
      <c r="N75" s="88">
        <f>SUMIFS(考核调整事项表!$C:$C,考核调整事项表!$G:$G,累计考核费用!$B75,考核调整事项表!$D:$D,累计考核费用!N$55)+SUMIFS(考核调整事项表!$E:$E,考核调整事项表!$G:$G,累计考核费用!$B75,考核调整事项表!$F:$F,累计考核费用!N$55)</f>
        <v>0</v>
      </c>
      <c r="O75" s="88">
        <f>SUMIFS(考核调整事项表!$C:$C,考核调整事项表!$G:$G,累计考核费用!$B75,考核调整事项表!$D:$D,累计考核费用!O$55)+SUMIFS(考核调整事项表!$E:$E,考核调整事项表!$G:$G,累计考核费用!$B75,考核调整事项表!$F:$F,累计考核费用!O$55)</f>
        <v>0</v>
      </c>
      <c r="P75" s="88">
        <f>SUMIFS(考核调整事项表!$C:$C,考核调整事项表!$G:$G,累计考核费用!$B75,考核调整事项表!$D:$D,累计考核费用!P$55)+SUMIFS(考核调整事项表!$E:$E,考核调整事项表!$G:$G,累计考核费用!$B75,考核调整事项表!$F:$F,累计考核费用!P$55)</f>
        <v>0</v>
      </c>
      <c r="Q75" s="88">
        <f t="shared" si="10"/>
        <v>0</v>
      </c>
      <c r="R75" s="88">
        <f>SUMIFS(考核调整事项表!$C:$C,考核调整事项表!$G:$G,累计考核费用!$B75,考核调整事项表!$D:$D,累计考核费用!R$55)+SUMIFS(考核调整事项表!$E:$E,考核调整事项表!$G:$G,累计考核费用!$B75,考核调整事项表!$F:$F,累计考核费用!R$55)</f>
        <v>0</v>
      </c>
      <c r="S75" s="88">
        <f>SUMIFS(考核调整事项表!$C:$C,考核调整事项表!$G:$G,累计考核费用!$B75,考核调整事项表!$D:$D,累计考核费用!S$55)+SUMIFS(考核调整事项表!$E:$E,考核调整事项表!$G:$G,累计考核费用!$B75,考核调整事项表!$F:$F,累计考核费用!S$55)</f>
        <v>0</v>
      </c>
      <c r="T75" s="91">
        <f>SUMIFS(考核调整事项表!$C:$C,考核调整事项表!$G:$G,累计考核费用!$B75,考核调整事项表!$D:$D,累计考核费用!T$55)+SUMIFS(考核调整事项表!$E:$E,考核调整事项表!$G:$G,累计考核费用!$B75,考核调整事项表!$F:$F,累计考核费用!T$55)</f>
        <v>0</v>
      </c>
      <c r="U75" s="88">
        <f t="shared" si="11"/>
        <v>0</v>
      </c>
      <c r="V75" s="88">
        <f>SUMIFS(考核调整事项表!$C:$C,考核调整事项表!$G:$G,累计考核费用!$B75,考核调整事项表!$D:$D,累计考核费用!V$55)+SUMIFS(考核调整事项表!$E:$E,考核调整事项表!$G:$G,累计考核费用!$B75,考核调整事项表!$F:$F,累计考核费用!V$55)</f>
        <v>0</v>
      </c>
      <c r="W75" s="88">
        <f>SUMIFS(考核调整事项表!$C:$C,考核调整事项表!$G:$G,累计考核费用!$B75,考核调整事项表!$D:$D,累计考核费用!W$55)+SUMIFS(考核调整事项表!$E:$E,考核调整事项表!$G:$G,累计考核费用!$B75,考核调整事项表!$F:$F,累计考核费用!W$55)</f>
        <v>0</v>
      </c>
      <c r="X75" s="88">
        <f>SUMIFS(考核调整事项表!$C:$C,考核调整事项表!$G:$G,累计考核费用!$B75,考核调整事项表!$D:$D,累计考核费用!X$55)+SUMIFS(考核调整事项表!$E:$E,考核调整事项表!$G:$G,累计考核费用!$B75,考核调整事项表!$F:$F,累计考核费用!X$55)</f>
        <v>0</v>
      </c>
      <c r="Y75" s="88">
        <f>SUMIFS(考核调整事项表!$C:$C,考核调整事项表!$G:$G,累计考核费用!$B75,考核调整事项表!$D:$D,累计考核费用!Y$55)+SUMIFS(考核调整事项表!$E:$E,考核调整事项表!$G:$G,累计考核费用!$B75,考核调整事项表!$F:$F,累计考核费用!Y$55)</f>
        <v>0</v>
      </c>
      <c r="Z75" s="88">
        <f>SUMIFS(考核调整事项表!$C:$C,考核调整事项表!$G:$G,累计考核费用!$B75,考核调整事项表!$D:$D,累计考核费用!Z$55)+SUMIFS(考核调整事项表!$E:$E,考核调整事项表!$G:$G,累计考核费用!$B75,考核调整事项表!$F:$F,累计考核费用!Z$55)</f>
        <v>0</v>
      </c>
      <c r="AA75" s="88">
        <f>SUMIFS(考核调整事项表!$C:$C,考核调整事项表!$G:$G,累计考核费用!$B75,考核调整事项表!$D:$D,累计考核费用!AA$55)+SUMIFS(考核调整事项表!$E:$E,考核调整事项表!$G:$G,累计考核费用!$B75,考核调整事项表!$F:$F,累计考核费用!AA$55)</f>
        <v>0</v>
      </c>
      <c r="AB75" s="88">
        <f>SUMIFS(考核调整事项表!$C:$C,考核调整事项表!$G:$G,累计考核费用!$B75,考核调整事项表!$D:$D,累计考核费用!AB$55)+SUMIFS(考核调整事项表!$E:$E,考核调整事项表!$G:$G,累计考核费用!$B75,考核调整事项表!$F:$F,累计考核费用!AB$55)</f>
        <v>0</v>
      </c>
      <c r="AC75" s="88">
        <f>SUMIFS(考核调整事项表!$C:$C,考核调整事项表!$G:$G,累计考核费用!$B75,考核调整事项表!$D:$D,累计考核费用!AC$55)+SUMIFS(考核调整事项表!$E:$E,考核调整事项表!$G:$G,累计考核费用!$B75,考核调整事项表!$F:$F,累计考核费用!AC$55)</f>
        <v>0</v>
      </c>
      <c r="AD75" s="88">
        <f>SUMIFS(考核调整事项表!$C:$C,考核调整事项表!$G:$G,累计考核费用!$B75,考核调整事项表!$D:$D,累计考核费用!AD$55)+SUMIFS(考核调整事项表!$E:$E,考核调整事项表!$G:$G,累计考核费用!$B75,考核调整事项表!$F:$F,累计考核费用!AD$55)</f>
        <v>0</v>
      </c>
    </row>
    <row r="76" spans="1:30">
      <c r="A76" s="443"/>
      <c r="B76" s="48" t="s">
        <v>109</v>
      </c>
      <c r="C76" s="9">
        <f t="shared" si="7"/>
        <v>0</v>
      </c>
      <c r="D76" s="88">
        <f>SUMIFS(考核调整事项表!$C:$C,考核调整事项表!$G:$G,累计考核费用!$B76,考核调整事项表!$D:$D,累计考核费用!D$55)+SUMIFS(考核调整事项表!$E:$E,考核调整事项表!$G:$G,累计考核费用!$B76,考核调整事项表!$F:$F,累计考核费用!D$55)</f>
        <v>0</v>
      </c>
      <c r="E76" s="88">
        <f>SUMIFS(考核调整事项表!$C:$C,考核调整事项表!$G:$G,累计考核费用!$B76,考核调整事项表!$D:$D,累计考核费用!E$55)+SUMIFS(考核调整事项表!$E:$E,考核调整事项表!$G:$G,累计考核费用!$B76,考核调整事项表!$F:$F,累计考核费用!E$55)</f>
        <v>0</v>
      </c>
      <c r="F76" s="88">
        <f>SUMIFS(考核调整事项表!$C:$C,考核调整事项表!$G:$G,累计考核费用!$B76,考核调整事项表!$D:$D,累计考核费用!F$55)+SUMIFS(考核调整事项表!$E:$E,考核调整事项表!$G:$G,累计考核费用!$B76,考核调整事项表!$F:$F,累计考核费用!F$55)</f>
        <v>0</v>
      </c>
      <c r="G76" s="88">
        <f>SUMIFS(考核调整事项表!$C:$C,考核调整事项表!$G:$G,累计考核费用!$B76,考核调整事项表!$D:$D,累计考核费用!G$55)+SUMIFS(考核调整事项表!$E:$E,考核调整事项表!$G:$G,累计考核费用!$B76,考核调整事项表!$F:$F,累计考核费用!G$55)</f>
        <v>0</v>
      </c>
      <c r="H76" s="88">
        <f t="shared" si="8"/>
        <v>0</v>
      </c>
      <c r="I76" s="88">
        <f>SUMIFS(考核调整事项表!$C:$C,考核调整事项表!$G:$G,累计考核费用!$B76,考核调整事项表!$D:$D,累计考核费用!I$55)+SUMIFS(考核调整事项表!$E:$E,考核调整事项表!$G:$G,累计考核费用!$B76,考核调整事项表!$F:$F,累计考核费用!I$55)</f>
        <v>0</v>
      </c>
      <c r="J76" s="88">
        <f>SUMIFS(考核调整事项表!$C:$C,考核调整事项表!$G:$G,累计考核费用!$B76,考核调整事项表!$D:$D,累计考核费用!J$55)+SUMIFS(考核调整事项表!$E:$E,考核调整事项表!$G:$G,累计考核费用!$B76,考核调整事项表!$F:$F,累计考核费用!J$55)</f>
        <v>0</v>
      </c>
      <c r="K76" s="88">
        <f>SUMIFS(考核调整事项表!$C:$C,考核调整事项表!$G:$G,累计考核费用!$B76,考核调整事项表!$D:$D,累计考核费用!K$55)+SUMIFS(考核调整事项表!$E:$E,考核调整事项表!$G:$G,累计考核费用!$B76,考核调整事项表!$F:$F,累计考核费用!K$55)</f>
        <v>0</v>
      </c>
      <c r="L76" s="88">
        <f t="shared" si="9"/>
        <v>0</v>
      </c>
      <c r="M76" s="88">
        <f>SUMIFS(考核调整事项表!$C:$C,考核调整事项表!$G:$G,累计考核费用!$B76,考核调整事项表!$D:$D,累计考核费用!M$55)+SUMIFS(考核调整事项表!$E:$E,考核调整事项表!$G:$G,累计考核费用!$B76,考核调整事项表!$F:$F,累计考核费用!M$55)</f>
        <v>0</v>
      </c>
      <c r="N76" s="88">
        <f>SUMIFS(考核调整事项表!$C:$C,考核调整事项表!$G:$G,累计考核费用!$B76,考核调整事项表!$D:$D,累计考核费用!N$55)+SUMIFS(考核调整事项表!$E:$E,考核调整事项表!$G:$G,累计考核费用!$B76,考核调整事项表!$F:$F,累计考核费用!N$55)</f>
        <v>0</v>
      </c>
      <c r="O76" s="88">
        <f>SUMIFS(考核调整事项表!$C:$C,考核调整事项表!$G:$G,累计考核费用!$B76,考核调整事项表!$D:$D,累计考核费用!O$55)+SUMIFS(考核调整事项表!$E:$E,考核调整事项表!$G:$G,累计考核费用!$B76,考核调整事项表!$F:$F,累计考核费用!O$55)</f>
        <v>0</v>
      </c>
      <c r="P76" s="88">
        <f>SUMIFS(考核调整事项表!$C:$C,考核调整事项表!$G:$G,累计考核费用!$B76,考核调整事项表!$D:$D,累计考核费用!P$55)+SUMIFS(考核调整事项表!$E:$E,考核调整事项表!$G:$G,累计考核费用!$B76,考核调整事项表!$F:$F,累计考核费用!P$55)</f>
        <v>0</v>
      </c>
      <c r="Q76" s="88">
        <f t="shared" si="10"/>
        <v>0</v>
      </c>
      <c r="R76" s="88">
        <f>SUMIFS(考核调整事项表!$C:$C,考核调整事项表!$G:$G,累计考核费用!$B76,考核调整事项表!$D:$D,累计考核费用!R$55)+SUMIFS(考核调整事项表!$E:$E,考核调整事项表!$G:$G,累计考核费用!$B76,考核调整事项表!$F:$F,累计考核费用!R$55)</f>
        <v>0</v>
      </c>
      <c r="S76" s="88">
        <f>SUMIFS(考核调整事项表!$C:$C,考核调整事项表!$G:$G,累计考核费用!$B76,考核调整事项表!$D:$D,累计考核费用!S$55)+SUMIFS(考核调整事项表!$E:$E,考核调整事项表!$G:$G,累计考核费用!$B76,考核调整事项表!$F:$F,累计考核费用!S$55)</f>
        <v>0</v>
      </c>
      <c r="T76" s="91">
        <f>SUMIFS(考核调整事项表!$C:$C,考核调整事项表!$G:$G,累计考核费用!$B76,考核调整事项表!$D:$D,累计考核费用!T$55)+SUMIFS(考核调整事项表!$E:$E,考核调整事项表!$G:$G,累计考核费用!$B76,考核调整事项表!$F:$F,累计考核费用!T$55)</f>
        <v>0</v>
      </c>
      <c r="U76" s="88">
        <f t="shared" si="11"/>
        <v>0</v>
      </c>
      <c r="V76" s="88">
        <f>SUMIFS(考核调整事项表!$C:$C,考核调整事项表!$G:$G,累计考核费用!$B76,考核调整事项表!$D:$D,累计考核费用!V$55)+SUMIFS(考核调整事项表!$E:$E,考核调整事项表!$G:$G,累计考核费用!$B76,考核调整事项表!$F:$F,累计考核费用!V$55)</f>
        <v>0</v>
      </c>
      <c r="W76" s="88">
        <f>SUMIFS(考核调整事项表!$C:$C,考核调整事项表!$G:$G,累计考核费用!$B76,考核调整事项表!$D:$D,累计考核费用!W$55)+SUMIFS(考核调整事项表!$E:$E,考核调整事项表!$G:$G,累计考核费用!$B76,考核调整事项表!$F:$F,累计考核费用!W$55)</f>
        <v>0</v>
      </c>
      <c r="X76" s="88">
        <f>SUMIFS(考核调整事项表!$C:$C,考核调整事项表!$G:$G,累计考核费用!$B76,考核调整事项表!$D:$D,累计考核费用!X$55)+SUMIFS(考核调整事项表!$E:$E,考核调整事项表!$G:$G,累计考核费用!$B76,考核调整事项表!$F:$F,累计考核费用!X$55)</f>
        <v>0</v>
      </c>
      <c r="Y76" s="88">
        <f>SUMIFS(考核调整事项表!$C:$C,考核调整事项表!$G:$G,累计考核费用!$B76,考核调整事项表!$D:$D,累计考核费用!Y$55)+SUMIFS(考核调整事项表!$E:$E,考核调整事项表!$G:$G,累计考核费用!$B76,考核调整事项表!$F:$F,累计考核费用!Y$55)</f>
        <v>0</v>
      </c>
      <c r="Z76" s="88">
        <f>SUMIFS(考核调整事项表!$C:$C,考核调整事项表!$G:$G,累计考核费用!$B76,考核调整事项表!$D:$D,累计考核费用!Z$55)+SUMIFS(考核调整事项表!$E:$E,考核调整事项表!$G:$G,累计考核费用!$B76,考核调整事项表!$F:$F,累计考核费用!Z$55)</f>
        <v>0</v>
      </c>
      <c r="AA76" s="88">
        <f>SUMIFS(考核调整事项表!$C:$C,考核调整事项表!$G:$G,累计考核费用!$B76,考核调整事项表!$D:$D,累计考核费用!AA$55)+SUMIFS(考核调整事项表!$E:$E,考核调整事项表!$G:$G,累计考核费用!$B76,考核调整事项表!$F:$F,累计考核费用!AA$55)</f>
        <v>0</v>
      </c>
      <c r="AB76" s="88">
        <f>SUMIFS(考核调整事项表!$C:$C,考核调整事项表!$G:$G,累计考核费用!$B76,考核调整事项表!$D:$D,累计考核费用!AB$55)+SUMIFS(考核调整事项表!$E:$E,考核调整事项表!$G:$G,累计考核费用!$B76,考核调整事项表!$F:$F,累计考核费用!AB$55)</f>
        <v>0</v>
      </c>
      <c r="AC76" s="88">
        <f>SUMIFS(考核调整事项表!$C:$C,考核调整事项表!$G:$G,累计考核费用!$B76,考核调整事项表!$D:$D,累计考核费用!AC$55)+SUMIFS(考核调整事项表!$E:$E,考核调整事项表!$G:$G,累计考核费用!$B76,考核调整事项表!$F:$F,累计考核费用!AC$55)</f>
        <v>0</v>
      </c>
      <c r="AD76" s="88">
        <f>SUMIFS(考核调整事项表!$C:$C,考核调整事项表!$G:$G,累计考核费用!$B76,考核调整事项表!$D:$D,累计考核费用!AD$55)+SUMIFS(考核调整事项表!$E:$E,考核调整事项表!$G:$G,累计考核费用!$B76,考核调整事项表!$F:$F,累计考核费用!AD$55)</f>
        <v>0</v>
      </c>
    </row>
    <row r="77" spans="1:30">
      <c r="A77" s="443"/>
      <c r="B77" s="48" t="s">
        <v>110</v>
      </c>
      <c r="C77" s="9">
        <f t="shared" si="7"/>
        <v>0</v>
      </c>
      <c r="D77" s="88">
        <f>SUMIFS(考核调整事项表!$C:$C,考核调整事项表!$G:$G,累计考核费用!$B77,考核调整事项表!$D:$D,累计考核费用!D$55)+SUMIFS(考核调整事项表!$E:$E,考核调整事项表!$G:$G,累计考核费用!$B77,考核调整事项表!$F:$F,累计考核费用!D$55)</f>
        <v>0</v>
      </c>
      <c r="E77" s="88">
        <f>SUMIFS(考核调整事项表!$C:$C,考核调整事项表!$G:$G,累计考核费用!$B77,考核调整事项表!$D:$D,累计考核费用!E$55)+SUMIFS(考核调整事项表!$E:$E,考核调整事项表!$G:$G,累计考核费用!$B77,考核调整事项表!$F:$F,累计考核费用!E$55)</f>
        <v>0</v>
      </c>
      <c r="F77" s="88">
        <f>SUMIFS(考核调整事项表!$C:$C,考核调整事项表!$G:$G,累计考核费用!$B77,考核调整事项表!$D:$D,累计考核费用!F$55)+SUMIFS(考核调整事项表!$E:$E,考核调整事项表!$G:$G,累计考核费用!$B77,考核调整事项表!$F:$F,累计考核费用!F$55)</f>
        <v>0</v>
      </c>
      <c r="G77" s="88">
        <f>SUMIFS(考核调整事项表!$C:$C,考核调整事项表!$G:$G,累计考核费用!$B77,考核调整事项表!$D:$D,累计考核费用!G$55)+SUMIFS(考核调整事项表!$E:$E,考核调整事项表!$G:$G,累计考核费用!$B77,考核调整事项表!$F:$F,累计考核费用!G$55)</f>
        <v>0</v>
      </c>
      <c r="H77" s="88">
        <f t="shared" si="8"/>
        <v>0</v>
      </c>
      <c r="I77" s="88">
        <f>SUMIFS(考核调整事项表!$C:$C,考核调整事项表!$G:$G,累计考核费用!$B77,考核调整事项表!$D:$D,累计考核费用!I$55)+SUMIFS(考核调整事项表!$E:$E,考核调整事项表!$G:$G,累计考核费用!$B77,考核调整事项表!$F:$F,累计考核费用!I$55)</f>
        <v>0</v>
      </c>
      <c r="J77" s="88">
        <f>SUMIFS(考核调整事项表!$C:$C,考核调整事项表!$G:$G,累计考核费用!$B77,考核调整事项表!$D:$D,累计考核费用!J$55)+SUMIFS(考核调整事项表!$E:$E,考核调整事项表!$G:$G,累计考核费用!$B77,考核调整事项表!$F:$F,累计考核费用!J$55)</f>
        <v>0</v>
      </c>
      <c r="K77" s="88">
        <f>SUMIFS(考核调整事项表!$C:$C,考核调整事项表!$G:$G,累计考核费用!$B77,考核调整事项表!$D:$D,累计考核费用!K$55)+SUMIFS(考核调整事项表!$E:$E,考核调整事项表!$G:$G,累计考核费用!$B77,考核调整事项表!$F:$F,累计考核费用!K$55)</f>
        <v>0</v>
      </c>
      <c r="L77" s="88">
        <f t="shared" si="9"/>
        <v>0</v>
      </c>
      <c r="M77" s="88">
        <f>SUMIFS(考核调整事项表!$C:$C,考核调整事项表!$G:$G,累计考核费用!$B77,考核调整事项表!$D:$D,累计考核费用!M$55)+SUMIFS(考核调整事项表!$E:$E,考核调整事项表!$G:$G,累计考核费用!$B77,考核调整事项表!$F:$F,累计考核费用!M$55)</f>
        <v>0</v>
      </c>
      <c r="N77" s="88">
        <f>SUMIFS(考核调整事项表!$C:$C,考核调整事项表!$G:$G,累计考核费用!$B77,考核调整事项表!$D:$D,累计考核费用!N$55)+SUMIFS(考核调整事项表!$E:$E,考核调整事项表!$G:$G,累计考核费用!$B77,考核调整事项表!$F:$F,累计考核费用!N$55)</f>
        <v>0</v>
      </c>
      <c r="O77" s="88">
        <f>SUMIFS(考核调整事项表!$C:$C,考核调整事项表!$G:$G,累计考核费用!$B77,考核调整事项表!$D:$D,累计考核费用!O$55)+SUMIFS(考核调整事项表!$E:$E,考核调整事项表!$G:$G,累计考核费用!$B77,考核调整事项表!$F:$F,累计考核费用!O$55)</f>
        <v>0</v>
      </c>
      <c r="P77" s="88">
        <f>SUMIFS(考核调整事项表!$C:$C,考核调整事项表!$G:$G,累计考核费用!$B77,考核调整事项表!$D:$D,累计考核费用!P$55)+SUMIFS(考核调整事项表!$E:$E,考核调整事项表!$G:$G,累计考核费用!$B77,考核调整事项表!$F:$F,累计考核费用!P$55)</f>
        <v>0</v>
      </c>
      <c r="Q77" s="88">
        <f t="shared" si="10"/>
        <v>0</v>
      </c>
      <c r="R77" s="88">
        <f>SUMIFS(考核调整事项表!$C:$C,考核调整事项表!$G:$G,累计考核费用!$B77,考核调整事项表!$D:$D,累计考核费用!R$55)+SUMIFS(考核调整事项表!$E:$E,考核调整事项表!$G:$G,累计考核费用!$B77,考核调整事项表!$F:$F,累计考核费用!R$55)</f>
        <v>0</v>
      </c>
      <c r="S77" s="88">
        <f>SUMIFS(考核调整事项表!$C:$C,考核调整事项表!$G:$G,累计考核费用!$B77,考核调整事项表!$D:$D,累计考核费用!S$55)+SUMIFS(考核调整事项表!$E:$E,考核调整事项表!$G:$G,累计考核费用!$B77,考核调整事项表!$F:$F,累计考核费用!S$55)</f>
        <v>0</v>
      </c>
      <c r="T77" s="91">
        <f>SUMIFS(考核调整事项表!$C:$C,考核调整事项表!$G:$G,累计考核费用!$B77,考核调整事项表!$D:$D,累计考核费用!T$55)+SUMIFS(考核调整事项表!$E:$E,考核调整事项表!$G:$G,累计考核费用!$B77,考核调整事项表!$F:$F,累计考核费用!T$55)</f>
        <v>0</v>
      </c>
      <c r="U77" s="88">
        <f t="shared" si="11"/>
        <v>0</v>
      </c>
      <c r="V77" s="88">
        <f>SUMIFS(考核调整事项表!$C:$C,考核调整事项表!$G:$G,累计考核费用!$B77,考核调整事项表!$D:$D,累计考核费用!V$55)+SUMIFS(考核调整事项表!$E:$E,考核调整事项表!$G:$G,累计考核费用!$B77,考核调整事项表!$F:$F,累计考核费用!V$55)</f>
        <v>0</v>
      </c>
      <c r="W77" s="88">
        <f>SUMIFS(考核调整事项表!$C:$C,考核调整事项表!$G:$G,累计考核费用!$B77,考核调整事项表!$D:$D,累计考核费用!W$55)+SUMIFS(考核调整事项表!$E:$E,考核调整事项表!$G:$G,累计考核费用!$B77,考核调整事项表!$F:$F,累计考核费用!W$55)</f>
        <v>0</v>
      </c>
      <c r="X77" s="88">
        <f>SUMIFS(考核调整事项表!$C:$C,考核调整事项表!$G:$G,累计考核费用!$B77,考核调整事项表!$D:$D,累计考核费用!X$55)+SUMIFS(考核调整事项表!$E:$E,考核调整事项表!$G:$G,累计考核费用!$B77,考核调整事项表!$F:$F,累计考核费用!X$55)</f>
        <v>0</v>
      </c>
      <c r="Y77" s="88">
        <f>SUMIFS(考核调整事项表!$C:$C,考核调整事项表!$G:$G,累计考核费用!$B77,考核调整事项表!$D:$D,累计考核费用!Y$55)+SUMIFS(考核调整事项表!$E:$E,考核调整事项表!$G:$G,累计考核费用!$B77,考核调整事项表!$F:$F,累计考核费用!Y$55)</f>
        <v>0</v>
      </c>
      <c r="Z77" s="88">
        <f>SUMIFS(考核调整事项表!$C:$C,考核调整事项表!$G:$G,累计考核费用!$B77,考核调整事项表!$D:$D,累计考核费用!Z$55)+SUMIFS(考核调整事项表!$E:$E,考核调整事项表!$G:$G,累计考核费用!$B77,考核调整事项表!$F:$F,累计考核费用!Z$55)</f>
        <v>0</v>
      </c>
      <c r="AA77" s="88">
        <f>SUMIFS(考核调整事项表!$C:$C,考核调整事项表!$G:$G,累计考核费用!$B77,考核调整事项表!$D:$D,累计考核费用!AA$55)+SUMIFS(考核调整事项表!$E:$E,考核调整事项表!$G:$G,累计考核费用!$B77,考核调整事项表!$F:$F,累计考核费用!AA$55)</f>
        <v>0</v>
      </c>
      <c r="AB77" s="88">
        <f>SUMIFS(考核调整事项表!$C:$C,考核调整事项表!$G:$G,累计考核费用!$B77,考核调整事项表!$D:$D,累计考核费用!AB$55)+SUMIFS(考核调整事项表!$E:$E,考核调整事项表!$G:$G,累计考核费用!$B77,考核调整事项表!$F:$F,累计考核费用!AB$55)</f>
        <v>0</v>
      </c>
      <c r="AC77" s="88">
        <f>SUMIFS(考核调整事项表!$C:$C,考核调整事项表!$G:$G,累计考核费用!$B77,考核调整事项表!$D:$D,累计考核费用!AC$55)+SUMIFS(考核调整事项表!$E:$E,考核调整事项表!$G:$G,累计考核费用!$B77,考核调整事项表!$F:$F,累计考核费用!AC$55)</f>
        <v>0</v>
      </c>
      <c r="AD77" s="88">
        <f>SUMIFS(考核调整事项表!$C:$C,考核调整事项表!$G:$G,累计考核费用!$B77,考核调整事项表!$D:$D,累计考核费用!AD$55)+SUMIFS(考核调整事项表!$E:$E,考核调整事项表!$G:$G,累计考核费用!$B77,考核调整事项表!$F:$F,累计考核费用!AD$55)</f>
        <v>0</v>
      </c>
    </row>
    <row r="78" spans="1:30">
      <c r="A78" s="443"/>
      <c r="B78" s="48" t="s">
        <v>111</v>
      </c>
      <c r="C78" s="9">
        <f t="shared" si="7"/>
        <v>0</v>
      </c>
      <c r="D78" s="88">
        <f>SUMIFS(考核调整事项表!$C:$C,考核调整事项表!$G:$G,累计考核费用!$B78,考核调整事项表!$D:$D,累计考核费用!D$55)+SUMIFS(考核调整事项表!$E:$E,考核调整事项表!$G:$G,累计考核费用!$B78,考核调整事项表!$F:$F,累计考核费用!D$55)</f>
        <v>0</v>
      </c>
      <c r="E78" s="88">
        <f>SUMIFS(考核调整事项表!$C:$C,考核调整事项表!$G:$G,累计考核费用!$B78,考核调整事项表!$D:$D,累计考核费用!E$55)+SUMIFS(考核调整事项表!$E:$E,考核调整事项表!$G:$G,累计考核费用!$B78,考核调整事项表!$F:$F,累计考核费用!E$55)</f>
        <v>0</v>
      </c>
      <c r="F78" s="88">
        <f>SUMIFS(考核调整事项表!$C:$C,考核调整事项表!$G:$G,累计考核费用!$B78,考核调整事项表!$D:$D,累计考核费用!F$55)+SUMIFS(考核调整事项表!$E:$E,考核调整事项表!$G:$G,累计考核费用!$B78,考核调整事项表!$F:$F,累计考核费用!F$55)</f>
        <v>0</v>
      </c>
      <c r="G78" s="88">
        <f>SUMIFS(考核调整事项表!$C:$C,考核调整事项表!$G:$G,累计考核费用!$B78,考核调整事项表!$D:$D,累计考核费用!G$55)+SUMIFS(考核调整事项表!$E:$E,考核调整事项表!$G:$G,累计考核费用!$B78,考核调整事项表!$F:$F,累计考核费用!G$55)</f>
        <v>0</v>
      </c>
      <c r="H78" s="88">
        <f t="shared" si="8"/>
        <v>0</v>
      </c>
      <c r="I78" s="88">
        <f>SUMIFS(考核调整事项表!$C:$C,考核调整事项表!$G:$G,累计考核费用!$B78,考核调整事项表!$D:$D,累计考核费用!I$55)+SUMIFS(考核调整事项表!$E:$E,考核调整事项表!$G:$G,累计考核费用!$B78,考核调整事项表!$F:$F,累计考核费用!I$55)</f>
        <v>0</v>
      </c>
      <c r="J78" s="88">
        <f>SUMIFS(考核调整事项表!$C:$C,考核调整事项表!$G:$G,累计考核费用!$B78,考核调整事项表!$D:$D,累计考核费用!J$55)+SUMIFS(考核调整事项表!$E:$E,考核调整事项表!$G:$G,累计考核费用!$B78,考核调整事项表!$F:$F,累计考核费用!J$55)</f>
        <v>0</v>
      </c>
      <c r="K78" s="88">
        <f>SUMIFS(考核调整事项表!$C:$C,考核调整事项表!$G:$G,累计考核费用!$B78,考核调整事项表!$D:$D,累计考核费用!K$55)+SUMIFS(考核调整事项表!$E:$E,考核调整事项表!$G:$G,累计考核费用!$B78,考核调整事项表!$F:$F,累计考核费用!K$55)</f>
        <v>0</v>
      </c>
      <c r="L78" s="88">
        <f t="shared" si="9"/>
        <v>0</v>
      </c>
      <c r="M78" s="88">
        <f>SUMIFS(考核调整事项表!$C:$C,考核调整事项表!$G:$G,累计考核费用!$B78,考核调整事项表!$D:$D,累计考核费用!M$55)+SUMIFS(考核调整事项表!$E:$E,考核调整事项表!$G:$G,累计考核费用!$B78,考核调整事项表!$F:$F,累计考核费用!M$55)</f>
        <v>0</v>
      </c>
      <c r="N78" s="88">
        <f>SUMIFS(考核调整事项表!$C:$C,考核调整事项表!$G:$G,累计考核费用!$B78,考核调整事项表!$D:$D,累计考核费用!N$55)+SUMIFS(考核调整事项表!$E:$E,考核调整事项表!$G:$G,累计考核费用!$B78,考核调整事项表!$F:$F,累计考核费用!N$55)</f>
        <v>0</v>
      </c>
      <c r="O78" s="88">
        <f>SUMIFS(考核调整事项表!$C:$C,考核调整事项表!$G:$G,累计考核费用!$B78,考核调整事项表!$D:$D,累计考核费用!O$55)+SUMIFS(考核调整事项表!$E:$E,考核调整事项表!$G:$G,累计考核费用!$B78,考核调整事项表!$F:$F,累计考核费用!O$55)</f>
        <v>0</v>
      </c>
      <c r="P78" s="88">
        <f>SUMIFS(考核调整事项表!$C:$C,考核调整事项表!$G:$G,累计考核费用!$B78,考核调整事项表!$D:$D,累计考核费用!P$55)+SUMIFS(考核调整事项表!$E:$E,考核调整事项表!$G:$G,累计考核费用!$B78,考核调整事项表!$F:$F,累计考核费用!P$55)</f>
        <v>0</v>
      </c>
      <c r="Q78" s="88">
        <f t="shared" si="10"/>
        <v>0</v>
      </c>
      <c r="R78" s="88">
        <f>SUMIFS(考核调整事项表!$C:$C,考核调整事项表!$G:$G,累计考核费用!$B78,考核调整事项表!$D:$D,累计考核费用!R$55)+SUMIFS(考核调整事项表!$E:$E,考核调整事项表!$G:$G,累计考核费用!$B78,考核调整事项表!$F:$F,累计考核费用!R$55)</f>
        <v>0</v>
      </c>
      <c r="S78" s="88">
        <f>SUMIFS(考核调整事项表!$C:$C,考核调整事项表!$G:$G,累计考核费用!$B78,考核调整事项表!$D:$D,累计考核费用!S$55)+SUMIFS(考核调整事项表!$E:$E,考核调整事项表!$G:$G,累计考核费用!$B78,考核调整事项表!$F:$F,累计考核费用!S$55)</f>
        <v>0</v>
      </c>
      <c r="T78" s="91">
        <f>SUMIFS(考核调整事项表!$C:$C,考核调整事项表!$G:$G,累计考核费用!$B78,考核调整事项表!$D:$D,累计考核费用!T$55)+SUMIFS(考核调整事项表!$E:$E,考核调整事项表!$G:$G,累计考核费用!$B78,考核调整事项表!$F:$F,累计考核费用!T$55)</f>
        <v>0</v>
      </c>
      <c r="U78" s="88">
        <f t="shared" si="11"/>
        <v>0</v>
      </c>
      <c r="V78" s="88">
        <f>SUMIFS(考核调整事项表!$C:$C,考核调整事项表!$G:$G,累计考核费用!$B78,考核调整事项表!$D:$D,累计考核费用!V$55)+SUMIFS(考核调整事项表!$E:$E,考核调整事项表!$G:$G,累计考核费用!$B78,考核调整事项表!$F:$F,累计考核费用!V$55)</f>
        <v>0</v>
      </c>
      <c r="W78" s="88">
        <f>SUMIFS(考核调整事项表!$C:$C,考核调整事项表!$G:$G,累计考核费用!$B78,考核调整事项表!$D:$D,累计考核费用!W$55)+SUMIFS(考核调整事项表!$E:$E,考核调整事项表!$G:$G,累计考核费用!$B78,考核调整事项表!$F:$F,累计考核费用!W$55)</f>
        <v>0</v>
      </c>
      <c r="X78" s="88">
        <f>SUMIFS(考核调整事项表!$C:$C,考核调整事项表!$G:$G,累计考核费用!$B78,考核调整事项表!$D:$D,累计考核费用!X$55)+SUMIFS(考核调整事项表!$E:$E,考核调整事项表!$G:$G,累计考核费用!$B78,考核调整事项表!$F:$F,累计考核费用!X$55)</f>
        <v>0</v>
      </c>
      <c r="Y78" s="88">
        <f>SUMIFS(考核调整事项表!$C:$C,考核调整事项表!$G:$G,累计考核费用!$B78,考核调整事项表!$D:$D,累计考核费用!Y$55)+SUMIFS(考核调整事项表!$E:$E,考核调整事项表!$G:$G,累计考核费用!$B78,考核调整事项表!$F:$F,累计考核费用!Y$55)</f>
        <v>0</v>
      </c>
      <c r="Z78" s="88">
        <f>SUMIFS(考核调整事项表!$C:$C,考核调整事项表!$G:$G,累计考核费用!$B78,考核调整事项表!$D:$D,累计考核费用!Z$55)+SUMIFS(考核调整事项表!$E:$E,考核调整事项表!$G:$G,累计考核费用!$B78,考核调整事项表!$F:$F,累计考核费用!Z$55)</f>
        <v>0</v>
      </c>
      <c r="AA78" s="88">
        <f>SUMIFS(考核调整事项表!$C:$C,考核调整事项表!$G:$G,累计考核费用!$B78,考核调整事项表!$D:$D,累计考核费用!AA$55)+SUMIFS(考核调整事项表!$E:$E,考核调整事项表!$G:$G,累计考核费用!$B78,考核调整事项表!$F:$F,累计考核费用!AA$55)</f>
        <v>0</v>
      </c>
      <c r="AB78" s="88">
        <f>SUMIFS(考核调整事项表!$C:$C,考核调整事项表!$G:$G,累计考核费用!$B78,考核调整事项表!$D:$D,累计考核费用!AB$55)+SUMIFS(考核调整事项表!$E:$E,考核调整事项表!$G:$G,累计考核费用!$B78,考核调整事项表!$F:$F,累计考核费用!AB$55)</f>
        <v>0</v>
      </c>
      <c r="AC78" s="88">
        <f>SUMIFS(考核调整事项表!$C:$C,考核调整事项表!$G:$G,累计考核费用!$B78,考核调整事项表!$D:$D,累计考核费用!AC$55)+SUMIFS(考核调整事项表!$E:$E,考核调整事项表!$G:$G,累计考核费用!$B78,考核调整事项表!$F:$F,累计考核费用!AC$55)</f>
        <v>0</v>
      </c>
      <c r="AD78" s="88">
        <f>SUMIFS(考核调整事项表!$C:$C,考核调整事项表!$G:$G,累计考核费用!$B78,考核调整事项表!$D:$D,累计考核费用!AD$55)+SUMIFS(考核调整事项表!$E:$E,考核调整事项表!$G:$G,累计考核费用!$B78,考核调整事项表!$F:$F,累计考核费用!AD$55)</f>
        <v>0</v>
      </c>
    </row>
    <row r="79" spans="1:30">
      <c r="A79" s="443"/>
      <c r="B79" s="48" t="s">
        <v>112</v>
      </c>
      <c r="C79" s="9">
        <f t="shared" si="7"/>
        <v>0</v>
      </c>
      <c r="D79" s="88">
        <f>SUMIFS(考核调整事项表!$C:$C,考核调整事项表!$G:$G,累计考核费用!$B79,考核调整事项表!$D:$D,累计考核费用!D$55)+SUMIFS(考核调整事项表!$E:$E,考核调整事项表!$G:$G,累计考核费用!$B79,考核调整事项表!$F:$F,累计考核费用!D$55)</f>
        <v>0</v>
      </c>
      <c r="E79" s="88">
        <f>SUMIFS(考核调整事项表!$C:$C,考核调整事项表!$G:$G,累计考核费用!$B79,考核调整事项表!$D:$D,累计考核费用!E$55)+SUMIFS(考核调整事项表!$E:$E,考核调整事项表!$G:$G,累计考核费用!$B79,考核调整事项表!$F:$F,累计考核费用!E$55)</f>
        <v>0</v>
      </c>
      <c r="F79" s="88">
        <f>SUMIFS(考核调整事项表!$C:$C,考核调整事项表!$G:$G,累计考核费用!$B79,考核调整事项表!$D:$D,累计考核费用!F$55)+SUMIFS(考核调整事项表!$E:$E,考核调整事项表!$G:$G,累计考核费用!$B79,考核调整事项表!$F:$F,累计考核费用!F$55)</f>
        <v>0</v>
      </c>
      <c r="G79" s="88">
        <f>SUMIFS(考核调整事项表!$C:$C,考核调整事项表!$G:$G,累计考核费用!$B79,考核调整事项表!$D:$D,累计考核费用!G$55)+SUMIFS(考核调整事项表!$E:$E,考核调整事项表!$G:$G,累计考核费用!$B79,考核调整事项表!$F:$F,累计考核费用!G$55)</f>
        <v>0</v>
      </c>
      <c r="H79" s="88">
        <f t="shared" si="8"/>
        <v>0</v>
      </c>
      <c r="I79" s="88">
        <f>SUMIFS(考核调整事项表!$C:$C,考核调整事项表!$G:$G,累计考核费用!$B79,考核调整事项表!$D:$D,累计考核费用!I$55)+SUMIFS(考核调整事项表!$E:$E,考核调整事项表!$G:$G,累计考核费用!$B79,考核调整事项表!$F:$F,累计考核费用!I$55)</f>
        <v>0</v>
      </c>
      <c r="J79" s="88">
        <f>SUMIFS(考核调整事项表!$C:$C,考核调整事项表!$G:$G,累计考核费用!$B79,考核调整事项表!$D:$D,累计考核费用!J$55)+SUMIFS(考核调整事项表!$E:$E,考核调整事项表!$G:$G,累计考核费用!$B79,考核调整事项表!$F:$F,累计考核费用!J$55)</f>
        <v>0</v>
      </c>
      <c r="K79" s="88">
        <f>SUMIFS(考核调整事项表!$C:$C,考核调整事项表!$G:$G,累计考核费用!$B79,考核调整事项表!$D:$D,累计考核费用!K$55)+SUMIFS(考核调整事项表!$E:$E,考核调整事项表!$G:$G,累计考核费用!$B79,考核调整事项表!$F:$F,累计考核费用!K$55)</f>
        <v>0</v>
      </c>
      <c r="L79" s="88">
        <f t="shared" si="9"/>
        <v>0</v>
      </c>
      <c r="M79" s="88">
        <f>SUMIFS(考核调整事项表!$C:$C,考核调整事项表!$G:$G,累计考核费用!$B79,考核调整事项表!$D:$D,累计考核费用!M$55)+SUMIFS(考核调整事项表!$E:$E,考核调整事项表!$G:$G,累计考核费用!$B79,考核调整事项表!$F:$F,累计考核费用!M$55)</f>
        <v>0</v>
      </c>
      <c r="N79" s="88">
        <f>SUMIFS(考核调整事项表!$C:$C,考核调整事项表!$G:$G,累计考核费用!$B79,考核调整事项表!$D:$D,累计考核费用!N$55)+SUMIFS(考核调整事项表!$E:$E,考核调整事项表!$G:$G,累计考核费用!$B79,考核调整事项表!$F:$F,累计考核费用!N$55)</f>
        <v>0</v>
      </c>
      <c r="O79" s="88">
        <f>SUMIFS(考核调整事项表!$C:$C,考核调整事项表!$G:$G,累计考核费用!$B79,考核调整事项表!$D:$D,累计考核费用!O$55)+SUMIFS(考核调整事项表!$E:$E,考核调整事项表!$G:$G,累计考核费用!$B79,考核调整事项表!$F:$F,累计考核费用!O$55)</f>
        <v>0</v>
      </c>
      <c r="P79" s="88">
        <f>SUMIFS(考核调整事项表!$C:$C,考核调整事项表!$G:$G,累计考核费用!$B79,考核调整事项表!$D:$D,累计考核费用!P$55)+SUMIFS(考核调整事项表!$E:$E,考核调整事项表!$G:$G,累计考核费用!$B79,考核调整事项表!$F:$F,累计考核费用!P$55)</f>
        <v>0</v>
      </c>
      <c r="Q79" s="88">
        <f t="shared" si="10"/>
        <v>0</v>
      </c>
      <c r="R79" s="88">
        <f>SUMIFS(考核调整事项表!$C:$C,考核调整事项表!$G:$G,累计考核费用!$B79,考核调整事项表!$D:$D,累计考核费用!R$55)+SUMIFS(考核调整事项表!$E:$E,考核调整事项表!$G:$G,累计考核费用!$B79,考核调整事项表!$F:$F,累计考核费用!R$55)</f>
        <v>0</v>
      </c>
      <c r="S79" s="88">
        <f>SUMIFS(考核调整事项表!$C:$C,考核调整事项表!$G:$G,累计考核费用!$B79,考核调整事项表!$D:$D,累计考核费用!S$55)+SUMIFS(考核调整事项表!$E:$E,考核调整事项表!$G:$G,累计考核费用!$B79,考核调整事项表!$F:$F,累计考核费用!S$55)</f>
        <v>0</v>
      </c>
      <c r="T79" s="91">
        <f>SUMIFS(考核调整事项表!$C:$C,考核调整事项表!$G:$G,累计考核费用!$B79,考核调整事项表!$D:$D,累计考核费用!T$55)+SUMIFS(考核调整事项表!$E:$E,考核调整事项表!$G:$G,累计考核费用!$B79,考核调整事项表!$F:$F,累计考核费用!T$55)</f>
        <v>0</v>
      </c>
      <c r="U79" s="88">
        <f t="shared" si="11"/>
        <v>0</v>
      </c>
      <c r="V79" s="88">
        <f>SUMIFS(考核调整事项表!$C:$C,考核调整事项表!$G:$G,累计考核费用!$B79,考核调整事项表!$D:$D,累计考核费用!V$55)+SUMIFS(考核调整事项表!$E:$E,考核调整事项表!$G:$G,累计考核费用!$B79,考核调整事项表!$F:$F,累计考核费用!V$55)</f>
        <v>0</v>
      </c>
      <c r="W79" s="88">
        <f>SUMIFS(考核调整事项表!$C:$C,考核调整事项表!$G:$G,累计考核费用!$B79,考核调整事项表!$D:$D,累计考核费用!W$55)+SUMIFS(考核调整事项表!$E:$E,考核调整事项表!$G:$G,累计考核费用!$B79,考核调整事项表!$F:$F,累计考核费用!W$55)</f>
        <v>0</v>
      </c>
      <c r="X79" s="88">
        <f>SUMIFS(考核调整事项表!$C:$C,考核调整事项表!$G:$G,累计考核费用!$B79,考核调整事项表!$D:$D,累计考核费用!X$55)+SUMIFS(考核调整事项表!$E:$E,考核调整事项表!$G:$G,累计考核费用!$B79,考核调整事项表!$F:$F,累计考核费用!X$55)</f>
        <v>0</v>
      </c>
      <c r="Y79" s="88">
        <f>SUMIFS(考核调整事项表!$C:$C,考核调整事项表!$G:$G,累计考核费用!$B79,考核调整事项表!$D:$D,累计考核费用!Y$55)+SUMIFS(考核调整事项表!$E:$E,考核调整事项表!$G:$G,累计考核费用!$B79,考核调整事项表!$F:$F,累计考核费用!Y$55)</f>
        <v>0</v>
      </c>
      <c r="Z79" s="88">
        <f>SUMIFS(考核调整事项表!$C:$C,考核调整事项表!$G:$G,累计考核费用!$B79,考核调整事项表!$D:$D,累计考核费用!Z$55)+SUMIFS(考核调整事项表!$E:$E,考核调整事项表!$G:$G,累计考核费用!$B79,考核调整事项表!$F:$F,累计考核费用!Z$55)</f>
        <v>0</v>
      </c>
      <c r="AA79" s="88">
        <f>SUMIFS(考核调整事项表!$C:$C,考核调整事项表!$G:$G,累计考核费用!$B79,考核调整事项表!$D:$D,累计考核费用!AA$55)+SUMIFS(考核调整事项表!$E:$E,考核调整事项表!$G:$G,累计考核费用!$B79,考核调整事项表!$F:$F,累计考核费用!AA$55)</f>
        <v>0</v>
      </c>
      <c r="AB79" s="88">
        <f>SUMIFS(考核调整事项表!$C:$C,考核调整事项表!$G:$G,累计考核费用!$B79,考核调整事项表!$D:$D,累计考核费用!AB$55)+SUMIFS(考核调整事项表!$E:$E,考核调整事项表!$G:$G,累计考核费用!$B79,考核调整事项表!$F:$F,累计考核费用!AB$55)</f>
        <v>0</v>
      </c>
      <c r="AC79" s="88">
        <f>SUMIFS(考核调整事项表!$C:$C,考核调整事项表!$G:$G,累计考核费用!$B79,考核调整事项表!$D:$D,累计考核费用!AC$55)+SUMIFS(考核调整事项表!$E:$E,考核调整事项表!$G:$G,累计考核费用!$B79,考核调整事项表!$F:$F,累计考核费用!AC$55)</f>
        <v>0</v>
      </c>
      <c r="AD79" s="88">
        <f>SUMIFS(考核调整事项表!$C:$C,考核调整事项表!$G:$G,累计考核费用!$B79,考核调整事项表!$D:$D,累计考核费用!AD$55)+SUMIFS(考核调整事项表!$E:$E,考核调整事项表!$G:$G,累计考核费用!$B79,考核调整事项表!$F:$F,累计考核费用!AD$55)</f>
        <v>0</v>
      </c>
    </row>
    <row r="80" spans="1:30">
      <c r="A80" s="443"/>
      <c r="B80" s="48" t="s">
        <v>113</v>
      </c>
      <c r="C80" s="9">
        <f t="shared" si="7"/>
        <v>0</v>
      </c>
      <c r="D80" s="88">
        <f>SUMIFS(考核调整事项表!$C:$C,考核调整事项表!$G:$G,累计考核费用!$B80,考核调整事项表!$D:$D,累计考核费用!D$55)+SUMIFS(考核调整事项表!$E:$E,考核调整事项表!$G:$G,累计考核费用!$B80,考核调整事项表!$F:$F,累计考核费用!D$55)</f>
        <v>0</v>
      </c>
      <c r="E80" s="88">
        <f>SUMIFS(考核调整事项表!$C:$C,考核调整事项表!$G:$G,累计考核费用!$B80,考核调整事项表!$D:$D,累计考核费用!E$55)+SUMIFS(考核调整事项表!$E:$E,考核调整事项表!$G:$G,累计考核费用!$B80,考核调整事项表!$F:$F,累计考核费用!E$55)</f>
        <v>0</v>
      </c>
      <c r="F80" s="88">
        <f>SUMIFS(考核调整事项表!$C:$C,考核调整事项表!$G:$G,累计考核费用!$B80,考核调整事项表!$D:$D,累计考核费用!F$55)+SUMIFS(考核调整事项表!$E:$E,考核调整事项表!$G:$G,累计考核费用!$B80,考核调整事项表!$F:$F,累计考核费用!F$55)</f>
        <v>0</v>
      </c>
      <c r="G80" s="88">
        <f>SUMIFS(考核调整事项表!$C:$C,考核调整事项表!$G:$G,累计考核费用!$B80,考核调整事项表!$D:$D,累计考核费用!G$55)+SUMIFS(考核调整事项表!$E:$E,考核调整事项表!$G:$G,累计考核费用!$B80,考核调整事项表!$F:$F,累计考核费用!G$55)</f>
        <v>0</v>
      </c>
      <c r="H80" s="88">
        <f t="shared" si="8"/>
        <v>0</v>
      </c>
      <c r="I80" s="88">
        <f>SUMIFS(考核调整事项表!$C:$C,考核调整事项表!$G:$G,累计考核费用!$B80,考核调整事项表!$D:$D,累计考核费用!I$55)+SUMIFS(考核调整事项表!$E:$E,考核调整事项表!$G:$G,累计考核费用!$B80,考核调整事项表!$F:$F,累计考核费用!I$55)</f>
        <v>0</v>
      </c>
      <c r="J80" s="88">
        <f>SUMIFS(考核调整事项表!$C:$C,考核调整事项表!$G:$G,累计考核费用!$B80,考核调整事项表!$D:$D,累计考核费用!J$55)+SUMIFS(考核调整事项表!$E:$E,考核调整事项表!$G:$G,累计考核费用!$B80,考核调整事项表!$F:$F,累计考核费用!J$55)</f>
        <v>0</v>
      </c>
      <c r="K80" s="88">
        <f>SUMIFS(考核调整事项表!$C:$C,考核调整事项表!$G:$G,累计考核费用!$B80,考核调整事项表!$D:$D,累计考核费用!K$55)+SUMIFS(考核调整事项表!$E:$E,考核调整事项表!$G:$G,累计考核费用!$B80,考核调整事项表!$F:$F,累计考核费用!K$55)</f>
        <v>0</v>
      </c>
      <c r="L80" s="88">
        <f t="shared" si="9"/>
        <v>0</v>
      </c>
      <c r="M80" s="88">
        <f>SUMIFS(考核调整事项表!$C:$C,考核调整事项表!$G:$G,累计考核费用!$B80,考核调整事项表!$D:$D,累计考核费用!M$55)+SUMIFS(考核调整事项表!$E:$E,考核调整事项表!$G:$G,累计考核费用!$B80,考核调整事项表!$F:$F,累计考核费用!M$55)</f>
        <v>0</v>
      </c>
      <c r="N80" s="88">
        <f>SUMIFS(考核调整事项表!$C:$C,考核调整事项表!$G:$G,累计考核费用!$B80,考核调整事项表!$D:$D,累计考核费用!N$55)+SUMIFS(考核调整事项表!$E:$E,考核调整事项表!$G:$G,累计考核费用!$B80,考核调整事项表!$F:$F,累计考核费用!N$55)</f>
        <v>0</v>
      </c>
      <c r="O80" s="88">
        <f>SUMIFS(考核调整事项表!$C:$C,考核调整事项表!$G:$G,累计考核费用!$B80,考核调整事项表!$D:$D,累计考核费用!O$55)+SUMIFS(考核调整事项表!$E:$E,考核调整事项表!$G:$G,累计考核费用!$B80,考核调整事项表!$F:$F,累计考核费用!O$55)</f>
        <v>0</v>
      </c>
      <c r="P80" s="88">
        <f>SUMIFS(考核调整事项表!$C:$C,考核调整事项表!$G:$G,累计考核费用!$B80,考核调整事项表!$D:$D,累计考核费用!P$55)+SUMIFS(考核调整事项表!$E:$E,考核调整事项表!$G:$G,累计考核费用!$B80,考核调整事项表!$F:$F,累计考核费用!P$55)</f>
        <v>0</v>
      </c>
      <c r="Q80" s="88">
        <f t="shared" si="10"/>
        <v>0</v>
      </c>
      <c r="R80" s="88">
        <f>SUMIFS(考核调整事项表!$C:$C,考核调整事项表!$G:$G,累计考核费用!$B80,考核调整事项表!$D:$D,累计考核费用!R$55)+SUMIFS(考核调整事项表!$E:$E,考核调整事项表!$G:$G,累计考核费用!$B80,考核调整事项表!$F:$F,累计考核费用!R$55)</f>
        <v>0</v>
      </c>
      <c r="S80" s="88">
        <f>SUMIFS(考核调整事项表!$C:$C,考核调整事项表!$G:$G,累计考核费用!$B80,考核调整事项表!$D:$D,累计考核费用!S$55)+SUMIFS(考核调整事项表!$E:$E,考核调整事项表!$G:$G,累计考核费用!$B80,考核调整事项表!$F:$F,累计考核费用!S$55)</f>
        <v>0</v>
      </c>
      <c r="T80" s="91">
        <f>SUMIFS(考核调整事项表!$C:$C,考核调整事项表!$G:$G,累计考核费用!$B80,考核调整事项表!$D:$D,累计考核费用!T$55)+SUMIFS(考核调整事项表!$E:$E,考核调整事项表!$G:$G,累计考核费用!$B80,考核调整事项表!$F:$F,累计考核费用!T$55)</f>
        <v>0</v>
      </c>
      <c r="U80" s="88">
        <f t="shared" si="11"/>
        <v>0</v>
      </c>
      <c r="V80" s="88">
        <f>SUMIFS(考核调整事项表!$C:$C,考核调整事项表!$G:$G,累计考核费用!$B80,考核调整事项表!$D:$D,累计考核费用!V$55)+SUMIFS(考核调整事项表!$E:$E,考核调整事项表!$G:$G,累计考核费用!$B80,考核调整事项表!$F:$F,累计考核费用!V$55)</f>
        <v>0</v>
      </c>
      <c r="W80" s="88">
        <f>SUMIFS(考核调整事项表!$C:$C,考核调整事项表!$G:$G,累计考核费用!$B80,考核调整事项表!$D:$D,累计考核费用!W$55)+SUMIFS(考核调整事项表!$E:$E,考核调整事项表!$G:$G,累计考核费用!$B80,考核调整事项表!$F:$F,累计考核费用!W$55)</f>
        <v>0</v>
      </c>
      <c r="X80" s="88">
        <f>SUMIFS(考核调整事项表!$C:$C,考核调整事项表!$G:$G,累计考核费用!$B80,考核调整事项表!$D:$D,累计考核费用!X$55)+SUMIFS(考核调整事项表!$E:$E,考核调整事项表!$G:$G,累计考核费用!$B80,考核调整事项表!$F:$F,累计考核费用!X$55)</f>
        <v>0</v>
      </c>
      <c r="Y80" s="88">
        <f>SUMIFS(考核调整事项表!$C:$C,考核调整事项表!$G:$G,累计考核费用!$B80,考核调整事项表!$D:$D,累计考核费用!Y$55)+SUMIFS(考核调整事项表!$E:$E,考核调整事项表!$G:$G,累计考核费用!$B80,考核调整事项表!$F:$F,累计考核费用!Y$55)</f>
        <v>0</v>
      </c>
      <c r="Z80" s="88">
        <f>SUMIFS(考核调整事项表!$C:$C,考核调整事项表!$G:$G,累计考核费用!$B80,考核调整事项表!$D:$D,累计考核费用!Z$55)+SUMIFS(考核调整事项表!$E:$E,考核调整事项表!$G:$G,累计考核费用!$B80,考核调整事项表!$F:$F,累计考核费用!Z$55)</f>
        <v>0</v>
      </c>
      <c r="AA80" s="88">
        <f>SUMIFS(考核调整事项表!$C:$C,考核调整事项表!$G:$G,累计考核费用!$B80,考核调整事项表!$D:$D,累计考核费用!AA$55)+SUMIFS(考核调整事项表!$E:$E,考核调整事项表!$G:$G,累计考核费用!$B80,考核调整事项表!$F:$F,累计考核费用!AA$55)</f>
        <v>0</v>
      </c>
      <c r="AB80" s="88">
        <f>SUMIFS(考核调整事项表!$C:$C,考核调整事项表!$G:$G,累计考核费用!$B80,考核调整事项表!$D:$D,累计考核费用!AB$55)+SUMIFS(考核调整事项表!$E:$E,考核调整事项表!$G:$G,累计考核费用!$B80,考核调整事项表!$F:$F,累计考核费用!AB$55)</f>
        <v>0</v>
      </c>
      <c r="AC80" s="88">
        <f>SUMIFS(考核调整事项表!$C:$C,考核调整事项表!$G:$G,累计考核费用!$B80,考核调整事项表!$D:$D,累计考核费用!AC$55)+SUMIFS(考核调整事项表!$E:$E,考核调整事项表!$G:$G,累计考核费用!$B80,考核调整事项表!$F:$F,累计考核费用!AC$55)</f>
        <v>0</v>
      </c>
      <c r="AD80" s="88">
        <f>SUMIFS(考核调整事项表!$C:$C,考核调整事项表!$G:$G,累计考核费用!$B80,考核调整事项表!$D:$D,累计考核费用!AD$55)+SUMIFS(考核调整事项表!$E:$E,考核调整事项表!$G:$G,累计考核费用!$B80,考核调整事项表!$F:$F,累计考核费用!AD$55)</f>
        <v>0</v>
      </c>
    </row>
    <row r="81" spans="1:30">
      <c r="A81" s="443"/>
      <c r="B81" s="48" t="s">
        <v>114</v>
      </c>
      <c r="C81" s="9">
        <f t="shared" si="7"/>
        <v>0</v>
      </c>
      <c r="D81" s="88">
        <f>SUMIFS(考核调整事项表!$C:$C,考核调整事项表!$G:$G,累计考核费用!$B81,考核调整事项表!$D:$D,累计考核费用!D$55)+SUMIFS(考核调整事项表!$E:$E,考核调整事项表!$G:$G,累计考核费用!$B81,考核调整事项表!$F:$F,累计考核费用!D$55)</f>
        <v>0</v>
      </c>
      <c r="E81" s="88">
        <f>SUMIFS(考核调整事项表!$C:$C,考核调整事项表!$G:$G,累计考核费用!$B81,考核调整事项表!$D:$D,累计考核费用!E$55)+SUMIFS(考核调整事项表!$E:$E,考核调整事项表!$G:$G,累计考核费用!$B81,考核调整事项表!$F:$F,累计考核费用!E$55)</f>
        <v>0</v>
      </c>
      <c r="F81" s="88">
        <f>SUMIFS(考核调整事项表!$C:$C,考核调整事项表!$G:$G,累计考核费用!$B81,考核调整事项表!$D:$D,累计考核费用!F$55)+SUMIFS(考核调整事项表!$E:$E,考核调整事项表!$G:$G,累计考核费用!$B81,考核调整事项表!$F:$F,累计考核费用!F$55)</f>
        <v>0</v>
      </c>
      <c r="G81" s="88">
        <f>SUMIFS(考核调整事项表!$C:$C,考核调整事项表!$G:$G,累计考核费用!$B81,考核调整事项表!$D:$D,累计考核费用!G$55)+SUMIFS(考核调整事项表!$E:$E,考核调整事项表!$G:$G,累计考核费用!$B81,考核调整事项表!$F:$F,累计考核费用!G$55)</f>
        <v>0</v>
      </c>
      <c r="H81" s="88">
        <f t="shared" si="8"/>
        <v>0</v>
      </c>
      <c r="I81" s="88">
        <f>SUMIFS(考核调整事项表!$C:$C,考核调整事项表!$G:$G,累计考核费用!$B81,考核调整事项表!$D:$D,累计考核费用!I$55)+SUMIFS(考核调整事项表!$E:$E,考核调整事项表!$G:$G,累计考核费用!$B81,考核调整事项表!$F:$F,累计考核费用!I$55)</f>
        <v>0</v>
      </c>
      <c r="J81" s="88">
        <f>SUMIFS(考核调整事项表!$C:$C,考核调整事项表!$G:$G,累计考核费用!$B81,考核调整事项表!$D:$D,累计考核费用!J$55)+SUMIFS(考核调整事项表!$E:$E,考核调整事项表!$G:$G,累计考核费用!$B81,考核调整事项表!$F:$F,累计考核费用!J$55)</f>
        <v>0</v>
      </c>
      <c r="K81" s="88">
        <f>SUMIFS(考核调整事项表!$C:$C,考核调整事项表!$G:$G,累计考核费用!$B81,考核调整事项表!$D:$D,累计考核费用!K$55)+SUMIFS(考核调整事项表!$E:$E,考核调整事项表!$G:$G,累计考核费用!$B81,考核调整事项表!$F:$F,累计考核费用!K$55)</f>
        <v>0</v>
      </c>
      <c r="L81" s="88">
        <f t="shared" si="9"/>
        <v>0</v>
      </c>
      <c r="M81" s="88">
        <f>SUMIFS(考核调整事项表!$C:$C,考核调整事项表!$G:$G,累计考核费用!$B81,考核调整事项表!$D:$D,累计考核费用!M$55)+SUMIFS(考核调整事项表!$E:$E,考核调整事项表!$G:$G,累计考核费用!$B81,考核调整事项表!$F:$F,累计考核费用!M$55)</f>
        <v>0</v>
      </c>
      <c r="N81" s="88">
        <f>SUMIFS(考核调整事项表!$C:$C,考核调整事项表!$G:$G,累计考核费用!$B81,考核调整事项表!$D:$D,累计考核费用!N$55)+SUMIFS(考核调整事项表!$E:$E,考核调整事项表!$G:$G,累计考核费用!$B81,考核调整事项表!$F:$F,累计考核费用!N$55)</f>
        <v>0</v>
      </c>
      <c r="O81" s="88">
        <f>SUMIFS(考核调整事项表!$C:$C,考核调整事项表!$G:$G,累计考核费用!$B81,考核调整事项表!$D:$D,累计考核费用!O$55)+SUMIFS(考核调整事项表!$E:$E,考核调整事项表!$G:$G,累计考核费用!$B81,考核调整事项表!$F:$F,累计考核费用!O$55)</f>
        <v>0</v>
      </c>
      <c r="P81" s="88">
        <f>SUMIFS(考核调整事项表!$C:$C,考核调整事项表!$G:$G,累计考核费用!$B81,考核调整事项表!$D:$D,累计考核费用!P$55)+SUMIFS(考核调整事项表!$E:$E,考核调整事项表!$G:$G,累计考核费用!$B81,考核调整事项表!$F:$F,累计考核费用!P$55)</f>
        <v>0</v>
      </c>
      <c r="Q81" s="88">
        <f t="shared" si="10"/>
        <v>0</v>
      </c>
      <c r="R81" s="88">
        <f>SUMIFS(考核调整事项表!$C:$C,考核调整事项表!$G:$G,累计考核费用!$B81,考核调整事项表!$D:$D,累计考核费用!R$55)+SUMIFS(考核调整事项表!$E:$E,考核调整事项表!$G:$G,累计考核费用!$B81,考核调整事项表!$F:$F,累计考核费用!R$55)</f>
        <v>0</v>
      </c>
      <c r="S81" s="88">
        <f>SUMIFS(考核调整事项表!$C:$C,考核调整事项表!$G:$G,累计考核费用!$B81,考核调整事项表!$D:$D,累计考核费用!S$55)+SUMIFS(考核调整事项表!$E:$E,考核调整事项表!$G:$G,累计考核费用!$B81,考核调整事项表!$F:$F,累计考核费用!S$55)</f>
        <v>0</v>
      </c>
      <c r="T81" s="91">
        <f>SUMIFS(考核调整事项表!$C:$C,考核调整事项表!$G:$G,累计考核费用!$B81,考核调整事项表!$D:$D,累计考核费用!T$55)+SUMIFS(考核调整事项表!$E:$E,考核调整事项表!$G:$G,累计考核费用!$B81,考核调整事项表!$F:$F,累计考核费用!T$55)</f>
        <v>0</v>
      </c>
      <c r="U81" s="88">
        <f t="shared" si="11"/>
        <v>0</v>
      </c>
      <c r="V81" s="88">
        <f>SUMIFS(考核调整事项表!$C:$C,考核调整事项表!$G:$G,累计考核费用!$B81,考核调整事项表!$D:$D,累计考核费用!V$55)+SUMIFS(考核调整事项表!$E:$E,考核调整事项表!$G:$G,累计考核费用!$B81,考核调整事项表!$F:$F,累计考核费用!V$55)</f>
        <v>0</v>
      </c>
      <c r="W81" s="88">
        <f>SUMIFS(考核调整事项表!$C:$C,考核调整事项表!$G:$G,累计考核费用!$B81,考核调整事项表!$D:$D,累计考核费用!W$55)+SUMIFS(考核调整事项表!$E:$E,考核调整事项表!$G:$G,累计考核费用!$B81,考核调整事项表!$F:$F,累计考核费用!W$55)</f>
        <v>0</v>
      </c>
      <c r="X81" s="88">
        <f>SUMIFS(考核调整事项表!$C:$C,考核调整事项表!$G:$G,累计考核费用!$B81,考核调整事项表!$D:$D,累计考核费用!X$55)+SUMIFS(考核调整事项表!$E:$E,考核调整事项表!$G:$G,累计考核费用!$B81,考核调整事项表!$F:$F,累计考核费用!X$55)</f>
        <v>0</v>
      </c>
      <c r="Y81" s="88">
        <f>SUMIFS(考核调整事项表!$C:$C,考核调整事项表!$G:$G,累计考核费用!$B81,考核调整事项表!$D:$D,累计考核费用!Y$55)+SUMIFS(考核调整事项表!$E:$E,考核调整事项表!$G:$G,累计考核费用!$B81,考核调整事项表!$F:$F,累计考核费用!Y$55)</f>
        <v>0</v>
      </c>
      <c r="Z81" s="88">
        <f>SUMIFS(考核调整事项表!$C:$C,考核调整事项表!$G:$G,累计考核费用!$B81,考核调整事项表!$D:$D,累计考核费用!Z$55)+SUMIFS(考核调整事项表!$E:$E,考核调整事项表!$G:$G,累计考核费用!$B81,考核调整事项表!$F:$F,累计考核费用!Z$55)</f>
        <v>0</v>
      </c>
      <c r="AA81" s="88">
        <f>SUMIFS(考核调整事项表!$C:$C,考核调整事项表!$G:$G,累计考核费用!$B81,考核调整事项表!$D:$D,累计考核费用!AA$55)+SUMIFS(考核调整事项表!$E:$E,考核调整事项表!$G:$G,累计考核费用!$B81,考核调整事项表!$F:$F,累计考核费用!AA$55)</f>
        <v>0</v>
      </c>
      <c r="AB81" s="88">
        <f>SUMIFS(考核调整事项表!$C:$C,考核调整事项表!$G:$G,累计考核费用!$B81,考核调整事项表!$D:$D,累计考核费用!AB$55)+SUMIFS(考核调整事项表!$E:$E,考核调整事项表!$G:$G,累计考核费用!$B81,考核调整事项表!$F:$F,累计考核费用!AB$55)</f>
        <v>0</v>
      </c>
      <c r="AC81" s="88">
        <f>SUMIFS(考核调整事项表!$C:$C,考核调整事项表!$G:$G,累计考核费用!$B81,考核调整事项表!$D:$D,累计考核费用!AC$55)+SUMIFS(考核调整事项表!$E:$E,考核调整事项表!$G:$G,累计考核费用!$B81,考核调整事项表!$F:$F,累计考核费用!AC$55)</f>
        <v>0</v>
      </c>
      <c r="AD81" s="88">
        <f>SUMIFS(考核调整事项表!$C:$C,考核调整事项表!$G:$G,累计考核费用!$B81,考核调整事项表!$D:$D,累计考核费用!AD$55)+SUMIFS(考核调整事项表!$E:$E,考核调整事项表!$G:$G,累计考核费用!$B81,考核调整事项表!$F:$F,累计考核费用!AD$55)</f>
        <v>0</v>
      </c>
    </row>
    <row r="82" spans="1:30">
      <c r="A82" s="443"/>
      <c r="B82" s="48" t="s">
        <v>115</v>
      </c>
      <c r="C82" s="9">
        <f t="shared" si="7"/>
        <v>0</v>
      </c>
      <c r="D82" s="88">
        <f>SUMIFS(考核调整事项表!$C:$C,考核调整事项表!$G:$G,累计考核费用!$B82,考核调整事项表!$D:$D,累计考核费用!D$55)+SUMIFS(考核调整事项表!$E:$E,考核调整事项表!$G:$G,累计考核费用!$B82,考核调整事项表!$F:$F,累计考核费用!D$55)</f>
        <v>0</v>
      </c>
      <c r="E82" s="88">
        <f>SUMIFS(考核调整事项表!$C:$C,考核调整事项表!$G:$G,累计考核费用!$B82,考核调整事项表!$D:$D,累计考核费用!E$55)+SUMIFS(考核调整事项表!$E:$E,考核调整事项表!$G:$G,累计考核费用!$B82,考核调整事项表!$F:$F,累计考核费用!E$55)</f>
        <v>0</v>
      </c>
      <c r="F82" s="88">
        <f>SUMIFS(考核调整事项表!$C:$C,考核调整事项表!$G:$G,累计考核费用!$B82,考核调整事项表!$D:$D,累计考核费用!F$55)+SUMIFS(考核调整事项表!$E:$E,考核调整事项表!$G:$G,累计考核费用!$B82,考核调整事项表!$F:$F,累计考核费用!F$55)</f>
        <v>0</v>
      </c>
      <c r="G82" s="88">
        <f>SUMIFS(考核调整事项表!$C:$C,考核调整事项表!$G:$G,累计考核费用!$B82,考核调整事项表!$D:$D,累计考核费用!G$55)+SUMIFS(考核调整事项表!$E:$E,考核调整事项表!$G:$G,累计考核费用!$B82,考核调整事项表!$F:$F,累计考核费用!G$55)</f>
        <v>0</v>
      </c>
      <c r="H82" s="88">
        <f t="shared" si="8"/>
        <v>0</v>
      </c>
      <c r="I82" s="88">
        <f>SUMIFS(考核调整事项表!$C:$C,考核调整事项表!$G:$G,累计考核费用!$B82,考核调整事项表!$D:$D,累计考核费用!I$55)+SUMIFS(考核调整事项表!$E:$E,考核调整事项表!$G:$G,累计考核费用!$B82,考核调整事项表!$F:$F,累计考核费用!I$55)</f>
        <v>0</v>
      </c>
      <c r="J82" s="88">
        <f>SUMIFS(考核调整事项表!$C:$C,考核调整事项表!$G:$G,累计考核费用!$B82,考核调整事项表!$D:$D,累计考核费用!J$55)+SUMIFS(考核调整事项表!$E:$E,考核调整事项表!$G:$G,累计考核费用!$B82,考核调整事项表!$F:$F,累计考核费用!J$55)</f>
        <v>0</v>
      </c>
      <c r="K82" s="88">
        <f>SUMIFS(考核调整事项表!$C:$C,考核调整事项表!$G:$G,累计考核费用!$B82,考核调整事项表!$D:$D,累计考核费用!K$55)+SUMIFS(考核调整事项表!$E:$E,考核调整事项表!$G:$G,累计考核费用!$B82,考核调整事项表!$F:$F,累计考核费用!K$55)</f>
        <v>0</v>
      </c>
      <c r="L82" s="88">
        <f t="shared" si="9"/>
        <v>0</v>
      </c>
      <c r="M82" s="88">
        <f>SUMIFS(考核调整事项表!$C:$C,考核调整事项表!$G:$G,累计考核费用!$B82,考核调整事项表!$D:$D,累计考核费用!M$55)+SUMIFS(考核调整事项表!$E:$E,考核调整事项表!$G:$G,累计考核费用!$B82,考核调整事项表!$F:$F,累计考核费用!M$55)</f>
        <v>0</v>
      </c>
      <c r="N82" s="88">
        <f>SUMIFS(考核调整事项表!$C:$C,考核调整事项表!$G:$G,累计考核费用!$B82,考核调整事项表!$D:$D,累计考核费用!N$55)+SUMIFS(考核调整事项表!$E:$E,考核调整事项表!$G:$G,累计考核费用!$B82,考核调整事项表!$F:$F,累计考核费用!N$55)</f>
        <v>0</v>
      </c>
      <c r="O82" s="88">
        <f>SUMIFS(考核调整事项表!$C:$C,考核调整事项表!$G:$G,累计考核费用!$B82,考核调整事项表!$D:$D,累计考核费用!O$55)+SUMIFS(考核调整事项表!$E:$E,考核调整事项表!$G:$G,累计考核费用!$B82,考核调整事项表!$F:$F,累计考核费用!O$55)</f>
        <v>0</v>
      </c>
      <c r="P82" s="88">
        <f>SUMIFS(考核调整事项表!$C:$C,考核调整事项表!$G:$G,累计考核费用!$B82,考核调整事项表!$D:$D,累计考核费用!P$55)+SUMIFS(考核调整事项表!$E:$E,考核调整事项表!$G:$G,累计考核费用!$B82,考核调整事项表!$F:$F,累计考核费用!P$55)</f>
        <v>0</v>
      </c>
      <c r="Q82" s="88">
        <f t="shared" si="10"/>
        <v>0</v>
      </c>
      <c r="R82" s="88">
        <f>SUMIFS(考核调整事项表!$C:$C,考核调整事项表!$G:$G,累计考核费用!$B82,考核调整事项表!$D:$D,累计考核费用!R$55)+SUMIFS(考核调整事项表!$E:$E,考核调整事项表!$G:$G,累计考核费用!$B82,考核调整事项表!$F:$F,累计考核费用!R$55)</f>
        <v>0</v>
      </c>
      <c r="S82" s="88">
        <f>SUMIFS(考核调整事项表!$C:$C,考核调整事项表!$G:$G,累计考核费用!$B82,考核调整事项表!$D:$D,累计考核费用!S$55)+SUMIFS(考核调整事项表!$E:$E,考核调整事项表!$G:$G,累计考核费用!$B82,考核调整事项表!$F:$F,累计考核费用!S$55)</f>
        <v>0</v>
      </c>
      <c r="T82" s="91">
        <f>SUMIFS(考核调整事项表!$C:$C,考核调整事项表!$G:$G,累计考核费用!$B82,考核调整事项表!$D:$D,累计考核费用!T$55)+SUMIFS(考核调整事项表!$E:$E,考核调整事项表!$G:$G,累计考核费用!$B82,考核调整事项表!$F:$F,累计考核费用!T$55)</f>
        <v>0</v>
      </c>
      <c r="U82" s="88">
        <f t="shared" si="11"/>
        <v>0</v>
      </c>
      <c r="V82" s="88">
        <f>SUMIFS(考核调整事项表!$C:$C,考核调整事项表!$G:$G,累计考核费用!$B82,考核调整事项表!$D:$D,累计考核费用!V$55)+SUMIFS(考核调整事项表!$E:$E,考核调整事项表!$G:$G,累计考核费用!$B82,考核调整事项表!$F:$F,累计考核费用!V$55)</f>
        <v>0</v>
      </c>
      <c r="W82" s="88">
        <f>SUMIFS(考核调整事项表!$C:$C,考核调整事项表!$G:$G,累计考核费用!$B82,考核调整事项表!$D:$D,累计考核费用!W$55)+SUMIFS(考核调整事项表!$E:$E,考核调整事项表!$G:$G,累计考核费用!$B82,考核调整事项表!$F:$F,累计考核费用!W$55)</f>
        <v>0</v>
      </c>
      <c r="X82" s="88">
        <f>SUMIFS(考核调整事项表!$C:$C,考核调整事项表!$G:$G,累计考核费用!$B82,考核调整事项表!$D:$D,累计考核费用!X$55)+SUMIFS(考核调整事项表!$E:$E,考核调整事项表!$G:$G,累计考核费用!$B82,考核调整事项表!$F:$F,累计考核费用!X$55)</f>
        <v>0</v>
      </c>
      <c r="Y82" s="88">
        <f>SUMIFS(考核调整事项表!$C:$C,考核调整事项表!$G:$G,累计考核费用!$B82,考核调整事项表!$D:$D,累计考核费用!Y$55)+SUMIFS(考核调整事项表!$E:$E,考核调整事项表!$G:$G,累计考核费用!$B82,考核调整事项表!$F:$F,累计考核费用!Y$55)</f>
        <v>0</v>
      </c>
      <c r="Z82" s="88">
        <f>SUMIFS(考核调整事项表!$C:$C,考核调整事项表!$G:$G,累计考核费用!$B82,考核调整事项表!$D:$D,累计考核费用!Z$55)+SUMIFS(考核调整事项表!$E:$E,考核调整事项表!$G:$G,累计考核费用!$B82,考核调整事项表!$F:$F,累计考核费用!Z$55)</f>
        <v>0</v>
      </c>
      <c r="AA82" s="88">
        <f>SUMIFS(考核调整事项表!$C:$C,考核调整事项表!$G:$G,累计考核费用!$B82,考核调整事项表!$D:$D,累计考核费用!AA$55)+SUMIFS(考核调整事项表!$E:$E,考核调整事项表!$G:$G,累计考核费用!$B82,考核调整事项表!$F:$F,累计考核费用!AA$55)</f>
        <v>0</v>
      </c>
      <c r="AB82" s="88">
        <f>SUMIFS(考核调整事项表!$C:$C,考核调整事项表!$G:$G,累计考核费用!$B82,考核调整事项表!$D:$D,累计考核费用!AB$55)+SUMIFS(考核调整事项表!$E:$E,考核调整事项表!$G:$G,累计考核费用!$B82,考核调整事项表!$F:$F,累计考核费用!AB$55)</f>
        <v>0</v>
      </c>
      <c r="AC82" s="88">
        <f>SUMIFS(考核调整事项表!$C:$C,考核调整事项表!$G:$G,累计考核费用!$B82,考核调整事项表!$D:$D,累计考核费用!AC$55)+SUMIFS(考核调整事项表!$E:$E,考核调整事项表!$G:$G,累计考核费用!$B82,考核调整事项表!$F:$F,累计考核费用!AC$55)</f>
        <v>0</v>
      </c>
      <c r="AD82" s="88">
        <f>SUMIFS(考核调整事项表!$C:$C,考核调整事项表!$G:$G,累计考核费用!$B82,考核调整事项表!$D:$D,累计考核费用!AD$55)+SUMIFS(考核调整事项表!$E:$E,考核调整事项表!$G:$G,累计考核费用!$B82,考核调整事项表!$F:$F,累计考核费用!AD$55)</f>
        <v>0</v>
      </c>
    </row>
    <row r="83" spans="1:30">
      <c r="A83" s="443"/>
      <c r="B83" s="48" t="s">
        <v>116</v>
      </c>
      <c r="C83" s="9">
        <f t="shared" si="7"/>
        <v>0</v>
      </c>
      <c r="D83" s="88">
        <f>SUMIFS(考核调整事项表!$C:$C,考核调整事项表!$G:$G,累计考核费用!$B83,考核调整事项表!$D:$D,累计考核费用!D$55)+SUMIFS(考核调整事项表!$E:$E,考核调整事项表!$G:$G,累计考核费用!$B83,考核调整事项表!$F:$F,累计考核费用!D$55)</f>
        <v>0</v>
      </c>
      <c r="E83" s="88">
        <f>SUMIFS(考核调整事项表!$C:$C,考核调整事项表!$G:$G,累计考核费用!$B83,考核调整事项表!$D:$D,累计考核费用!E$55)+SUMIFS(考核调整事项表!$E:$E,考核调整事项表!$G:$G,累计考核费用!$B83,考核调整事项表!$F:$F,累计考核费用!E$55)</f>
        <v>0</v>
      </c>
      <c r="F83" s="88">
        <f>SUMIFS(考核调整事项表!$C:$C,考核调整事项表!$G:$G,累计考核费用!$B83,考核调整事项表!$D:$D,累计考核费用!F$55)+SUMIFS(考核调整事项表!$E:$E,考核调整事项表!$G:$G,累计考核费用!$B83,考核调整事项表!$F:$F,累计考核费用!F$55)</f>
        <v>0</v>
      </c>
      <c r="G83" s="88">
        <f>SUMIFS(考核调整事项表!$C:$C,考核调整事项表!$G:$G,累计考核费用!$B83,考核调整事项表!$D:$D,累计考核费用!G$55)+SUMIFS(考核调整事项表!$E:$E,考核调整事项表!$G:$G,累计考核费用!$B83,考核调整事项表!$F:$F,累计考核费用!G$55)</f>
        <v>0</v>
      </c>
      <c r="H83" s="88">
        <f t="shared" si="8"/>
        <v>0</v>
      </c>
      <c r="I83" s="88">
        <f>SUMIFS(考核调整事项表!$C:$C,考核调整事项表!$G:$G,累计考核费用!$B83,考核调整事项表!$D:$D,累计考核费用!I$55)+SUMIFS(考核调整事项表!$E:$E,考核调整事项表!$G:$G,累计考核费用!$B83,考核调整事项表!$F:$F,累计考核费用!I$55)</f>
        <v>0</v>
      </c>
      <c r="J83" s="88">
        <f>SUMIFS(考核调整事项表!$C:$C,考核调整事项表!$G:$G,累计考核费用!$B83,考核调整事项表!$D:$D,累计考核费用!J$55)+SUMIFS(考核调整事项表!$E:$E,考核调整事项表!$G:$G,累计考核费用!$B83,考核调整事项表!$F:$F,累计考核费用!J$55)</f>
        <v>0</v>
      </c>
      <c r="K83" s="88">
        <f>SUMIFS(考核调整事项表!$C:$C,考核调整事项表!$G:$G,累计考核费用!$B83,考核调整事项表!$D:$D,累计考核费用!K$55)+SUMIFS(考核调整事项表!$E:$E,考核调整事项表!$G:$G,累计考核费用!$B83,考核调整事项表!$F:$F,累计考核费用!K$55)</f>
        <v>0</v>
      </c>
      <c r="L83" s="88">
        <f t="shared" si="9"/>
        <v>0</v>
      </c>
      <c r="M83" s="88">
        <f>SUMIFS(考核调整事项表!$C:$C,考核调整事项表!$G:$G,累计考核费用!$B83,考核调整事项表!$D:$D,累计考核费用!M$55)+SUMIFS(考核调整事项表!$E:$E,考核调整事项表!$G:$G,累计考核费用!$B83,考核调整事项表!$F:$F,累计考核费用!M$55)</f>
        <v>0</v>
      </c>
      <c r="N83" s="88">
        <f>SUMIFS(考核调整事项表!$C:$C,考核调整事项表!$G:$G,累计考核费用!$B83,考核调整事项表!$D:$D,累计考核费用!N$55)+SUMIFS(考核调整事项表!$E:$E,考核调整事项表!$G:$G,累计考核费用!$B83,考核调整事项表!$F:$F,累计考核费用!N$55)</f>
        <v>0</v>
      </c>
      <c r="O83" s="88">
        <f>SUMIFS(考核调整事项表!$C:$C,考核调整事项表!$G:$G,累计考核费用!$B83,考核调整事项表!$D:$D,累计考核费用!O$55)+SUMIFS(考核调整事项表!$E:$E,考核调整事项表!$G:$G,累计考核费用!$B83,考核调整事项表!$F:$F,累计考核费用!O$55)</f>
        <v>0</v>
      </c>
      <c r="P83" s="88">
        <f>SUMIFS(考核调整事项表!$C:$C,考核调整事项表!$G:$G,累计考核费用!$B83,考核调整事项表!$D:$D,累计考核费用!P$55)+SUMIFS(考核调整事项表!$E:$E,考核调整事项表!$G:$G,累计考核费用!$B83,考核调整事项表!$F:$F,累计考核费用!P$55)</f>
        <v>0</v>
      </c>
      <c r="Q83" s="88">
        <f t="shared" si="10"/>
        <v>0</v>
      </c>
      <c r="R83" s="88">
        <f>SUMIFS(考核调整事项表!$C:$C,考核调整事项表!$G:$G,累计考核费用!$B83,考核调整事项表!$D:$D,累计考核费用!R$55)+SUMIFS(考核调整事项表!$E:$E,考核调整事项表!$G:$G,累计考核费用!$B83,考核调整事项表!$F:$F,累计考核费用!R$55)</f>
        <v>0</v>
      </c>
      <c r="S83" s="88">
        <f>SUMIFS(考核调整事项表!$C:$C,考核调整事项表!$G:$G,累计考核费用!$B83,考核调整事项表!$D:$D,累计考核费用!S$55)+SUMIFS(考核调整事项表!$E:$E,考核调整事项表!$G:$G,累计考核费用!$B83,考核调整事项表!$F:$F,累计考核费用!S$55)</f>
        <v>0</v>
      </c>
      <c r="T83" s="91">
        <f>SUMIFS(考核调整事项表!$C:$C,考核调整事项表!$G:$G,累计考核费用!$B83,考核调整事项表!$D:$D,累计考核费用!T$55)+SUMIFS(考核调整事项表!$E:$E,考核调整事项表!$G:$G,累计考核费用!$B83,考核调整事项表!$F:$F,累计考核费用!T$55)</f>
        <v>0</v>
      </c>
      <c r="U83" s="88">
        <f t="shared" si="11"/>
        <v>0</v>
      </c>
      <c r="V83" s="88">
        <f>SUMIFS(考核调整事项表!$C:$C,考核调整事项表!$G:$G,累计考核费用!$B83,考核调整事项表!$D:$D,累计考核费用!V$55)+SUMIFS(考核调整事项表!$E:$E,考核调整事项表!$G:$G,累计考核费用!$B83,考核调整事项表!$F:$F,累计考核费用!V$55)</f>
        <v>0</v>
      </c>
      <c r="W83" s="88">
        <f>SUMIFS(考核调整事项表!$C:$C,考核调整事项表!$G:$G,累计考核费用!$B83,考核调整事项表!$D:$D,累计考核费用!W$55)+SUMIFS(考核调整事项表!$E:$E,考核调整事项表!$G:$G,累计考核费用!$B83,考核调整事项表!$F:$F,累计考核费用!W$55)</f>
        <v>0</v>
      </c>
      <c r="X83" s="88">
        <f>SUMIFS(考核调整事项表!$C:$C,考核调整事项表!$G:$G,累计考核费用!$B83,考核调整事项表!$D:$D,累计考核费用!X$55)+SUMIFS(考核调整事项表!$E:$E,考核调整事项表!$G:$G,累计考核费用!$B83,考核调整事项表!$F:$F,累计考核费用!X$55)</f>
        <v>0</v>
      </c>
      <c r="Y83" s="88">
        <f>SUMIFS(考核调整事项表!$C:$C,考核调整事项表!$G:$G,累计考核费用!$B83,考核调整事项表!$D:$D,累计考核费用!Y$55)+SUMIFS(考核调整事项表!$E:$E,考核调整事项表!$G:$G,累计考核费用!$B83,考核调整事项表!$F:$F,累计考核费用!Y$55)</f>
        <v>0</v>
      </c>
      <c r="Z83" s="88">
        <f>SUMIFS(考核调整事项表!$C:$C,考核调整事项表!$G:$G,累计考核费用!$B83,考核调整事项表!$D:$D,累计考核费用!Z$55)+SUMIFS(考核调整事项表!$E:$E,考核调整事项表!$G:$G,累计考核费用!$B83,考核调整事项表!$F:$F,累计考核费用!Z$55)</f>
        <v>0</v>
      </c>
      <c r="AA83" s="88">
        <f>SUMIFS(考核调整事项表!$C:$C,考核调整事项表!$G:$G,累计考核费用!$B83,考核调整事项表!$D:$D,累计考核费用!AA$55)+SUMIFS(考核调整事项表!$E:$E,考核调整事项表!$G:$G,累计考核费用!$B83,考核调整事项表!$F:$F,累计考核费用!AA$55)</f>
        <v>0</v>
      </c>
      <c r="AB83" s="88">
        <f>SUMIFS(考核调整事项表!$C:$C,考核调整事项表!$G:$G,累计考核费用!$B83,考核调整事项表!$D:$D,累计考核费用!AB$55)+SUMIFS(考核调整事项表!$E:$E,考核调整事项表!$G:$G,累计考核费用!$B83,考核调整事项表!$F:$F,累计考核费用!AB$55)</f>
        <v>0</v>
      </c>
      <c r="AC83" s="88">
        <f>SUMIFS(考核调整事项表!$C:$C,考核调整事项表!$G:$G,累计考核费用!$B83,考核调整事项表!$D:$D,累计考核费用!AC$55)+SUMIFS(考核调整事项表!$E:$E,考核调整事项表!$G:$G,累计考核费用!$B83,考核调整事项表!$F:$F,累计考核费用!AC$55)</f>
        <v>0</v>
      </c>
      <c r="AD83" s="88">
        <f>SUMIFS(考核调整事项表!$C:$C,考核调整事项表!$G:$G,累计考核费用!$B83,考核调整事项表!$D:$D,累计考核费用!AD$55)+SUMIFS(考核调整事项表!$E:$E,考核调整事项表!$G:$G,累计考核费用!$B83,考核调整事项表!$F:$F,累计考核费用!AD$55)</f>
        <v>0</v>
      </c>
    </row>
    <row r="84" spans="1:30">
      <c r="A84" s="443"/>
      <c r="B84" s="48" t="s">
        <v>117</v>
      </c>
      <c r="C84" s="9">
        <f t="shared" si="7"/>
        <v>0</v>
      </c>
      <c r="D84" s="88">
        <f>SUMIFS(考核调整事项表!$C:$C,考核调整事项表!$G:$G,累计考核费用!$B84,考核调整事项表!$D:$D,累计考核费用!D$55)+SUMIFS(考核调整事项表!$E:$E,考核调整事项表!$G:$G,累计考核费用!$B84,考核调整事项表!$F:$F,累计考核费用!D$55)</f>
        <v>0</v>
      </c>
      <c r="E84" s="88">
        <f>SUMIFS(考核调整事项表!$C:$C,考核调整事项表!$G:$G,累计考核费用!$B84,考核调整事项表!$D:$D,累计考核费用!E$55)+SUMIFS(考核调整事项表!$E:$E,考核调整事项表!$G:$G,累计考核费用!$B84,考核调整事项表!$F:$F,累计考核费用!E$55)</f>
        <v>0</v>
      </c>
      <c r="F84" s="88">
        <f>SUMIFS(考核调整事项表!$C:$C,考核调整事项表!$G:$G,累计考核费用!$B84,考核调整事项表!$D:$D,累计考核费用!F$55)+SUMIFS(考核调整事项表!$E:$E,考核调整事项表!$G:$G,累计考核费用!$B84,考核调整事项表!$F:$F,累计考核费用!F$55)</f>
        <v>0</v>
      </c>
      <c r="G84" s="88">
        <f>SUMIFS(考核调整事项表!$C:$C,考核调整事项表!$G:$G,累计考核费用!$B84,考核调整事项表!$D:$D,累计考核费用!G$55)+SUMIFS(考核调整事项表!$E:$E,考核调整事项表!$G:$G,累计考核费用!$B84,考核调整事项表!$F:$F,累计考核费用!G$55)</f>
        <v>0</v>
      </c>
      <c r="H84" s="88">
        <f t="shared" si="8"/>
        <v>0</v>
      </c>
      <c r="I84" s="88">
        <f>SUMIFS(考核调整事项表!$C:$C,考核调整事项表!$G:$G,累计考核费用!$B84,考核调整事项表!$D:$D,累计考核费用!I$55)+SUMIFS(考核调整事项表!$E:$E,考核调整事项表!$G:$G,累计考核费用!$B84,考核调整事项表!$F:$F,累计考核费用!I$55)</f>
        <v>0</v>
      </c>
      <c r="J84" s="88">
        <f>SUMIFS(考核调整事项表!$C:$C,考核调整事项表!$G:$G,累计考核费用!$B84,考核调整事项表!$D:$D,累计考核费用!J$55)+SUMIFS(考核调整事项表!$E:$E,考核调整事项表!$G:$G,累计考核费用!$B84,考核调整事项表!$F:$F,累计考核费用!J$55)</f>
        <v>0</v>
      </c>
      <c r="K84" s="88">
        <f>SUMIFS(考核调整事项表!$C:$C,考核调整事项表!$G:$G,累计考核费用!$B84,考核调整事项表!$D:$D,累计考核费用!K$55)+SUMIFS(考核调整事项表!$E:$E,考核调整事项表!$G:$G,累计考核费用!$B84,考核调整事项表!$F:$F,累计考核费用!K$55)</f>
        <v>0</v>
      </c>
      <c r="L84" s="88">
        <f t="shared" si="9"/>
        <v>0</v>
      </c>
      <c r="M84" s="88">
        <f>SUMIFS(考核调整事项表!$C:$C,考核调整事项表!$G:$G,累计考核费用!$B84,考核调整事项表!$D:$D,累计考核费用!M$55)+SUMIFS(考核调整事项表!$E:$E,考核调整事项表!$G:$G,累计考核费用!$B84,考核调整事项表!$F:$F,累计考核费用!M$55)</f>
        <v>0</v>
      </c>
      <c r="N84" s="88">
        <f>SUMIFS(考核调整事项表!$C:$C,考核调整事项表!$G:$G,累计考核费用!$B84,考核调整事项表!$D:$D,累计考核费用!N$55)+SUMIFS(考核调整事项表!$E:$E,考核调整事项表!$G:$G,累计考核费用!$B84,考核调整事项表!$F:$F,累计考核费用!N$55)</f>
        <v>0</v>
      </c>
      <c r="O84" s="88">
        <f>SUMIFS(考核调整事项表!$C:$C,考核调整事项表!$G:$G,累计考核费用!$B84,考核调整事项表!$D:$D,累计考核费用!O$55)+SUMIFS(考核调整事项表!$E:$E,考核调整事项表!$G:$G,累计考核费用!$B84,考核调整事项表!$F:$F,累计考核费用!O$55)</f>
        <v>0</v>
      </c>
      <c r="P84" s="88">
        <f>SUMIFS(考核调整事项表!$C:$C,考核调整事项表!$G:$G,累计考核费用!$B84,考核调整事项表!$D:$D,累计考核费用!P$55)+SUMIFS(考核调整事项表!$E:$E,考核调整事项表!$G:$G,累计考核费用!$B84,考核调整事项表!$F:$F,累计考核费用!P$55)</f>
        <v>0</v>
      </c>
      <c r="Q84" s="88">
        <f t="shared" si="10"/>
        <v>0</v>
      </c>
      <c r="R84" s="88">
        <f>SUMIFS(考核调整事项表!$C:$C,考核调整事项表!$G:$G,累计考核费用!$B84,考核调整事项表!$D:$D,累计考核费用!R$55)+SUMIFS(考核调整事项表!$E:$E,考核调整事项表!$G:$G,累计考核费用!$B84,考核调整事项表!$F:$F,累计考核费用!R$55)</f>
        <v>0</v>
      </c>
      <c r="S84" s="88">
        <f>SUMIFS(考核调整事项表!$C:$C,考核调整事项表!$G:$G,累计考核费用!$B84,考核调整事项表!$D:$D,累计考核费用!S$55)+SUMIFS(考核调整事项表!$E:$E,考核调整事项表!$G:$G,累计考核费用!$B84,考核调整事项表!$F:$F,累计考核费用!S$55)</f>
        <v>0</v>
      </c>
      <c r="T84" s="91">
        <f>SUMIFS(考核调整事项表!$C:$C,考核调整事项表!$G:$G,累计考核费用!$B84,考核调整事项表!$D:$D,累计考核费用!T$55)+SUMIFS(考核调整事项表!$E:$E,考核调整事项表!$G:$G,累计考核费用!$B84,考核调整事项表!$F:$F,累计考核费用!T$55)</f>
        <v>0</v>
      </c>
      <c r="U84" s="88">
        <f t="shared" si="11"/>
        <v>0</v>
      </c>
      <c r="V84" s="88">
        <f>SUMIFS(考核调整事项表!$C:$C,考核调整事项表!$G:$G,累计考核费用!$B84,考核调整事项表!$D:$D,累计考核费用!V$55)+SUMIFS(考核调整事项表!$E:$E,考核调整事项表!$G:$G,累计考核费用!$B84,考核调整事项表!$F:$F,累计考核费用!V$55)</f>
        <v>0</v>
      </c>
      <c r="W84" s="88">
        <f>SUMIFS(考核调整事项表!$C:$C,考核调整事项表!$G:$G,累计考核费用!$B84,考核调整事项表!$D:$D,累计考核费用!W$55)+SUMIFS(考核调整事项表!$E:$E,考核调整事项表!$G:$G,累计考核费用!$B84,考核调整事项表!$F:$F,累计考核费用!W$55)</f>
        <v>0</v>
      </c>
      <c r="X84" s="88">
        <f>SUMIFS(考核调整事项表!$C:$C,考核调整事项表!$G:$G,累计考核费用!$B84,考核调整事项表!$D:$D,累计考核费用!X$55)+SUMIFS(考核调整事项表!$E:$E,考核调整事项表!$G:$G,累计考核费用!$B84,考核调整事项表!$F:$F,累计考核费用!X$55)</f>
        <v>0</v>
      </c>
      <c r="Y84" s="88">
        <f>SUMIFS(考核调整事项表!$C:$C,考核调整事项表!$G:$G,累计考核费用!$B84,考核调整事项表!$D:$D,累计考核费用!Y$55)+SUMIFS(考核调整事项表!$E:$E,考核调整事项表!$G:$G,累计考核费用!$B84,考核调整事项表!$F:$F,累计考核费用!Y$55)</f>
        <v>0</v>
      </c>
      <c r="Z84" s="88">
        <f>SUMIFS(考核调整事项表!$C:$C,考核调整事项表!$G:$G,累计考核费用!$B84,考核调整事项表!$D:$D,累计考核费用!Z$55)+SUMIFS(考核调整事项表!$E:$E,考核调整事项表!$G:$G,累计考核费用!$B84,考核调整事项表!$F:$F,累计考核费用!Z$55)</f>
        <v>0</v>
      </c>
      <c r="AA84" s="88">
        <f>SUMIFS(考核调整事项表!$C:$C,考核调整事项表!$G:$G,累计考核费用!$B84,考核调整事项表!$D:$D,累计考核费用!AA$55)+SUMIFS(考核调整事项表!$E:$E,考核调整事项表!$G:$G,累计考核费用!$B84,考核调整事项表!$F:$F,累计考核费用!AA$55)</f>
        <v>0</v>
      </c>
      <c r="AB84" s="88">
        <f>SUMIFS(考核调整事项表!$C:$C,考核调整事项表!$G:$G,累计考核费用!$B84,考核调整事项表!$D:$D,累计考核费用!AB$55)+SUMIFS(考核调整事项表!$E:$E,考核调整事项表!$G:$G,累计考核费用!$B84,考核调整事项表!$F:$F,累计考核费用!AB$55)</f>
        <v>0</v>
      </c>
      <c r="AC84" s="88">
        <f>SUMIFS(考核调整事项表!$C:$C,考核调整事项表!$G:$G,累计考核费用!$B84,考核调整事项表!$D:$D,累计考核费用!AC$55)+SUMIFS(考核调整事项表!$E:$E,考核调整事项表!$G:$G,累计考核费用!$B84,考核调整事项表!$F:$F,累计考核费用!AC$55)</f>
        <v>0</v>
      </c>
      <c r="AD84" s="88">
        <f>SUMIFS(考核调整事项表!$C:$C,考核调整事项表!$G:$G,累计考核费用!$B84,考核调整事项表!$D:$D,累计考核费用!AD$55)+SUMIFS(考核调整事项表!$E:$E,考核调整事项表!$G:$G,累计考核费用!$B84,考核调整事项表!$F:$F,累计考核费用!AD$55)</f>
        <v>0</v>
      </c>
    </row>
    <row r="85" spans="1:30">
      <c r="A85" s="443"/>
      <c r="B85" s="48" t="s">
        <v>118</v>
      </c>
      <c r="C85" s="9">
        <f t="shared" si="7"/>
        <v>0</v>
      </c>
      <c r="D85" s="88">
        <f>SUMIFS(考核调整事项表!$C:$C,考核调整事项表!$G:$G,累计考核费用!$B85,考核调整事项表!$D:$D,累计考核费用!D$55)+SUMIFS(考核调整事项表!$E:$E,考核调整事项表!$G:$G,累计考核费用!$B85,考核调整事项表!$F:$F,累计考核费用!D$55)</f>
        <v>0</v>
      </c>
      <c r="E85" s="88">
        <f>SUMIFS(考核调整事项表!$C:$C,考核调整事项表!$G:$G,累计考核费用!$B85,考核调整事项表!$D:$D,累计考核费用!E$55)+SUMIFS(考核调整事项表!$E:$E,考核调整事项表!$G:$G,累计考核费用!$B85,考核调整事项表!$F:$F,累计考核费用!E$55)</f>
        <v>0</v>
      </c>
      <c r="F85" s="88">
        <f>SUMIFS(考核调整事项表!$C:$C,考核调整事项表!$G:$G,累计考核费用!$B85,考核调整事项表!$D:$D,累计考核费用!F$55)+SUMIFS(考核调整事项表!$E:$E,考核调整事项表!$G:$G,累计考核费用!$B85,考核调整事项表!$F:$F,累计考核费用!F$55)</f>
        <v>0</v>
      </c>
      <c r="G85" s="88">
        <f>SUMIFS(考核调整事项表!$C:$C,考核调整事项表!$G:$G,累计考核费用!$B85,考核调整事项表!$D:$D,累计考核费用!G$55)+SUMIFS(考核调整事项表!$E:$E,考核调整事项表!$G:$G,累计考核费用!$B85,考核调整事项表!$F:$F,累计考核费用!G$55)</f>
        <v>0</v>
      </c>
      <c r="H85" s="88">
        <f t="shared" si="8"/>
        <v>0</v>
      </c>
      <c r="I85" s="88">
        <f>SUMIFS(考核调整事项表!$C:$C,考核调整事项表!$G:$G,累计考核费用!$B85,考核调整事项表!$D:$D,累计考核费用!I$55)+SUMIFS(考核调整事项表!$E:$E,考核调整事项表!$G:$G,累计考核费用!$B85,考核调整事项表!$F:$F,累计考核费用!I$55)</f>
        <v>0</v>
      </c>
      <c r="J85" s="88">
        <f>SUMIFS(考核调整事项表!$C:$C,考核调整事项表!$G:$G,累计考核费用!$B85,考核调整事项表!$D:$D,累计考核费用!J$55)+SUMIFS(考核调整事项表!$E:$E,考核调整事项表!$G:$G,累计考核费用!$B85,考核调整事项表!$F:$F,累计考核费用!J$55)</f>
        <v>0</v>
      </c>
      <c r="K85" s="88">
        <f>SUMIFS(考核调整事项表!$C:$C,考核调整事项表!$G:$G,累计考核费用!$B85,考核调整事项表!$D:$D,累计考核费用!K$55)+SUMIFS(考核调整事项表!$E:$E,考核调整事项表!$G:$G,累计考核费用!$B85,考核调整事项表!$F:$F,累计考核费用!K$55)</f>
        <v>0</v>
      </c>
      <c r="L85" s="88">
        <f t="shared" si="9"/>
        <v>0</v>
      </c>
      <c r="M85" s="88">
        <f>SUMIFS(考核调整事项表!$C:$C,考核调整事项表!$G:$G,累计考核费用!$B85,考核调整事项表!$D:$D,累计考核费用!M$55)+SUMIFS(考核调整事项表!$E:$E,考核调整事项表!$G:$G,累计考核费用!$B85,考核调整事项表!$F:$F,累计考核费用!M$55)</f>
        <v>0</v>
      </c>
      <c r="N85" s="88">
        <f>SUMIFS(考核调整事项表!$C:$C,考核调整事项表!$G:$G,累计考核费用!$B85,考核调整事项表!$D:$D,累计考核费用!N$55)+SUMIFS(考核调整事项表!$E:$E,考核调整事项表!$G:$G,累计考核费用!$B85,考核调整事项表!$F:$F,累计考核费用!N$55)</f>
        <v>0</v>
      </c>
      <c r="O85" s="88">
        <f>SUMIFS(考核调整事项表!$C:$C,考核调整事项表!$G:$G,累计考核费用!$B85,考核调整事项表!$D:$D,累计考核费用!O$55)+SUMIFS(考核调整事项表!$E:$E,考核调整事项表!$G:$G,累计考核费用!$B85,考核调整事项表!$F:$F,累计考核费用!O$55)</f>
        <v>0</v>
      </c>
      <c r="P85" s="88">
        <f>SUMIFS(考核调整事项表!$C:$C,考核调整事项表!$G:$G,累计考核费用!$B85,考核调整事项表!$D:$D,累计考核费用!P$55)+SUMIFS(考核调整事项表!$E:$E,考核调整事项表!$G:$G,累计考核费用!$B85,考核调整事项表!$F:$F,累计考核费用!P$55)</f>
        <v>0</v>
      </c>
      <c r="Q85" s="88">
        <f t="shared" si="10"/>
        <v>0</v>
      </c>
      <c r="R85" s="88">
        <f>SUMIFS(考核调整事项表!$C:$C,考核调整事项表!$G:$G,累计考核费用!$B85,考核调整事项表!$D:$D,累计考核费用!R$55)+SUMIFS(考核调整事项表!$E:$E,考核调整事项表!$G:$G,累计考核费用!$B85,考核调整事项表!$F:$F,累计考核费用!R$55)</f>
        <v>0</v>
      </c>
      <c r="S85" s="88">
        <f>SUMIFS(考核调整事项表!$C:$C,考核调整事项表!$G:$G,累计考核费用!$B85,考核调整事项表!$D:$D,累计考核费用!S$55)+SUMIFS(考核调整事项表!$E:$E,考核调整事项表!$G:$G,累计考核费用!$B85,考核调整事项表!$F:$F,累计考核费用!S$55)</f>
        <v>0</v>
      </c>
      <c r="T85" s="91">
        <f>SUMIFS(考核调整事项表!$C:$C,考核调整事项表!$G:$G,累计考核费用!$B85,考核调整事项表!$D:$D,累计考核费用!T$55)+SUMIFS(考核调整事项表!$E:$E,考核调整事项表!$G:$G,累计考核费用!$B85,考核调整事项表!$F:$F,累计考核费用!T$55)</f>
        <v>0</v>
      </c>
      <c r="U85" s="88">
        <f t="shared" si="11"/>
        <v>0</v>
      </c>
      <c r="V85" s="88">
        <f>SUMIFS(考核调整事项表!$C:$C,考核调整事项表!$G:$G,累计考核费用!$B85,考核调整事项表!$D:$D,累计考核费用!V$55)+SUMIFS(考核调整事项表!$E:$E,考核调整事项表!$G:$G,累计考核费用!$B85,考核调整事项表!$F:$F,累计考核费用!V$55)</f>
        <v>0</v>
      </c>
      <c r="W85" s="88">
        <f>SUMIFS(考核调整事项表!$C:$C,考核调整事项表!$G:$G,累计考核费用!$B85,考核调整事项表!$D:$D,累计考核费用!W$55)+SUMIFS(考核调整事项表!$E:$E,考核调整事项表!$G:$G,累计考核费用!$B85,考核调整事项表!$F:$F,累计考核费用!W$55)</f>
        <v>0</v>
      </c>
      <c r="X85" s="88">
        <f>SUMIFS(考核调整事项表!$C:$C,考核调整事项表!$G:$G,累计考核费用!$B85,考核调整事项表!$D:$D,累计考核费用!X$55)+SUMIFS(考核调整事项表!$E:$E,考核调整事项表!$G:$G,累计考核费用!$B85,考核调整事项表!$F:$F,累计考核费用!X$55)</f>
        <v>0</v>
      </c>
      <c r="Y85" s="88">
        <f>SUMIFS(考核调整事项表!$C:$C,考核调整事项表!$G:$G,累计考核费用!$B85,考核调整事项表!$D:$D,累计考核费用!Y$55)+SUMIFS(考核调整事项表!$E:$E,考核调整事项表!$G:$G,累计考核费用!$B85,考核调整事项表!$F:$F,累计考核费用!Y$55)</f>
        <v>0</v>
      </c>
      <c r="Z85" s="88">
        <f>SUMIFS(考核调整事项表!$C:$C,考核调整事项表!$G:$G,累计考核费用!$B85,考核调整事项表!$D:$D,累计考核费用!Z$55)+SUMIFS(考核调整事项表!$E:$E,考核调整事项表!$G:$G,累计考核费用!$B85,考核调整事项表!$F:$F,累计考核费用!Z$55)</f>
        <v>0</v>
      </c>
      <c r="AA85" s="88">
        <f>SUMIFS(考核调整事项表!$C:$C,考核调整事项表!$G:$G,累计考核费用!$B85,考核调整事项表!$D:$D,累计考核费用!AA$55)+SUMIFS(考核调整事项表!$E:$E,考核调整事项表!$G:$G,累计考核费用!$B85,考核调整事项表!$F:$F,累计考核费用!AA$55)</f>
        <v>0</v>
      </c>
      <c r="AB85" s="88">
        <f>SUMIFS(考核调整事项表!$C:$C,考核调整事项表!$G:$G,累计考核费用!$B85,考核调整事项表!$D:$D,累计考核费用!AB$55)+SUMIFS(考核调整事项表!$E:$E,考核调整事项表!$G:$G,累计考核费用!$B85,考核调整事项表!$F:$F,累计考核费用!AB$55)</f>
        <v>0</v>
      </c>
      <c r="AC85" s="88">
        <f>SUMIFS(考核调整事项表!$C:$C,考核调整事项表!$G:$G,累计考核费用!$B85,考核调整事项表!$D:$D,累计考核费用!AC$55)+SUMIFS(考核调整事项表!$E:$E,考核调整事项表!$G:$G,累计考核费用!$B85,考核调整事项表!$F:$F,累计考核费用!AC$55)</f>
        <v>0</v>
      </c>
      <c r="AD85" s="88">
        <f>SUMIFS(考核调整事项表!$C:$C,考核调整事项表!$G:$G,累计考核费用!$B85,考核调整事项表!$D:$D,累计考核费用!AD$55)+SUMIFS(考核调整事项表!$E:$E,考核调整事项表!$G:$G,累计考核费用!$B85,考核调整事项表!$F:$F,累计考核费用!AD$55)</f>
        <v>0</v>
      </c>
    </row>
    <row r="86" spans="1:30">
      <c r="A86" s="444"/>
      <c r="B86" s="60" t="s">
        <v>98</v>
      </c>
      <c r="C86" s="92">
        <f t="shared" si="7"/>
        <v>0</v>
      </c>
      <c r="D86" s="92">
        <f t="shared" ref="D86:AD86" si="14">SUM(D73:D85)</f>
        <v>0</v>
      </c>
      <c r="E86" s="92">
        <f t="shared" si="14"/>
        <v>-7365</v>
      </c>
      <c r="F86" s="92">
        <f t="shared" si="14"/>
        <v>1680</v>
      </c>
      <c r="G86" s="92">
        <f t="shared" si="14"/>
        <v>285</v>
      </c>
      <c r="H86" s="92">
        <f t="shared" si="14"/>
        <v>0</v>
      </c>
      <c r="I86" s="92">
        <f t="shared" si="14"/>
        <v>0</v>
      </c>
      <c r="J86" s="92">
        <f t="shared" si="14"/>
        <v>0</v>
      </c>
      <c r="K86" s="92">
        <f t="shared" si="14"/>
        <v>0</v>
      </c>
      <c r="L86" s="92">
        <f t="shared" si="14"/>
        <v>0</v>
      </c>
      <c r="M86" s="92">
        <f t="shared" si="14"/>
        <v>0</v>
      </c>
      <c r="N86" s="92">
        <f t="shared" si="14"/>
        <v>0</v>
      </c>
      <c r="O86" s="92">
        <f t="shared" si="14"/>
        <v>0</v>
      </c>
      <c r="P86" s="92">
        <f t="shared" si="14"/>
        <v>0</v>
      </c>
      <c r="Q86" s="92">
        <f t="shared" si="14"/>
        <v>0</v>
      </c>
      <c r="R86" s="92">
        <f t="shared" si="14"/>
        <v>0</v>
      </c>
      <c r="S86" s="92">
        <f t="shared" si="14"/>
        <v>0</v>
      </c>
      <c r="T86" s="92">
        <f t="shared" si="14"/>
        <v>0</v>
      </c>
      <c r="U86" s="92">
        <f t="shared" si="14"/>
        <v>5400</v>
      </c>
      <c r="V86" s="92">
        <f t="shared" si="14"/>
        <v>0</v>
      </c>
      <c r="W86" s="92">
        <f t="shared" si="14"/>
        <v>0</v>
      </c>
      <c r="X86" s="92">
        <f t="shared" si="14"/>
        <v>5400</v>
      </c>
      <c r="Y86" s="92">
        <f t="shared" si="14"/>
        <v>0</v>
      </c>
      <c r="Z86" s="92">
        <f t="shared" si="14"/>
        <v>0</v>
      </c>
      <c r="AA86" s="92">
        <f t="shared" si="14"/>
        <v>0</v>
      </c>
      <c r="AB86" s="92">
        <f t="shared" si="14"/>
        <v>0</v>
      </c>
      <c r="AC86" s="92">
        <f t="shared" si="14"/>
        <v>0</v>
      </c>
      <c r="AD86" s="92">
        <f t="shared" si="14"/>
        <v>0</v>
      </c>
    </row>
    <row r="87" spans="1:30" ht="13.5" customHeight="1">
      <c r="A87" s="442" t="s">
        <v>119</v>
      </c>
      <c r="B87" s="48" t="s">
        <v>120</v>
      </c>
      <c r="C87" s="9">
        <f t="shared" si="7"/>
        <v>0</v>
      </c>
      <c r="D87" s="88">
        <f>SUMIFS(考核调整事项表!$C:$C,考核调整事项表!$G:$G,累计考核费用!$B87,考核调整事项表!$D:$D,累计考核费用!D$55)+SUMIFS(考核调整事项表!$E:$E,考核调整事项表!$G:$G,累计考核费用!$B87,考核调整事项表!$F:$F,累计考核费用!D$55)</f>
        <v>0</v>
      </c>
      <c r="E87" s="88">
        <f>SUMIFS(考核调整事项表!$C:$C,考核调整事项表!$G:$G,累计考核费用!$B87,考核调整事项表!$D:$D,累计考核费用!E$55)+SUMIFS(考核调整事项表!$E:$E,考核调整事项表!$G:$G,累计考核费用!$B87,考核调整事项表!$F:$F,累计考核费用!E$55)</f>
        <v>0</v>
      </c>
      <c r="F87" s="88">
        <f>SUMIFS(考核调整事项表!$C:$C,考核调整事项表!$G:$G,累计考核费用!$B87,考核调整事项表!$D:$D,累计考核费用!F$55)+SUMIFS(考核调整事项表!$E:$E,考核调整事项表!$G:$G,累计考核费用!$B87,考核调整事项表!$F:$F,累计考核费用!F$55)</f>
        <v>0</v>
      </c>
      <c r="G87" s="88">
        <f>SUMIFS(考核调整事项表!$C:$C,考核调整事项表!$G:$G,累计考核费用!$B87,考核调整事项表!$D:$D,累计考核费用!G$55)+SUMIFS(考核调整事项表!$E:$E,考核调整事项表!$G:$G,累计考核费用!$B87,考核调整事项表!$F:$F,累计考核费用!G$55)</f>
        <v>0</v>
      </c>
      <c r="H87" s="88">
        <f t="shared" si="8"/>
        <v>0</v>
      </c>
      <c r="I87" s="88">
        <f>SUMIFS(考核调整事项表!$C:$C,考核调整事项表!$G:$G,累计考核费用!$B87,考核调整事项表!$D:$D,累计考核费用!I$55)+SUMIFS(考核调整事项表!$E:$E,考核调整事项表!$G:$G,累计考核费用!$B87,考核调整事项表!$F:$F,累计考核费用!I$55)</f>
        <v>0</v>
      </c>
      <c r="J87" s="88">
        <f>SUMIFS(考核调整事项表!$C:$C,考核调整事项表!$G:$G,累计考核费用!$B87,考核调整事项表!$D:$D,累计考核费用!J$55)+SUMIFS(考核调整事项表!$E:$E,考核调整事项表!$G:$G,累计考核费用!$B87,考核调整事项表!$F:$F,累计考核费用!J$55)</f>
        <v>0</v>
      </c>
      <c r="K87" s="88">
        <f>SUMIFS(考核调整事项表!$C:$C,考核调整事项表!$G:$G,累计考核费用!$B87,考核调整事项表!$D:$D,累计考核费用!K$55)+SUMIFS(考核调整事项表!$E:$E,考核调整事项表!$G:$G,累计考核费用!$B87,考核调整事项表!$F:$F,累计考核费用!K$55)</f>
        <v>0</v>
      </c>
      <c r="L87" s="88">
        <f t="shared" si="9"/>
        <v>0</v>
      </c>
      <c r="M87" s="88">
        <f>SUMIFS(考核调整事项表!$C:$C,考核调整事项表!$G:$G,累计考核费用!$B87,考核调整事项表!$D:$D,累计考核费用!M$55)+SUMIFS(考核调整事项表!$E:$E,考核调整事项表!$G:$G,累计考核费用!$B87,考核调整事项表!$F:$F,累计考核费用!M$55)</f>
        <v>0</v>
      </c>
      <c r="N87" s="88">
        <f>SUMIFS(考核调整事项表!$C:$C,考核调整事项表!$G:$G,累计考核费用!$B87,考核调整事项表!$D:$D,累计考核费用!N$55)+SUMIFS(考核调整事项表!$E:$E,考核调整事项表!$G:$G,累计考核费用!$B87,考核调整事项表!$F:$F,累计考核费用!N$55)</f>
        <v>0</v>
      </c>
      <c r="O87" s="88">
        <f>SUMIFS(考核调整事项表!$C:$C,考核调整事项表!$G:$G,累计考核费用!$B87,考核调整事项表!$D:$D,累计考核费用!O$55)+SUMIFS(考核调整事项表!$E:$E,考核调整事项表!$G:$G,累计考核费用!$B87,考核调整事项表!$F:$F,累计考核费用!O$55)</f>
        <v>0</v>
      </c>
      <c r="P87" s="88">
        <f>SUMIFS(考核调整事项表!$C:$C,考核调整事项表!$G:$G,累计考核费用!$B87,考核调整事项表!$D:$D,累计考核费用!P$55)+SUMIFS(考核调整事项表!$E:$E,考核调整事项表!$G:$G,累计考核费用!$B87,考核调整事项表!$F:$F,累计考核费用!P$55)</f>
        <v>0</v>
      </c>
      <c r="Q87" s="88">
        <f t="shared" si="10"/>
        <v>0</v>
      </c>
      <c r="R87" s="88">
        <f>SUMIFS(考核调整事项表!$C:$C,考核调整事项表!$G:$G,累计考核费用!$B87,考核调整事项表!$D:$D,累计考核费用!R$55)+SUMIFS(考核调整事项表!$E:$E,考核调整事项表!$G:$G,累计考核费用!$B87,考核调整事项表!$F:$F,累计考核费用!R$55)</f>
        <v>0</v>
      </c>
      <c r="S87" s="88">
        <f>SUMIFS(考核调整事项表!$C:$C,考核调整事项表!$G:$G,累计考核费用!$B87,考核调整事项表!$D:$D,累计考核费用!S$55)+SUMIFS(考核调整事项表!$E:$E,考核调整事项表!$G:$G,累计考核费用!$B87,考核调整事项表!$F:$F,累计考核费用!S$55)</f>
        <v>0</v>
      </c>
      <c r="T87" s="91">
        <f>SUMIFS(考核调整事项表!$C:$C,考核调整事项表!$G:$G,累计考核费用!$B87,考核调整事项表!$D:$D,累计考核费用!T$55)+SUMIFS(考核调整事项表!$E:$E,考核调整事项表!$G:$G,累计考核费用!$B87,考核调整事项表!$F:$F,累计考核费用!T$55)</f>
        <v>0</v>
      </c>
      <c r="U87" s="88">
        <f t="shared" si="11"/>
        <v>0</v>
      </c>
      <c r="V87" s="88">
        <f>SUMIFS(考核调整事项表!$C:$C,考核调整事项表!$G:$G,累计考核费用!$B87,考核调整事项表!$D:$D,累计考核费用!V$55)+SUMIFS(考核调整事项表!$E:$E,考核调整事项表!$G:$G,累计考核费用!$B87,考核调整事项表!$F:$F,累计考核费用!V$55)</f>
        <v>0</v>
      </c>
      <c r="W87" s="88">
        <f>SUMIFS(考核调整事项表!$C:$C,考核调整事项表!$G:$G,累计考核费用!$B87,考核调整事项表!$D:$D,累计考核费用!W$55)+SUMIFS(考核调整事项表!$E:$E,考核调整事项表!$G:$G,累计考核费用!$B87,考核调整事项表!$F:$F,累计考核费用!W$55)</f>
        <v>0</v>
      </c>
      <c r="X87" s="88">
        <f>SUMIFS(考核调整事项表!$C:$C,考核调整事项表!$G:$G,累计考核费用!$B87,考核调整事项表!$D:$D,累计考核费用!X$55)+SUMIFS(考核调整事项表!$E:$E,考核调整事项表!$G:$G,累计考核费用!$B87,考核调整事项表!$F:$F,累计考核费用!X$55)</f>
        <v>0</v>
      </c>
      <c r="Y87" s="88">
        <f>SUMIFS(考核调整事项表!$C:$C,考核调整事项表!$G:$G,累计考核费用!$B87,考核调整事项表!$D:$D,累计考核费用!Y$55)+SUMIFS(考核调整事项表!$E:$E,考核调整事项表!$G:$G,累计考核费用!$B87,考核调整事项表!$F:$F,累计考核费用!Y$55)</f>
        <v>0</v>
      </c>
      <c r="Z87" s="88">
        <f>SUMIFS(考核调整事项表!$C:$C,考核调整事项表!$G:$G,累计考核费用!$B87,考核调整事项表!$D:$D,累计考核费用!Z$55)+SUMIFS(考核调整事项表!$E:$E,考核调整事项表!$G:$G,累计考核费用!$B87,考核调整事项表!$F:$F,累计考核费用!Z$55)</f>
        <v>0</v>
      </c>
      <c r="AA87" s="88">
        <f>SUMIFS(考核调整事项表!$C:$C,考核调整事项表!$G:$G,累计考核费用!$B87,考核调整事项表!$D:$D,累计考核费用!AA$55)+SUMIFS(考核调整事项表!$E:$E,考核调整事项表!$G:$G,累计考核费用!$B87,考核调整事项表!$F:$F,累计考核费用!AA$55)</f>
        <v>0</v>
      </c>
      <c r="AB87" s="88">
        <f>SUMIFS(考核调整事项表!$C:$C,考核调整事项表!$G:$G,累计考核费用!$B87,考核调整事项表!$D:$D,累计考核费用!AB$55)+SUMIFS(考核调整事项表!$E:$E,考核调整事项表!$G:$G,累计考核费用!$B87,考核调整事项表!$F:$F,累计考核费用!AB$55)</f>
        <v>0</v>
      </c>
      <c r="AC87" s="88">
        <f>SUMIFS(考核调整事项表!$C:$C,考核调整事项表!$G:$G,累计考核费用!$B87,考核调整事项表!$D:$D,累计考核费用!AC$55)+SUMIFS(考核调整事项表!$E:$E,考核调整事项表!$G:$G,累计考核费用!$B87,考核调整事项表!$F:$F,累计考核费用!AC$55)</f>
        <v>0</v>
      </c>
      <c r="AD87" s="88">
        <f>SUMIFS(考核调整事项表!$C:$C,考核调整事项表!$G:$G,累计考核费用!$B87,考核调整事项表!$D:$D,累计考核费用!AD$55)+SUMIFS(考核调整事项表!$E:$E,考核调整事项表!$G:$G,累计考核费用!$B87,考核调整事项表!$F:$F,累计考核费用!AD$55)</f>
        <v>0</v>
      </c>
    </row>
    <row r="88" spans="1:30">
      <c r="A88" s="443"/>
      <c r="B88" s="48" t="s">
        <v>121</v>
      </c>
      <c r="C88" s="9">
        <f t="shared" si="7"/>
        <v>0</v>
      </c>
      <c r="D88" s="88">
        <f>SUMIFS(考核调整事项表!$C:$C,考核调整事项表!$G:$G,累计考核费用!$B88,考核调整事项表!$D:$D,累计考核费用!D$55)+SUMIFS(考核调整事项表!$E:$E,考核调整事项表!$G:$G,累计考核费用!$B88,考核调整事项表!$F:$F,累计考核费用!D$55)</f>
        <v>0</v>
      </c>
      <c r="E88" s="88">
        <f>SUMIFS(考核调整事项表!$C:$C,考核调整事项表!$G:$G,累计考核费用!$B88,考核调整事项表!$D:$D,累计考核费用!E$55)+SUMIFS(考核调整事项表!$E:$E,考核调整事项表!$G:$G,累计考核费用!$B88,考核调整事项表!$F:$F,累计考核费用!E$55)</f>
        <v>0</v>
      </c>
      <c r="F88" s="88">
        <f>SUMIFS(考核调整事项表!$C:$C,考核调整事项表!$G:$G,累计考核费用!$B88,考核调整事项表!$D:$D,累计考核费用!F$55)+SUMIFS(考核调整事项表!$E:$E,考核调整事项表!$G:$G,累计考核费用!$B88,考核调整事项表!$F:$F,累计考核费用!F$55)</f>
        <v>0</v>
      </c>
      <c r="G88" s="88">
        <f>SUMIFS(考核调整事项表!$C:$C,考核调整事项表!$G:$G,累计考核费用!$B88,考核调整事项表!$D:$D,累计考核费用!G$55)+SUMIFS(考核调整事项表!$E:$E,考核调整事项表!$G:$G,累计考核费用!$B88,考核调整事项表!$F:$F,累计考核费用!G$55)</f>
        <v>0</v>
      </c>
      <c r="H88" s="88">
        <f t="shared" si="8"/>
        <v>0</v>
      </c>
      <c r="I88" s="88">
        <f>SUMIFS(考核调整事项表!$C:$C,考核调整事项表!$G:$G,累计考核费用!$B88,考核调整事项表!$D:$D,累计考核费用!I$55)+SUMIFS(考核调整事项表!$E:$E,考核调整事项表!$G:$G,累计考核费用!$B88,考核调整事项表!$F:$F,累计考核费用!I$55)</f>
        <v>0</v>
      </c>
      <c r="J88" s="88">
        <f>SUMIFS(考核调整事项表!$C:$C,考核调整事项表!$G:$G,累计考核费用!$B88,考核调整事项表!$D:$D,累计考核费用!J$55)+SUMIFS(考核调整事项表!$E:$E,考核调整事项表!$G:$G,累计考核费用!$B88,考核调整事项表!$F:$F,累计考核费用!J$55)</f>
        <v>0</v>
      </c>
      <c r="K88" s="88">
        <f>SUMIFS(考核调整事项表!$C:$C,考核调整事项表!$G:$G,累计考核费用!$B88,考核调整事项表!$D:$D,累计考核费用!K$55)+SUMIFS(考核调整事项表!$E:$E,考核调整事项表!$G:$G,累计考核费用!$B88,考核调整事项表!$F:$F,累计考核费用!K$55)</f>
        <v>0</v>
      </c>
      <c r="L88" s="88">
        <f t="shared" si="9"/>
        <v>0</v>
      </c>
      <c r="M88" s="88">
        <f>SUMIFS(考核调整事项表!$C:$C,考核调整事项表!$G:$G,累计考核费用!$B88,考核调整事项表!$D:$D,累计考核费用!M$55)+SUMIFS(考核调整事项表!$E:$E,考核调整事项表!$G:$G,累计考核费用!$B88,考核调整事项表!$F:$F,累计考核费用!M$55)</f>
        <v>0</v>
      </c>
      <c r="N88" s="88">
        <f>SUMIFS(考核调整事项表!$C:$C,考核调整事项表!$G:$G,累计考核费用!$B88,考核调整事项表!$D:$D,累计考核费用!N$55)+SUMIFS(考核调整事项表!$E:$E,考核调整事项表!$G:$G,累计考核费用!$B88,考核调整事项表!$F:$F,累计考核费用!N$55)</f>
        <v>0</v>
      </c>
      <c r="O88" s="88">
        <f>SUMIFS(考核调整事项表!$C:$C,考核调整事项表!$G:$G,累计考核费用!$B88,考核调整事项表!$D:$D,累计考核费用!O$55)+SUMIFS(考核调整事项表!$E:$E,考核调整事项表!$G:$G,累计考核费用!$B88,考核调整事项表!$F:$F,累计考核费用!O$55)</f>
        <v>0</v>
      </c>
      <c r="P88" s="88">
        <f>SUMIFS(考核调整事项表!$C:$C,考核调整事项表!$G:$G,累计考核费用!$B88,考核调整事项表!$D:$D,累计考核费用!P$55)+SUMIFS(考核调整事项表!$E:$E,考核调整事项表!$G:$G,累计考核费用!$B88,考核调整事项表!$F:$F,累计考核费用!P$55)</f>
        <v>0</v>
      </c>
      <c r="Q88" s="88">
        <f t="shared" si="10"/>
        <v>0</v>
      </c>
      <c r="R88" s="88">
        <f>SUMIFS(考核调整事项表!$C:$C,考核调整事项表!$G:$G,累计考核费用!$B88,考核调整事项表!$D:$D,累计考核费用!R$55)+SUMIFS(考核调整事项表!$E:$E,考核调整事项表!$G:$G,累计考核费用!$B88,考核调整事项表!$F:$F,累计考核费用!R$55)</f>
        <v>0</v>
      </c>
      <c r="S88" s="88">
        <f>SUMIFS(考核调整事项表!$C:$C,考核调整事项表!$G:$G,累计考核费用!$B88,考核调整事项表!$D:$D,累计考核费用!S$55)+SUMIFS(考核调整事项表!$E:$E,考核调整事项表!$G:$G,累计考核费用!$B88,考核调整事项表!$F:$F,累计考核费用!S$55)</f>
        <v>0</v>
      </c>
      <c r="T88" s="91">
        <f>SUMIFS(考核调整事项表!$C:$C,考核调整事项表!$G:$G,累计考核费用!$B88,考核调整事项表!$D:$D,累计考核费用!T$55)+SUMIFS(考核调整事项表!$E:$E,考核调整事项表!$G:$G,累计考核费用!$B88,考核调整事项表!$F:$F,累计考核费用!T$55)</f>
        <v>0</v>
      </c>
      <c r="U88" s="88">
        <f t="shared" si="11"/>
        <v>0</v>
      </c>
      <c r="V88" s="88">
        <f>SUMIFS(考核调整事项表!$C:$C,考核调整事项表!$G:$G,累计考核费用!$B88,考核调整事项表!$D:$D,累计考核费用!V$55)+SUMIFS(考核调整事项表!$E:$E,考核调整事项表!$G:$G,累计考核费用!$B88,考核调整事项表!$F:$F,累计考核费用!V$55)</f>
        <v>0</v>
      </c>
      <c r="W88" s="88">
        <f>SUMIFS(考核调整事项表!$C:$C,考核调整事项表!$G:$G,累计考核费用!$B88,考核调整事项表!$D:$D,累计考核费用!W$55)+SUMIFS(考核调整事项表!$E:$E,考核调整事项表!$G:$G,累计考核费用!$B88,考核调整事项表!$F:$F,累计考核费用!W$55)</f>
        <v>0</v>
      </c>
      <c r="X88" s="88">
        <f>SUMIFS(考核调整事项表!$C:$C,考核调整事项表!$G:$G,累计考核费用!$B88,考核调整事项表!$D:$D,累计考核费用!X$55)+SUMIFS(考核调整事项表!$E:$E,考核调整事项表!$G:$G,累计考核费用!$B88,考核调整事项表!$F:$F,累计考核费用!X$55)</f>
        <v>0</v>
      </c>
      <c r="Y88" s="88">
        <f>SUMIFS(考核调整事项表!$C:$C,考核调整事项表!$G:$G,累计考核费用!$B88,考核调整事项表!$D:$D,累计考核费用!Y$55)+SUMIFS(考核调整事项表!$E:$E,考核调整事项表!$G:$G,累计考核费用!$B88,考核调整事项表!$F:$F,累计考核费用!Y$55)</f>
        <v>0</v>
      </c>
      <c r="Z88" s="88">
        <f>SUMIFS(考核调整事项表!$C:$C,考核调整事项表!$G:$G,累计考核费用!$B88,考核调整事项表!$D:$D,累计考核费用!Z$55)+SUMIFS(考核调整事项表!$E:$E,考核调整事项表!$G:$G,累计考核费用!$B88,考核调整事项表!$F:$F,累计考核费用!Z$55)</f>
        <v>0</v>
      </c>
      <c r="AA88" s="88">
        <f>SUMIFS(考核调整事项表!$C:$C,考核调整事项表!$G:$G,累计考核费用!$B88,考核调整事项表!$D:$D,累计考核费用!AA$55)+SUMIFS(考核调整事项表!$E:$E,考核调整事项表!$G:$G,累计考核费用!$B88,考核调整事项表!$F:$F,累计考核费用!AA$55)</f>
        <v>0</v>
      </c>
      <c r="AB88" s="88">
        <f>SUMIFS(考核调整事项表!$C:$C,考核调整事项表!$G:$G,累计考核费用!$B88,考核调整事项表!$D:$D,累计考核费用!AB$55)+SUMIFS(考核调整事项表!$E:$E,考核调整事项表!$G:$G,累计考核费用!$B88,考核调整事项表!$F:$F,累计考核费用!AB$55)</f>
        <v>0</v>
      </c>
      <c r="AC88" s="88">
        <f>SUMIFS(考核调整事项表!$C:$C,考核调整事项表!$G:$G,累计考核费用!$B88,考核调整事项表!$D:$D,累计考核费用!AC$55)+SUMIFS(考核调整事项表!$E:$E,考核调整事项表!$G:$G,累计考核费用!$B88,考核调整事项表!$F:$F,累计考核费用!AC$55)</f>
        <v>0</v>
      </c>
      <c r="AD88" s="88">
        <f>SUMIFS(考核调整事项表!$C:$C,考核调整事项表!$G:$G,累计考核费用!$B88,考核调整事项表!$D:$D,累计考核费用!AD$55)+SUMIFS(考核调整事项表!$E:$E,考核调整事项表!$G:$G,累计考核费用!$B88,考核调整事项表!$F:$F,累计考核费用!AD$55)</f>
        <v>0</v>
      </c>
    </row>
    <row r="89" spans="1:30">
      <c r="A89" s="443"/>
      <c r="B89" s="48" t="s">
        <v>122</v>
      </c>
      <c r="C89" s="9">
        <f t="shared" si="7"/>
        <v>0</v>
      </c>
      <c r="D89" s="88">
        <f>SUMIFS(考核调整事项表!$C:$C,考核调整事项表!$G:$G,累计考核费用!$B89,考核调整事项表!$D:$D,累计考核费用!D$55)+SUMIFS(考核调整事项表!$E:$E,考核调整事项表!$G:$G,累计考核费用!$B89,考核调整事项表!$F:$F,累计考核费用!D$55)</f>
        <v>0</v>
      </c>
      <c r="E89" s="88">
        <f>SUMIFS(考核调整事项表!$C:$C,考核调整事项表!$G:$G,累计考核费用!$B89,考核调整事项表!$D:$D,累计考核费用!E$55)+SUMIFS(考核调整事项表!$E:$E,考核调整事项表!$G:$G,累计考核费用!$B89,考核调整事项表!$F:$F,累计考核费用!E$55)</f>
        <v>0</v>
      </c>
      <c r="F89" s="88">
        <f>SUMIFS(考核调整事项表!$C:$C,考核调整事项表!$G:$G,累计考核费用!$B89,考核调整事项表!$D:$D,累计考核费用!F$55)+SUMIFS(考核调整事项表!$E:$E,考核调整事项表!$G:$G,累计考核费用!$B89,考核调整事项表!$F:$F,累计考核费用!F$55)</f>
        <v>0</v>
      </c>
      <c r="G89" s="88">
        <f>SUMIFS(考核调整事项表!$C:$C,考核调整事项表!$G:$G,累计考核费用!$B89,考核调整事项表!$D:$D,累计考核费用!G$55)+SUMIFS(考核调整事项表!$E:$E,考核调整事项表!$G:$G,累计考核费用!$B89,考核调整事项表!$F:$F,累计考核费用!G$55)</f>
        <v>0</v>
      </c>
      <c r="H89" s="88">
        <f t="shared" si="8"/>
        <v>0</v>
      </c>
      <c r="I89" s="88">
        <f>SUMIFS(考核调整事项表!$C:$C,考核调整事项表!$G:$G,累计考核费用!$B89,考核调整事项表!$D:$D,累计考核费用!I$55)+SUMIFS(考核调整事项表!$E:$E,考核调整事项表!$G:$G,累计考核费用!$B89,考核调整事项表!$F:$F,累计考核费用!I$55)</f>
        <v>0</v>
      </c>
      <c r="J89" s="88">
        <f>SUMIFS(考核调整事项表!$C:$C,考核调整事项表!$G:$G,累计考核费用!$B89,考核调整事项表!$D:$D,累计考核费用!J$55)+SUMIFS(考核调整事项表!$E:$E,考核调整事项表!$G:$G,累计考核费用!$B89,考核调整事项表!$F:$F,累计考核费用!J$55)</f>
        <v>0</v>
      </c>
      <c r="K89" s="88">
        <f>SUMIFS(考核调整事项表!$C:$C,考核调整事项表!$G:$G,累计考核费用!$B89,考核调整事项表!$D:$D,累计考核费用!K$55)+SUMIFS(考核调整事项表!$E:$E,考核调整事项表!$G:$G,累计考核费用!$B89,考核调整事项表!$F:$F,累计考核费用!K$55)</f>
        <v>0</v>
      </c>
      <c r="L89" s="88">
        <f t="shared" si="9"/>
        <v>0</v>
      </c>
      <c r="M89" s="88">
        <f>SUMIFS(考核调整事项表!$C:$C,考核调整事项表!$G:$G,累计考核费用!$B89,考核调整事项表!$D:$D,累计考核费用!M$55)+SUMIFS(考核调整事项表!$E:$E,考核调整事项表!$G:$G,累计考核费用!$B89,考核调整事项表!$F:$F,累计考核费用!M$55)</f>
        <v>0</v>
      </c>
      <c r="N89" s="88">
        <f>SUMIFS(考核调整事项表!$C:$C,考核调整事项表!$G:$G,累计考核费用!$B89,考核调整事项表!$D:$D,累计考核费用!N$55)+SUMIFS(考核调整事项表!$E:$E,考核调整事项表!$G:$G,累计考核费用!$B89,考核调整事项表!$F:$F,累计考核费用!N$55)</f>
        <v>0</v>
      </c>
      <c r="O89" s="88">
        <f>SUMIFS(考核调整事项表!$C:$C,考核调整事项表!$G:$G,累计考核费用!$B89,考核调整事项表!$D:$D,累计考核费用!O$55)+SUMIFS(考核调整事项表!$E:$E,考核调整事项表!$G:$G,累计考核费用!$B89,考核调整事项表!$F:$F,累计考核费用!O$55)</f>
        <v>0</v>
      </c>
      <c r="P89" s="88">
        <f>SUMIFS(考核调整事项表!$C:$C,考核调整事项表!$G:$G,累计考核费用!$B89,考核调整事项表!$D:$D,累计考核费用!P$55)+SUMIFS(考核调整事项表!$E:$E,考核调整事项表!$G:$G,累计考核费用!$B89,考核调整事项表!$F:$F,累计考核费用!P$55)</f>
        <v>0</v>
      </c>
      <c r="Q89" s="88">
        <f t="shared" si="10"/>
        <v>0</v>
      </c>
      <c r="R89" s="88">
        <f>SUMIFS(考核调整事项表!$C:$C,考核调整事项表!$G:$G,累计考核费用!$B89,考核调整事项表!$D:$D,累计考核费用!R$55)+SUMIFS(考核调整事项表!$E:$E,考核调整事项表!$G:$G,累计考核费用!$B89,考核调整事项表!$F:$F,累计考核费用!R$55)</f>
        <v>0</v>
      </c>
      <c r="S89" s="88">
        <f>SUMIFS(考核调整事项表!$C:$C,考核调整事项表!$G:$G,累计考核费用!$B89,考核调整事项表!$D:$D,累计考核费用!S$55)+SUMIFS(考核调整事项表!$E:$E,考核调整事项表!$G:$G,累计考核费用!$B89,考核调整事项表!$F:$F,累计考核费用!S$55)</f>
        <v>0</v>
      </c>
      <c r="T89" s="91">
        <f>SUMIFS(考核调整事项表!$C:$C,考核调整事项表!$G:$G,累计考核费用!$B89,考核调整事项表!$D:$D,累计考核费用!T$55)+SUMIFS(考核调整事项表!$E:$E,考核调整事项表!$G:$G,累计考核费用!$B89,考核调整事项表!$F:$F,累计考核费用!T$55)</f>
        <v>0</v>
      </c>
      <c r="U89" s="88">
        <f t="shared" si="11"/>
        <v>0</v>
      </c>
      <c r="V89" s="88">
        <f>SUMIFS(考核调整事项表!$C:$C,考核调整事项表!$G:$G,累计考核费用!$B89,考核调整事项表!$D:$D,累计考核费用!V$55)+SUMIFS(考核调整事项表!$E:$E,考核调整事项表!$G:$G,累计考核费用!$B89,考核调整事项表!$F:$F,累计考核费用!V$55)</f>
        <v>0</v>
      </c>
      <c r="W89" s="88">
        <f>SUMIFS(考核调整事项表!$C:$C,考核调整事项表!$G:$G,累计考核费用!$B89,考核调整事项表!$D:$D,累计考核费用!W$55)+SUMIFS(考核调整事项表!$E:$E,考核调整事项表!$G:$G,累计考核费用!$B89,考核调整事项表!$F:$F,累计考核费用!W$55)</f>
        <v>0</v>
      </c>
      <c r="X89" s="88">
        <f>SUMIFS(考核调整事项表!$C:$C,考核调整事项表!$G:$G,累计考核费用!$B89,考核调整事项表!$D:$D,累计考核费用!X$55)+SUMIFS(考核调整事项表!$E:$E,考核调整事项表!$G:$G,累计考核费用!$B89,考核调整事项表!$F:$F,累计考核费用!X$55)</f>
        <v>0</v>
      </c>
      <c r="Y89" s="88">
        <f>SUMIFS(考核调整事项表!$C:$C,考核调整事项表!$G:$G,累计考核费用!$B89,考核调整事项表!$D:$D,累计考核费用!Y$55)+SUMIFS(考核调整事项表!$E:$E,考核调整事项表!$G:$G,累计考核费用!$B89,考核调整事项表!$F:$F,累计考核费用!Y$55)</f>
        <v>0</v>
      </c>
      <c r="Z89" s="88">
        <f>SUMIFS(考核调整事项表!$C:$C,考核调整事项表!$G:$G,累计考核费用!$B89,考核调整事项表!$D:$D,累计考核费用!Z$55)+SUMIFS(考核调整事项表!$E:$E,考核调整事项表!$G:$G,累计考核费用!$B89,考核调整事项表!$F:$F,累计考核费用!Z$55)</f>
        <v>0</v>
      </c>
      <c r="AA89" s="88">
        <f>SUMIFS(考核调整事项表!$C:$C,考核调整事项表!$G:$G,累计考核费用!$B89,考核调整事项表!$D:$D,累计考核费用!AA$55)+SUMIFS(考核调整事项表!$E:$E,考核调整事项表!$G:$G,累计考核费用!$B89,考核调整事项表!$F:$F,累计考核费用!AA$55)</f>
        <v>0</v>
      </c>
      <c r="AB89" s="88">
        <f>SUMIFS(考核调整事项表!$C:$C,考核调整事项表!$G:$G,累计考核费用!$B89,考核调整事项表!$D:$D,累计考核费用!AB$55)+SUMIFS(考核调整事项表!$E:$E,考核调整事项表!$G:$G,累计考核费用!$B89,考核调整事项表!$F:$F,累计考核费用!AB$55)</f>
        <v>0</v>
      </c>
      <c r="AC89" s="88">
        <f>SUMIFS(考核调整事项表!$C:$C,考核调整事项表!$G:$G,累计考核费用!$B89,考核调整事项表!$D:$D,累计考核费用!AC$55)+SUMIFS(考核调整事项表!$E:$E,考核调整事项表!$G:$G,累计考核费用!$B89,考核调整事项表!$F:$F,累计考核费用!AC$55)</f>
        <v>0</v>
      </c>
      <c r="AD89" s="88">
        <f>SUMIFS(考核调整事项表!$C:$C,考核调整事项表!$G:$G,累计考核费用!$B89,考核调整事项表!$D:$D,累计考核费用!AD$55)+SUMIFS(考核调整事项表!$E:$E,考核调整事项表!$G:$G,累计考核费用!$B89,考核调整事项表!$F:$F,累计考核费用!AD$55)</f>
        <v>0</v>
      </c>
    </row>
    <row r="90" spans="1:30">
      <c r="A90" s="443"/>
      <c r="B90" s="48" t="s">
        <v>123</v>
      </c>
      <c r="C90" s="9">
        <f t="shared" si="7"/>
        <v>0</v>
      </c>
      <c r="D90" s="88">
        <f>SUMIFS(考核调整事项表!$C:$C,考核调整事项表!$G:$G,累计考核费用!$B90,考核调整事项表!$D:$D,累计考核费用!D$55)+SUMIFS(考核调整事项表!$E:$E,考核调整事项表!$G:$G,累计考核费用!$B90,考核调整事项表!$F:$F,累计考核费用!D$55)</f>
        <v>0</v>
      </c>
      <c r="E90" s="88">
        <f>SUMIFS(考核调整事项表!$C:$C,考核调整事项表!$G:$G,累计考核费用!$B90,考核调整事项表!$D:$D,累计考核费用!E$55)+SUMIFS(考核调整事项表!$E:$E,考核调整事项表!$G:$G,累计考核费用!$B90,考核调整事项表!$F:$F,累计考核费用!E$55)</f>
        <v>0</v>
      </c>
      <c r="F90" s="88">
        <f>SUMIFS(考核调整事项表!$C:$C,考核调整事项表!$G:$G,累计考核费用!$B90,考核调整事项表!$D:$D,累计考核费用!F$55)+SUMIFS(考核调整事项表!$E:$E,考核调整事项表!$G:$G,累计考核费用!$B90,考核调整事项表!$F:$F,累计考核费用!F$55)</f>
        <v>0</v>
      </c>
      <c r="G90" s="88">
        <f>SUMIFS(考核调整事项表!$C:$C,考核调整事项表!$G:$G,累计考核费用!$B90,考核调整事项表!$D:$D,累计考核费用!G$55)+SUMIFS(考核调整事项表!$E:$E,考核调整事项表!$G:$G,累计考核费用!$B90,考核调整事项表!$F:$F,累计考核费用!G$55)</f>
        <v>0</v>
      </c>
      <c r="H90" s="88">
        <f t="shared" si="8"/>
        <v>0</v>
      </c>
      <c r="I90" s="88">
        <f>SUMIFS(考核调整事项表!$C:$C,考核调整事项表!$G:$G,累计考核费用!$B90,考核调整事项表!$D:$D,累计考核费用!I$55)+SUMIFS(考核调整事项表!$E:$E,考核调整事项表!$G:$G,累计考核费用!$B90,考核调整事项表!$F:$F,累计考核费用!I$55)</f>
        <v>0</v>
      </c>
      <c r="J90" s="88">
        <f>SUMIFS(考核调整事项表!$C:$C,考核调整事项表!$G:$G,累计考核费用!$B90,考核调整事项表!$D:$D,累计考核费用!J$55)+SUMIFS(考核调整事项表!$E:$E,考核调整事项表!$G:$G,累计考核费用!$B90,考核调整事项表!$F:$F,累计考核费用!J$55)</f>
        <v>0</v>
      </c>
      <c r="K90" s="88">
        <f>SUMIFS(考核调整事项表!$C:$C,考核调整事项表!$G:$G,累计考核费用!$B90,考核调整事项表!$D:$D,累计考核费用!K$55)+SUMIFS(考核调整事项表!$E:$E,考核调整事项表!$G:$G,累计考核费用!$B90,考核调整事项表!$F:$F,累计考核费用!K$55)</f>
        <v>0</v>
      </c>
      <c r="L90" s="88">
        <f t="shared" si="9"/>
        <v>0</v>
      </c>
      <c r="M90" s="88">
        <f>SUMIFS(考核调整事项表!$C:$C,考核调整事项表!$G:$G,累计考核费用!$B90,考核调整事项表!$D:$D,累计考核费用!M$55)+SUMIFS(考核调整事项表!$E:$E,考核调整事项表!$G:$G,累计考核费用!$B90,考核调整事项表!$F:$F,累计考核费用!M$55)</f>
        <v>0</v>
      </c>
      <c r="N90" s="88">
        <f>SUMIFS(考核调整事项表!$C:$C,考核调整事项表!$G:$G,累计考核费用!$B90,考核调整事项表!$D:$D,累计考核费用!N$55)+SUMIFS(考核调整事项表!$E:$E,考核调整事项表!$G:$G,累计考核费用!$B90,考核调整事项表!$F:$F,累计考核费用!N$55)</f>
        <v>0</v>
      </c>
      <c r="O90" s="88">
        <f>SUMIFS(考核调整事项表!$C:$C,考核调整事项表!$G:$G,累计考核费用!$B90,考核调整事项表!$D:$D,累计考核费用!O$55)+SUMIFS(考核调整事项表!$E:$E,考核调整事项表!$G:$G,累计考核费用!$B90,考核调整事项表!$F:$F,累计考核费用!O$55)</f>
        <v>0</v>
      </c>
      <c r="P90" s="88">
        <f>SUMIFS(考核调整事项表!$C:$C,考核调整事项表!$G:$G,累计考核费用!$B90,考核调整事项表!$D:$D,累计考核费用!P$55)+SUMIFS(考核调整事项表!$E:$E,考核调整事项表!$G:$G,累计考核费用!$B90,考核调整事项表!$F:$F,累计考核费用!P$55)</f>
        <v>0</v>
      </c>
      <c r="Q90" s="88">
        <f t="shared" si="10"/>
        <v>0</v>
      </c>
      <c r="R90" s="88">
        <f>SUMIFS(考核调整事项表!$C:$C,考核调整事项表!$G:$G,累计考核费用!$B90,考核调整事项表!$D:$D,累计考核费用!R$55)+SUMIFS(考核调整事项表!$E:$E,考核调整事项表!$G:$G,累计考核费用!$B90,考核调整事项表!$F:$F,累计考核费用!R$55)</f>
        <v>0</v>
      </c>
      <c r="S90" s="88">
        <f>SUMIFS(考核调整事项表!$C:$C,考核调整事项表!$G:$G,累计考核费用!$B90,考核调整事项表!$D:$D,累计考核费用!S$55)+SUMIFS(考核调整事项表!$E:$E,考核调整事项表!$G:$G,累计考核费用!$B90,考核调整事项表!$F:$F,累计考核费用!S$55)</f>
        <v>0</v>
      </c>
      <c r="T90" s="91">
        <f>SUMIFS(考核调整事项表!$C:$C,考核调整事项表!$G:$G,累计考核费用!$B90,考核调整事项表!$D:$D,累计考核费用!T$55)+SUMIFS(考核调整事项表!$E:$E,考核调整事项表!$G:$G,累计考核费用!$B90,考核调整事项表!$F:$F,累计考核费用!T$55)</f>
        <v>0</v>
      </c>
      <c r="U90" s="88">
        <f t="shared" si="11"/>
        <v>0</v>
      </c>
      <c r="V90" s="88">
        <f>SUMIFS(考核调整事项表!$C:$C,考核调整事项表!$G:$G,累计考核费用!$B90,考核调整事项表!$D:$D,累计考核费用!V$55)+SUMIFS(考核调整事项表!$E:$E,考核调整事项表!$G:$G,累计考核费用!$B90,考核调整事项表!$F:$F,累计考核费用!V$55)</f>
        <v>0</v>
      </c>
      <c r="W90" s="88">
        <f>SUMIFS(考核调整事项表!$C:$C,考核调整事项表!$G:$G,累计考核费用!$B90,考核调整事项表!$D:$D,累计考核费用!W$55)+SUMIFS(考核调整事项表!$E:$E,考核调整事项表!$G:$G,累计考核费用!$B90,考核调整事项表!$F:$F,累计考核费用!W$55)</f>
        <v>0</v>
      </c>
      <c r="X90" s="88">
        <f>SUMIFS(考核调整事项表!$C:$C,考核调整事项表!$G:$G,累计考核费用!$B90,考核调整事项表!$D:$D,累计考核费用!X$55)+SUMIFS(考核调整事项表!$E:$E,考核调整事项表!$G:$G,累计考核费用!$B90,考核调整事项表!$F:$F,累计考核费用!X$55)</f>
        <v>0</v>
      </c>
      <c r="Y90" s="88">
        <f>SUMIFS(考核调整事项表!$C:$C,考核调整事项表!$G:$G,累计考核费用!$B90,考核调整事项表!$D:$D,累计考核费用!Y$55)+SUMIFS(考核调整事项表!$E:$E,考核调整事项表!$G:$G,累计考核费用!$B90,考核调整事项表!$F:$F,累计考核费用!Y$55)</f>
        <v>0</v>
      </c>
      <c r="Z90" s="88">
        <f>SUMIFS(考核调整事项表!$C:$C,考核调整事项表!$G:$G,累计考核费用!$B90,考核调整事项表!$D:$D,累计考核费用!Z$55)+SUMIFS(考核调整事项表!$E:$E,考核调整事项表!$G:$G,累计考核费用!$B90,考核调整事项表!$F:$F,累计考核费用!Z$55)</f>
        <v>0</v>
      </c>
      <c r="AA90" s="88">
        <f>SUMIFS(考核调整事项表!$C:$C,考核调整事项表!$G:$G,累计考核费用!$B90,考核调整事项表!$D:$D,累计考核费用!AA$55)+SUMIFS(考核调整事项表!$E:$E,考核调整事项表!$G:$G,累计考核费用!$B90,考核调整事项表!$F:$F,累计考核费用!AA$55)</f>
        <v>0</v>
      </c>
      <c r="AB90" s="88">
        <f>SUMIFS(考核调整事项表!$C:$C,考核调整事项表!$G:$G,累计考核费用!$B90,考核调整事项表!$D:$D,累计考核费用!AB$55)+SUMIFS(考核调整事项表!$E:$E,考核调整事项表!$G:$G,累计考核费用!$B90,考核调整事项表!$F:$F,累计考核费用!AB$55)</f>
        <v>0</v>
      </c>
      <c r="AC90" s="88">
        <f>SUMIFS(考核调整事项表!$C:$C,考核调整事项表!$G:$G,累计考核费用!$B90,考核调整事项表!$D:$D,累计考核费用!AC$55)+SUMIFS(考核调整事项表!$E:$E,考核调整事项表!$G:$G,累计考核费用!$B90,考核调整事项表!$F:$F,累计考核费用!AC$55)</f>
        <v>0</v>
      </c>
      <c r="AD90" s="88">
        <f>SUMIFS(考核调整事项表!$C:$C,考核调整事项表!$G:$G,累计考核费用!$B90,考核调整事项表!$D:$D,累计考核费用!AD$55)+SUMIFS(考核调整事项表!$E:$E,考核调整事项表!$G:$G,累计考核费用!$B90,考核调整事项表!$F:$F,累计考核费用!AD$55)</f>
        <v>0</v>
      </c>
    </row>
    <row r="91" spans="1:30">
      <c r="A91" s="443"/>
      <c r="B91" s="48" t="s">
        <v>124</v>
      </c>
      <c r="C91" s="9">
        <f t="shared" si="7"/>
        <v>0</v>
      </c>
      <c r="D91" s="88">
        <f>SUMIFS(考核调整事项表!$C:$C,考核调整事项表!$G:$G,累计考核费用!$B91,考核调整事项表!$D:$D,累计考核费用!D$55)+SUMIFS(考核调整事项表!$E:$E,考核调整事项表!$G:$G,累计考核费用!$B91,考核调整事项表!$F:$F,累计考核费用!D$55)</f>
        <v>0</v>
      </c>
      <c r="E91" s="88">
        <f>SUMIFS(考核调整事项表!$C:$C,考核调整事项表!$G:$G,累计考核费用!$B91,考核调整事项表!$D:$D,累计考核费用!E$55)+SUMIFS(考核调整事项表!$E:$E,考核调整事项表!$G:$G,累计考核费用!$B91,考核调整事项表!$F:$F,累计考核费用!E$55)</f>
        <v>0</v>
      </c>
      <c r="F91" s="88">
        <f>SUMIFS(考核调整事项表!$C:$C,考核调整事项表!$G:$G,累计考核费用!$B91,考核调整事项表!$D:$D,累计考核费用!F$55)+SUMIFS(考核调整事项表!$E:$E,考核调整事项表!$G:$G,累计考核费用!$B91,考核调整事项表!$F:$F,累计考核费用!F$55)</f>
        <v>0</v>
      </c>
      <c r="G91" s="88">
        <f>SUMIFS(考核调整事项表!$C:$C,考核调整事项表!$G:$G,累计考核费用!$B91,考核调整事项表!$D:$D,累计考核费用!G$55)+SUMIFS(考核调整事项表!$E:$E,考核调整事项表!$G:$G,累计考核费用!$B91,考核调整事项表!$F:$F,累计考核费用!G$55)</f>
        <v>0</v>
      </c>
      <c r="H91" s="88">
        <f t="shared" si="8"/>
        <v>0</v>
      </c>
      <c r="I91" s="88">
        <f>SUMIFS(考核调整事项表!$C:$C,考核调整事项表!$G:$G,累计考核费用!$B91,考核调整事项表!$D:$D,累计考核费用!I$55)+SUMIFS(考核调整事项表!$E:$E,考核调整事项表!$G:$G,累计考核费用!$B91,考核调整事项表!$F:$F,累计考核费用!I$55)</f>
        <v>0</v>
      </c>
      <c r="J91" s="88">
        <f>SUMIFS(考核调整事项表!$C:$C,考核调整事项表!$G:$G,累计考核费用!$B91,考核调整事项表!$D:$D,累计考核费用!J$55)+SUMIFS(考核调整事项表!$E:$E,考核调整事项表!$G:$G,累计考核费用!$B91,考核调整事项表!$F:$F,累计考核费用!J$55)</f>
        <v>0</v>
      </c>
      <c r="K91" s="88">
        <f>SUMIFS(考核调整事项表!$C:$C,考核调整事项表!$G:$G,累计考核费用!$B91,考核调整事项表!$D:$D,累计考核费用!K$55)+SUMIFS(考核调整事项表!$E:$E,考核调整事项表!$G:$G,累计考核费用!$B91,考核调整事项表!$F:$F,累计考核费用!K$55)</f>
        <v>0</v>
      </c>
      <c r="L91" s="88">
        <f t="shared" si="9"/>
        <v>0</v>
      </c>
      <c r="M91" s="88">
        <f>SUMIFS(考核调整事项表!$C:$C,考核调整事项表!$G:$G,累计考核费用!$B91,考核调整事项表!$D:$D,累计考核费用!M$55)+SUMIFS(考核调整事项表!$E:$E,考核调整事项表!$G:$G,累计考核费用!$B91,考核调整事项表!$F:$F,累计考核费用!M$55)</f>
        <v>0</v>
      </c>
      <c r="N91" s="88">
        <f>SUMIFS(考核调整事项表!$C:$C,考核调整事项表!$G:$G,累计考核费用!$B91,考核调整事项表!$D:$D,累计考核费用!N$55)+SUMIFS(考核调整事项表!$E:$E,考核调整事项表!$G:$G,累计考核费用!$B91,考核调整事项表!$F:$F,累计考核费用!N$55)</f>
        <v>0</v>
      </c>
      <c r="O91" s="88">
        <f>SUMIFS(考核调整事项表!$C:$C,考核调整事项表!$G:$G,累计考核费用!$B91,考核调整事项表!$D:$D,累计考核费用!O$55)+SUMIFS(考核调整事项表!$E:$E,考核调整事项表!$G:$G,累计考核费用!$B91,考核调整事项表!$F:$F,累计考核费用!O$55)</f>
        <v>0</v>
      </c>
      <c r="P91" s="88">
        <f>SUMIFS(考核调整事项表!$C:$C,考核调整事项表!$G:$G,累计考核费用!$B91,考核调整事项表!$D:$D,累计考核费用!P$55)+SUMIFS(考核调整事项表!$E:$E,考核调整事项表!$G:$G,累计考核费用!$B91,考核调整事项表!$F:$F,累计考核费用!P$55)</f>
        <v>0</v>
      </c>
      <c r="Q91" s="88">
        <f t="shared" si="10"/>
        <v>0</v>
      </c>
      <c r="R91" s="88">
        <f>SUMIFS(考核调整事项表!$C:$C,考核调整事项表!$G:$G,累计考核费用!$B91,考核调整事项表!$D:$D,累计考核费用!R$55)+SUMIFS(考核调整事项表!$E:$E,考核调整事项表!$G:$G,累计考核费用!$B91,考核调整事项表!$F:$F,累计考核费用!R$55)</f>
        <v>0</v>
      </c>
      <c r="S91" s="88">
        <f>SUMIFS(考核调整事项表!$C:$C,考核调整事项表!$G:$G,累计考核费用!$B91,考核调整事项表!$D:$D,累计考核费用!S$55)+SUMIFS(考核调整事项表!$E:$E,考核调整事项表!$G:$G,累计考核费用!$B91,考核调整事项表!$F:$F,累计考核费用!S$55)</f>
        <v>0</v>
      </c>
      <c r="T91" s="91">
        <f>SUMIFS(考核调整事项表!$C:$C,考核调整事项表!$G:$G,累计考核费用!$B91,考核调整事项表!$D:$D,累计考核费用!T$55)+SUMIFS(考核调整事项表!$E:$E,考核调整事项表!$G:$G,累计考核费用!$B91,考核调整事项表!$F:$F,累计考核费用!T$55)</f>
        <v>0</v>
      </c>
      <c r="U91" s="88">
        <f t="shared" si="11"/>
        <v>0</v>
      </c>
      <c r="V91" s="88">
        <f>SUMIFS(考核调整事项表!$C:$C,考核调整事项表!$G:$G,累计考核费用!$B91,考核调整事项表!$D:$D,累计考核费用!V$55)+SUMIFS(考核调整事项表!$E:$E,考核调整事项表!$G:$G,累计考核费用!$B91,考核调整事项表!$F:$F,累计考核费用!V$55)</f>
        <v>0</v>
      </c>
      <c r="W91" s="88">
        <f>SUMIFS(考核调整事项表!$C:$C,考核调整事项表!$G:$G,累计考核费用!$B91,考核调整事项表!$D:$D,累计考核费用!W$55)+SUMIFS(考核调整事项表!$E:$E,考核调整事项表!$G:$G,累计考核费用!$B91,考核调整事项表!$F:$F,累计考核费用!W$55)</f>
        <v>0</v>
      </c>
      <c r="X91" s="88">
        <f>SUMIFS(考核调整事项表!$C:$C,考核调整事项表!$G:$G,累计考核费用!$B91,考核调整事项表!$D:$D,累计考核费用!X$55)+SUMIFS(考核调整事项表!$E:$E,考核调整事项表!$G:$G,累计考核费用!$B91,考核调整事项表!$F:$F,累计考核费用!X$55)</f>
        <v>0</v>
      </c>
      <c r="Y91" s="88">
        <f>SUMIFS(考核调整事项表!$C:$C,考核调整事项表!$G:$G,累计考核费用!$B91,考核调整事项表!$D:$D,累计考核费用!Y$55)+SUMIFS(考核调整事项表!$E:$E,考核调整事项表!$G:$G,累计考核费用!$B91,考核调整事项表!$F:$F,累计考核费用!Y$55)</f>
        <v>0</v>
      </c>
      <c r="Z91" s="88">
        <f>SUMIFS(考核调整事项表!$C:$C,考核调整事项表!$G:$G,累计考核费用!$B91,考核调整事项表!$D:$D,累计考核费用!Z$55)+SUMIFS(考核调整事项表!$E:$E,考核调整事项表!$G:$G,累计考核费用!$B91,考核调整事项表!$F:$F,累计考核费用!Z$55)</f>
        <v>0</v>
      </c>
      <c r="AA91" s="88">
        <f>SUMIFS(考核调整事项表!$C:$C,考核调整事项表!$G:$G,累计考核费用!$B91,考核调整事项表!$D:$D,累计考核费用!AA$55)+SUMIFS(考核调整事项表!$E:$E,考核调整事项表!$G:$G,累计考核费用!$B91,考核调整事项表!$F:$F,累计考核费用!AA$55)</f>
        <v>0</v>
      </c>
      <c r="AB91" s="88">
        <f>SUMIFS(考核调整事项表!$C:$C,考核调整事项表!$G:$G,累计考核费用!$B91,考核调整事项表!$D:$D,累计考核费用!AB$55)+SUMIFS(考核调整事项表!$E:$E,考核调整事项表!$G:$G,累计考核费用!$B91,考核调整事项表!$F:$F,累计考核费用!AB$55)</f>
        <v>0</v>
      </c>
      <c r="AC91" s="88">
        <f>SUMIFS(考核调整事项表!$C:$C,考核调整事项表!$G:$G,累计考核费用!$B91,考核调整事项表!$D:$D,累计考核费用!AC$55)+SUMIFS(考核调整事项表!$E:$E,考核调整事项表!$G:$G,累计考核费用!$B91,考核调整事项表!$F:$F,累计考核费用!AC$55)</f>
        <v>0</v>
      </c>
      <c r="AD91" s="88">
        <f>SUMIFS(考核调整事项表!$C:$C,考核调整事项表!$G:$G,累计考核费用!$B91,考核调整事项表!$D:$D,累计考核费用!AD$55)+SUMIFS(考核调整事项表!$E:$E,考核调整事项表!$G:$G,累计考核费用!$B91,考核调整事项表!$F:$F,累计考核费用!AD$55)</f>
        <v>0</v>
      </c>
    </row>
    <row r="92" spans="1:30">
      <c r="A92" s="443"/>
      <c r="B92" s="48" t="s">
        <v>125</v>
      </c>
      <c r="C92" s="9">
        <f t="shared" si="7"/>
        <v>0</v>
      </c>
      <c r="D92" s="88">
        <f>SUMIFS(考核调整事项表!$C:$C,考核调整事项表!$G:$G,累计考核费用!$B92,考核调整事项表!$D:$D,累计考核费用!D$55)+SUMIFS(考核调整事项表!$E:$E,考核调整事项表!$G:$G,累计考核费用!$B92,考核调整事项表!$F:$F,累计考核费用!D$55)</f>
        <v>0</v>
      </c>
      <c r="E92" s="88">
        <f>SUMIFS(考核调整事项表!$C:$C,考核调整事项表!$G:$G,累计考核费用!$B92,考核调整事项表!$D:$D,累计考核费用!E$55)+SUMIFS(考核调整事项表!$E:$E,考核调整事项表!$G:$G,累计考核费用!$B92,考核调整事项表!$F:$F,累计考核费用!E$55)</f>
        <v>0</v>
      </c>
      <c r="F92" s="88">
        <f>SUMIFS(考核调整事项表!$C:$C,考核调整事项表!$G:$G,累计考核费用!$B92,考核调整事项表!$D:$D,累计考核费用!F$55)+SUMIFS(考核调整事项表!$E:$E,考核调整事项表!$G:$G,累计考核费用!$B92,考核调整事项表!$F:$F,累计考核费用!F$55)</f>
        <v>0</v>
      </c>
      <c r="G92" s="88">
        <f>SUMIFS(考核调整事项表!$C:$C,考核调整事项表!$G:$G,累计考核费用!$B92,考核调整事项表!$D:$D,累计考核费用!G$55)+SUMIFS(考核调整事项表!$E:$E,考核调整事项表!$G:$G,累计考核费用!$B92,考核调整事项表!$F:$F,累计考核费用!G$55)</f>
        <v>0</v>
      </c>
      <c r="H92" s="88">
        <f t="shared" si="8"/>
        <v>0</v>
      </c>
      <c r="I92" s="88">
        <f>SUMIFS(考核调整事项表!$C:$C,考核调整事项表!$G:$G,累计考核费用!$B92,考核调整事项表!$D:$D,累计考核费用!I$55)+SUMIFS(考核调整事项表!$E:$E,考核调整事项表!$G:$G,累计考核费用!$B92,考核调整事项表!$F:$F,累计考核费用!I$55)</f>
        <v>0</v>
      </c>
      <c r="J92" s="88">
        <f>SUMIFS(考核调整事项表!$C:$C,考核调整事项表!$G:$G,累计考核费用!$B92,考核调整事项表!$D:$D,累计考核费用!J$55)+SUMIFS(考核调整事项表!$E:$E,考核调整事项表!$G:$G,累计考核费用!$B92,考核调整事项表!$F:$F,累计考核费用!J$55)</f>
        <v>0</v>
      </c>
      <c r="K92" s="88">
        <f>SUMIFS(考核调整事项表!$C:$C,考核调整事项表!$G:$G,累计考核费用!$B92,考核调整事项表!$D:$D,累计考核费用!K$55)+SUMIFS(考核调整事项表!$E:$E,考核调整事项表!$G:$G,累计考核费用!$B92,考核调整事项表!$F:$F,累计考核费用!K$55)</f>
        <v>0</v>
      </c>
      <c r="L92" s="88">
        <f t="shared" si="9"/>
        <v>0</v>
      </c>
      <c r="M92" s="88">
        <f>SUMIFS(考核调整事项表!$C:$C,考核调整事项表!$G:$G,累计考核费用!$B92,考核调整事项表!$D:$D,累计考核费用!M$55)+SUMIFS(考核调整事项表!$E:$E,考核调整事项表!$G:$G,累计考核费用!$B92,考核调整事项表!$F:$F,累计考核费用!M$55)</f>
        <v>0</v>
      </c>
      <c r="N92" s="88">
        <f>SUMIFS(考核调整事项表!$C:$C,考核调整事项表!$G:$G,累计考核费用!$B92,考核调整事项表!$D:$D,累计考核费用!N$55)+SUMIFS(考核调整事项表!$E:$E,考核调整事项表!$G:$G,累计考核费用!$B92,考核调整事项表!$F:$F,累计考核费用!N$55)</f>
        <v>0</v>
      </c>
      <c r="O92" s="88">
        <f>SUMIFS(考核调整事项表!$C:$C,考核调整事项表!$G:$G,累计考核费用!$B92,考核调整事项表!$D:$D,累计考核费用!O$55)+SUMIFS(考核调整事项表!$E:$E,考核调整事项表!$G:$G,累计考核费用!$B92,考核调整事项表!$F:$F,累计考核费用!O$55)</f>
        <v>0</v>
      </c>
      <c r="P92" s="88">
        <f>SUMIFS(考核调整事项表!$C:$C,考核调整事项表!$G:$G,累计考核费用!$B92,考核调整事项表!$D:$D,累计考核费用!P$55)+SUMIFS(考核调整事项表!$E:$E,考核调整事项表!$G:$G,累计考核费用!$B92,考核调整事项表!$F:$F,累计考核费用!P$55)</f>
        <v>0</v>
      </c>
      <c r="Q92" s="88">
        <f t="shared" si="10"/>
        <v>0</v>
      </c>
      <c r="R92" s="88">
        <f>SUMIFS(考核调整事项表!$C:$C,考核调整事项表!$G:$G,累计考核费用!$B92,考核调整事项表!$D:$D,累计考核费用!R$55)+SUMIFS(考核调整事项表!$E:$E,考核调整事项表!$G:$G,累计考核费用!$B92,考核调整事项表!$F:$F,累计考核费用!R$55)</f>
        <v>0</v>
      </c>
      <c r="S92" s="88">
        <f>SUMIFS(考核调整事项表!$C:$C,考核调整事项表!$G:$G,累计考核费用!$B92,考核调整事项表!$D:$D,累计考核费用!S$55)+SUMIFS(考核调整事项表!$E:$E,考核调整事项表!$G:$G,累计考核费用!$B92,考核调整事项表!$F:$F,累计考核费用!S$55)</f>
        <v>0</v>
      </c>
      <c r="T92" s="91">
        <f>SUMIFS(考核调整事项表!$C:$C,考核调整事项表!$G:$G,累计考核费用!$B92,考核调整事项表!$D:$D,累计考核费用!T$55)+SUMIFS(考核调整事项表!$E:$E,考核调整事项表!$G:$G,累计考核费用!$B92,考核调整事项表!$F:$F,累计考核费用!T$55)</f>
        <v>0</v>
      </c>
      <c r="U92" s="88">
        <f t="shared" si="11"/>
        <v>0</v>
      </c>
      <c r="V92" s="88">
        <f>SUMIFS(考核调整事项表!$C:$C,考核调整事项表!$G:$G,累计考核费用!$B92,考核调整事项表!$D:$D,累计考核费用!V$55)+SUMIFS(考核调整事项表!$E:$E,考核调整事项表!$G:$G,累计考核费用!$B92,考核调整事项表!$F:$F,累计考核费用!V$55)</f>
        <v>0</v>
      </c>
      <c r="W92" s="88">
        <f>SUMIFS(考核调整事项表!$C:$C,考核调整事项表!$G:$G,累计考核费用!$B92,考核调整事项表!$D:$D,累计考核费用!W$55)+SUMIFS(考核调整事项表!$E:$E,考核调整事项表!$G:$G,累计考核费用!$B92,考核调整事项表!$F:$F,累计考核费用!W$55)</f>
        <v>0</v>
      </c>
      <c r="X92" s="88">
        <f>SUMIFS(考核调整事项表!$C:$C,考核调整事项表!$G:$G,累计考核费用!$B92,考核调整事项表!$D:$D,累计考核费用!X$55)+SUMIFS(考核调整事项表!$E:$E,考核调整事项表!$G:$G,累计考核费用!$B92,考核调整事项表!$F:$F,累计考核费用!X$55)</f>
        <v>0</v>
      </c>
      <c r="Y92" s="88">
        <f>SUMIFS(考核调整事项表!$C:$C,考核调整事项表!$G:$G,累计考核费用!$B92,考核调整事项表!$D:$D,累计考核费用!Y$55)+SUMIFS(考核调整事项表!$E:$E,考核调整事项表!$G:$G,累计考核费用!$B92,考核调整事项表!$F:$F,累计考核费用!Y$55)</f>
        <v>0</v>
      </c>
      <c r="Z92" s="88">
        <f>SUMIFS(考核调整事项表!$C:$C,考核调整事项表!$G:$G,累计考核费用!$B92,考核调整事项表!$D:$D,累计考核费用!Z$55)+SUMIFS(考核调整事项表!$E:$E,考核调整事项表!$G:$G,累计考核费用!$B92,考核调整事项表!$F:$F,累计考核费用!Z$55)</f>
        <v>0</v>
      </c>
      <c r="AA92" s="88">
        <f>SUMIFS(考核调整事项表!$C:$C,考核调整事项表!$G:$G,累计考核费用!$B92,考核调整事项表!$D:$D,累计考核费用!AA$55)+SUMIFS(考核调整事项表!$E:$E,考核调整事项表!$G:$G,累计考核费用!$B92,考核调整事项表!$F:$F,累计考核费用!AA$55)</f>
        <v>0</v>
      </c>
      <c r="AB92" s="88">
        <f>SUMIFS(考核调整事项表!$C:$C,考核调整事项表!$G:$G,累计考核费用!$B92,考核调整事项表!$D:$D,累计考核费用!AB$55)+SUMIFS(考核调整事项表!$E:$E,考核调整事项表!$G:$G,累计考核费用!$B92,考核调整事项表!$F:$F,累计考核费用!AB$55)</f>
        <v>0</v>
      </c>
      <c r="AC92" s="88">
        <f>SUMIFS(考核调整事项表!$C:$C,考核调整事项表!$G:$G,累计考核费用!$B92,考核调整事项表!$D:$D,累计考核费用!AC$55)+SUMIFS(考核调整事项表!$E:$E,考核调整事项表!$G:$G,累计考核费用!$B92,考核调整事项表!$F:$F,累计考核费用!AC$55)</f>
        <v>0</v>
      </c>
      <c r="AD92" s="88">
        <f>SUMIFS(考核调整事项表!$C:$C,考核调整事项表!$G:$G,累计考核费用!$B92,考核调整事项表!$D:$D,累计考核费用!AD$55)+SUMIFS(考核调整事项表!$E:$E,考核调整事项表!$G:$G,累计考核费用!$B92,考核调整事项表!$F:$F,累计考核费用!AD$55)</f>
        <v>0</v>
      </c>
    </row>
    <row r="93" spans="1:30">
      <c r="A93" s="443"/>
      <c r="B93" s="48" t="s">
        <v>126</v>
      </c>
      <c r="C93" s="9">
        <f t="shared" si="7"/>
        <v>0</v>
      </c>
      <c r="D93" s="88">
        <f>SUMIFS(考核调整事项表!$C:$C,考核调整事项表!$G:$G,累计考核费用!$B93,考核调整事项表!$D:$D,累计考核费用!D$55)+SUMIFS(考核调整事项表!$E:$E,考核调整事项表!$G:$G,累计考核费用!$B93,考核调整事项表!$F:$F,累计考核费用!D$55)</f>
        <v>0</v>
      </c>
      <c r="E93" s="88">
        <f>SUMIFS(考核调整事项表!$C:$C,考核调整事项表!$G:$G,累计考核费用!$B93,考核调整事项表!$D:$D,累计考核费用!E$55)+SUMIFS(考核调整事项表!$E:$E,考核调整事项表!$G:$G,累计考核费用!$B93,考核调整事项表!$F:$F,累计考核费用!E$55)</f>
        <v>0</v>
      </c>
      <c r="F93" s="88">
        <f>SUMIFS(考核调整事项表!$C:$C,考核调整事项表!$G:$G,累计考核费用!$B93,考核调整事项表!$D:$D,累计考核费用!F$55)+SUMIFS(考核调整事项表!$E:$E,考核调整事项表!$G:$G,累计考核费用!$B93,考核调整事项表!$F:$F,累计考核费用!F$55)</f>
        <v>0</v>
      </c>
      <c r="G93" s="88">
        <f>SUMIFS(考核调整事项表!$C:$C,考核调整事项表!$G:$G,累计考核费用!$B93,考核调整事项表!$D:$D,累计考核费用!G$55)+SUMIFS(考核调整事项表!$E:$E,考核调整事项表!$G:$G,累计考核费用!$B93,考核调整事项表!$F:$F,累计考核费用!G$55)</f>
        <v>0</v>
      </c>
      <c r="H93" s="88">
        <f t="shared" si="8"/>
        <v>0</v>
      </c>
      <c r="I93" s="88">
        <f>SUMIFS(考核调整事项表!$C:$C,考核调整事项表!$G:$G,累计考核费用!$B93,考核调整事项表!$D:$D,累计考核费用!I$55)+SUMIFS(考核调整事项表!$E:$E,考核调整事项表!$G:$G,累计考核费用!$B93,考核调整事项表!$F:$F,累计考核费用!I$55)</f>
        <v>0</v>
      </c>
      <c r="J93" s="88">
        <f>SUMIFS(考核调整事项表!$C:$C,考核调整事项表!$G:$G,累计考核费用!$B93,考核调整事项表!$D:$D,累计考核费用!J$55)+SUMIFS(考核调整事项表!$E:$E,考核调整事项表!$G:$G,累计考核费用!$B93,考核调整事项表!$F:$F,累计考核费用!J$55)</f>
        <v>0</v>
      </c>
      <c r="K93" s="88">
        <f>SUMIFS(考核调整事项表!$C:$C,考核调整事项表!$G:$G,累计考核费用!$B93,考核调整事项表!$D:$D,累计考核费用!K$55)+SUMIFS(考核调整事项表!$E:$E,考核调整事项表!$G:$G,累计考核费用!$B93,考核调整事项表!$F:$F,累计考核费用!K$55)</f>
        <v>0</v>
      </c>
      <c r="L93" s="88">
        <f t="shared" si="9"/>
        <v>0</v>
      </c>
      <c r="M93" s="88">
        <f>SUMIFS(考核调整事项表!$C:$C,考核调整事项表!$G:$G,累计考核费用!$B93,考核调整事项表!$D:$D,累计考核费用!M$55)+SUMIFS(考核调整事项表!$E:$E,考核调整事项表!$G:$G,累计考核费用!$B93,考核调整事项表!$F:$F,累计考核费用!M$55)</f>
        <v>0</v>
      </c>
      <c r="N93" s="88">
        <f>SUMIFS(考核调整事项表!$C:$C,考核调整事项表!$G:$G,累计考核费用!$B93,考核调整事项表!$D:$D,累计考核费用!N$55)+SUMIFS(考核调整事项表!$E:$E,考核调整事项表!$G:$G,累计考核费用!$B93,考核调整事项表!$F:$F,累计考核费用!N$55)</f>
        <v>0</v>
      </c>
      <c r="O93" s="88">
        <f>SUMIFS(考核调整事项表!$C:$C,考核调整事项表!$G:$G,累计考核费用!$B93,考核调整事项表!$D:$D,累计考核费用!O$55)+SUMIFS(考核调整事项表!$E:$E,考核调整事项表!$G:$G,累计考核费用!$B93,考核调整事项表!$F:$F,累计考核费用!O$55)</f>
        <v>0</v>
      </c>
      <c r="P93" s="88">
        <f>SUMIFS(考核调整事项表!$C:$C,考核调整事项表!$G:$G,累计考核费用!$B93,考核调整事项表!$D:$D,累计考核费用!P$55)+SUMIFS(考核调整事项表!$E:$E,考核调整事项表!$G:$G,累计考核费用!$B93,考核调整事项表!$F:$F,累计考核费用!P$55)</f>
        <v>0</v>
      </c>
      <c r="Q93" s="88">
        <f t="shared" si="10"/>
        <v>0</v>
      </c>
      <c r="R93" s="88">
        <f>SUMIFS(考核调整事项表!$C:$C,考核调整事项表!$G:$G,累计考核费用!$B93,考核调整事项表!$D:$D,累计考核费用!R$55)+SUMIFS(考核调整事项表!$E:$E,考核调整事项表!$G:$G,累计考核费用!$B93,考核调整事项表!$F:$F,累计考核费用!R$55)</f>
        <v>0</v>
      </c>
      <c r="S93" s="88">
        <f>SUMIFS(考核调整事项表!$C:$C,考核调整事项表!$G:$G,累计考核费用!$B93,考核调整事项表!$D:$D,累计考核费用!S$55)+SUMIFS(考核调整事项表!$E:$E,考核调整事项表!$G:$G,累计考核费用!$B93,考核调整事项表!$F:$F,累计考核费用!S$55)</f>
        <v>0</v>
      </c>
      <c r="T93" s="91">
        <f>SUMIFS(考核调整事项表!$C:$C,考核调整事项表!$G:$G,累计考核费用!$B93,考核调整事项表!$D:$D,累计考核费用!T$55)+SUMIFS(考核调整事项表!$E:$E,考核调整事项表!$G:$G,累计考核费用!$B93,考核调整事项表!$F:$F,累计考核费用!T$55)</f>
        <v>0</v>
      </c>
      <c r="U93" s="88">
        <f t="shared" si="11"/>
        <v>0</v>
      </c>
      <c r="V93" s="88">
        <f>SUMIFS(考核调整事项表!$C:$C,考核调整事项表!$G:$G,累计考核费用!$B93,考核调整事项表!$D:$D,累计考核费用!V$55)+SUMIFS(考核调整事项表!$E:$E,考核调整事项表!$G:$G,累计考核费用!$B93,考核调整事项表!$F:$F,累计考核费用!V$55)</f>
        <v>0</v>
      </c>
      <c r="W93" s="88">
        <f>SUMIFS(考核调整事项表!$C:$C,考核调整事项表!$G:$G,累计考核费用!$B93,考核调整事项表!$D:$D,累计考核费用!W$55)+SUMIFS(考核调整事项表!$E:$E,考核调整事项表!$G:$G,累计考核费用!$B93,考核调整事项表!$F:$F,累计考核费用!W$55)</f>
        <v>0</v>
      </c>
      <c r="X93" s="88">
        <f>SUMIFS(考核调整事项表!$C:$C,考核调整事项表!$G:$G,累计考核费用!$B93,考核调整事项表!$D:$D,累计考核费用!X$55)+SUMIFS(考核调整事项表!$E:$E,考核调整事项表!$G:$G,累计考核费用!$B93,考核调整事项表!$F:$F,累计考核费用!X$55)</f>
        <v>0</v>
      </c>
      <c r="Y93" s="88">
        <f>SUMIFS(考核调整事项表!$C:$C,考核调整事项表!$G:$G,累计考核费用!$B93,考核调整事项表!$D:$D,累计考核费用!Y$55)+SUMIFS(考核调整事项表!$E:$E,考核调整事项表!$G:$G,累计考核费用!$B93,考核调整事项表!$F:$F,累计考核费用!Y$55)</f>
        <v>0</v>
      </c>
      <c r="Z93" s="88">
        <f>SUMIFS(考核调整事项表!$C:$C,考核调整事项表!$G:$G,累计考核费用!$B93,考核调整事项表!$D:$D,累计考核费用!Z$55)+SUMIFS(考核调整事项表!$E:$E,考核调整事项表!$G:$G,累计考核费用!$B93,考核调整事项表!$F:$F,累计考核费用!Z$55)</f>
        <v>0</v>
      </c>
      <c r="AA93" s="88">
        <f>SUMIFS(考核调整事项表!$C:$C,考核调整事项表!$G:$G,累计考核费用!$B93,考核调整事项表!$D:$D,累计考核费用!AA$55)+SUMIFS(考核调整事项表!$E:$E,考核调整事项表!$G:$G,累计考核费用!$B93,考核调整事项表!$F:$F,累计考核费用!AA$55)</f>
        <v>0</v>
      </c>
      <c r="AB93" s="88">
        <f>SUMIFS(考核调整事项表!$C:$C,考核调整事项表!$G:$G,累计考核费用!$B93,考核调整事项表!$D:$D,累计考核费用!AB$55)+SUMIFS(考核调整事项表!$E:$E,考核调整事项表!$G:$G,累计考核费用!$B93,考核调整事项表!$F:$F,累计考核费用!AB$55)</f>
        <v>0</v>
      </c>
      <c r="AC93" s="88">
        <f>SUMIFS(考核调整事项表!$C:$C,考核调整事项表!$G:$G,累计考核费用!$B93,考核调整事项表!$D:$D,累计考核费用!AC$55)+SUMIFS(考核调整事项表!$E:$E,考核调整事项表!$G:$G,累计考核费用!$B93,考核调整事项表!$F:$F,累计考核费用!AC$55)</f>
        <v>0</v>
      </c>
      <c r="AD93" s="88">
        <f>SUMIFS(考核调整事项表!$C:$C,考核调整事项表!$G:$G,累计考核费用!$B93,考核调整事项表!$D:$D,累计考核费用!AD$55)+SUMIFS(考核调整事项表!$E:$E,考核调整事项表!$G:$G,累计考核费用!$B93,考核调整事项表!$F:$F,累计考核费用!AD$55)</f>
        <v>0</v>
      </c>
    </row>
    <row r="94" spans="1:30">
      <c r="A94" s="443"/>
      <c r="B94" s="48" t="s">
        <v>127</v>
      </c>
      <c r="C94" s="9">
        <f t="shared" si="7"/>
        <v>0</v>
      </c>
      <c r="D94" s="88">
        <f>SUMIFS(考核调整事项表!$C:$C,考核调整事项表!$G:$G,累计考核费用!$B94,考核调整事项表!$D:$D,累计考核费用!D$55)+SUMIFS(考核调整事项表!$E:$E,考核调整事项表!$G:$G,累计考核费用!$B94,考核调整事项表!$F:$F,累计考核费用!D$55)</f>
        <v>0</v>
      </c>
      <c r="E94" s="88">
        <f>SUMIFS(考核调整事项表!$C:$C,考核调整事项表!$G:$G,累计考核费用!$B94,考核调整事项表!$D:$D,累计考核费用!E$55)+SUMIFS(考核调整事项表!$E:$E,考核调整事项表!$G:$G,累计考核费用!$B94,考核调整事项表!$F:$F,累计考核费用!E$55)</f>
        <v>0</v>
      </c>
      <c r="F94" s="88">
        <f>SUMIFS(考核调整事项表!$C:$C,考核调整事项表!$G:$G,累计考核费用!$B94,考核调整事项表!$D:$D,累计考核费用!F$55)+SUMIFS(考核调整事项表!$E:$E,考核调整事项表!$G:$G,累计考核费用!$B94,考核调整事项表!$F:$F,累计考核费用!F$55)</f>
        <v>0</v>
      </c>
      <c r="G94" s="88">
        <f>SUMIFS(考核调整事项表!$C:$C,考核调整事项表!$G:$G,累计考核费用!$B94,考核调整事项表!$D:$D,累计考核费用!G$55)+SUMIFS(考核调整事项表!$E:$E,考核调整事项表!$G:$G,累计考核费用!$B94,考核调整事项表!$F:$F,累计考核费用!G$55)</f>
        <v>0</v>
      </c>
      <c r="H94" s="88">
        <f t="shared" si="8"/>
        <v>0</v>
      </c>
      <c r="I94" s="88">
        <f>SUMIFS(考核调整事项表!$C:$C,考核调整事项表!$G:$G,累计考核费用!$B94,考核调整事项表!$D:$D,累计考核费用!I$55)+SUMIFS(考核调整事项表!$E:$E,考核调整事项表!$G:$G,累计考核费用!$B94,考核调整事项表!$F:$F,累计考核费用!I$55)</f>
        <v>0</v>
      </c>
      <c r="J94" s="88">
        <f>SUMIFS(考核调整事项表!$C:$C,考核调整事项表!$G:$G,累计考核费用!$B94,考核调整事项表!$D:$D,累计考核费用!J$55)+SUMIFS(考核调整事项表!$E:$E,考核调整事项表!$G:$G,累计考核费用!$B94,考核调整事项表!$F:$F,累计考核费用!J$55)</f>
        <v>0</v>
      </c>
      <c r="K94" s="88">
        <f>SUMIFS(考核调整事项表!$C:$C,考核调整事项表!$G:$G,累计考核费用!$B94,考核调整事项表!$D:$D,累计考核费用!K$55)+SUMIFS(考核调整事项表!$E:$E,考核调整事项表!$G:$G,累计考核费用!$B94,考核调整事项表!$F:$F,累计考核费用!K$55)</f>
        <v>0</v>
      </c>
      <c r="L94" s="88">
        <f t="shared" si="9"/>
        <v>0</v>
      </c>
      <c r="M94" s="88">
        <f>SUMIFS(考核调整事项表!$C:$C,考核调整事项表!$G:$G,累计考核费用!$B94,考核调整事项表!$D:$D,累计考核费用!M$55)+SUMIFS(考核调整事项表!$E:$E,考核调整事项表!$G:$G,累计考核费用!$B94,考核调整事项表!$F:$F,累计考核费用!M$55)</f>
        <v>0</v>
      </c>
      <c r="N94" s="88">
        <f>SUMIFS(考核调整事项表!$C:$C,考核调整事项表!$G:$G,累计考核费用!$B94,考核调整事项表!$D:$D,累计考核费用!N$55)+SUMIFS(考核调整事项表!$E:$E,考核调整事项表!$G:$G,累计考核费用!$B94,考核调整事项表!$F:$F,累计考核费用!N$55)</f>
        <v>0</v>
      </c>
      <c r="O94" s="88">
        <f>SUMIFS(考核调整事项表!$C:$C,考核调整事项表!$G:$G,累计考核费用!$B94,考核调整事项表!$D:$D,累计考核费用!O$55)+SUMIFS(考核调整事项表!$E:$E,考核调整事项表!$G:$G,累计考核费用!$B94,考核调整事项表!$F:$F,累计考核费用!O$55)</f>
        <v>0</v>
      </c>
      <c r="P94" s="88">
        <f>SUMIFS(考核调整事项表!$C:$C,考核调整事项表!$G:$G,累计考核费用!$B94,考核调整事项表!$D:$D,累计考核费用!P$55)+SUMIFS(考核调整事项表!$E:$E,考核调整事项表!$G:$G,累计考核费用!$B94,考核调整事项表!$F:$F,累计考核费用!P$55)</f>
        <v>0</v>
      </c>
      <c r="Q94" s="88">
        <f t="shared" si="10"/>
        <v>0</v>
      </c>
      <c r="R94" s="88">
        <f>SUMIFS(考核调整事项表!$C:$C,考核调整事项表!$G:$G,累计考核费用!$B94,考核调整事项表!$D:$D,累计考核费用!R$55)+SUMIFS(考核调整事项表!$E:$E,考核调整事项表!$G:$G,累计考核费用!$B94,考核调整事项表!$F:$F,累计考核费用!R$55)</f>
        <v>0</v>
      </c>
      <c r="S94" s="88">
        <f>SUMIFS(考核调整事项表!$C:$C,考核调整事项表!$G:$G,累计考核费用!$B94,考核调整事项表!$D:$D,累计考核费用!S$55)+SUMIFS(考核调整事项表!$E:$E,考核调整事项表!$G:$G,累计考核费用!$B94,考核调整事项表!$F:$F,累计考核费用!S$55)</f>
        <v>0</v>
      </c>
      <c r="T94" s="91">
        <f>SUMIFS(考核调整事项表!$C:$C,考核调整事项表!$G:$G,累计考核费用!$B94,考核调整事项表!$D:$D,累计考核费用!T$55)+SUMIFS(考核调整事项表!$E:$E,考核调整事项表!$G:$G,累计考核费用!$B94,考核调整事项表!$F:$F,累计考核费用!T$55)</f>
        <v>0</v>
      </c>
      <c r="U94" s="88">
        <f t="shared" si="11"/>
        <v>0</v>
      </c>
      <c r="V94" s="88">
        <f>SUMIFS(考核调整事项表!$C:$C,考核调整事项表!$G:$G,累计考核费用!$B94,考核调整事项表!$D:$D,累计考核费用!V$55)+SUMIFS(考核调整事项表!$E:$E,考核调整事项表!$G:$G,累计考核费用!$B94,考核调整事项表!$F:$F,累计考核费用!V$55)</f>
        <v>0</v>
      </c>
      <c r="W94" s="88">
        <f>SUMIFS(考核调整事项表!$C:$C,考核调整事项表!$G:$G,累计考核费用!$B94,考核调整事项表!$D:$D,累计考核费用!W$55)+SUMIFS(考核调整事项表!$E:$E,考核调整事项表!$G:$G,累计考核费用!$B94,考核调整事项表!$F:$F,累计考核费用!W$55)</f>
        <v>0</v>
      </c>
      <c r="X94" s="88">
        <f>SUMIFS(考核调整事项表!$C:$C,考核调整事项表!$G:$G,累计考核费用!$B94,考核调整事项表!$D:$D,累计考核费用!X$55)+SUMIFS(考核调整事项表!$E:$E,考核调整事项表!$G:$G,累计考核费用!$B94,考核调整事项表!$F:$F,累计考核费用!X$55)</f>
        <v>0</v>
      </c>
      <c r="Y94" s="88">
        <f>SUMIFS(考核调整事项表!$C:$C,考核调整事项表!$G:$G,累计考核费用!$B94,考核调整事项表!$D:$D,累计考核费用!Y$55)+SUMIFS(考核调整事项表!$E:$E,考核调整事项表!$G:$G,累计考核费用!$B94,考核调整事项表!$F:$F,累计考核费用!Y$55)</f>
        <v>0</v>
      </c>
      <c r="Z94" s="88">
        <f>SUMIFS(考核调整事项表!$C:$C,考核调整事项表!$G:$G,累计考核费用!$B94,考核调整事项表!$D:$D,累计考核费用!Z$55)+SUMIFS(考核调整事项表!$E:$E,考核调整事项表!$G:$G,累计考核费用!$B94,考核调整事项表!$F:$F,累计考核费用!Z$55)</f>
        <v>0</v>
      </c>
      <c r="AA94" s="88">
        <f>SUMIFS(考核调整事项表!$C:$C,考核调整事项表!$G:$G,累计考核费用!$B94,考核调整事项表!$D:$D,累计考核费用!AA$55)+SUMIFS(考核调整事项表!$E:$E,考核调整事项表!$G:$G,累计考核费用!$B94,考核调整事项表!$F:$F,累计考核费用!AA$55)</f>
        <v>0</v>
      </c>
      <c r="AB94" s="88">
        <f>SUMIFS(考核调整事项表!$C:$C,考核调整事项表!$G:$G,累计考核费用!$B94,考核调整事项表!$D:$D,累计考核费用!AB$55)+SUMIFS(考核调整事项表!$E:$E,考核调整事项表!$G:$G,累计考核费用!$B94,考核调整事项表!$F:$F,累计考核费用!AB$55)</f>
        <v>0</v>
      </c>
      <c r="AC94" s="88">
        <f>SUMIFS(考核调整事项表!$C:$C,考核调整事项表!$G:$G,累计考核费用!$B94,考核调整事项表!$D:$D,累计考核费用!AC$55)+SUMIFS(考核调整事项表!$E:$E,考核调整事项表!$G:$G,累计考核费用!$B94,考核调整事项表!$F:$F,累计考核费用!AC$55)</f>
        <v>0</v>
      </c>
      <c r="AD94" s="88">
        <f>SUMIFS(考核调整事项表!$C:$C,考核调整事项表!$G:$G,累计考核费用!$B94,考核调整事项表!$D:$D,累计考核费用!AD$55)+SUMIFS(考核调整事项表!$E:$E,考核调整事项表!$G:$G,累计考核费用!$B94,考核调整事项表!$F:$F,累计考核费用!AD$55)</f>
        <v>0</v>
      </c>
    </row>
    <row r="95" spans="1:30">
      <c r="A95" s="443"/>
      <c r="B95" s="48" t="s">
        <v>128</v>
      </c>
      <c r="C95" s="9">
        <f t="shared" si="7"/>
        <v>0</v>
      </c>
      <c r="D95" s="88">
        <f>SUMIFS(考核调整事项表!$C:$C,考核调整事项表!$G:$G,累计考核费用!$B95,考核调整事项表!$D:$D,累计考核费用!D$55)+SUMIFS(考核调整事项表!$E:$E,考核调整事项表!$G:$G,累计考核费用!$B95,考核调整事项表!$F:$F,累计考核费用!D$55)</f>
        <v>0</v>
      </c>
      <c r="E95" s="88">
        <f>SUMIFS(考核调整事项表!$C:$C,考核调整事项表!$G:$G,累计考核费用!$B95,考核调整事项表!$D:$D,累计考核费用!E$55)+SUMIFS(考核调整事项表!$E:$E,考核调整事项表!$G:$G,累计考核费用!$B95,考核调整事项表!$F:$F,累计考核费用!E$55)</f>
        <v>0</v>
      </c>
      <c r="F95" s="88">
        <f>SUMIFS(考核调整事项表!$C:$C,考核调整事项表!$G:$G,累计考核费用!$B95,考核调整事项表!$D:$D,累计考核费用!F$55)+SUMIFS(考核调整事项表!$E:$E,考核调整事项表!$G:$G,累计考核费用!$B95,考核调整事项表!$F:$F,累计考核费用!F$55)</f>
        <v>0</v>
      </c>
      <c r="G95" s="88">
        <f>SUMIFS(考核调整事项表!$C:$C,考核调整事项表!$G:$G,累计考核费用!$B95,考核调整事项表!$D:$D,累计考核费用!G$55)+SUMIFS(考核调整事项表!$E:$E,考核调整事项表!$G:$G,累计考核费用!$B95,考核调整事项表!$F:$F,累计考核费用!G$55)</f>
        <v>0</v>
      </c>
      <c r="H95" s="88">
        <f t="shared" si="8"/>
        <v>0</v>
      </c>
      <c r="I95" s="88">
        <f>SUMIFS(考核调整事项表!$C:$C,考核调整事项表!$G:$G,累计考核费用!$B95,考核调整事项表!$D:$D,累计考核费用!I$55)+SUMIFS(考核调整事项表!$E:$E,考核调整事项表!$G:$G,累计考核费用!$B95,考核调整事项表!$F:$F,累计考核费用!I$55)</f>
        <v>0</v>
      </c>
      <c r="J95" s="88">
        <f>SUMIFS(考核调整事项表!$C:$C,考核调整事项表!$G:$G,累计考核费用!$B95,考核调整事项表!$D:$D,累计考核费用!J$55)+SUMIFS(考核调整事项表!$E:$E,考核调整事项表!$G:$G,累计考核费用!$B95,考核调整事项表!$F:$F,累计考核费用!J$55)</f>
        <v>0</v>
      </c>
      <c r="K95" s="88">
        <f>SUMIFS(考核调整事项表!$C:$C,考核调整事项表!$G:$G,累计考核费用!$B95,考核调整事项表!$D:$D,累计考核费用!K$55)+SUMIFS(考核调整事项表!$E:$E,考核调整事项表!$G:$G,累计考核费用!$B95,考核调整事项表!$F:$F,累计考核费用!K$55)</f>
        <v>0</v>
      </c>
      <c r="L95" s="88">
        <f t="shared" si="9"/>
        <v>0</v>
      </c>
      <c r="M95" s="88">
        <f>SUMIFS(考核调整事项表!$C:$C,考核调整事项表!$G:$G,累计考核费用!$B95,考核调整事项表!$D:$D,累计考核费用!M$55)+SUMIFS(考核调整事项表!$E:$E,考核调整事项表!$G:$G,累计考核费用!$B95,考核调整事项表!$F:$F,累计考核费用!M$55)</f>
        <v>0</v>
      </c>
      <c r="N95" s="88">
        <f>SUMIFS(考核调整事项表!$C:$C,考核调整事项表!$G:$G,累计考核费用!$B95,考核调整事项表!$D:$D,累计考核费用!N$55)+SUMIFS(考核调整事项表!$E:$E,考核调整事项表!$G:$G,累计考核费用!$B95,考核调整事项表!$F:$F,累计考核费用!N$55)</f>
        <v>0</v>
      </c>
      <c r="O95" s="88">
        <f>SUMIFS(考核调整事项表!$C:$C,考核调整事项表!$G:$G,累计考核费用!$B95,考核调整事项表!$D:$D,累计考核费用!O$55)+SUMIFS(考核调整事项表!$E:$E,考核调整事项表!$G:$G,累计考核费用!$B95,考核调整事项表!$F:$F,累计考核费用!O$55)</f>
        <v>0</v>
      </c>
      <c r="P95" s="88">
        <f>SUMIFS(考核调整事项表!$C:$C,考核调整事项表!$G:$G,累计考核费用!$B95,考核调整事项表!$D:$D,累计考核费用!P$55)+SUMIFS(考核调整事项表!$E:$E,考核调整事项表!$G:$G,累计考核费用!$B95,考核调整事项表!$F:$F,累计考核费用!P$55)</f>
        <v>0</v>
      </c>
      <c r="Q95" s="88">
        <f t="shared" si="10"/>
        <v>0</v>
      </c>
      <c r="R95" s="88">
        <f>SUMIFS(考核调整事项表!$C:$C,考核调整事项表!$G:$G,累计考核费用!$B95,考核调整事项表!$D:$D,累计考核费用!R$55)+SUMIFS(考核调整事项表!$E:$E,考核调整事项表!$G:$G,累计考核费用!$B95,考核调整事项表!$F:$F,累计考核费用!R$55)</f>
        <v>0</v>
      </c>
      <c r="S95" s="88">
        <f>SUMIFS(考核调整事项表!$C:$C,考核调整事项表!$G:$G,累计考核费用!$B95,考核调整事项表!$D:$D,累计考核费用!S$55)+SUMIFS(考核调整事项表!$E:$E,考核调整事项表!$G:$G,累计考核费用!$B95,考核调整事项表!$F:$F,累计考核费用!S$55)</f>
        <v>0</v>
      </c>
      <c r="T95" s="91">
        <f>SUMIFS(考核调整事项表!$C:$C,考核调整事项表!$G:$G,累计考核费用!$B95,考核调整事项表!$D:$D,累计考核费用!T$55)+SUMIFS(考核调整事项表!$E:$E,考核调整事项表!$G:$G,累计考核费用!$B95,考核调整事项表!$F:$F,累计考核费用!T$55)</f>
        <v>0</v>
      </c>
      <c r="U95" s="88">
        <f t="shared" si="11"/>
        <v>0</v>
      </c>
      <c r="V95" s="88">
        <f>SUMIFS(考核调整事项表!$C:$C,考核调整事项表!$G:$G,累计考核费用!$B95,考核调整事项表!$D:$D,累计考核费用!V$55)+SUMIFS(考核调整事项表!$E:$E,考核调整事项表!$G:$G,累计考核费用!$B95,考核调整事项表!$F:$F,累计考核费用!V$55)</f>
        <v>0</v>
      </c>
      <c r="W95" s="88">
        <f>SUMIFS(考核调整事项表!$C:$C,考核调整事项表!$G:$G,累计考核费用!$B95,考核调整事项表!$D:$D,累计考核费用!W$55)+SUMIFS(考核调整事项表!$E:$E,考核调整事项表!$G:$G,累计考核费用!$B95,考核调整事项表!$F:$F,累计考核费用!W$55)</f>
        <v>0</v>
      </c>
      <c r="X95" s="88">
        <f>SUMIFS(考核调整事项表!$C:$C,考核调整事项表!$G:$G,累计考核费用!$B95,考核调整事项表!$D:$D,累计考核费用!X$55)+SUMIFS(考核调整事项表!$E:$E,考核调整事项表!$G:$G,累计考核费用!$B95,考核调整事项表!$F:$F,累计考核费用!X$55)</f>
        <v>0</v>
      </c>
      <c r="Y95" s="88">
        <f>SUMIFS(考核调整事项表!$C:$C,考核调整事项表!$G:$G,累计考核费用!$B95,考核调整事项表!$D:$D,累计考核费用!Y$55)+SUMIFS(考核调整事项表!$E:$E,考核调整事项表!$G:$G,累计考核费用!$B95,考核调整事项表!$F:$F,累计考核费用!Y$55)</f>
        <v>0</v>
      </c>
      <c r="Z95" s="88">
        <f>SUMIFS(考核调整事项表!$C:$C,考核调整事项表!$G:$G,累计考核费用!$B95,考核调整事项表!$D:$D,累计考核费用!Z$55)+SUMIFS(考核调整事项表!$E:$E,考核调整事项表!$G:$G,累计考核费用!$B95,考核调整事项表!$F:$F,累计考核费用!Z$55)</f>
        <v>0</v>
      </c>
      <c r="AA95" s="88">
        <f>SUMIFS(考核调整事项表!$C:$C,考核调整事项表!$G:$G,累计考核费用!$B95,考核调整事项表!$D:$D,累计考核费用!AA$55)+SUMIFS(考核调整事项表!$E:$E,考核调整事项表!$G:$G,累计考核费用!$B95,考核调整事项表!$F:$F,累计考核费用!AA$55)</f>
        <v>0</v>
      </c>
      <c r="AB95" s="88">
        <f>SUMIFS(考核调整事项表!$C:$C,考核调整事项表!$G:$G,累计考核费用!$B95,考核调整事项表!$D:$D,累计考核费用!AB$55)+SUMIFS(考核调整事项表!$E:$E,考核调整事项表!$G:$G,累计考核费用!$B95,考核调整事项表!$F:$F,累计考核费用!AB$55)</f>
        <v>0</v>
      </c>
      <c r="AC95" s="88">
        <f>SUMIFS(考核调整事项表!$C:$C,考核调整事项表!$G:$G,累计考核费用!$B95,考核调整事项表!$D:$D,累计考核费用!AC$55)+SUMIFS(考核调整事项表!$E:$E,考核调整事项表!$G:$G,累计考核费用!$B95,考核调整事项表!$F:$F,累计考核费用!AC$55)</f>
        <v>0</v>
      </c>
      <c r="AD95" s="88">
        <f>SUMIFS(考核调整事项表!$C:$C,考核调整事项表!$G:$G,累计考核费用!$B95,考核调整事项表!$D:$D,累计考核费用!AD$55)+SUMIFS(考核调整事项表!$E:$E,考核调整事项表!$G:$G,累计考核费用!$B95,考核调整事项表!$F:$F,累计考核费用!AD$55)</f>
        <v>0</v>
      </c>
    </row>
    <row r="96" spans="1:30" ht="13.5" customHeight="1">
      <c r="A96" s="443"/>
      <c r="B96" s="48" t="s">
        <v>129</v>
      </c>
      <c r="C96" s="9">
        <f t="shared" si="7"/>
        <v>0</v>
      </c>
      <c r="D96" s="88">
        <f>SUMIFS(考核调整事项表!$C:$C,考核调整事项表!$G:$G,累计考核费用!$B96,考核调整事项表!$D:$D,累计考核费用!D$55)+SUMIFS(考核调整事项表!$E:$E,考核调整事项表!$G:$G,累计考核费用!$B96,考核调整事项表!$F:$F,累计考核费用!D$55)</f>
        <v>0</v>
      </c>
      <c r="E96" s="88">
        <f>SUMIFS(考核调整事项表!$C:$C,考核调整事项表!$G:$G,累计考核费用!$B96,考核调整事项表!$D:$D,累计考核费用!E$55)+SUMIFS(考核调整事项表!$E:$E,考核调整事项表!$G:$G,累计考核费用!$B96,考核调整事项表!$F:$F,累计考核费用!E$55)</f>
        <v>0</v>
      </c>
      <c r="F96" s="88">
        <f>SUMIFS(考核调整事项表!$C:$C,考核调整事项表!$G:$G,累计考核费用!$B96,考核调整事项表!$D:$D,累计考核费用!F$55)+SUMIFS(考核调整事项表!$E:$E,考核调整事项表!$G:$G,累计考核费用!$B96,考核调整事项表!$F:$F,累计考核费用!F$55)</f>
        <v>0</v>
      </c>
      <c r="G96" s="88">
        <f>SUMIFS(考核调整事项表!$C:$C,考核调整事项表!$G:$G,累计考核费用!$B96,考核调整事项表!$D:$D,累计考核费用!G$55)+SUMIFS(考核调整事项表!$E:$E,考核调整事项表!$G:$G,累计考核费用!$B96,考核调整事项表!$F:$F,累计考核费用!G$55)</f>
        <v>0</v>
      </c>
      <c r="H96" s="88">
        <f t="shared" si="8"/>
        <v>0</v>
      </c>
      <c r="I96" s="88">
        <f>SUMIFS(考核调整事项表!$C:$C,考核调整事项表!$G:$G,累计考核费用!$B96,考核调整事项表!$D:$D,累计考核费用!I$55)+SUMIFS(考核调整事项表!$E:$E,考核调整事项表!$G:$G,累计考核费用!$B96,考核调整事项表!$F:$F,累计考核费用!I$55)</f>
        <v>0</v>
      </c>
      <c r="J96" s="88">
        <f>SUMIFS(考核调整事项表!$C:$C,考核调整事项表!$G:$G,累计考核费用!$B96,考核调整事项表!$D:$D,累计考核费用!J$55)+SUMIFS(考核调整事项表!$E:$E,考核调整事项表!$G:$G,累计考核费用!$B96,考核调整事项表!$F:$F,累计考核费用!J$55)</f>
        <v>0</v>
      </c>
      <c r="K96" s="88">
        <f>SUMIFS(考核调整事项表!$C:$C,考核调整事项表!$G:$G,累计考核费用!$B96,考核调整事项表!$D:$D,累计考核费用!K$55)+SUMIFS(考核调整事项表!$E:$E,考核调整事项表!$G:$G,累计考核费用!$B96,考核调整事项表!$F:$F,累计考核费用!K$55)</f>
        <v>0</v>
      </c>
      <c r="L96" s="88">
        <f t="shared" si="9"/>
        <v>0</v>
      </c>
      <c r="M96" s="88">
        <f>SUMIFS(考核调整事项表!$C:$C,考核调整事项表!$G:$G,累计考核费用!$B96,考核调整事项表!$D:$D,累计考核费用!M$55)+SUMIFS(考核调整事项表!$E:$E,考核调整事项表!$G:$G,累计考核费用!$B96,考核调整事项表!$F:$F,累计考核费用!M$55)</f>
        <v>0</v>
      </c>
      <c r="N96" s="88">
        <f>SUMIFS(考核调整事项表!$C:$C,考核调整事项表!$G:$G,累计考核费用!$B96,考核调整事项表!$D:$D,累计考核费用!N$55)+SUMIFS(考核调整事项表!$E:$E,考核调整事项表!$G:$G,累计考核费用!$B96,考核调整事项表!$F:$F,累计考核费用!N$55)</f>
        <v>0</v>
      </c>
      <c r="O96" s="88">
        <f>SUMIFS(考核调整事项表!$C:$C,考核调整事项表!$G:$G,累计考核费用!$B96,考核调整事项表!$D:$D,累计考核费用!O$55)+SUMIFS(考核调整事项表!$E:$E,考核调整事项表!$G:$G,累计考核费用!$B96,考核调整事项表!$F:$F,累计考核费用!O$55)</f>
        <v>0</v>
      </c>
      <c r="P96" s="88">
        <f>SUMIFS(考核调整事项表!$C:$C,考核调整事项表!$G:$G,累计考核费用!$B96,考核调整事项表!$D:$D,累计考核费用!P$55)+SUMIFS(考核调整事项表!$E:$E,考核调整事项表!$G:$G,累计考核费用!$B96,考核调整事项表!$F:$F,累计考核费用!P$55)</f>
        <v>0</v>
      </c>
      <c r="Q96" s="88">
        <f t="shared" si="10"/>
        <v>0</v>
      </c>
      <c r="R96" s="88">
        <f>SUMIFS(考核调整事项表!$C:$C,考核调整事项表!$G:$G,累计考核费用!$B96,考核调整事项表!$D:$D,累计考核费用!R$55)+SUMIFS(考核调整事项表!$E:$E,考核调整事项表!$G:$G,累计考核费用!$B96,考核调整事项表!$F:$F,累计考核费用!R$55)</f>
        <v>0</v>
      </c>
      <c r="S96" s="88">
        <f>SUMIFS(考核调整事项表!$C:$C,考核调整事项表!$G:$G,累计考核费用!$B96,考核调整事项表!$D:$D,累计考核费用!S$55)+SUMIFS(考核调整事项表!$E:$E,考核调整事项表!$G:$G,累计考核费用!$B96,考核调整事项表!$F:$F,累计考核费用!S$55)</f>
        <v>0</v>
      </c>
      <c r="T96" s="91">
        <f>SUMIFS(考核调整事项表!$C:$C,考核调整事项表!$G:$G,累计考核费用!$B96,考核调整事项表!$D:$D,累计考核费用!T$55)+SUMIFS(考核调整事项表!$E:$E,考核调整事项表!$G:$G,累计考核费用!$B96,考核调整事项表!$F:$F,累计考核费用!T$55)</f>
        <v>0</v>
      </c>
      <c r="U96" s="88">
        <f t="shared" si="11"/>
        <v>0</v>
      </c>
      <c r="V96" s="88">
        <f>SUMIFS(考核调整事项表!$C:$C,考核调整事项表!$G:$G,累计考核费用!$B96,考核调整事项表!$D:$D,累计考核费用!V$55)+SUMIFS(考核调整事项表!$E:$E,考核调整事项表!$G:$G,累计考核费用!$B96,考核调整事项表!$F:$F,累计考核费用!V$55)</f>
        <v>0</v>
      </c>
      <c r="W96" s="88">
        <f>SUMIFS(考核调整事项表!$C:$C,考核调整事项表!$G:$G,累计考核费用!$B96,考核调整事项表!$D:$D,累计考核费用!W$55)+SUMIFS(考核调整事项表!$E:$E,考核调整事项表!$G:$G,累计考核费用!$B96,考核调整事项表!$F:$F,累计考核费用!W$55)</f>
        <v>0</v>
      </c>
      <c r="X96" s="88">
        <f>SUMIFS(考核调整事项表!$C:$C,考核调整事项表!$G:$G,累计考核费用!$B96,考核调整事项表!$D:$D,累计考核费用!X$55)+SUMIFS(考核调整事项表!$E:$E,考核调整事项表!$G:$G,累计考核费用!$B96,考核调整事项表!$F:$F,累计考核费用!X$55)</f>
        <v>0</v>
      </c>
      <c r="Y96" s="88">
        <f>SUMIFS(考核调整事项表!$C:$C,考核调整事项表!$G:$G,累计考核费用!$B96,考核调整事项表!$D:$D,累计考核费用!Y$55)+SUMIFS(考核调整事项表!$E:$E,考核调整事项表!$G:$G,累计考核费用!$B96,考核调整事项表!$F:$F,累计考核费用!Y$55)</f>
        <v>0</v>
      </c>
      <c r="Z96" s="88">
        <f>SUMIFS(考核调整事项表!$C:$C,考核调整事项表!$G:$G,累计考核费用!$B96,考核调整事项表!$D:$D,累计考核费用!Z$55)+SUMIFS(考核调整事项表!$E:$E,考核调整事项表!$G:$G,累计考核费用!$B96,考核调整事项表!$F:$F,累计考核费用!Z$55)</f>
        <v>0</v>
      </c>
      <c r="AA96" s="88">
        <f>SUMIFS(考核调整事项表!$C:$C,考核调整事项表!$G:$G,累计考核费用!$B96,考核调整事项表!$D:$D,累计考核费用!AA$55)+SUMIFS(考核调整事项表!$E:$E,考核调整事项表!$G:$G,累计考核费用!$B96,考核调整事项表!$F:$F,累计考核费用!AA$55)</f>
        <v>0</v>
      </c>
      <c r="AB96" s="88">
        <f>SUMIFS(考核调整事项表!$C:$C,考核调整事项表!$G:$G,累计考核费用!$B96,考核调整事项表!$D:$D,累计考核费用!AB$55)+SUMIFS(考核调整事项表!$E:$E,考核调整事项表!$G:$G,累计考核费用!$B96,考核调整事项表!$F:$F,累计考核费用!AB$55)</f>
        <v>0</v>
      </c>
      <c r="AC96" s="88">
        <f>SUMIFS(考核调整事项表!$C:$C,考核调整事项表!$G:$G,累计考核费用!$B96,考核调整事项表!$D:$D,累计考核费用!AC$55)+SUMIFS(考核调整事项表!$E:$E,考核调整事项表!$G:$G,累计考核费用!$B96,考核调整事项表!$F:$F,累计考核费用!AC$55)</f>
        <v>0</v>
      </c>
      <c r="AD96" s="88">
        <f>SUMIFS(考核调整事项表!$C:$C,考核调整事项表!$G:$G,累计考核费用!$B96,考核调整事项表!$D:$D,累计考核费用!AD$55)+SUMIFS(考核调整事项表!$E:$E,考核调整事项表!$G:$G,累计考核费用!$B96,考核调整事项表!$F:$F,累计考核费用!AD$55)</f>
        <v>0</v>
      </c>
    </row>
    <row r="97" spans="1:30">
      <c r="A97" s="443"/>
      <c r="B97" s="48" t="s">
        <v>130</v>
      </c>
      <c r="C97" s="9">
        <f t="shared" si="7"/>
        <v>0</v>
      </c>
      <c r="D97" s="88">
        <f>SUMIFS(考核调整事项表!$C:$C,考核调整事项表!$G:$G,累计考核费用!$B97,考核调整事项表!$D:$D,累计考核费用!D$55)+SUMIFS(考核调整事项表!$E:$E,考核调整事项表!$G:$G,累计考核费用!$B97,考核调整事项表!$F:$F,累计考核费用!D$55)</f>
        <v>0</v>
      </c>
      <c r="E97" s="88">
        <f>SUMIFS(考核调整事项表!$C:$C,考核调整事项表!$G:$G,累计考核费用!$B97,考核调整事项表!$D:$D,累计考核费用!E$55)+SUMIFS(考核调整事项表!$E:$E,考核调整事项表!$G:$G,累计考核费用!$B97,考核调整事项表!$F:$F,累计考核费用!E$55)</f>
        <v>0</v>
      </c>
      <c r="F97" s="88">
        <f>SUMIFS(考核调整事项表!$C:$C,考核调整事项表!$G:$G,累计考核费用!$B97,考核调整事项表!$D:$D,累计考核费用!F$55)+SUMIFS(考核调整事项表!$E:$E,考核调整事项表!$G:$G,累计考核费用!$B97,考核调整事项表!$F:$F,累计考核费用!F$55)</f>
        <v>0</v>
      </c>
      <c r="G97" s="88">
        <f>SUMIFS(考核调整事项表!$C:$C,考核调整事项表!$G:$G,累计考核费用!$B97,考核调整事项表!$D:$D,累计考核费用!G$55)+SUMIFS(考核调整事项表!$E:$E,考核调整事项表!$G:$G,累计考核费用!$B97,考核调整事项表!$F:$F,累计考核费用!G$55)</f>
        <v>0</v>
      </c>
      <c r="H97" s="88">
        <f t="shared" si="8"/>
        <v>0</v>
      </c>
      <c r="I97" s="88">
        <f>SUMIFS(考核调整事项表!$C:$C,考核调整事项表!$G:$G,累计考核费用!$B97,考核调整事项表!$D:$D,累计考核费用!I$55)+SUMIFS(考核调整事项表!$E:$E,考核调整事项表!$G:$G,累计考核费用!$B97,考核调整事项表!$F:$F,累计考核费用!I$55)</f>
        <v>0</v>
      </c>
      <c r="J97" s="88">
        <f>SUMIFS(考核调整事项表!$C:$C,考核调整事项表!$G:$G,累计考核费用!$B97,考核调整事项表!$D:$D,累计考核费用!J$55)+SUMIFS(考核调整事项表!$E:$E,考核调整事项表!$G:$G,累计考核费用!$B97,考核调整事项表!$F:$F,累计考核费用!J$55)</f>
        <v>0</v>
      </c>
      <c r="K97" s="88">
        <f>SUMIFS(考核调整事项表!$C:$C,考核调整事项表!$G:$G,累计考核费用!$B97,考核调整事项表!$D:$D,累计考核费用!K$55)+SUMIFS(考核调整事项表!$E:$E,考核调整事项表!$G:$G,累计考核费用!$B97,考核调整事项表!$F:$F,累计考核费用!K$55)</f>
        <v>0</v>
      </c>
      <c r="L97" s="88">
        <f t="shared" si="9"/>
        <v>0</v>
      </c>
      <c r="M97" s="88">
        <f>SUMIFS(考核调整事项表!$C:$C,考核调整事项表!$G:$G,累计考核费用!$B97,考核调整事项表!$D:$D,累计考核费用!M$55)+SUMIFS(考核调整事项表!$E:$E,考核调整事项表!$G:$G,累计考核费用!$B97,考核调整事项表!$F:$F,累计考核费用!M$55)</f>
        <v>0</v>
      </c>
      <c r="N97" s="88">
        <f>SUMIFS(考核调整事项表!$C:$C,考核调整事项表!$G:$G,累计考核费用!$B97,考核调整事项表!$D:$D,累计考核费用!N$55)+SUMIFS(考核调整事项表!$E:$E,考核调整事项表!$G:$G,累计考核费用!$B97,考核调整事项表!$F:$F,累计考核费用!N$55)</f>
        <v>0</v>
      </c>
      <c r="O97" s="88">
        <f>SUMIFS(考核调整事项表!$C:$C,考核调整事项表!$G:$G,累计考核费用!$B97,考核调整事项表!$D:$D,累计考核费用!O$55)+SUMIFS(考核调整事项表!$E:$E,考核调整事项表!$G:$G,累计考核费用!$B97,考核调整事项表!$F:$F,累计考核费用!O$55)</f>
        <v>0</v>
      </c>
      <c r="P97" s="88">
        <f>SUMIFS(考核调整事项表!$C:$C,考核调整事项表!$G:$G,累计考核费用!$B97,考核调整事项表!$D:$D,累计考核费用!P$55)+SUMIFS(考核调整事项表!$E:$E,考核调整事项表!$G:$G,累计考核费用!$B97,考核调整事项表!$F:$F,累计考核费用!P$55)</f>
        <v>0</v>
      </c>
      <c r="Q97" s="88">
        <f t="shared" si="10"/>
        <v>0</v>
      </c>
      <c r="R97" s="88">
        <f>SUMIFS(考核调整事项表!$C:$C,考核调整事项表!$G:$G,累计考核费用!$B97,考核调整事项表!$D:$D,累计考核费用!R$55)+SUMIFS(考核调整事项表!$E:$E,考核调整事项表!$G:$G,累计考核费用!$B97,考核调整事项表!$F:$F,累计考核费用!R$55)</f>
        <v>0</v>
      </c>
      <c r="S97" s="88">
        <f>SUMIFS(考核调整事项表!$C:$C,考核调整事项表!$G:$G,累计考核费用!$B97,考核调整事项表!$D:$D,累计考核费用!S$55)+SUMIFS(考核调整事项表!$E:$E,考核调整事项表!$G:$G,累计考核费用!$B97,考核调整事项表!$F:$F,累计考核费用!S$55)</f>
        <v>0</v>
      </c>
      <c r="T97" s="91">
        <f>SUMIFS(考核调整事项表!$C:$C,考核调整事项表!$G:$G,累计考核费用!$B97,考核调整事项表!$D:$D,累计考核费用!T$55)+SUMIFS(考核调整事项表!$E:$E,考核调整事项表!$G:$G,累计考核费用!$B97,考核调整事项表!$F:$F,累计考核费用!T$55)</f>
        <v>0</v>
      </c>
      <c r="U97" s="88">
        <f t="shared" si="11"/>
        <v>0</v>
      </c>
      <c r="V97" s="88">
        <f>SUMIFS(考核调整事项表!$C:$C,考核调整事项表!$G:$G,累计考核费用!$B97,考核调整事项表!$D:$D,累计考核费用!V$55)+SUMIFS(考核调整事项表!$E:$E,考核调整事项表!$G:$G,累计考核费用!$B97,考核调整事项表!$F:$F,累计考核费用!V$55)</f>
        <v>0</v>
      </c>
      <c r="W97" s="88">
        <f>SUMIFS(考核调整事项表!$C:$C,考核调整事项表!$G:$G,累计考核费用!$B97,考核调整事项表!$D:$D,累计考核费用!W$55)+SUMIFS(考核调整事项表!$E:$E,考核调整事项表!$G:$G,累计考核费用!$B97,考核调整事项表!$F:$F,累计考核费用!W$55)</f>
        <v>0</v>
      </c>
      <c r="X97" s="88">
        <f>SUMIFS(考核调整事项表!$C:$C,考核调整事项表!$G:$G,累计考核费用!$B97,考核调整事项表!$D:$D,累计考核费用!X$55)+SUMIFS(考核调整事项表!$E:$E,考核调整事项表!$G:$G,累计考核费用!$B97,考核调整事项表!$F:$F,累计考核费用!X$55)</f>
        <v>0</v>
      </c>
      <c r="Y97" s="88">
        <f>SUMIFS(考核调整事项表!$C:$C,考核调整事项表!$G:$G,累计考核费用!$B97,考核调整事项表!$D:$D,累计考核费用!Y$55)+SUMIFS(考核调整事项表!$E:$E,考核调整事项表!$G:$G,累计考核费用!$B97,考核调整事项表!$F:$F,累计考核费用!Y$55)</f>
        <v>0</v>
      </c>
      <c r="Z97" s="88">
        <f>SUMIFS(考核调整事项表!$C:$C,考核调整事项表!$G:$G,累计考核费用!$B97,考核调整事项表!$D:$D,累计考核费用!Z$55)+SUMIFS(考核调整事项表!$E:$E,考核调整事项表!$G:$G,累计考核费用!$B97,考核调整事项表!$F:$F,累计考核费用!Z$55)</f>
        <v>0</v>
      </c>
      <c r="AA97" s="88">
        <f>SUMIFS(考核调整事项表!$C:$C,考核调整事项表!$G:$G,累计考核费用!$B97,考核调整事项表!$D:$D,累计考核费用!AA$55)+SUMIFS(考核调整事项表!$E:$E,考核调整事项表!$G:$G,累计考核费用!$B97,考核调整事项表!$F:$F,累计考核费用!AA$55)</f>
        <v>0</v>
      </c>
      <c r="AB97" s="88">
        <f>SUMIFS(考核调整事项表!$C:$C,考核调整事项表!$G:$G,累计考核费用!$B97,考核调整事项表!$D:$D,累计考核费用!AB$55)+SUMIFS(考核调整事项表!$E:$E,考核调整事项表!$G:$G,累计考核费用!$B97,考核调整事项表!$F:$F,累计考核费用!AB$55)</f>
        <v>0</v>
      </c>
      <c r="AC97" s="88">
        <f>SUMIFS(考核调整事项表!$C:$C,考核调整事项表!$G:$G,累计考核费用!$B97,考核调整事项表!$D:$D,累计考核费用!AC$55)+SUMIFS(考核调整事项表!$E:$E,考核调整事项表!$G:$G,累计考核费用!$B97,考核调整事项表!$F:$F,累计考核费用!AC$55)</f>
        <v>0</v>
      </c>
      <c r="AD97" s="88">
        <f>SUMIFS(考核调整事项表!$C:$C,考核调整事项表!$G:$G,累计考核费用!$B97,考核调整事项表!$D:$D,累计考核费用!AD$55)+SUMIFS(考核调整事项表!$E:$E,考核调整事项表!$G:$G,累计考核费用!$B97,考核调整事项表!$F:$F,累计考核费用!AD$55)</f>
        <v>0</v>
      </c>
    </row>
    <row r="98" spans="1:30">
      <c r="A98" s="443"/>
      <c r="B98" s="48" t="s">
        <v>131</v>
      </c>
      <c r="C98" s="9">
        <f t="shared" si="7"/>
        <v>0</v>
      </c>
      <c r="D98" s="88">
        <f>SUMIFS(考核调整事项表!$C:$C,考核调整事项表!$G:$G,累计考核费用!$B98,考核调整事项表!$D:$D,累计考核费用!D$55)+SUMIFS(考核调整事项表!$E:$E,考核调整事项表!$G:$G,累计考核费用!$B98,考核调整事项表!$F:$F,累计考核费用!D$55)</f>
        <v>0</v>
      </c>
      <c r="E98" s="88">
        <f>SUMIFS(考核调整事项表!$C:$C,考核调整事项表!$G:$G,累计考核费用!$B98,考核调整事项表!$D:$D,累计考核费用!E$55)+SUMIFS(考核调整事项表!$E:$E,考核调整事项表!$G:$G,累计考核费用!$B98,考核调整事项表!$F:$F,累计考核费用!E$55)</f>
        <v>0</v>
      </c>
      <c r="F98" s="88">
        <f>SUMIFS(考核调整事项表!$C:$C,考核调整事项表!$G:$G,累计考核费用!$B98,考核调整事项表!$D:$D,累计考核费用!F$55)+SUMIFS(考核调整事项表!$E:$E,考核调整事项表!$G:$G,累计考核费用!$B98,考核调整事项表!$F:$F,累计考核费用!F$55)</f>
        <v>0</v>
      </c>
      <c r="G98" s="88">
        <f>SUMIFS(考核调整事项表!$C:$C,考核调整事项表!$G:$G,累计考核费用!$B98,考核调整事项表!$D:$D,累计考核费用!G$55)+SUMIFS(考核调整事项表!$E:$E,考核调整事项表!$G:$G,累计考核费用!$B98,考核调整事项表!$F:$F,累计考核费用!G$55)</f>
        <v>0</v>
      </c>
      <c r="H98" s="88">
        <f t="shared" si="8"/>
        <v>0</v>
      </c>
      <c r="I98" s="88">
        <f>SUMIFS(考核调整事项表!$C:$C,考核调整事项表!$G:$G,累计考核费用!$B98,考核调整事项表!$D:$D,累计考核费用!I$55)+SUMIFS(考核调整事项表!$E:$E,考核调整事项表!$G:$G,累计考核费用!$B98,考核调整事项表!$F:$F,累计考核费用!I$55)</f>
        <v>0</v>
      </c>
      <c r="J98" s="88">
        <f>SUMIFS(考核调整事项表!$C:$C,考核调整事项表!$G:$G,累计考核费用!$B98,考核调整事项表!$D:$D,累计考核费用!J$55)+SUMIFS(考核调整事项表!$E:$E,考核调整事项表!$G:$G,累计考核费用!$B98,考核调整事项表!$F:$F,累计考核费用!J$55)</f>
        <v>0</v>
      </c>
      <c r="K98" s="88">
        <f>SUMIFS(考核调整事项表!$C:$C,考核调整事项表!$G:$G,累计考核费用!$B98,考核调整事项表!$D:$D,累计考核费用!K$55)+SUMIFS(考核调整事项表!$E:$E,考核调整事项表!$G:$G,累计考核费用!$B98,考核调整事项表!$F:$F,累计考核费用!K$55)</f>
        <v>0</v>
      </c>
      <c r="L98" s="88">
        <f t="shared" si="9"/>
        <v>0</v>
      </c>
      <c r="M98" s="88">
        <f>SUMIFS(考核调整事项表!$C:$C,考核调整事项表!$G:$G,累计考核费用!$B98,考核调整事项表!$D:$D,累计考核费用!M$55)+SUMIFS(考核调整事项表!$E:$E,考核调整事项表!$G:$G,累计考核费用!$B98,考核调整事项表!$F:$F,累计考核费用!M$55)</f>
        <v>0</v>
      </c>
      <c r="N98" s="88">
        <f>SUMIFS(考核调整事项表!$C:$C,考核调整事项表!$G:$G,累计考核费用!$B98,考核调整事项表!$D:$D,累计考核费用!N$55)+SUMIFS(考核调整事项表!$E:$E,考核调整事项表!$G:$G,累计考核费用!$B98,考核调整事项表!$F:$F,累计考核费用!N$55)</f>
        <v>0</v>
      </c>
      <c r="O98" s="88">
        <f>SUMIFS(考核调整事项表!$C:$C,考核调整事项表!$G:$G,累计考核费用!$B98,考核调整事项表!$D:$D,累计考核费用!O$55)+SUMIFS(考核调整事项表!$E:$E,考核调整事项表!$G:$G,累计考核费用!$B98,考核调整事项表!$F:$F,累计考核费用!O$55)</f>
        <v>0</v>
      </c>
      <c r="P98" s="88">
        <f>SUMIFS(考核调整事项表!$C:$C,考核调整事项表!$G:$G,累计考核费用!$B98,考核调整事项表!$D:$D,累计考核费用!P$55)+SUMIFS(考核调整事项表!$E:$E,考核调整事项表!$G:$G,累计考核费用!$B98,考核调整事项表!$F:$F,累计考核费用!P$55)</f>
        <v>0</v>
      </c>
      <c r="Q98" s="88">
        <f t="shared" si="10"/>
        <v>0</v>
      </c>
      <c r="R98" s="88">
        <f>SUMIFS(考核调整事项表!$C:$C,考核调整事项表!$G:$G,累计考核费用!$B98,考核调整事项表!$D:$D,累计考核费用!R$55)+SUMIFS(考核调整事项表!$E:$E,考核调整事项表!$G:$G,累计考核费用!$B98,考核调整事项表!$F:$F,累计考核费用!R$55)</f>
        <v>0</v>
      </c>
      <c r="S98" s="88">
        <f>SUMIFS(考核调整事项表!$C:$C,考核调整事项表!$G:$G,累计考核费用!$B98,考核调整事项表!$D:$D,累计考核费用!S$55)+SUMIFS(考核调整事项表!$E:$E,考核调整事项表!$G:$G,累计考核费用!$B98,考核调整事项表!$F:$F,累计考核费用!S$55)</f>
        <v>0</v>
      </c>
      <c r="T98" s="91">
        <f>SUMIFS(考核调整事项表!$C:$C,考核调整事项表!$G:$G,累计考核费用!$B98,考核调整事项表!$D:$D,累计考核费用!T$55)+SUMIFS(考核调整事项表!$E:$E,考核调整事项表!$G:$G,累计考核费用!$B98,考核调整事项表!$F:$F,累计考核费用!T$55)</f>
        <v>0</v>
      </c>
      <c r="U98" s="88">
        <f t="shared" si="11"/>
        <v>0</v>
      </c>
      <c r="V98" s="88">
        <f>SUMIFS(考核调整事项表!$C:$C,考核调整事项表!$G:$G,累计考核费用!$B98,考核调整事项表!$D:$D,累计考核费用!V$55)+SUMIFS(考核调整事项表!$E:$E,考核调整事项表!$G:$G,累计考核费用!$B98,考核调整事项表!$F:$F,累计考核费用!V$55)</f>
        <v>0</v>
      </c>
      <c r="W98" s="88">
        <f>SUMIFS(考核调整事项表!$C:$C,考核调整事项表!$G:$G,累计考核费用!$B98,考核调整事项表!$D:$D,累计考核费用!W$55)+SUMIFS(考核调整事项表!$E:$E,考核调整事项表!$G:$G,累计考核费用!$B98,考核调整事项表!$F:$F,累计考核费用!W$55)</f>
        <v>0</v>
      </c>
      <c r="X98" s="88">
        <f>SUMIFS(考核调整事项表!$C:$C,考核调整事项表!$G:$G,累计考核费用!$B98,考核调整事项表!$D:$D,累计考核费用!X$55)+SUMIFS(考核调整事项表!$E:$E,考核调整事项表!$G:$G,累计考核费用!$B98,考核调整事项表!$F:$F,累计考核费用!X$55)</f>
        <v>0</v>
      </c>
      <c r="Y98" s="88">
        <f>SUMIFS(考核调整事项表!$C:$C,考核调整事项表!$G:$G,累计考核费用!$B98,考核调整事项表!$D:$D,累计考核费用!Y$55)+SUMIFS(考核调整事项表!$E:$E,考核调整事项表!$G:$G,累计考核费用!$B98,考核调整事项表!$F:$F,累计考核费用!Y$55)</f>
        <v>0</v>
      </c>
      <c r="Z98" s="88">
        <f>SUMIFS(考核调整事项表!$C:$C,考核调整事项表!$G:$G,累计考核费用!$B98,考核调整事项表!$D:$D,累计考核费用!Z$55)+SUMIFS(考核调整事项表!$E:$E,考核调整事项表!$G:$G,累计考核费用!$B98,考核调整事项表!$F:$F,累计考核费用!Z$55)</f>
        <v>0</v>
      </c>
      <c r="AA98" s="88">
        <f>SUMIFS(考核调整事项表!$C:$C,考核调整事项表!$G:$G,累计考核费用!$B98,考核调整事项表!$D:$D,累计考核费用!AA$55)+SUMIFS(考核调整事项表!$E:$E,考核调整事项表!$G:$G,累计考核费用!$B98,考核调整事项表!$F:$F,累计考核费用!AA$55)</f>
        <v>0</v>
      </c>
      <c r="AB98" s="88">
        <f>SUMIFS(考核调整事项表!$C:$C,考核调整事项表!$G:$G,累计考核费用!$B98,考核调整事项表!$D:$D,累计考核费用!AB$55)+SUMIFS(考核调整事项表!$E:$E,考核调整事项表!$G:$G,累计考核费用!$B98,考核调整事项表!$F:$F,累计考核费用!AB$55)</f>
        <v>0</v>
      </c>
      <c r="AC98" s="88">
        <f>SUMIFS(考核调整事项表!$C:$C,考核调整事项表!$G:$G,累计考核费用!$B98,考核调整事项表!$D:$D,累计考核费用!AC$55)+SUMIFS(考核调整事项表!$E:$E,考核调整事项表!$G:$G,累计考核费用!$B98,考核调整事项表!$F:$F,累计考核费用!AC$55)</f>
        <v>0</v>
      </c>
      <c r="AD98" s="88">
        <f>SUMIFS(考核调整事项表!$C:$C,考核调整事项表!$G:$G,累计考核费用!$B98,考核调整事项表!$D:$D,累计考核费用!AD$55)+SUMIFS(考核调整事项表!$E:$E,考核调整事项表!$G:$G,累计考核费用!$B98,考核调整事项表!$F:$F,累计考核费用!AD$55)</f>
        <v>0</v>
      </c>
    </row>
    <row r="99" spans="1:30">
      <c r="A99" s="443"/>
      <c r="B99" s="48" t="s">
        <v>132</v>
      </c>
      <c r="C99" s="9">
        <f t="shared" si="7"/>
        <v>0</v>
      </c>
      <c r="D99" s="88">
        <f>SUMIFS(考核调整事项表!$C:$C,考核调整事项表!$G:$G,累计考核费用!$B99,考核调整事项表!$D:$D,累计考核费用!D$55)+SUMIFS(考核调整事项表!$E:$E,考核调整事项表!$G:$G,累计考核费用!$B99,考核调整事项表!$F:$F,累计考核费用!D$55)</f>
        <v>-833333.33</v>
      </c>
      <c r="E99" s="88">
        <f>SUMIFS(考核调整事项表!$C:$C,考核调整事项表!$G:$G,累计考核费用!$B99,考核调整事项表!$D:$D,累计考核费用!E$55)+SUMIFS(考核调整事项表!$E:$E,考核调整事项表!$G:$G,累计考核费用!$B99,考核调整事项表!$F:$F,累计考核费用!E$55)</f>
        <v>0</v>
      </c>
      <c r="F99" s="88">
        <f>SUMIFS(考核调整事项表!$C:$C,考核调整事项表!$G:$G,累计考核费用!$B99,考核调整事项表!$D:$D,累计考核费用!F$55)+SUMIFS(考核调整事项表!$E:$E,考核调整事项表!$G:$G,累计考核费用!$B99,考核调整事项表!$F:$F,累计考核费用!F$55)</f>
        <v>833333.33</v>
      </c>
      <c r="G99" s="88">
        <f>SUMIFS(考核调整事项表!$C:$C,考核调整事项表!$G:$G,累计考核费用!$B99,考核调整事项表!$D:$D,累计考核费用!G$55)+SUMIFS(考核调整事项表!$E:$E,考核调整事项表!$G:$G,累计考核费用!$B99,考核调整事项表!$F:$F,累计考核费用!G$55)</f>
        <v>0</v>
      </c>
      <c r="H99" s="88">
        <f t="shared" si="8"/>
        <v>0</v>
      </c>
      <c r="I99" s="88">
        <f>SUMIFS(考核调整事项表!$C:$C,考核调整事项表!$G:$G,累计考核费用!$B99,考核调整事项表!$D:$D,累计考核费用!I$55)+SUMIFS(考核调整事项表!$E:$E,考核调整事项表!$G:$G,累计考核费用!$B99,考核调整事项表!$F:$F,累计考核费用!I$55)</f>
        <v>0</v>
      </c>
      <c r="J99" s="88">
        <f>SUMIFS(考核调整事项表!$C:$C,考核调整事项表!$G:$G,累计考核费用!$B99,考核调整事项表!$D:$D,累计考核费用!J$55)+SUMIFS(考核调整事项表!$E:$E,考核调整事项表!$G:$G,累计考核费用!$B99,考核调整事项表!$F:$F,累计考核费用!J$55)</f>
        <v>0</v>
      </c>
      <c r="K99" s="88">
        <f>SUMIFS(考核调整事项表!$C:$C,考核调整事项表!$G:$G,累计考核费用!$B99,考核调整事项表!$D:$D,累计考核费用!K$55)+SUMIFS(考核调整事项表!$E:$E,考核调整事项表!$G:$G,累计考核费用!$B99,考核调整事项表!$F:$F,累计考核费用!K$55)</f>
        <v>0</v>
      </c>
      <c r="L99" s="88">
        <f t="shared" si="9"/>
        <v>0</v>
      </c>
      <c r="M99" s="88">
        <f>SUMIFS(考核调整事项表!$C:$C,考核调整事项表!$G:$G,累计考核费用!$B99,考核调整事项表!$D:$D,累计考核费用!M$55)+SUMIFS(考核调整事项表!$E:$E,考核调整事项表!$G:$G,累计考核费用!$B99,考核调整事项表!$F:$F,累计考核费用!M$55)</f>
        <v>0</v>
      </c>
      <c r="N99" s="88">
        <f>SUMIFS(考核调整事项表!$C:$C,考核调整事项表!$G:$G,累计考核费用!$B99,考核调整事项表!$D:$D,累计考核费用!N$55)+SUMIFS(考核调整事项表!$E:$E,考核调整事项表!$G:$G,累计考核费用!$B99,考核调整事项表!$F:$F,累计考核费用!N$55)</f>
        <v>0</v>
      </c>
      <c r="O99" s="88">
        <f>SUMIFS(考核调整事项表!$C:$C,考核调整事项表!$G:$G,累计考核费用!$B99,考核调整事项表!$D:$D,累计考核费用!O$55)+SUMIFS(考核调整事项表!$E:$E,考核调整事项表!$G:$G,累计考核费用!$B99,考核调整事项表!$F:$F,累计考核费用!O$55)</f>
        <v>0</v>
      </c>
      <c r="P99" s="88">
        <f>SUMIFS(考核调整事项表!$C:$C,考核调整事项表!$G:$G,累计考核费用!$B99,考核调整事项表!$D:$D,累计考核费用!P$55)+SUMIFS(考核调整事项表!$E:$E,考核调整事项表!$G:$G,累计考核费用!$B99,考核调整事项表!$F:$F,累计考核费用!P$55)</f>
        <v>0</v>
      </c>
      <c r="Q99" s="88">
        <f t="shared" si="10"/>
        <v>0</v>
      </c>
      <c r="R99" s="88">
        <f>SUMIFS(考核调整事项表!$C:$C,考核调整事项表!$G:$G,累计考核费用!$B99,考核调整事项表!$D:$D,累计考核费用!R$55)+SUMIFS(考核调整事项表!$E:$E,考核调整事项表!$G:$G,累计考核费用!$B99,考核调整事项表!$F:$F,累计考核费用!R$55)</f>
        <v>0</v>
      </c>
      <c r="S99" s="88">
        <f>SUMIFS(考核调整事项表!$C:$C,考核调整事项表!$G:$G,累计考核费用!$B99,考核调整事项表!$D:$D,累计考核费用!S$55)+SUMIFS(考核调整事项表!$E:$E,考核调整事项表!$G:$G,累计考核费用!$B99,考核调整事项表!$F:$F,累计考核费用!S$55)</f>
        <v>0</v>
      </c>
      <c r="T99" s="91">
        <f>SUMIFS(考核调整事项表!$C:$C,考核调整事项表!$G:$G,累计考核费用!$B99,考核调整事项表!$D:$D,累计考核费用!T$55)+SUMIFS(考核调整事项表!$E:$E,考核调整事项表!$G:$G,累计考核费用!$B99,考核调整事项表!$F:$F,累计考核费用!T$55)</f>
        <v>0</v>
      </c>
      <c r="U99" s="88">
        <f t="shared" si="11"/>
        <v>0</v>
      </c>
      <c r="V99" s="88">
        <f>SUMIFS(考核调整事项表!$C:$C,考核调整事项表!$G:$G,累计考核费用!$B99,考核调整事项表!$D:$D,累计考核费用!V$55)+SUMIFS(考核调整事项表!$E:$E,考核调整事项表!$G:$G,累计考核费用!$B99,考核调整事项表!$F:$F,累计考核费用!V$55)</f>
        <v>0</v>
      </c>
      <c r="W99" s="88">
        <f>SUMIFS(考核调整事项表!$C:$C,考核调整事项表!$G:$G,累计考核费用!$B99,考核调整事项表!$D:$D,累计考核费用!W$55)+SUMIFS(考核调整事项表!$E:$E,考核调整事项表!$G:$G,累计考核费用!$B99,考核调整事项表!$F:$F,累计考核费用!W$55)</f>
        <v>0</v>
      </c>
      <c r="X99" s="88">
        <f>SUMIFS(考核调整事项表!$C:$C,考核调整事项表!$G:$G,累计考核费用!$B99,考核调整事项表!$D:$D,累计考核费用!X$55)+SUMIFS(考核调整事项表!$E:$E,考核调整事项表!$G:$G,累计考核费用!$B99,考核调整事项表!$F:$F,累计考核费用!X$55)</f>
        <v>0</v>
      </c>
      <c r="Y99" s="88">
        <f>SUMIFS(考核调整事项表!$C:$C,考核调整事项表!$G:$G,累计考核费用!$B99,考核调整事项表!$D:$D,累计考核费用!Y$55)+SUMIFS(考核调整事项表!$E:$E,考核调整事项表!$G:$G,累计考核费用!$B99,考核调整事项表!$F:$F,累计考核费用!Y$55)</f>
        <v>0</v>
      </c>
      <c r="Z99" s="88">
        <f>SUMIFS(考核调整事项表!$C:$C,考核调整事项表!$G:$G,累计考核费用!$B99,考核调整事项表!$D:$D,累计考核费用!Z$55)+SUMIFS(考核调整事项表!$E:$E,考核调整事项表!$G:$G,累计考核费用!$B99,考核调整事项表!$F:$F,累计考核费用!Z$55)</f>
        <v>0</v>
      </c>
      <c r="AA99" s="88">
        <f>SUMIFS(考核调整事项表!$C:$C,考核调整事项表!$G:$G,累计考核费用!$B99,考核调整事项表!$D:$D,累计考核费用!AA$55)+SUMIFS(考核调整事项表!$E:$E,考核调整事项表!$G:$G,累计考核费用!$B99,考核调整事项表!$F:$F,累计考核费用!AA$55)</f>
        <v>0</v>
      </c>
      <c r="AB99" s="88">
        <f>SUMIFS(考核调整事项表!$C:$C,考核调整事项表!$G:$G,累计考核费用!$B99,考核调整事项表!$D:$D,累计考核费用!AB$55)+SUMIFS(考核调整事项表!$E:$E,考核调整事项表!$G:$G,累计考核费用!$B99,考核调整事项表!$F:$F,累计考核费用!AB$55)</f>
        <v>0</v>
      </c>
      <c r="AC99" s="88">
        <f>SUMIFS(考核调整事项表!$C:$C,考核调整事项表!$G:$G,累计考核费用!$B99,考核调整事项表!$D:$D,累计考核费用!AC$55)+SUMIFS(考核调整事项表!$E:$E,考核调整事项表!$G:$G,累计考核费用!$B99,考核调整事项表!$F:$F,累计考核费用!AC$55)</f>
        <v>0</v>
      </c>
      <c r="AD99" s="88">
        <f>SUMIFS(考核调整事项表!$C:$C,考核调整事项表!$G:$G,累计考核费用!$B99,考核调整事项表!$D:$D,累计考核费用!AD$55)+SUMIFS(考核调整事项表!$E:$E,考核调整事项表!$G:$G,累计考核费用!$B99,考核调整事项表!$F:$F,累计考核费用!AD$55)</f>
        <v>0</v>
      </c>
    </row>
    <row r="100" spans="1:30">
      <c r="A100" s="443"/>
      <c r="B100" s="48" t="s">
        <v>133</v>
      </c>
      <c r="C100" s="9">
        <f t="shared" si="7"/>
        <v>0</v>
      </c>
      <c r="D100" s="88">
        <f>SUMIFS(考核调整事项表!$C:$C,考核调整事项表!$G:$G,累计考核费用!$B100,考核调整事项表!$D:$D,累计考核费用!D$55)+SUMIFS(考核调整事项表!$E:$E,考核调整事项表!$G:$G,累计考核费用!$B100,考核调整事项表!$F:$F,累计考核费用!D$55)</f>
        <v>0</v>
      </c>
      <c r="E100" s="88">
        <f>SUMIFS(考核调整事项表!$C:$C,考核调整事项表!$G:$G,累计考核费用!$B100,考核调整事项表!$D:$D,累计考核费用!E$55)+SUMIFS(考核调整事项表!$E:$E,考核调整事项表!$G:$G,累计考核费用!$B100,考核调整事项表!$F:$F,累计考核费用!E$55)</f>
        <v>0</v>
      </c>
      <c r="F100" s="88">
        <f>SUMIFS(考核调整事项表!$C:$C,考核调整事项表!$G:$G,累计考核费用!$B100,考核调整事项表!$D:$D,累计考核费用!F$55)+SUMIFS(考核调整事项表!$E:$E,考核调整事项表!$G:$G,累计考核费用!$B100,考核调整事项表!$F:$F,累计考核费用!F$55)</f>
        <v>0</v>
      </c>
      <c r="G100" s="88">
        <f>SUMIFS(考核调整事项表!$C:$C,考核调整事项表!$G:$G,累计考核费用!$B100,考核调整事项表!$D:$D,累计考核费用!G$55)+SUMIFS(考核调整事项表!$E:$E,考核调整事项表!$G:$G,累计考核费用!$B100,考核调整事项表!$F:$F,累计考核费用!G$55)</f>
        <v>0</v>
      </c>
      <c r="H100" s="88">
        <f t="shared" si="8"/>
        <v>0</v>
      </c>
      <c r="I100" s="88">
        <f>SUMIFS(考核调整事项表!$C:$C,考核调整事项表!$G:$G,累计考核费用!$B100,考核调整事项表!$D:$D,累计考核费用!I$55)+SUMIFS(考核调整事项表!$E:$E,考核调整事项表!$G:$G,累计考核费用!$B100,考核调整事项表!$F:$F,累计考核费用!I$55)</f>
        <v>0</v>
      </c>
      <c r="J100" s="88">
        <f>SUMIFS(考核调整事项表!$C:$C,考核调整事项表!$G:$G,累计考核费用!$B100,考核调整事项表!$D:$D,累计考核费用!J$55)+SUMIFS(考核调整事项表!$E:$E,考核调整事项表!$G:$G,累计考核费用!$B100,考核调整事项表!$F:$F,累计考核费用!J$55)</f>
        <v>0</v>
      </c>
      <c r="K100" s="88">
        <f>SUMIFS(考核调整事项表!$C:$C,考核调整事项表!$G:$G,累计考核费用!$B100,考核调整事项表!$D:$D,累计考核费用!K$55)+SUMIFS(考核调整事项表!$E:$E,考核调整事项表!$G:$G,累计考核费用!$B100,考核调整事项表!$F:$F,累计考核费用!K$55)</f>
        <v>0</v>
      </c>
      <c r="L100" s="88">
        <f t="shared" si="9"/>
        <v>0</v>
      </c>
      <c r="M100" s="88">
        <f>SUMIFS(考核调整事项表!$C:$C,考核调整事项表!$G:$G,累计考核费用!$B100,考核调整事项表!$D:$D,累计考核费用!M$55)+SUMIFS(考核调整事项表!$E:$E,考核调整事项表!$G:$G,累计考核费用!$B100,考核调整事项表!$F:$F,累计考核费用!M$55)</f>
        <v>0</v>
      </c>
      <c r="N100" s="88">
        <f>SUMIFS(考核调整事项表!$C:$C,考核调整事项表!$G:$G,累计考核费用!$B100,考核调整事项表!$D:$D,累计考核费用!N$55)+SUMIFS(考核调整事项表!$E:$E,考核调整事项表!$G:$G,累计考核费用!$B100,考核调整事项表!$F:$F,累计考核费用!N$55)</f>
        <v>0</v>
      </c>
      <c r="O100" s="88">
        <f>SUMIFS(考核调整事项表!$C:$C,考核调整事项表!$G:$G,累计考核费用!$B100,考核调整事项表!$D:$D,累计考核费用!O$55)+SUMIFS(考核调整事项表!$E:$E,考核调整事项表!$G:$G,累计考核费用!$B100,考核调整事项表!$F:$F,累计考核费用!O$55)</f>
        <v>0</v>
      </c>
      <c r="P100" s="88">
        <f>SUMIFS(考核调整事项表!$C:$C,考核调整事项表!$G:$G,累计考核费用!$B100,考核调整事项表!$D:$D,累计考核费用!P$55)+SUMIFS(考核调整事项表!$E:$E,考核调整事项表!$G:$G,累计考核费用!$B100,考核调整事项表!$F:$F,累计考核费用!P$55)</f>
        <v>0</v>
      </c>
      <c r="Q100" s="88">
        <f t="shared" si="10"/>
        <v>0</v>
      </c>
      <c r="R100" s="88">
        <f>SUMIFS(考核调整事项表!$C:$C,考核调整事项表!$G:$G,累计考核费用!$B100,考核调整事项表!$D:$D,累计考核费用!R$55)+SUMIFS(考核调整事项表!$E:$E,考核调整事项表!$G:$G,累计考核费用!$B100,考核调整事项表!$F:$F,累计考核费用!R$55)</f>
        <v>0</v>
      </c>
      <c r="S100" s="88">
        <f>SUMIFS(考核调整事项表!$C:$C,考核调整事项表!$G:$G,累计考核费用!$B100,考核调整事项表!$D:$D,累计考核费用!S$55)+SUMIFS(考核调整事项表!$E:$E,考核调整事项表!$G:$G,累计考核费用!$B100,考核调整事项表!$F:$F,累计考核费用!S$55)</f>
        <v>0</v>
      </c>
      <c r="T100" s="91">
        <f>SUMIFS(考核调整事项表!$C:$C,考核调整事项表!$G:$G,累计考核费用!$B100,考核调整事项表!$D:$D,累计考核费用!T$55)+SUMIFS(考核调整事项表!$E:$E,考核调整事项表!$G:$G,累计考核费用!$B100,考核调整事项表!$F:$F,累计考核费用!T$55)</f>
        <v>0</v>
      </c>
      <c r="U100" s="88">
        <f t="shared" si="11"/>
        <v>0</v>
      </c>
      <c r="V100" s="88">
        <f>SUMIFS(考核调整事项表!$C:$C,考核调整事项表!$G:$G,累计考核费用!$B100,考核调整事项表!$D:$D,累计考核费用!V$55)+SUMIFS(考核调整事项表!$E:$E,考核调整事项表!$G:$G,累计考核费用!$B100,考核调整事项表!$F:$F,累计考核费用!V$55)</f>
        <v>0</v>
      </c>
      <c r="W100" s="88">
        <f>SUMIFS(考核调整事项表!$C:$C,考核调整事项表!$G:$G,累计考核费用!$B100,考核调整事项表!$D:$D,累计考核费用!W$55)+SUMIFS(考核调整事项表!$E:$E,考核调整事项表!$G:$G,累计考核费用!$B100,考核调整事项表!$F:$F,累计考核费用!W$55)</f>
        <v>0</v>
      </c>
      <c r="X100" s="88">
        <f>SUMIFS(考核调整事项表!$C:$C,考核调整事项表!$G:$G,累计考核费用!$B100,考核调整事项表!$D:$D,累计考核费用!X$55)+SUMIFS(考核调整事项表!$E:$E,考核调整事项表!$G:$G,累计考核费用!$B100,考核调整事项表!$F:$F,累计考核费用!X$55)</f>
        <v>0</v>
      </c>
      <c r="Y100" s="88">
        <f>SUMIFS(考核调整事项表!$C:$C,考核调整事项表!$G:$G,累计考核费用!$B100,考核调整事项表!$D:$D,累计考核费用!Y$55)+SUMIFS(考核调整事项表!$E:$E,考核调整事项表!$G:$G,累计考核费用!$B100,考核调整事项表!$F:$F,累计考核费用!Y$55)</f>
        <v>0</v>
      </c>
      <c r="Z100" s="88">
        <f>SUMIFS(考核调整事项表!$C:$C,考核调整事项表!$G:$G,累计考核费用!$B100,考核调整事项表!$D:$D,累计考核费用!Z$55)+SUMIFS(考核调整事项表!$E:$E,考核调整事项表!$G:$G,累计考核费用!$B100,考核调整事项表!$F:$F,累计考核费用!Z$55)</f>
        <v>0</v>
      </c>
      <c r="AA100" s="88">
        <f>SUMIFS(考核调整事项表!$C:$C,考核调整事项表!$G:$G,累计考核费用!$B100,考核调整事项表!$D:$D,累计考核费用!AA$55)+SUMIFS(考核调整事项表!$E:$E,考核调整事项表!$G:$G,累计考核费用!$B100,考核调整事项表!$F:$F,累计考核费用!AA$55)</f>
        <v>0</v>
      </c>
      <c r="AB100" s="88">
        <f>SUMIFS(考核调整事项表!$C:$C,考核调整事项表!$G:$G,累计考核费用!$B100,考核调整事项表!$D:$D,累计考核费用!AB$55)+SUMIFS(考核调整事项表!$E:$E,考核调整事项表!$G:$G,累计考核费用!$B100,考核调整事项表!$F:$F,累计考核费用!AB$55)</f>
        <v>0</v>
      </c>
      <c r="AC100" s="88">
        <f>SUMIFS(考核调整事项表!$C:$C,考核调整事项表!$G:$G,累计考核费用!$B100,考核调整事项表!$D:$D,累计考核费用!AC$55)+SUMIFS(考核调整事项表!$E:$E,考核调整事项表!$G:$G,累计考核费用!$B100,考核调整事项表!$F:$F,累计考核费用!AC$55)</f>
        <v>0</v>
      </c>
      <c r="AD100" s="88">
        <f>SUMIFS(考核调整事项表!$C:$C,考核调整事项表!$G:$G,累计考核费用!$B100,考核调整事项表!$D:$D,累计考核费用!AD$55)+SUMIFS(考核调整事项表!$E:$E,考核调整事项表!$G:$G,累计考核费用!$B100,考核调整事项表!$F:$F,累计考核费用!AD$55)</f>
        <v>0</v>
      </c>
    </row>
    <row r="101" spans="1:30">
      <c r="A101" s="443"/>
      <c r="B101" s="48" t="s">
        <v>134</v>
      </c>
      <c r="C101" s="9">
        <f t="shared" si="7"/>
        <v>0</v>
      </c>
      <c r="D101" s="88">
        <f>SUMIFS(考核调整事项表!$C:$C,考核调整事项表!$G:$G,累计考核费用!$B101,考核调整事项表!$D:$D,累计考核费用!D$55)+SUMIFS(考核调整事项表!$E:$E,考核调整事项表!$G:$G,累计考核费用!$B101,考核调整事项表!$F:$F,累计考核费用!D$55)</f>
        <v>0</v>
      </c>
      <c r="E101" s="88">
        <f>SUMIFS(考核调整事项表!$C:$C,考核调整事项表!$G:$G,累计考核费用!$B101,考核调整事项表!$D:$D,累计考核费用!E$55)+SUMIFS(考核调整事项表!$E:$E,考核调整事项表!$G:$G,累计考核费用!$B101,考核调整事项表!$F:$F,累计考核费用!E$55)</f>
        <v>10930.68</v>
      </c>
      <c r="F101" s="88">
        <f>SUMIFS(考核调整事项表!$C:$C,考核调整事项表!$G:$G,累计考核费用!$B101,考核调整事项表!$D:$D,累计考核费用!F$55)+SUMIFS(考核调整事项表!$E:$E,考核调整事项表!$G:$G,累计考核费用!$B101,考核调整事项表!$F:$F,累计考核费用!F$55)</f>
        <v>-10930.68</v>
      </c>
      <c r="G101" s="88">
        <f>SUMIFS(考核调整事项表!$C:$C,考核调整事项表!$G:$G,累计考核费用!$B101,考核调整事项表!$D:$D,累计考核费用!G$55)+SUMIFS(考核调整事项表!$E:$E,考核调整事项表!$G:$G,累计考核费用!$B101,考核调整事项表!$F:$F,累计考核费用!G$55)</f>
        <v>0</v>
      </c>
      <c r="H101" s="88">
        <f t="shared" si="8"/>
        <v>0</v>
      </c>
      <c r="I101" s="88">
        <f>SUMIFS(考核调整事项表!$C:$C,考核调整事项表!$G:$G,累计考核费用!$B101,考核调整事项表!$D:$D,累计考核费用!I$55)+SUMIFS(考核调整事项表!$E:$E,考核调整事项表!$G:$G,累计考核费用!$B101,考核调整事项表!$F:$F,累计考核费用!I$55)</f>
        <v>0</v>
      </c>
      <c r="J101" s="88">
        <f>SUMIFS(考核调整事项表!$C:$C,考核调整事项表!$G:$G,累计考核费用!$B101,考核调整事项表!$D:$D,累计考核费用!J$55)+SUMIFS(考核调整事项表!$E:$E,考核调整事项表!$G:$G,累计考核费用!$B101,考核调整事项表!$F:$F,累计考核费用!J$55)</f>
        <v>0</v>
      </c>
      <c r="K101" s="88">
        <f>SUMIFS(考核调整事项表!$C:$C,考核调整事项表!$G:$G,累计考核费用!$B101,考核调整事项表!$D:$D,累计考核费用!K$55)+SUMIFS(考核调整事项表!$E:$E,考核调整事项表!$G:$G,累计考核费用!$B101,考核调整事项表!$F:$F,累计考核费用!K$55)</f>
        <v>0</v>
      </c>
      <c r="L101" s="88">
        <f t="shared" si="9"/>
        <v>0</v>
      </c>
      <c r="M101" s="88">
        <f>SUMIFS(考核调整事项表!$C:$C,考核调整事项表!$G:$G,累计考核费用!$B101,考核调整事项表!$D:$D,累计考核费用!M$55)+SUMIFS(考核调整事项表!$E:$E,考核调整事项表!$G:$G,累计考核费用!$B101,考核调整事项表!$F:$F,累计考核费用!M$55)</f>
        <v>0</v>
      </c>
      <c r="N101" s="88">
        <f>SUMIFS(考核调整事项表!$C:$C,考核调整事项表!$G:$G,累计考核费用!$B101,考核调整事项表!$D:$D,累计考核费用!N$55)+SUMIFS(考核调整事项表!$E:$E,考核调整事项表!$G:$G,累计考核费用!$B101,考核调整事项表!$F:$F,累计考核费用!N$55)</f>
        <v>0</v>
      </c>
      <c r="O101" s="88">
        <f>SUMIFS(考核调整事项表!$C:$C,考核调整事项表!$G:$G,累计考核费用!$B101,考核调整事项表!$D:$D,累计考核费用!O$55)+SUMIFS(考核调整事项表!$E:$E,考核调整事项表!$G:$G,累计考核费用!$B101,考核调整事项表!$F:$F,累计考核费用!O$55)</f>
        <v>0</v>
      </c>
      <c r="P101" s="88">
        <f>SUMIFS(考核调整事项表!$C:$C,考核调整事项表!$G:$G,累计考核费用!$B101,考核调整事项表!$D:$D,累计考核费用!P$55)+SUMIFS(考核调整事项表!$E:$E,考核调整事项表!$G:$G,累计考核费用!$B101,考核调整事项表!$F:$F,累计考核费用!P$55)</f>
        <v>0</v>
      </c>
      <c r="Q101" s="88">
        <f t="shared" si="10"/>
        <v>0</v>
      </c>
      <c r="R101" s="88">
        <f>SUMIFS(考核调整事项表!$C:$C,考核调整事项表!$G:$G,累计考核费用!$B101,考核调整事项表!$D:$D,累计考核费用!R$55)+SUMIFS(考核调整事项表!$E:$E,考核调整事项表!$G:$G,累计考核费用!$B101,考核调整事项表!$F:$F,累计考核费用!R$55)</f>
        <v>0</v>
      </c>
      <c r="S101" s="88">
        <f>SUMIFS(考核调整事项表!$C:$C,考核调整事项表!$G:$G,累计考核费用!$B101,考核调整事项表!$D:$D,累计考核费用!S$55)+SUMIFS(考核调整事项表!$E:$E,考核调整事项表!$G:$G,累计考核费用!$B101,考核调整事项表!$F:$F,累计考核费用!S$55)</f>
        <v>0</v>
      </c>
      <c r="T101" s="91">
        <f>SUMIFS(考核调整事项表!$C:$C,考核调整事项表!$G:$G,累计考核费用!$B101,考核调整事项表!$D:$D,累计考核费用!T$55)+SUMIFS(考核调整事项表!$E:$E,考核调整事项表!$G:$G,累计考核费用!$B101,考核调整事项表!$F:$F,累计考核费用!T$55)</f>
        <v>0</v>
      </c>
      <c r="U101" s="88">
        <f t="shared" si="11"/>
        <v>0</v>
      </c>
      <c r="V101" s="88">
        <f>SUMIFS(考核调整事项表!$C:$C,考核调整事项表!$G:$G,累计考核费用!$B101,考核调整事项表!$D:$D,累计考核费用!V$55)+SUMIFS(考核调整事项表!$E:$E,考核调整事项表!$G:$G,累计考核费用!$B101,考核调整事项表!$F:$F,累计考核费用!V$55)</f>
        <v>0</v>
      </c>
      <c r="W101" s="88">
        <f>SUMIFS(考核调整事项表!$C:$C,考核调整事项表!$G:$G,累计考核费用!$B101,考核调整事项表!$D:$D,累计考核费用!W$55)+SUMIFS(考核调整事项表!$E:$E,考核调整事项表!$G:$G,累计考核费用!$B101,考核调整事项表!$F:$F,累计考核费用!W$55)</f>
        <v>0</v>
      </c>
      <c r="X101" s="88">
        <f>SUMIFS(考核调整事项表!$C:$C,考核调整事项表!$G:$G,累计考核费用!$B101,考核调整事项表!$D:$D,累计考核费用!X$55)+SUMIFS(考核调整事项表!$E:$E,考核调整事项表!$G:$G,累计考核费用!$B101,考核调整事项表!$F:$F,累计考核费用!X$55)</f>
        <v>0</v>
      </c>
      <c r="Y101" s="88">
        <f>SUMIFS(考核调整事项表!$C:$C,考核调整事项表!$G:$G,累计考核费用!$B101,考核调整事项表!$D:$D,累计考核费用!Y$55)+SUMIFS(考核调整事项表!$E:$E,考核调整事项表!$G:$G,累计考核费用!$B101,考核调整事项表!$F:$F,累计考核费用!Y$55)</f>
        <v>0</v>
      </c>
      <c r="Z101" s="88">
        <f>SUMIFS(考核调整事项表!$C:$C,考核调整事项表!$G:$G,累计考核费用!$B101,考核调整事项表!$D:$D,累计考核费用!Z$55)+SUMIFS(考核调整事项表!$E:$E,考核调整事项表!$G:$G,累计考核费用!$B101,考核调整事项表!$F:$F,累计考核费用!Z$55)</f>
        <v>0</v>
      </c>
      <c r="AA101" s="88">
        <f>SUMIFS(考核调整事项表!$C:$C,考核调整事项表!$G:$G,累计考核费用!$B101,考核调整事项表!$D:$D,累计考核费用!AA$55)+SUMIFS(考核调整事项表!$E:$E,考核调整事项表!$G:$G,累计考核费用!$B101,考核调整事项表!$F:$F,累计考核费用!AA$55)</f>
        <v>0</v>
      </c>
      <c r="AB101" s="88">
        <f>SUMIFS(考核调整事项表!$C:$C,考核调整事项表!$G:$G,累计考核费用!$B101,考核调整事项表!$D:$D,累计考核费用!AB$55)+SUMIFS(考核调整事项表!$E:$E,考核调整事项表!$G:$G,累计考核费用!$B101,考核调整事项表!$F:$F,累计考核费用!AB$55)</f>
        <v>0</v>
      </c>
      <c r="AC101" s="88">
        <f>SUMIFS(考核调整事项表!$C:$C,考核调整事项表!$G:$G,累计考核费用!$B101,考核调整事项表!$D:$D,累计考核费用!AC$55)+SUMIFS(考核调整事项表!$E:$E,考核调整事项表!$G:$G,累计考核费用!$B101,考核调整事项表!$F:$F,累计考核费用!AC$55)</f>
        <v>0</v>
      </c>
      <c r="AD101" s="88">
        <f>SUMIFS(考核调整事项表!$C:$C,考核调整事项表!$G:$G,累计考核费用!$B101,考核调整事项表!$D:$D,累计考核费用!AD$55)+SUMIFS(考核调整事项表!$E:$E,考核调整事项表!$G:$G,累计考核费用!$B101,考核调整事项表!$F:$F,累计考核费用!AD$55)</f>
        <v>0</v>
      </c>
    </row>
    <row r="102" spans="1:30">
      <c r="A102" s="443"/>
      <c r="B102" s="48" t="s">
        <v>135</v>
      </c>
      <c r="C102" s="9">
        <f t="shared" si="7"/>
        <v>0</v>
      </c>
      <c r="D102" s="88">
        <f>SUMIFS(考核调整事项表!$C:$C,考核调整事项表!$G:$G,累计考核费用!$B102,考核调整事项表!$D:$D,累计考核费用!D$55)+SUMIFS(考核调整事项表!$E:$E,考核调整事项表!$G:$G,累计考核费用!$B102,考核调整事项表!$F:$F,累计考核费用!D$55)</f>
        <v>0</v>
      </c>
      <c r="E102" s="88">
        <f>SUMIFS(考核调整事项表!$C:$C,考核调整事项表!$G:$G,累计考核费用!$B102,考核调整事项表!$D:$D,累计考核费用!E$55)+SUMIFS(考核调整事项表!$E:$E,考核调整事项表!$G:$G,累计考核费用!$B102,考核调整事项表!$F:$F,累计考核费用!E$55)</f>
        <v>0</v>
      </c>
      <c r="F102" s="88">
        <f>SUMIFS(考核调整事项表!$C:$C,考核调整事项表!$G:$G,累计考核费用!$B102,考核调整事项表!$D:$D,累计考核费用!F$55)+SUMIFS(考核调整事项表!$E:$E,考核调整事项表!$G:$G,累计考核费用!$B102,考核调整事项表!$F:$F,累计考核费用!F$55)</f>
        <v>0</v>
      </c>
      <c r="G102" s="88">
        <f>SUMIFS(考核调整事项表!$C:$C,考核调整事项表!$G:$G,累计考核费用!$B102,考核调整事项表!$D:$D,累计考核费用!G$55)+SUMIFS(考核调整事项表!$E:$E,考核调整事项表!$G:$G,累计考核费用!$B102,考核调整事项表!$F:$F,累计考核费用!G$55)</f>
        <v>0</v>
      </c>
      <c r="H102" s="88">
        <f t="shared" si="8"/>
        <v>0</v>
      </c>
      <c r="I102" s="88">
        <f>SUMIFS(考核调整事项表!$C:$C,考核调整事项表!$G:$G,累计考核费用!$B102,考核调整事项表!$D:$D,累计考核费用!I$55)+SUMIFS(考核调整事项表!$E:$E,考核调整事项表!$G:$G,累计考核费用!$B102,考核调整事项表!$F:$F,累计考核费用!I$55)</f>
        <v>0</v>
      </c>
      <c r="J102" s="88">
        <f>SUMIFS(考核调整事项表!$C:$C,考核调整事项表!$G:$G,累计考核费用!$B102,考核调整事项表!$D:$D,累计考核费用!J$55)+SUMIFS(考核调整事项表!$E:$E,考核调整事项表!$G:$G,累计考核费用!$B102,考核调整事项表!$F:$F,累计考核费用!J$55)</f>
        <v>0</v>
      </c>
      <c r="K102" s="88">
        <f>SUMIFS(考核调整事项表!$C:$C,考核调整事项表!$G:$G,累计考核费用!$B102,考核调整事项表!$D:$D,累计考核费用!K$55)+SUMIFS(考核调整事项表!$E:$E,考核调整事项表!$G:$G,累计考核费用!$B102,考核调整事项表!$F:$F,累计考核费用!K$55)</f>
        <v>0</v>
      </c>
      <c r="L102" s="88">
        <f t="shared" si="9"/>
        <v>0</v>
      </c>
      <c r="M102" s="88">
        <f>SUMIFS(考核调整事项表!$C:$C,考核调整事项表!$G:$G,累计考核费用!$B102,考核调整事项表!$D:$D,累计考核费用!M$55)+SUMIFS(考核调整事项表!$E:$E,考核调整事项表!$G:$G,累计考核费用!$B102,考核调整事项表!$F:$F,累计考核费用!M$55)</f>
        <v>0</v>
      </c>
      <c r="N102" s="88">
        <f>SUMIFS(考核调整事项表!$C:$C,考核调整事项表!$G:$G,累计考核费用!$B102,考核调整事项表!$D:$D,累计考核费用!N$55)+SUMIFS(考核调整事项表!$E:$E,考核调整事项表!$G:$G,累计考核费用!$B102,考核调整事项表!$F:$F,累计考核费用!N$55)</f>
        <v>0</v>
      </c>
      <c r="O102" s="88">
        <f>SUMIFS(考核调整事项表!$C:$C,考核调整事项表!$G:$G,累计考核费用!$B102,考核调整事项表!$D:$D,累计考核费用!O$55)+SUMIFS(考核调整事项表!$E:$E,考核调整事项表!$G:$G,累计考核费用!$B102,考核调整事项表!$F:$F,累计考核费用!O$55)</f>
        <v>0</v>
      </c>
      <c r="P102" s="88">
        <f>SUMIFS(考核调整事项表!$C:$C,考核调整事项表!$G:$G,累计考核费用!$B102,考核调整事项表!$D:$D,累计考核费用!P$55)+SUMIFS(考核调整事项表!$E:$E,考核调整事项表!$G:$G,累计考核费用!$B102,考核调整事项表!$F:$F,累计考核费用!P$55)</f>
        <v>0</v>
      </c>
      <c r="Q102" s="88">
        <f t="shared" si="10"/>
        <v>0</v>
      </c>
      <c r="R102" s="88">
        <f>SUMIFS(考核调整事项表!$C:$C,考核调整事项表!$G:$G,累计考核费用!$B102,考核调整事项表!$D:$D,累计考核费用!R$55)+SUMIFS(考核调整事项表!$E:$E,考核调整事项表!$G:$G,累计考核费用!$B102,考核调整事项表!$F:$F,累计考核费用!R$55)</f>
        <v>0</v>
      </c>
      <c r="S102" s="88">
        <f>SUMIFS(考核调整事项表!$C:$C,考核调整事项表!$G:$G,累计考核费用!$B102,考核调整事项表!$D:$D,累计考核费用!S$55)+SUMIFS(考核调整事项表!$E:$E,考核调整事项表!$G:$G,累计考核费用!$B102,考核调整事项表!$F:$F,累计考核费用!S$55)</f>
        <v>0</v>
      </c>
      <c r="T102" s="91">
        <f>SUMIFS(考核调整事项表!$C:$C,考核调整事项表!$G:$G,累计考核费用!$B102,考核调整事项表!$D:$D,累计考核费用!T$55)+SUMIFS(考核调整事项表!$E:$E,考核调整事项表!$G:$G,累计考核费用!$B102,考核调整事项表!$F:$F,累计考核费用!T$55)</f>
        <v>0</v>
      </c>
      <c r="U102" s="88">
        <f t="shared" si="11"/>
        <v>0</v>
      </c>
      <c r="V102" s="88">
        <f>SUMIFS(考核调整事项表!$C:$C,考核调整事项表!$G:$G,累计考核费用!$B102,考核调整事项表!$D:$D,累计考核费用!V$55)+SUMIFS(考核调整事项表!$E:$E,考核调整事项表!$G:$G,累计考核费用!$B102,考核调整事项表!$F:$F,累计考核费用!V$55)</f>
        <v>0</v>
      </c>
      <c r="W102" s="88">
        <f>SUMIFS(考核调整事项表!$C:$C,考核调整事项表!$G:$G,累计考核费用!$B102,考核调整事项表!$D:$D,累计考核费用!W$55)+SUMIFS(考核调整事项表!$E:$E,考核调整事项表!$G:$G,累计考核费用!$B102,考核调整事项表!$F:$F,累计考核费用!W$55)</f>
        <v>0</v>
      </c>
      <c r="X102" s="88">
        <f>SUMIFS(考核调整事项表!$C:$C,考核调整事项表!$G:$G,累计考核费用!$B102,考核调整事项表!$D:$D,累计考核费用!X$55)+SUMIFS(考核调整事项表!$E:$E,考核调整事项表!$G:$G,累计考核费用!$B102,考核调整事项表!$F:$F,累计考核费用!X$55)</f>
        <v>0</v>
      </c>
      <c r="Y102" s="88">
        <f>SUMIFS(考核调整事项表!$C:$C,考核调整事项表!$G:$G,累计考核费用!$B102,考核调整事项表!$D:$D,累计考核费用!Y$55)+SUMIFS(考核调整事项表!$E:$E,考核调整事项表!$G:$G,累计考核费用!$B102,考核调整事项表!$F:$F,累计考核费用!Y$55)</f>
        <v>0</v>
      </c>
      <c r="Z102" s="88">
        <f>SUMIFS(考核调整事项表!$C:$C,考核调整事项表!$G:$G,累计考核费用!$B102,考核调整事项表!$D:$D,累计考核费用!Z$55)+SUMIFS(考核调整事项表!$E:$E,考核调整事项表!$G:$G,累计考核费用!$B102,考核调整事项表!$F:$F,累计考核费用!Z$55)</f>
        <v>0</v>
      </c>
      <c r="AA102" s="88">
        <f>SUMIFS(考核调整事项表!$C:$C,考核调整事项表!$G:$G,累计考核费用!$B102,考核调整事项表!$D:$D,累计考核费用!AA$55)+SUMIFS(考核调整事项表!$E:$E,考核调整事项表!$G:$G,累计考核费用!$B102,考核调整事项表!$F:$F,累计考核费用!AA$55)</f>
        <v>0</v>
      </c>
      <c r="AB102" s="88">
        <f>SUMIFS(考核调整事项表!$C:$C,考核调整事项表!$G:$G,累计考核费用!$B102,考核调整事项表!$D:$D,累计考核费用!AB$55)+SUMIFS(考核调整事项表!$E:$E,考核调整事项表!$G:$G,累计考核费用!$B102,考核调整事项表!$F:$F,累计考核费用!AB$55)</f>
        <v>0</v>
      </c>
      <c r="AC102" s="88">
        <f>SUMIFS(考核调整事项表!$C:$C,考核调整事项表!$G:$G,累计考核费用!$B102,考核调整事项表!$D:$D,累计考核费用!AC$55)+SUMIFS(考核调整事项表!$E:$E,考核调整事项表!$G:$G,累计考核费用!$B102,考核调整事项表!$F:$F,累计考核费用!AC$55)</f>
        <v>0</v>
      </c>
      <c r="AD102" s="88">
        <f>SUMIFS(考核调整事项表!$C:$C,考核调整事项表!$G:$G,累计考核费用!$B102,考核调整事项表!$D:$D,累计考核费用!AD$55)+SUMIFS(考核调整事项表!$E:$E,考核调整事项表!$G:$G,累计考核费用!$B102,考核调整事项表!$F:$F,累计考核费用!AD$55)</f>
        <v>0</v>
      </c>
    </row>
    <row r="103" spans="1:30">
      <c r="A103" s="444"/>
      <c r="B103" s="60" t="s">
        <v>98</v>
      </c>
      <c r="C103" s="93">
        <f t="shared" si="7"/>
        <v>0</v>
      </c>
      <c r="D103" s="93">
        <f>SUM(D87:D102)</f>
        <v>-833333.33</v>
      </c>
      <c r="E103" s="93">
        <f t="shared" ref="E103:AD103" si="15">SUM(E87:E102)</f>
        <v>10930.68</v>
      </c>
      <c r="F103" s="93">
        <f t="shared" si="15"/>
        <v>822402.64999999991</v>
      </c>
      <c r="G103" s="93">
        <f t="shared" si="15"/>
        <v>0</v>
      </c>
      <c r="H103" s="93">
        <f t="shared" si="15"/>
        <v>0</v>
      </c>
      <c r="I103" s="93">
        <f t="shared" si="15"/>
        <v>0</v>
      </c>
      <c r="J103" s="93">
        <f t="shared" si="15"/>
        <v>0</v>
      </c>
      <c r="K103" s="93">
        <f t="shared" si="15"/>
        <v>0</v>
      </c>
      <c r="L103" s="93">
        <f t="shared" si="15"/>
        <v>0</v>
      </c>
      <c r="M103" s="93">
        <f t="shared" si="15"/>
        <v>0</v>
      </c>
      <c r="N103" s="93">
        <f t="shared" si="15"/>
        <v>0</v>
      </c>
      <c r="O103" s="93">
        <f t="shared" si="15"/>
        <v>0</v>
      </c>
      <c r="P103" s="93">
        <f t="shared" si="15"/>
        <v>0</v>
      </c>
      <c r="Q103" s="93">
        <f t="shared" si="15"/>
        <v>0</v>
      </c>
      <c r="R103" s="93">
        <f t="shared" si="15"/>
        <v>0</v>
      </c>
      <c r="S103" s="93">
        <f t="shared" si="15"/>
        <v>0</v>
      </c>
      <c r="T103" s="93">
        <f t="shared" si="15"/>
        <v>0</v>
      </c>
      <c r="U103" s="93">
        <f t="shared" si="15"/>
        <v>0</v>
      </c>
      <c r="V103" s="93">
        <f t="shared" si="15"/>
        <v>0</v>
      </c>
      <c r="W103" s="93">
        <f t="shared" si="15"/>
        <v>0</v>
      </c>
      <c r="X103" s="93">
        <f t="shared" si="15"/>
        <v>0</v>
      </c>
      <c r="Y103" s="93">
        <f t="shared" si="15"/>
        <v>0</v>
      </c>
      <c r="Z103" s="93">
        <f t="shared" si="15"/>
        <v>0</v>
      </c>
      <c r="AA103" s="93">
        <f t="shared" si="15"/>
        <v>0</v>
      </c>
      <c r="AB103" s="93">
        <f t="shared" si="15"/>
        <v>0</v>
      </c>
      <c r="AC103" s="93">
        <f t="shared" si="15"/>
        <v>0</v>
      </c>
      <c r="AD103" s="93">
        <f t="shared" si="15"/>
        <v>0</v>
      </c>
    </row>
    <row r="104" spans="1:30" ht="14.25" thickBot="1">
      <c r="A104" s="14"/>
      <c r="B104" s="62" t="s">
        <v>4</v>
      </c>
      <c r="C104" s="16">
        <f t="shared" si="7"/>
        <v>-9.0949470177292824E-12</v>
      </c>
      <c r="D104" s="16">
        <f>D103+D86+D66+D72</f>
        <v>-1892870.4700000002</v>
      </c>
      <c r="E104" s="16">
        <f t="shared" ref="E104:AD104" si="16">E103+E86+E66+E72</f>
        <v>-36366.47</v>
      </c>
      <c r="F104" s="16">
        <f t="shared" si="16"/>
        <v>876548.02999999991</v>
      </c>
      <c r="G104" s="16">
        <f t="shared" si="16"/>
        <v>-50783.75</v>
      </c>
      <c r="H104" s="16">
        <f t="shared" si="16"/>
        <v>-6016.24</v>
      </c>
      <c r="I104" s="16">
        <f t="shared" si="16"/>
        <v>0</v>
      </c>
      <c r="J104" s="16">
        <f t="shared" si="16"/>
        <v>0</v>
      </c>
      <c r="K104" s="16">
        <f t="shared" si="16"/>
        <v>-6016.24</v>
      </c>
      <c r="L104" s="16">
        <f t="shared" si="16"/>
        <v>257953.83000000002</v>
      </c>
      <c r="M104" s="16">
        <f t="shared" si="16"/>
        <v>-7549.26</v>
      </c>
      <c r="N104" s="16">
        <f t="shared" si="16"/>
        <v>-1305.0600000000002</v>
      </c>
      <c r="O104" s="16">
        <f t="shared" si="16"/>
        <v>257738.36000000002</v>
      </c>
      <c r="P104" s="16">
        <f t="shared" si="16"/>
        <v>9069.7900000000009</v>
      </c>
      <c r="Q104" s="16">
        <f t="shared" si="16"/>
        <v>850056.06</v>
      </c>
      <c r="R104" s="16">
        <f t="shared" si="16"/>
        <v>851227.04</v>
      </c>
      <c r="S104" s="16">
        <f t="shared" si="16"/>
        <v>-1170.98</v>
      </c>
      <c r="T104" s="16">
        <f t="shared" si="16"/>
        <v>0</v>
      </c>
      <c r="U104" s="16">
        <f t="shared" si="16"/>
        <v>1479.0100000000002</v>
      </c>
      <c r="V104" s="16">
        <f t="shared" si="16"/>
        <v>0</v>
      </c>
      <c r="W104" s="16">
        <f t="shared" si="16"/>
        <v>-3301.89</v>
      </c>
      <c r="X104" s="16">
        <f t="shared" si="16"/>
        <v>4780.8999999999996</v>
      </c>
      <c r="Y104" s="16">
        <f t="shared" si="16"/>
        <v>0</v>
      </c>
      <c r="Z104" s="16">
        <f t="shared" si="16"/>
        <v>0</v>
      </c>
      <c r="AA104" s="16">
        <f t="shared" si="16"/>
        <v>0</v>
      </c>
      <c r="AB104" s="16">
        <f t="shared" si="16"/>
        <v>0</v>
      </c>
      <c r="AC104" s="16">
        <f t="shared" si="16"/>
        <v>0</v>
      </c>
      <c r="AD104" s="16">
        <f t="shared" si="16"/>
        <v>0</v>
      </c>
    </row>
    <row r="106" spans="1:30" ht="14.25" thickBot="1">
      <c r="B106" s="79" t="s">
        <v>72</v>
      </c>
    </row>
    <row r="107" spans="1:30">
      <c r="A107" s="17" t="s">
        <v>85</v>
      </c>
      <c r="B107" s="18" t="s">
        <v>86</v>
      </c>
      <c r="C107" s="19" t="str">
        <f>C3</f>
        <v>合计</v>
      </c>
      <c r="D107" s="19" t="str">
        <f t="shared" ref="D107:AD107" si="17">D3</f>
        <v>其他</v>
      </c>
      <c r="E107" s="19" t="str">
        <f t="shared" si="17"/>
        <v>总部中后台</v>
      </c>
      <c r="F107" s="19" t="str">
        <f t="shared" si="17"/>
        <v>经纪业务部</v>
      </c>
      <c r="G107" s="19" t="str">
        <f t="shared" si="17"/>
        <v>资产管理部</v>
      </c>
      <c r="H107" s="19" t="str">
        <f t="shared" si="17"/>
        <v>权益投资小计</v>
      </c>
      <c r="I107" s="19" t="str">
        <f t="shared" si="17"/>
        <v>权益产品投资部</v>
      </c>
      <c r="J107" s="19" t="str">
        <f t="shared" si="17"/>
        <v>量化产品投资部</v>
      </c>
      <c r="K107" s="19" t="str">
        <f t="shared" si="17"/>
        <v>证券投资部</v>
      </c>
      <c r="L107" s="19" t="str">
        <f t="shared" si="17"/>
        <v>固收投资小计</v>
      </c>
      <c r="M107" s="19" t="str">
        <f t="shared" si="17"/>
        <v>固定收益投资部</v>
      </c>
      <c r="N107" s="19" t="str">
        <f t="shared" si="17"/>
        <v>固定收益市场部</v>
      </c>
      <c r="O107" s="19" t="str">
        <f t="shared" si="17"/>
        <v>固收产品投资部</v>
      </c>
      <c r="P107" s="19" t="str">
        <f t="shared" si="17"/>
        <v>投顾业务部</v>
      </c>
      <c r="Q107" s="19" t="str">
        <f t="shared" si="17"/>
        <v>深分投资小计</v>
      </c>
      <c r="R107" s="19" t="str">
        <f t="shared" si="17"/>
        <v>做市业务部</v>
      </c>
      <c r="S107" s="19" t="str">
        <f t="shared" si="17"/>
        <v>金融衍生品部</v>
      </c>
      <c r="T107" s="19" t="str">
        <f t="shared" si="17"/>
        <v>深圳管理部</v>
      </c>
      <c r="U107" s="19" t="str">
        <f t="shared" si="17"/>
        <v>投资银行合计</v>
      </c>
      <c r="V107" s="19" t="str">
        <f t="shared" si="17"/>
        <v>投资银行一部</v>
      </c>
      <c r="W107" s="19" t="str">
        <f t="shared" si="17"/>
        <v>投资银行二部</v>
      </c>
      <c r="X107" s="19" t="str">
        <f t="shared" si="17"/>
        <v>投资银行三部</v>
      </c>
      <c r="Y107" s="19" t="str">
        <f t="shared" si="17"/>
        <v>投资银行四部</v>
      </c>
      <c r="Z107" s="19" t="str">
        <f t="shared" si="17"/>
        <v>投资银行北京一部</v>
      </c>
      <c r="AA107" s="19" t="str">
        <f t="shared" si="17"/>
        <v>投资银行北京二部</v>
      </c>
      <c r="AB107" s="19" t="str">
        <f t="shared" si="17"/>
        <v>投资银行深圳一部（筹）</v>
      </c>
      <c r="AC107" s="19" t="str">
        <f t="shared" si="17"/>
        <v>投资银行管理部</v>
      </c>
      <c r="AD107" s="19" t="str">
        <f t="shared" si="17"/>
        <v>运营支持部</v>
      </c>
    </row>
    <row r="108" spans="1:30" ht="13.5" customHeight="1">
      <c r="A108" s="436" t="s">
        <v>87</v>
      </c>
      <c r="B108" s="48" t="s">
        <v>88</v>
      </c>
      <c r="C108" s="9">
        <f>C4+C56</f>
        <v>15820225.74</v>
      </c>
      <c r="D108" s="9">
        <f t="shared" ref="D108:Z108" si="18">D4+D56</f>
        <v>0</v>
      </c>
      <c r="E108" s="9">
        <f t="shared" si="18"/>
        <v>3910969.6799999997</v>
      </c>
      <c r="F108" s="9">
        <f t="shared" si="18"/>
        <v>7523158.5599999996</v>
      </c>
      <c r="G108" s="9">
        <f t="shared" si="18"/>
        <v>193035.73</v>
      </c>
      <c r="H108" s="9">
        <f t="shared" si="18"/>
        <v>745048.31</v>
      </c>
      <c r="I108" s="9">
        <f t="shared" si="18"/>
        <v>228939.03</v>
      </c>
      <c r="J108" s="9">
        <f t="shared" si="18"/>
        <v>181878</v>
      </c>
      <c r="K108" s="9">
        <f t="shared" si="18"/>
        <v>334231.28000000003</v>
      </c>
      <c r="L108" s="9">
        <f>L4+L56</f>
        <v>374682.93</v>
      </c>
      <c r="M108" s="9">
        <f t="shared" si="18"/>
        <v>95505</v>
      </c>
      <c r="N108" s="9">
        <f t="shared" si="18"/>
        <v>138478.93</v>
      </c>
      <c r="O108" s="9">
        <f>O4+O56</f>
        <v>84953</v>
      </c>
      <c r="P108" s="9">
        <f t="shared" si="18"/>
        <v>55746</v>
      </c>
      <c r="Q108" s="9">
        <f t="shared" si="18"/>
        <v>346130.02</v>
      </c>
      <c r="R108" s="9">
        <f t="shared" si="18"/>
        <v>155536.64000000001</v>
      </c>
      <c r="S108" s="9">
        <f t="shared" si="18"/>
        <v>190593.38</v>
      </c>
      <c r="T108" s="9">
        <f t="shared" si="18"/>
        <v>110067.47</v>
      </c>
      <c r="U108" s="9">
        <f t="shared" si="18"/>
        <v>1800380.8099999998</v>
      </c>
      <c r="V108" s="9">
        <f t="shared" si="18"/>
        <v>514252.23</v>
      </c>
      <c r="W108" s="9">
        <f t="shared" si="18"/>
        <v>683215.42</v>
      </c>
      <c r="X108" s="9">
        <f t="shared" si="18"/>
        <v>277809.46000000002</v>
      </c>
      <c r="Y108" s="9">
        <f t="shared" si="18"/>
        <v>108398</v>
      </c>
      <c r="Z108" s="9">
        <f t="shared" si="18"/>
        <v>127984.7</v>
      </c>
      <c r="AA108" s="9">
        <f t="shared" ref="AA108:AD117" si="19">AA4+AA56</f>
        <v>88721</v>
      </c>
      <c r="AB108" s="9">
        <f t="shared" si="19"/>
        <v>0</v>
      </c>
      <c r="AC108" s="9">
        <f t="shared" si="19"/>
        <v>381629</v>
      </c>
      <c r="AD108" s="9">
        <f>AD4+AD56</f>
        <v>435123.23</v>
      </c>
    </row>
    <row r="109" spans="1:30">
      <c r="A109" s="437"/>
      <c r="B109" s="48" t="s">
        <v>89</v>
      </c>
      <c r="C109" s="9">
        <f t="shared" ref="C109:C155" si="20">C5+C57</f>
        <v>165192.29999999999</v>
      </c>
      <c r="D109" s="9">
        <f t="shared" ref="D109:Z109" si="21">D5+D57</f>
        <v>0</v>
      </c>
      <c r="E109" s="9">
        <f t="shared" si="21"/>
        <v>75703.989999999991</v>
      </c>
      <c r="F109" s="9">
        <f t="shared" si="21"/>
        <v>30079.81</v>
      </c>
      <c r="G109" s="9">
        <f t="shared" si="21"/>
        <v>6370</v>
      </c>
      <c r="H109" s="9">
        <f t="shared" si="21"/>
        <v>7945</v>
      </c>
      <c r="I109" s="9">
        <f t="shared" si="21"/>
        <v>6125</v>
      </c>
      <c r="J109" s="9">
        <f t="shared" si="21"/>
        <v>0</v>
      </c>
      <c r="K109" s="9">
        <f t="shared" si="21"/>
        <v>1820</v>
      </c>
      <c r="L109" s="9">
        <f t="shared" si="21"/>
        <v>-133.47999999999999</v>
      </c>
      <c r="M109" s="9">
        <f t="shared" si="21"/>
        <v>0</v>
      </c>
      <c r="N109" s="9">
        <f t="shared" si="21"/>
        <v>-133.47999999999999</v>
      </c>
      <c r="O109" s="9">
        <f t="shared" si="21"/>
        <v>0</v>
      </c>
      <c r="P109" s="9">
        <f t="shared" si="21"/>
        <v>0</v>
      </c>
      <c r="Q109" s="9">
        <f t="shared" si="21"/>
        <v>770</v>
      </c>
      <c r="R109" s="9">
        <f t="shared" si="21"/>
        <v>770</v>
      </c>
      <c r="S109" s="9">
        <f t="shared" si="21"/>
        <v>0</v>
      </c>
      <c r="T109" s="9">
        <f t="shared" si="21"/>
        <v>35</v>
      </c>
      <c r="U109" s="9">
        <f t="shared" si="21"/>
        <v>24341.41</v>
      </c>
      <c r="V109" s="9">
        <f t="shared" si="21"/>
        <v>13436.41</v>
      </c>
      <c r="W109" s="9">
        <f t="shared" si="21"/>
        <v>6055</v>
      </c>
      <c r="X109" s="9">
        <f t="shared" si="21"/>
        <v>3675</v>
      </c>
      <c r="Y109" s="9">
        <f t="shared" si="21"/>
        <v>875</v>
      </c>
      <c r="Z109" s="9">
        <f t="shared" si="21"/>
        <v>300</v>
      </c>
      <c r="AA109" s="9">
        <f t="shared" si="19"/>
        <v>0</v>
      </c>
      <c r="AB109" s="9">
        <f t="shared" si="19"/>
        <v>0</v>
      </c>
      <c r="AC109" s="9">
        <f t="shared" si="19"/>
        <v>12949.89</v>
      </c>
      <c r="AD109" s="9">
        <f t="shared" si="19"/>
        <v>7130.68</v>
      </c>
    </row>
    <row r="110" spans="1:30">
      <c r="A110" s="437"/>
      <c r="B110" s="48" t="s">
        <v>90</v>
      </c>
      <c r="C110" s="9">
        <f t="shared" si="20"/>
        <v>372321.19999999995</v>
      </c>
      <c r="D110" s="9">
        <f t="shared" ref="D110:Z110" si="22">D6+D58</f>
        <v>0</v>
      </c>
      <c r="E110" s="9">
        <f t="shared" si="22"/>
        <v>78823.350000000006</v>
      </c>
      <c r="F110" s="9">
        <f t="shared" si="22"/>
        <v>205372.71</v>
      </c>
      <c r="G110" s="9">
        <f t="shared" si="22"/>
        <v>3860.71</v>
      </c>
      <c r="H110" s="9">
        <f t="shared" si="22"/>
        <v>14984.96</v>
      </c>
      <c r="I110" s="9">
        <f t="shared" si="22"/>
        <v>4578.78</v>
      </c>
      <c r="J110" s="9">
        <f t="shared" si="22"/>
        <v>3721.56</v>
      </c>
      <c r="K110" s="9">
        <f t="shared" si="22"/>
        <v>6684.62</v>
      </c>
      <c r="L110" s="9">
        <f t="shared" si="22"/>
        <v>7535.66</v>
      </c>
      <c r="M110" s="9">
        <f t="shared" si="22"/>
        <v>1910.1</v>
      </c>
      <c r="N110" s="9">
        <f t="shared" si="22"/>
        <v>2769.58</v>
      </c>
      <c r="O110" s="9">
        <f t="shared" si="22"/>
        <v>1741.06</v>
      </c>
      <c r="P110" s="9">
        <f t="shared" si="22"/>
        <v>1114.92</v>
      </c>
      <c r="Q110" s="9">
        <f t="shared" si="22"/>
        <v>6922.6</v>
      </c>
      <c r="R110" s="9">
        <f t="shared" si="22"/>
        <v>3110.73</v>
      </c>
      <c r="S110" s="9">
        <f t="shared" si="22"/>
        <v>3811.87</v>
      </c>
      <c r="T110" s="9">
        <f t="shared" si="22"/>
        <v>2201.35</v>
      </c>
      <c r="U110" s="9">
        <f t="shared" si="22"/>
        <v>36007.609999999993</v>
      </c>
      <c r="V110" s="9">
        <f t="shared" si="22"/>
        <v>10285.040000000001</v>
      </c>
      <c r="W110" s="9">
        <f t="shared" si="22"/>
        <v>13664.31</v>
      </c>
      <c r="X110" s="9">
        <f t="shared" si="22"/>
        <v>5556.19</v>
      </c>
      <c r="Y110" s="9">
        <f t="shared" si="22"/>
        <v>2167.96</v>
      </c>
      <c r="Z110" s="9">
        <f t="shared" si="22"/>
        <v>2559.69</v>
      </c>
      <c r="AA110" s="9">
        <f t="shared" si="19"/>
        <v>1774.42</v>
      </c>
      <c r="AB110" s="9">
        <f t="shared" si="19"/>
        <v>0</v>
      </c>
      <c r="AC110" s="9">
        <f t="shared" si="19"/>
        <v>7632.58</v>
      </c>
      <c r="AD110" s="9">
        <f t="shared" si="19"/>
        <v>8979.67</v>
      </c>
    </row>
    <row r="111" spans="1:30">
      <c r="A111" s="437"/>
      <c r="B111" s="48" t="s">
        <v>91</v>
      </c>
      <c r="C111" s="9">
        <f t="shared" si="20"/>
        <v>86914.939999999988</v>
      </c>
      <c r="D111" s="9">
        <f t="shared" ref="D111:Z111" si="23">D7+D59</f>
        <v>0</v>
      </c>
      <c r="E111" s="9">
        <f t="shared" si="23"/>
        <v>0</v>
      </c>
      <c r="F111" s="9">
        <f t="shared" si="23"/>
        <v>73997.42</v>
      </c>
      <c r="G111" s="9">
        <f t="shared" si="23"/>
        <v>2229.92</v>
      </c>
      <c r="H111" s="9">
        <f t="shared" si="23"/>
        <v>0</v>
      </c>
      <c r="I111" s="9">
        <f t="shared" si="23"/>
        <v>0</v>
      </c>
      <c r="J111" s="9">
        <f t="shared" si="23"/>
        <v>0</v>
      </c>
      <c r="K111" s="9">
        <f t="shared" si="23"/>
        <v>0</v>
      </c>
      <c r="L111" s="9">
        <f t="shared" si="23"/>
        <v>0</v>
      </c>
      <c r="M111" s="9">
        <f t="shared" si="23"/>
        <v>0</v>
      </c>
      <c r="N111" s="9">
        <f t="shared" si="23"/>
        <v>0</v>
      </c>
      <c r="O111" s="9">
        <f t="shared" si="23"/>
        <v>0</v>
      </c>
      <c r="P111" s="9">
        <f t="shared" si="23"/>
        <v>0</v>
      </c>
      <c r="Q111" s="9">
        <f t="shared" si="23"/>
        <v>3615.53</v>
      </c>
      <c r="R111" s="9">
        <f t="shared" si="23"/>
        <v>3615.53</v>
      </c>
      <c r="S111" s="9">
        <f t="shared" si="23"/>
        <v>0</v>
      </c>
      <c r="T111" s="9">
        <f t="shared" si="23"/>
        <v>0</v>
      </c>
      <c r="U111" s="9">
        <f t="shared" si="23"/>
        <v>1202.92</v>
      </c>
      <c r="V111" s="9">
        <f t="shared" si="23"/>
        <v>0</v>
      </c>
      <c r="W111" s="9">
        <f t="shared" si="23"/>
        <v>1202.92</v>
      </c>
      <c r="X111" s="9">
        <f t="shared" si="23"/>
        <v>0</v>
      </c>
      <c r="Y111" s="9">
        <f t="shared" si="23"/>
        <v>0</v>
      </c>
      <c r="Z111" s="9">
        <f t="shared" si="23"/>
        <v>0</v>
      </c>
      <c r="AA111" s="9">
        <f t="shared" si="19"/>
        <v>0</v>
      </c>
      <c r="AB111" s="9">
        <f t="shared" si="19"/>
        <v>0</v>
      </c>
      <c r="AC111" s="9">
        <f t="shared" si="19"/>
        <v>3092.51</v>
      </c>
      <c r="AD111" s="9">
        <f t="shared" si="19"/>
        <v>2776.64</v>
      </c>
    </row>
    <row r="112" spans="1:30">
      <c r="A112" s="437"/>
      <c r="B112" s="48" t="s">
        <v>92</v>
      </c>
      <c r="C112" s="9">
        <f t="shared" si="20"/>
        <v>5256974.169999999</v>
      </c>
      <c r="D112" s="9">
        <f t="shared" ref="D112:Z112" si="24">D8+D60</f>
        <v>0</v>
      </c>
      <c r="E112" s="9">
        <f t="shared" si="24"/>
        <v>1329365.45</v>
      </c>
      <c r="F112" s="9">
        <f t="shared" si="24"/>
        <v>2478107.06</v>
      </c>
      <c r="G112" s="9">
        <f t="shared" si="24"/>
        <v>80750.13</v>
      </c>
      <c r="H112" s="9">
        <f t="shared" si="24"/>
        <v>209721</v>
      </c>
      <c r="I112" s="9">
        <f t="shared" si="24"/>
        <v>83952.24</v>
      </c>
      <c r="J112" s="9">
        <f t="shared" si="24"/>
        <v>46694.28</v>
      </c>
      <c r="K112" s="9">
        <f t="shared" si="24"/>
        <v>79074.48</v>
      </c>
      <c r="L112" s="9">
        <f t="shared" si="24"/>
        <v>113351.88</v>
      </c>
      <c r="M112" s="9">
        <f t="shared" si="24"/>
        <v>25324.639999999999</v>
      </c>
      <c r="N112" s="9">
        <f t="shared" si="24"/>
        <v>41954.86</v>
      </c>
      <c r="O112" s="9">
        <f t="shared" si="24"/>
        <v>29608.79</v>
      </c>
      <c r="P112" s="9">
        <f t="shared" si="24"/>
        <v>16463.59</v>
      </c>
      <c r="Q112" s="9">
        <f t="shared" si="24"/>
        <v>94724.31</v>
      </c>
      <c r="R112" s="9">
        <f t="shared" si="24"/>
        <v>45855.77</v>
      </c>
      <c r="S112" s="9">
        <f t="shared" si="24"/>
        <v>48868.54</v>
      </c>
      <c r="T112" s="9">
        <f t="shared" si="24"/>
        <v>41628.14</v>
      </c>
      <c r="U112" s="9">
        <f t="shared" si="24"/>
        <v>613278.5</v>
      </c>
      <c r="V112" s="9">
        <f t="shared" si="24"/>
        <v>194197.99</v>
      </c>
      <c r="W112" s="9">
        <f t="shared" si="24"/>
        <v>195078.33</v>
      </c>
      <c r="X112" s="9">
        <f t="shared" si="24"/>
        <v>98682.86</v>
      </c>
      <c r="Y112" s="9">
        <f t="shared" si="24"/>
        <v>41883.879999999997</v>
      </c>
      <c r="Z112" s="9">
        <f t="shared" si="24"/>
        <v>50806.76</v>
      </c>
      <c r="AA112" s="9">
        <f t="shared" si="19"/>
        <v>32628.68</v>
      </c>
      <c r="AB112" s="9">
        <f t="shared" si="19"/>
        <v>0</v>
      </c>
      <c r="AC112" s="9">
        <f t="shared" si="19"/>
        <v>134805.4</v>
      </c>
      <c r="AD112" s="9">
        <f t="shared" si="19"/>
        <v>161242.29999999999</v>
      </c>
    </row>
    <row r="113" spans="1:30">
      <c r="A113" s="437"/>
      <c r="B113" s="48" t="s">
        <v>93</v>
      </c>
      <c r="C113" s="9">
        <f t="shared" si="20"/>
        <v>0</v>
      </c>
      <c r="D113" s="9">
        <f t="shared" ref="D113:Z113" si="25">D9+D61</f>
        <v>0</v>
      </c>
      <c r="E113" s="9">
        <f t="shared" si="25"/>
        <v>0</v>
      </c>
      <c r="F113" s="9">
        <f t="shared" si="25"/>
        <v>0</v>
      </c>
      <c r="G113" s="9">
        <f t="shared" si="25"/>
        <v>0</v>
      </c>
      <c r="H113" s="9">
        <f t="shared" si="25"/>
        <v>0</v>
      </c>
      <c r="I113" s="9">
        <f t="shared" si="25"/>
        <v>0</v>
      </c>
      <c r="J113" s="9">
        <f t="shared" si="25"/>
        <v>0</v>
      </c>
      <c r="K113" s="9">
        <f t="shared" si="25"/>
        <v>0</v>
      </c>
      <c r="L113" s="9">
        <f t="shared" si="25"/>
        <v>0</v>
      </c>
      <c r="M113" s="9">
        <f t="shared" si="25"/>
        <v>0</v>
      </c>
      <c r="N113" s="9">
        <f t="shared" si="25"/>
        <v>0</v>
      </c>
      <c r="O113" s="9">
        <f t="shared" si="25"/>
        <v>0</v>
      </c>
      <c r="P113" s="9">
        <f t="shared" si="25"/>
        <v>0</v>
      </c>
      <c r="Q113" s="9">
        <f t="shared" si="25"/>
        <v>0</v>
      </c>
      <c r="R113" s="9">
        <f t="shared" si="25"/>
        <v>0</v>
      </c>
      <c r="S113" s="9">
        <f t="shared" si="25"/>
        <v>0</v>
      </c>
      <c r="T113" s="9">
        <f t="shared" si="25"/>
        <v>0</v>
      </c>
      <c r="U113" s="9">
        <f t="shared" si="25"/>
        <v>0</v>
      </c>
      <c r="V113" s="9">
        <f t="shared" si="25"/>
        <v>0</v>
      </c>
      <c r="W113" s="9">
        <f t="shared" si="25"/>
        <v>0</v>
      </c>
      <c r="X113" s="9">
        <f t="shared" si="25"/>
        <v>0</v>
      </c>
      <c r="Y113" s="9">
        <f t="shared" si="25"/>
        <v>0</v>
      </c>
      <c r="Z113" s="9">
        <f t="shared" si="25"/>
        <v>0</v>
      </c>
      <c r="AA113" s="9">
        <f t="shared" si="19"/>
        <v>0</v>
      </c>
      <c r="AB113" s="9">
        <f t="shared" si="19"/>
        <v>0</v>
      </c>
      <c r="AC113" s="9">
        <f t="shared" si="19"/>
        <v>0</v>
      </c>
      <c r="AD113" s="9">
        <f t="shared" si="19"/>
        <v>0</v>
      </c>
    </row>
    <row r="114" spans="1:30">
      <c r="A114" s="437"/>
      <c r="B114" s="48" t="s">
        <v>94</v>
      </c>
      <c r="C114" s="9">
        <f t="shared" si="20"/>
        <v>30905.78</v>
      </c>
      <c r="D114" s="9">
        <f t="shared" ref="D114:Z114" si="26">D10+D62</f>
        <v>0</v>
      </c>
      <c r="E114" s="9">
        <f t="shared" si="26"/>
        <v>-1575.5</v>
      </c>
      <c r="F114" s="9">
        <f t="shared" si="26"/>
        <v>35632.28</v>
      </c>
      <c r="G114" s="9">
        <f t="shared" si="26"/>
        <v>0</v>
      </c>
      <c r="H114" s="9">
        <f t="shared" si="26"/>
        <v>0</v>
      </c>
      <c r="I114" s="9">
        <f t="shared" si="26"/>
        <v>0</v>
      </c>
      <c r="J114" s="9">
        <f t="shared" si="26"/>
        <v>0</v>
      </c>
      <c r="K114" s="9">
        <f t="shared" si="26"/>
        <v>0</v>
      </c>
      <c r="L114" s="9">
        <f t="shared" si="26"/>
        <v>0</v>
      </c>
      <c r="M114" s="9">
        <f t="shared" si="26"/>
        <v>0</v>
      </c>
      <c r="N114" s="9">
        <f t="shared" si="26"/>
        <v>0</v>
      </c>
      <c r="O114" s="9">
        <f t="shared" si="26"/>
        <v>0</v>
      </c>
      <c r="P114" s="9">
        <f t="shared" si="26"/>
        <v>0</v>
      </c>
      <c r="Q114" s="9">
        <f t="shared" si="26"/>
        <v>0</v>
      </c>
      <c r="R114" s="9">
        <f t="shared" si="26"/>
        <v>0</v>
      </c>
      <c r="S114" s="9">
        <f t="shared" si="26"/>
        <v>0</v>
      </c>
      <c r="T114" s="9">
        <f t="shared" si="26"/>
        <v>0</v>
      </c>
      <c r="U114" s="9">
        <f t="shared" si="26"/>
        <v>-3151</v>
      </c>
      <c r="V114" s="9">
        <f t="shared" si="26"/>
        <v>0</v>
      </c>
      <c r="W114" s="9">
        <f t="shared" si="26"/>
        <v>-3151</v>
      </c>
      <c r="X114" s="9">
        <f t="shared" si="26"/>
        <v>0</v>
      </c>
      <c r="Y114" s="9">
        <f t="shared" si="26"/>
        <v>0</v>
      </c>
      <c r="Z114" s="9">
        <f t="shared" si="26"/>
        <v>0</v>
      </c>
      <c r="AA114" s="9">
        <f t="shared" si="19"/>
        <v>0</v>
      </c>
      <c r="AB114" s="9">
        <f t="shared" si="19"/>
        <v>0</v>
      </c>
      <c r="AC114" s="9">
        <f t="shared" si="19"/>
        <v>0</v>
      </c>
      <c r="AD114" s="9">
        <f t="shared" si="19"/>
        <v>0</v>
      </c>
    </row>
    <row r="115" spans="1:30">
      <c r="A115" s="437"/>
      <c r="B115" s="48" t="s">
        <v>95</v>
      </c>
      <c r="C115" s="9">
        <f t="shared" si="20"/>
        <v>196163.11</v>
      </c>
      <c r="D115" s="9">
        <f t="shared" ref="D115:Z115" si="27">D11+D63</f>
        <v>0</v>
      </c>
      <c r="E115" s="9">
        <f t="shared" si="27"/>
        <v>28276.9</v>
      </c>
      <c r="F115" s="9">
        <f t="shared" si="27"/>
        <v>147726.21</v>
      </c>
      <c r="G115" s="9">
        <f t="shared" si="27"/>
        <v>0</v>
      </c>
      <c r="H115" s="9">
        <f t="shared" si="27"/>
        <v>4200</v>
      </c>
      <c r="I115" s="9">
        <f t="shared" si="27"/>
        <v>0</v>
      </c>
      <c r="J115" s="9">
        <f t="shared" si="27"/>
        <v>4200</v>
      </c>
      <c r="K115" s="9">
        <f t="shared" si="27"/>
        <v>0</v>
      </c>
      <c r="L115" s="9">
        <f t="shared" si="27"/>
        <v>2100</v>
      </c>
      <c r="M115" s="9">
        <f t="shared" si="27"/>
        <v>0</v>
      </c>
      <c r="N115" s="9">
        <f t="shared" si="27"/>
        <v>0</v>
      </c>
      <c r="O115" s="9">
        <f t="shared" si="27"/>
        <v>2100</v>
      </c>
      <c r="P115" s="9">
        <f t="shared" si="27"/>
        <v>0</v>
      </c>
      <c r="Q115" s="9">
        <f t="shared" si="27"/>
        <v>0</v>
      </c>
      <c r="R115" s="9">
        <f t="shared" si="27"/>
        <v>0</v>
      </c>
      <c r="S115" s="9">
        <f t="shared" si="27"/>
        <v>0</v>
      </c>
      <c r="T115" s="9">
        <f t="shared" si="27"/>
        <v>0</v>
      </c>
      <c r="U115" s="9">
        <f t="shared" si="27"/>
        <v>0</v>
      </c>
      <c r="V115" s="9">
        <f t="shared" si="27"/>
        <v>0</v>
      </c>
      <c r="W115" s="9">
        <f t="shared" si="27"/>
        <v>0</v>
      </c>
      <c r="X115" s="9">
        <f t="shared" si="27"/>
        <v>0</v>
      </c>
      <c r="Y115" s="9">
        <f t="shared" si="27"/>
        <v>0</v>
      </c>
      <c r="Z115" s="9">
        <f t="shared" si="27"/>
        <v>0</v>
      </c>
      <c r="AA115" s="9">
        <f t="shared" si="19"/>
        <v>0</v>
      </c>
      <c r="AB115" s="9">
        <f t="shared" si="19"/>
        <v>0</v>
      </c>
      <c r="AC115" s="9">
        <f t="shared" si="19"/>
        <v>0</v>
      </c>
      <c r="AD115" s="9">
        <f t="shared" si="19"/>
        <v>13860</v>
      </c>
    </row>
    <row r="116" spans="1:30">
      <c r="A116" s="437"/>
      <c r="B116" s="48" t="s">
        <v>96</v>
      </c>
      <c r="C116" s="9">
        <f t="shared" si="20"/>
        <v>407339.86</v>
      </c>
      <c r="D116" s="9">
        <f t="shared" ref="D116:Z116" si="28">D12+D64</f>
        <v>0</v>
      </c>
      <c r="E116" s="9">
        <f t="shared" si="28"/>
        <v>157779.51</v>
      </c>
      <c r="F116" s="9">
        <f t="shared" si="28"/>
        <v>0</v>
      </c>
      <c r="G116" s="9">
        <f t="shared" si="28"/>
        <v>0</v>
      </c>
      <c r="H116" s="9">
        <f t="shared" si="28"/>
        <v>0</v>
      </c>
      <c r="I116" s="9">
        <f t="shared" si="28"/>
        <v>0</v>
      </c>
      <c r="J116" s="9">
        <f t="shared" si="28"/>
        <v>0</v>
      </c>
      <c r="K116" s="9">
        <f t="shared" si="28"/>
        <v>0</v>
      </c>
      <c r="L116" s="9">
        <f t="shared" si="28"/>
        <v>0</v>
      </c>
      <c r="M116" s="9">
        <f t="shared" si="28"/>
        <v>0</v>
      </c>
      <c r="N116" s="9">
        <f t="shared" si="28"/>
        <v>0</v>
      </c>
      <c r="O116" s="9">
        <f t="shared" si="28"/>
        <v>0</v>
      </c>
      <c r="P116" s="9">
        <f t="shared" si="28"/>
        <v>0</v>
      </c>
      <c r="Q116" s="9">
        <f t="shared" si="28"/>
        <v>0</v>
      </c>
      <c r="R116" s="9">
        <f t="shared" si="28"/>
        <v>0</v>
      </c>
      <c r="S116" s="9">
        <f t="shared" si="28"/>
        <v>0</v>
      </c>
      <c r="T116" s="9">
        <f t="shared" si="28"/>
        <v>34730.089999999997</v>
      </c>
      <c r="U116" s="9">
        <f t="shared" si="28"/>
        <v>0</v>
      </c>
      <c r="V116" s="9">
        <f t="shared" si="28"/>
        <v>0</v>
      </c>
      <c r="W116" s="9">
        <f t="shared" si="28"/>
        <v>0</v>
      </c>
      <c r="X116" s="9">
        <f t="shared" si="28"/>
        <v>0</v>
      </c>
      <c r="Y116" s="9">
        <f t="shared" si="28"/>
        <v>0</v>
      </c>
      <c r="Z116" s="9">
        <f t="shared" si="28"/>
        <v>0</v>
      </c>
      <c r="AA116" s="9">
        <f t="shared" si="19"/>
        <v>0</v>
      </c>
      <c r="AB116" s="9">
        <f t="shared" si="19"/>
        <v>0</v>
      </c>
      <c r="AC116" s="9">
        <f t="shared" si="19"/>
        <v>10199.4</v>
      </c>
      <c r="AD116" s="9">
        <f t="shared" si="19"/>
        <v>204630.86</v>
      </c>
    </row>
    <row r="117" spans="1:30">
      <c r="A117" s="437"/>
      <c r="B117" s="48" t="s">
        <v>97</v>
      </c>
      <c r="C117" s="9">
        <f t="shared" si="20"/>
        <v>0</v>
      </c>
      <c r="D117" s="9">
        <f t="shared" ref="D117:Z117" si="29">D13+D65</f>
        <v>0</v>
      </c>
      <c r="E117" s="9">
        <f t="shared" si="29"/>
        <v>0</v>
      </c>
      <c r="F117" s="9">
        <f t="shared" si="29"/>
        <v>0</v>
      </c>
      <c r="G117" s="9">
        <f t="shared" si="29"/>
        <v>0</v>
      </c>
      <c r="H117" s="9">
        <f t="shared" si="29"/>
        <v>0</v>
      </c>
      <c r="I117" s="9">
        <f t="shared" si="29"/>
        <v>0</v>
      </c>
      <c r="J117" s="9">
        <f t="shared" si="29"/>
        <v>0</v>
      </c>
      <c r="K117" s="9">
        <f t="shared" si="29"/>
        <v>0</v>
      </c>
      <c r="L117" s="9">
        <f t="shared" si="29"/>
        <v>0</v>
      </c>
      <c r="M117" s="9">
        <f t="shared" si="29"/>
        <v>0</v>
      </c>
      <c r="N117" s="9">
        <f t="shared" si="29"/>
        <v>0</v>
      </c>
      <c r="O117" s="9">
        <f t="shared" si="29"/>
        <v>0</v>
      </c>
      <c r="P117" s="9">
        <f t="shared" si="29"/>
        <v>0</v>
      </c>
      <c r="Q117" s="9">
        <f t="shared" si="29"/>
        <v>0</v>
      </c>
      <c r="R117" s="9">
        <f t="shared" si="29"/>
        <v>0</v>
      </c>
      <c r="S117" s="9">
        <f t="shared" si="29"/>
        <v>0</v>
      </c>
      <c r="T117" s="9">
        <f t="shared" si="29"/>
        <v>0</v>
      </c>
      <c r="U117" s="9">
        <f t="shared" si="29"/>
        <v>0</v>
      </c>
      <c r="V117" s="9">
        <f t="shared" si="29"/>
        <v>0</v>
      </c>
      <c r="W117" s="9">
        <f t="shared" si="29"/>
        <v>0</v>
      </c>
      <c r="X117" s="9">
        <f t="shared" si="29"/>
        <v>0</v>
      </c>
      <c r="Y117" s="9">
        <f t="shared" si="29"/>
        <v>0</v>
      </c>
      <c r="Z117" s="9">
        <f t="shared" si="29"/>
        <v>0</v>
      </c>
      <c r="AA117" s="9">
        <f t="shared" si="19"/>
        <v>0</v>
      </c>
      <c r="AB117" s="9">
        <f t="shared" si="19"/>
        <v>0</v>
      </c>
      <c r="AC117" s="9">
        <f t="shared" si="19"/>
        <v>0</v>
      </c>
      <c r="AD117" s="9">
        <f t="shared" si="19"/>
        <v>0</v>
      </c>
    </row>
    <row r="118" spans="1:30" ht="13.5" customHeight="1">
      <c r="A118" s="438"/>
      <c r="B118" s="60" t="s">
        <v>98</v>
      </c>
      <c r="C118" s="92">
        <f t="shared" si="20"/>
        <v>22336037.100000005</v>
      </c>
      <c r="D118" s="92">
        <f t="shared" ref="D118:U118" si="30">SUM(D108:D117)</f>
        <v>0</v>
      </c>
      <c r="E118" s="92">
        <f t="shared" si="30"/>
        <v>5579343.3799999999</v>
      </c>
      <c r="F118" s="92">
        <f t="shared" si="30"/>
        <v>10494074.049999999</v>
      </c>
      <c r="G118" s="92">
        <f t="shared" si="30"/>
        <v>286246.49</v>
      </c>
      <c r="H118" s="92">
        <f t="shared" si="30"/>
        <v>981899.27</v>
      </c>
      <c r="I118" s="92">
        <f t="shared" si="30"/>
        <v>323595.05</v>
      </c>
      <c r="J118" s="92">
        <f t="shared" si="30"/>
        <v>236493.84</v>
      </c>
      <c r="K118" s="92">
        <f t="shared" si="30"/>
        <v>421810.38</v>
      </c>
      <c r="L118" s="92">
        <f t="shared" si="30"/>
        <v>497536.99</v>
      </c>
      <c r="M118" s="92">
        <f t="shared" si="30"/>
        <v>122739.74</v>
      </c>
      <c r="N118" s="92">
        <f t="shared" si="30"/>
        <v>183069.88999999996</v>
      </c>
      <c r="O118" s="92">
        <f t="shared" si="30"/>
        <v>118402.85</v>
      </c>
      <c r="P118" s="92">
        <f t="shared" si="30"/>
        <v>73324.509999999995</v>
      </c>
      <c r="Q118" s="92">
        <f t="shared" si="30"/>
        <v>452162.46</v>
      </c>
      <c r="R118" s="92">
        <f t="shared" si="30"/>
        <v>208888.67</v>
      </c>
      <c r="S118" s="92">
        <f t="shared" si="30"/>
        <v>243273.79</v>
      </c>
      <c r="T118" s="92">
        <f t="shared" si="30"/>
        <v>188662.05000000002</v>
      </c>
      <c r="U118" s="92">
        <f t="shared" si="30"/>
        <v>2472060.25</v>
      </c>
      <c r="V118" s="92">
        <f t="shared" ref="V118:AC118" si="31">SUM(V108:V117)</f>
        <v>732171.67</v>
      </c>
      <c r="W118" s="92">
        <f t="shared" si="31"/>
        <v>896064.9800000001</v>
      </c>
      <c r="X118" s="92">
        <f t="shared" si="31"/>
        <v>385723.51</v>
      </c>
      <c r="Y118" s="92">
        <f t="shared" si="31"/>
        <v>153324.84</v>
      </c>
      <c r="Z118" s="92">
        <f t="shared" si="31"/>
        <v>181651.15</v>
      </c>
      <c r="AA118" s="92">
        <f t="shared" si="31"/>
        <v>123124.1</v>
      </c>
      <c r="AB118" s="92">
        <f t="shared" si="31"/>
        <v>0</v>
      </c>
      <c r="AC118" s="92">
        <f t="shared" si="31"/>
        <v>550308.78</v>
      </c>
      <c r="AD118" s="9">
        <f t="shared" ref="AD118:AD156" si="32">AD14+AD66</f>
        <v>833743.38</v>
      </c>
    </row>
    <row r="119" spans="1:30" ht="13.5" customHeight="1">
      <c r="A119" s="439" t="s">
        <v>99</v>
      </c>
      <c r="B119" s="48" t="s">
        <v>100</v>
      </c>
      <c r="C119" s="9">
        <f t="shared" si="20"/>
        <v>1955524.7000000002</v>
      </c>
      <c r="D119" s="9">
        <f t="shared" ref="D119:Z119" si="33">D15+D67</f>
        <v>-211344.14</v>
      </c>
      <c r="E119" s="9">
        <f t="shared" si="33"/>
        <v>0</v>
      </c>
      <c r="F119" s="9">
        <f t="shared" si="33"/>
        <v>1955524.7000000002</v>
      </c>
      <c r="G119" s="9">
        <f t="shared" si="33"/>
        <v>-55668.56</v>
      </c>
      <c r="H119" s="9">
        <f t="shared" si="33"/>
        <v>0</v>
      </c>
      <c r="I119" s="9">
        <f t="shared" si="33"/>
        <v>0</v>
      </c>
      <c r="J119" s="9">
        <f t="shared" si="33"/>
        <v>0</v>
      </c>
      <c r="K119" s="9">
        <f t="shared" si="33"/>
        <v>0</v>
      </c>
      <c r="L119" s="9">
        <f t="shared" si="33"/>
        <v>267012.7</v>
      </c>
      <c r="M119" s="9">
        <f t="shared" si="33"/>
        <v>0</v>
      </c>
      <c r="N119" s="9">
        <f t="shared" si="33"/>
        <v>0</v>
      </c>
      <c r="O119" s="9">
        <f t="shared" si="33"/>
        <v>267012.7</v>
      </c>
      <c r="P119" s="9">
        <f t="shared" si="33"/>
        <v>0</v>
      </c>
      <c r="Q119" s="9">
        <f t="shared" si="33"/>
        <v>0</v>
      </c>
      <c r="R119" s="9">
        <f t="shared" si="33"/>
        <v>0</v>
      </c>
      <c r="S119" s="9">
        <f t="shared" si="33"/>
        <v>0</v>
      </c>
      <c r="T119" s="9">
        <f t="shared" si="33"/>
        <v>0</v>
      </c>
      <c r="U119" s="9">
        <f t="shared" si="33"/>
        <v>0</v>
      </c>
      <c r="V119" s="9">
        <f t="shared" si="33"/>
        <v>0</v>
      </c>
      <c r="W119" s="9">
        <f t="shared" si="33"/>
        <v>0</v>
      </c>
      <c r="X119" s="9">
        <f t="shared" si="33"/>
        <v>0</v>
      </c>
      <c r="Y119" s="9">
        <f t="shared" si="33"/>
        <v>0</v>
      </c>
      <c r="Z119" s="9">
        <f t="shared" si="33"/>
        <v>0</v>
      </c>
      <c r="AA119" s="9">
        <f t="shared" ref="AA119:AC123" si="34">AA15+AA67</f>
        <v>0</v>
      </c>
      <c r="AB119" s="9">
        <f t="shared" si="34"/>
        <v>0</v>
      </c>
      <c r="AC119" s="9">
        <f t="shared" si="34"/>
        <v>0</v>
      </c>
      <c r="AD119" s="9">
        <f t="shared" si="32"/>
        <v>0</v>
      </c>
    </row>
    <row r="120" spans="1:30">
      <c r="A120" s="440"/>
      <c r="B120" s="48" t="s">
        <v>101</v>
      </c>
      <c r="C120" s="9">
        <f t="shared" si="20"/>
        <v>5181765.68</v>
      </c>
      <c r="D120" s="9">
        <f t="shared" ref="D120:Z120" si="35">D16+D68</f>
        <v>0</v>
      </c>
      <c r="E120" s="9">
        <f t="shared" si="35"/>
        <v>0</v>
      </c>
      <c r="F120" s="9">
        <f t="shared" si="35"/>
        <v>5024772.24</v>
      </c>
      <c r="G120" s="9">
        <f t="shared" si="35"/>
        <v>0</v>
      </c>
      <c r="H120" s="9">
        <f t="shared" si="35"/>
        <v>0</v>
      </c>
      <c r="I120" s="9">
        <f t="shared" si="35"/>
        <v>0</v>
      </c>
      <c r="J120" s="9">
        <f t="shared" si="35"/>
        <v>0</v>
      </c>
      <c r="K120" s="9">
        <f t="shared" si="35"/>
        <v>0</v>
      </c>
      <c r="L120" s="9">
        <f t="shared" si="35"/>
        <v>101180.8</v>
      </c>
      <c r="M120" s="9">
        <f t="shared" si="35"/>
        <v>0</v>
      </c>
      <c r="N120" s="9">
        <f t="shared" si="35"/>
        <v>0</v>
      </c>
      <c r="O120" s="9">
        <f t="shared" si="35"/>
        <v>101180.8</v>
      </c>
      <c r="P120" s="9">
        <f t="shared" si="35"/>
        <v>0</v>
      </c>
      <c r="Q120" s="9">
        <f t="shared" si="35"/>
        <v>0</v>
      </c>
      <c r="R120" s="9">
        <f t="shared" si="35"/>
        <v>0</v>
      </c>
      <c r="S120" s="9">
        <f t="shared" si="35"/>
        <v>0</v>
      </c>
      <c r="T120" s="9">
        <f t="shared" si="35"/>
        <v>0</v>
      </c>
      <c r="U120" s="9">
        <f t="shared" si="35"/>
        <v>55812.639999999999</v>
      </c>
      <c r="V120" s="9">
        <f t="shared" si="35"/>
        <v>58252.43</v>
      </c>
      <c r="W120" s="9">
        <f t="shared" si="35"/>
        <v>0</v>
      </c>
      <c r="X120" s="9">
        <f t="shared" si="35"/>
        <v>-2439.79</v>
      </c>
      <c r="Y120" s="9">
        <f t="shared" si="35"/>
        <v>0</v>
      </c>
      <c r="Z120" s="9">
        <f t="shared" si="35"/>
        <v>0</v>
      </c>
      <c r="AA120" s="9">
        <f t="shared" si="34"/>
        <v>0</v>
      </c>
      <c r="AB120" s="9">
        <f t="shared" si="34"/>
        <v>0</v>
      </c>
      <c r="AC120" s="9">
        <f t="shared" si="34"/>
        <v>0</v>
      </c>
      <c r="AD120" s="9">
        <f t="shared" si="32"/>
        <v>0</v>
      </c>
    </row>
    <row r="121" spans="1:30">
      <c r="A121" s="440"/>
      <c r="B121" s="48" t="s">
        <v>102</v>
      </c>
      <c r="C121" s="9">
        <f t="shared" si="20"/>
        <v>744741.15999999992</v>
      </c>
      <c r="D121" s="9">
        <f t="shared" ref="D121:Z121" si="36">D17+D69</f>
        <v>-848193</v>
      </c>
      <c r="E121" s="9">
        <f t="shared" si="36"/>
        <v>-528776.21</v>
      </c>
      <c r="F121" s="9">
        <f t="shared" si="36"/>
        <v>1436378.8399999999</v>
      </c>
      <c r="G121" s="9">
        <f t="shared" si="36"/>
        <v>15046.18</v>
      </c>
      <c r="H121" s="9">
        <f t="shared" si="36"/>
        <v>617811.27</v>
      </c>
      <c r="I121" s="9">
        <f t="shared" si="36"/>
        <v>33520.699999999997</v>
      </c>
      <c r="J121" s="9">
        <f t="shared" si="36"/>
        <v>8782.7999999999993</v>
      </c>
      <c r="K121" s="9">
        <f t="shared" si="36"/>
        <v>575507.77</v>
      </c>
      <c r="L121" s="9">
        <f t="shared" si="36"/>
        <v>304937.86</v>
      </c>
      <c r="M121" s="9">
        <f t="shared" si="36"/>
        <v>94831.57</v>
      </c>
      <c r="N121" s="9">
        <f t="shared" si="36"/>
        <v>180685.91</v>
      </c>
      <c r="O121" s="9">
        <f t="shared" si="36"/>
        <v>18780.3</v>
      </c>
      <c r="P121" s="9">
        <f t="shared" si="36"/>
        <v>10640.080000000002</v>
      </c>
      <c r="Q121" s="9">
        <f t="shared" si="36"/>
        <v>-258364.77000000002</v>
      </c>
      <c r="R121" s="9">
        <f t="shared" si="36"/>
        <v>-289704.82000000007</v>
      </c>
      <c r="S121" s="9">
        <f t="shared" si="36"/>
        <v>31340.05</v>
      </c>
      <c r="T121" s="9">
        <f t="shared" si="36"/>
        <v>-0.83</v>
      </c>
      <c r="U121" s="9">
        <f t="shared" si="36"/>
        <v>5901.82</v>
      </c>
      <c r="V121" s="9">
        <f t="shared" si="36"/>
        <v>-1730.13</v>
      </c>
      <c r="W121" s="9">
        <f t="shared" si="36"/>
        <v>-186.90000000000009</v>
      </c>
      <c r="X121" s="9">
        <f t="shared" si="36"/>
        <v>7818.82</v>
      </c>
      <c r="Y121" s="9">
        <f t="shared" si="36"/>
        <v>0</v>
      </c>
      <c r="Z121" s="9">
        <f t="shared" si="36"/>
        <v>0</v>
      </c>
      <c r="AA121" s="9">
        <f t="shared" si="34"/>
        <v>0.03</v>
      </c>
      <c r="AB121" s="9">
        <f t="shared" si="34"/>
        <v>0</v>
      </c>
      <c r="AC121" s="9">
        <f t="shared" si="34"/>
        <v>0</v>
      </c>
      <c r="AD121" s="9">
        <f t="shared" si="32"/>
        <v>0</v>
      </c>
    </row>
    <row r="122" spans="1:30">
      <c r="A122" s="440"/>
      <c r="B122" s="48" t="s">
        <v>103</v>
      </c>
      <c r="C122" s="9">
        <f t="shared" si="20"/>
        <v>99250.37</v>
      </c>
      <c r="D122" s="9">
        <f t="shared" ref="D122:Z122" si="37">D18+D70</f>
        <v>0</v>
      </c>
      <c r="E122" s="9">
        <f t="shared" si="37"/>
        <v>22200</v>
      </c>
      <c r="F122" s="9">
        <f t="shared" si="37"/>
        <v>54139.93</v>
      </c>
      <c r="G122" s="9">
        <f t="shared" si="37"/>
        <v>0</v>
      </c>
      <c r="H122" s="9">
        <f t="shared" si="37"/>
        <v>0</v>
      </c>
      <c r="I122" s="9">
        <f t="shared" si="37"/>
        <v>0</v>
      </c>
      <c r="J122" s="9">
        <f t="shared" si="37"/>
        <v>0</v>
      </c>
      <c r="K122" s="9">
        <f t="shared" si="37"/>
        <v>0</v>
      </c>
      <c r="L122" s="9">
        <f t="shared" si="37"/>
        <v>0</v>
      </c>
      <c r="M122" s="9">
        <f t="shared" si="37"/>
        <v>0</v>
      </c>
      <c r="N122" s="9">
        <f t="shared" si="37"/>
        <v>0</v>
      </c>
      <c r="O122" s="9">
        <f t="shared" si="37"/>
        <v>0</v>
      </c>
      <c r="P122" s="9">
        <f t="shared" si="37"/>
        <v>0</v>
      </c>
      <c r="Q122" s="9">
        <f t="shared" si="37"/>
        <v>0</v>
      </c>
      <c r="R122" s="9">
        <f t="shared" si="37"/>
        <v>0</v>
      </c>
      <c r="S122" s="9">
        <f t="shared" si="37"/>
        <v>0</v>
      </c>
      <c r="T122" s="9">
        <f t="shared" si="37"/>
        <v>22910.44</v>
      </c>
      <c r="U122" s="9">
        <f t="shared" si="37"/>
        <v>0</v>
      </c>
      <c r="V122" s="9">
        <f t="shared" si="37"/>
        <v>0</v>
      </c>
      <c r="W122" s="9">
        <f t="shared" si="37"/>
        <v>0</v>
      </c>
      <c r="X122" s="9">
        <f t="shared" si="37"/>
        <v>0</v>
      </c>
      <c r="Y122" s="9">
        <f t="shared" si="37"/>
        <v>0</v>
      </c>
      <c r="Z122" s="9">
        <f t="shared" si="37"/>
        <v>0</v>
      </c>
      <c r="AA122" s="9">
        <f t="shared" si="34"/>
        <v>0</v>
      </c>
      <c r="AB122" s="9">
        <f t="shared" si="34"/>
        <v>0</v>
      </c>
      <c r="AC122" s="9">
        <f t="shared" si="34"/>
        <v>0</v>
      </c>
      <c r="AD122" s="9">
        <f t="shared" si="32"/>
        <v>0</v>
      </c>
    </row>
    <row r="123" spans="1:30" ht="13.5" customHeight="1">
      <c r="A123" s="440"/>
      <c r="B123" s="48" t="s">
        <v>104</v>
      </c>
      <c r="C123" s="9">
        <f t="shared" si="20"/>
        <v>0</v>
      </c>
      <c r="D123" s="9">
        <f t="shared" ref="D123:Z123" si="38">D19+D71</f>
        <v>0</v>
      </c>
      <c r="E123" s="9">
        <f t="shared" si="38"/>
        <v>0</v>
      </c>
      <c r="F123" s="9">
        <f t="shared" si="38"/>
        <v>0</v>
      </c>
      <c r="G123" s="9">
        <f t="shared" si="38"/>
        <v>0</v>
      </c>
      <c r="H123" s="9">
        <f t="shared" si="38"/>
        <v>0</v>
      </c>
      <c r="I123" s="9">
        <f t="shared" si="38"/>
        <v>0</v>
      </c>
      <c r="J123" s="9">
        <f t="shared" si="38"/>
        <v>0</v>
      </c>
      <c r="K123" s="9">
        <f t="shared" si="38"/>
        <v>0</v>
      </c>
      <c r="L123" s="9">
        <f t="shared" si="38"/>
        <v>0</v>
      </c>
      <c r="M123" s="9">
        <f t="shared" si="38"/>
        <v>0</v>
      </c>
      <c r="N123" s="9">
        <f t="shared" si="38"/>
        <v>0</v>
      </c>
      <c r="O123" s="9">
        <f t="shared" si="38"/>
        <v>0</v>
      </c>
      <c r="P123" s="9">
        <f t="shared" si="38"/>
        <v>0</v>
      </c>
      <c r="Q123" s="9">
        <f t="shared" si="38"/>
        <v>0</v>
      </c>
      <c r="R123" s="9">
        <f t="shared" si="38"/>
        <v>0</v>
      </c>
      <c r="S123" s="9">
        <f t="shared" si="38"/>
        <v>0</v>
      </c>
      <c r="T123" s="9">
        <f t="shared" si="38"/>
        <v>0</v>
      </c>
      <c r="U123" s="9">
        <f t="shared" si="38"/>
        <v>0</v>
      </c>
      <c r="V123" s="9">
        <f t="shared" si="38"/>
        <v>0</v>
      </c>
      <c r="W123" s="9">
        <f t="shared" si="38"/>
        <v>0</v>
      </c>
      <c r="X123" s="9">
        <f t="shared" si="38"/>
        <v>0</v>
      </c>
      <c r="Y123" s="9">
        <f t="shared" si="38"/>
        <v>0</v>
      </c>
      <c r="Z123" s="9">
        <f t="shared" si="38"/>
        <v>0</v>
      </c>
      <c r="AA123" s="9">
        <f t="shared" si="34"/>
        <v>0</v>
      </c>
      <c r="AB123" s="9">
        <f t="shared" si="34"/>
        <v>0</v>
      </c>
      <c r="AC123" s="9">
        <f t="shared" si="34"/>
        <v>0</v>
      </c>
      <c r="AD123" s="9">
        <f t="shared" si="32"/>
        <v>0</v>
      </c>
    </row>
    <row r="124" spans="1:30">
      <c r="A124" s="441"/>
      <c r="B124" s="60" t="s">
        <v>98</v>
      </c>
      <c r="C124" s="92">
        <f t="shared" si="20"/>
        <v>7981281.9100000001</v>
      </c>
      <c r="D124" s="92">
        <f t="shared" ref="D124:U124" si="39">SUM(D119:D123)</f>
        <v>-1059537.1400000001</v>
      </c>
      <c r="E124" s="92">
        <f t="shared" si="39"/>
        <v>-506576.20999999996</v>
      </c>
      <c r="F124" s="92">
        <f t="shared" si="39"/>
        <v>8470815.7100000009</v>
      </c>
      <c r="G124" s="92">
        <f t="shared" si="39"/>
        <v>-40622.379999999997</v>
      </c>
      <c r="H124" s="92">
        <f t="shared" si="39"/>
        <v>617811.27</v>
      </c>
      <c r="I124" s="92">
        <f t="shared" si="39"/>
        <v>33520.699999999997</v>
      </c>
      <c r="J124" s="92">
        <f t="shared" si="39"/>
        <v>8782.7999999999993</v>
      </c>
      <c r="K124" s="92">
        <f t="shared" si="39"/>
        <v>575507.77</v>
      </c>
      <c r="L124" s="92">
        <f t="shared" si="39"/>
        <v>673131.36</v>
      </c>
      <c r="M124" s="92">
        <f t="shared" si="39"/>
        <v>94831.57</v>
      </c>
      <c r="N124" s="92">
        <f t="shared" si="39"/>
        <v>180685.91</v>
      </c>
      <c r="O124" s="92">
        <f t="shared" si="39"/>
        <v>386973.8</v>
      </c>
      <c r="P124" s="92">
        <f t="shared" si="39"/>
        <v>10640.080000000002</v>
      </c>
      <c r="Q124" s="92">
        <f t="shared" si="39"/>
        <v>-258364.77000000002</v>
      </c>
      <c r="R124" s="92">
        <f t="shared" si="39"/>
        <v>-289704.82000000007</v>
      </c>
      <c r="S124" s="92">
        <f t="shared" si="39"/>
        <v>31340.05</v>
      </c>
      <c r="T124" s="92">
        <f t="shared" si="39"/>
        <v>22909.609999999997</v>
      </c>
      <c r="U124" s="92">
        <f t="shared" si="39"/>
        <v>61714.46</v>
      </c>
      <c r="V124" s="92">
        <f t="shared" ref="V124:AC124" si="40">SUM(V119:V123)</f>
        <v>56522.3</v>
      </c>
      <c r="W124" s="92">
        <f t="shared" si="40"/>
        <v>-186.90000000000009</v>
      </c>
      <c r="X124" s="92">
        <f t="shared" si="40"/>
        <v>5379.03</v>
      </c>
      <c r="Y124" s="92">
        <f t="shared" si="40"/>
        <v>0</v>
      </c>
      <c r="Z124" s="92">
        <f t="shared" si="40"/>
        <v>0</v>
      </c>
      <c r="AA124" s="92">
        <f t="shared" si="40"/>
        <v>0.03</v>
      </c>
      <c r="AB124" s="92">
        <f t="shared" si="40"/>
        <v>0</v>
      </c>
      <c r="AC124" s="92">
        <f t="shared" si="40"/>
        <v>0</v>
      </c>
      <c r="AD124" s="9">
        <f t="shared" si="32"/>
        <v>0</v>
      </c>
    </row>
    <row r="125" spans="1:30" ht="13.5" customHeight="1">
      <c r="A125" s="442" t="s">
        <v>105</v>
      </c>
      <c r="B125" s="48" t="s">
        <v>106</v>
      </c>
      <c r="C125" s="9">
        <f t="shared" si="20"/>
        <v>1406602.72</v>
      </c>
      <c r="D125" s="9">
        <f t="shared" ref="D125:Z125" si="41">D21+D73</f>
        <v>0</v>
      </c>
      <c r="E125" s="9">
        <f t="shared" si="41"/>
        <v>115335.54</v>
      </c>
      <c r="F125" s="9">
        <f t="shared" si="41"/>
        <v>732907.89</v>
      </c>
      <c r="G125" s="9">
        <f t="shared" si="41"/>
        <v>35796</v>
      </c>
      <c r="H125" s="9">
        <f t="shared" si="41"/>
        <v>45851</v>
      </c>
      <c r="I125" s="9">
        <f t="shared" si="41"/>
        <v>10496</v>
      </c>
      <c r="J125" s="9">
        <f t="shared" si="41"/>
        <v>6822</v>
      </c>
      <c r="K125" s="9">
        <f t="shared" si="41"/>
        <v>28533</v>
      </c>
      <c r="L125" s="9">
        <f t="shared" si="41"/>
        <v>35569</v>
      </c>
      <c r="M125" s="9">
        <f t="shared" si="41"/>
        <v>7482</v>
      </c>
      <c r="N125" s="9">
        <f t="shared" si="41"/>
        <v>1114</v>
      </c>
      <c r="O125" s="9">
        <f t="shared" si="41"/>
        <v>22461</v>
      </c>
      <c r="P125" s="9">
        <f t="shared" si="41"/>
        <v>4512</v>
      </c>
      <c r="Q125" s="9">
        <f t="shared" si="41"/>
        <v>4008</v>
      </c>
      <c r="R125" s="9">
        <f t="shared" si="41"/>
        <v>1735</v>
      </c>
      <c r="S125" s="9">
        <f t="shared" si="41"/>
        <v>2273</v>
      </c>
      <c r="T125" s="9">
        <f t="shared" si="41"/>
        <v>23602</v>
      </c>
      <c r="U125" s="9">
        <f t="shared" si="41"/>
        <v>384293.57999999996</v>
      </c>
      <c r="V125" s="9">
        <f t="shared" si="41"/>
        <v>132722.26999999999</v>
      </c>
      <c r="W125" s="9">
        <f t="shared" si="41"/>
        <v>22366</v>
      </c>
      <c r="X125" s="9">
        <f t="shared" si="41"/>
        <v>115591.4</v>
      </c>
      <c r="Y125" s="9">
        <f t="shared" si="41"/>
        <v>60253.599999999999</v>
      </c>
      <c r="Z125" s="9">
        <f t="shared" si="41"/>
        <v>41787.449999999997</v>
      </c>
      <c r="AA125" s="9">
        <f t="shared" ref="AA125:AC137" si="42">AA21+AA73</f>
        <v>11572.86</v>
      </c>
      <c r="AB125" s="9">
        <f t="shared" si="42"/>
        <v>0</v>
      </c>
      <c r="AC125" s="9">
        <f t="shared" si="42"/>
        <v>19409</v>
      </c>
      <c r="AD125" s="9">
        <f t="shared" si="32"/>
        <v>9830.7099999999991</v>
      </c>
    </row>
    <row r="126" spans="1:30">
      <c r="A126" s="443"/>
      <c r="B126" s="48" t="s">
        <v>107</v>
      </c>
      <c r="C126" s="9">
        <f t="shared" si="20"/>
        <v>825292.21000000008</v>
      </c>
      <c r="D126" s="9">
        <f t="shared" ref="D126:Z126" si="43">D22+D74</f>
        <v>0</v>
      </c>
      <c r="E126" s="9">
        <f t="shared" si="43"/>
        <v>78807.390000000014</v>
      </c>
      <c r="F126" s="9">
        <f t="shared" si="43"/>
        <v>100761.18000000001</v>
      </c>
      <c r="G126" s="9">
        <f t="shared" si="43"/>
        <v>1342</v>
      </c>
      <c r="H126" s="9">
        <f t="shared" si="43"/>
        <v>30252.16</v>
      </c>
      <c r="I126" s="9">
        <f t="shared" si="43"/>
        <v>4674.13</v>
      </c>
      <c r="J126" s="9">
        <f t="shared" si="43"/>
        <v>7026.21</v>
      </c>
      <c r="K126" s="9">
        <f t="shared" si="43"/>
        <v>18551.82</v>
      </c>
      <c r="L126" s="9">
        <f t="shared" si="43"/>
        <v>9669.76</v>
      </c>
      <c r="M126" s="9">
        <f t="shared" si="43"/>
        <v>878.76</v>
      </c>
      <c r="N126" s="9">
        <f t="shared" si="43"/>
        <v>845.5</v>
      </c>
      <c r="O126" s="9">
        <f t="shared" si="43"/>
        <v>4097.5</v>
      </c>
      <c r="P126" s="9">
        <f t="shared" si="43"/>
        <v>3848</v>
      </c>
      <c r="Q126" s="9">
        <f t="shared" si="43"/>
        <v>3699.8</v>
      </c>
      <c r="R126" s="9">
        <f t="shared" si="43"/>
        <v>1417.05</v>
      </c>
      <c r="S126" s="9">
        <f t="shared" si="43"/>
        <v>2282.75</v>
      </c>
      <c r="T126" s="9">
        <f t="shared" si="43"/>
        <v>5676.29</v>
      </c>
      <c r="U126" s="9">
        <f t="shared" si="43"/>
        <v>568804.31000000006</v>
      </c>
      <c r="V126" s="9">
        <f t="shared" si="43"/>
        <v>246165.85</v>
      </c>
      <c r="W126" s="9">
        <f t="shared" si="43"/>
        <v>95920.82</v>
      </c>
      <c r="X126" s="9">
        <f t="shared" si="43"/>
        <v>99232.53</v>
      </c>
      <c r="Y126" s="9">
        <f t="shared" si="43"/>
        <v>39731.9</v>
      </c>
      <c r="Z126" s="9">
        <f t="shared" si="43"/>
        <v>61326.83</v>
      </c>
      <c r="AA126" s="9">
        <f t="shared" si="42"/>
        <v>26426.38</v>
      </c>
      <c r="AB126" s="9">
        <f t="shared" si="42"/>
        <v>0</v>
      </c>
      <c r="AC126" s="9">
        <f t="shared" si="42"/>
        <v>25546.49</v>
      </c>
      <c r="AD126" s="9">
        <f t="shared" si="32"/>
        <v>732.83</v>
      </c>
    </row>
    <row r="127" spans="1:30">
      <c r="A127" s="443"/>
      <c r="B127" s="48" t="s">
        <v>108</v>
      </c>
      <c r="C127" s="9">
        <f t="shared" si="20"/>
        <v>180099.36999999997</v>
      </c>
      <c r="D127" s="9">
        <f t="shared" ref="D127:Z127" si="44">D23+D75</f>
        <v>0</v>
      </c>
      <c r="E127" s="9">
        <f t="shared" si="44"/>
        <v>59280.069999999992</v>
      </c>
      <c r="F127" s="9">
        <f t="shared" si="44"/>
        <v>76916.460000000006</v>
      </c>
      <c r="G127" s="9">
        <f t="shared" si="44"/>
        <v>3843.36</v>
      </c>
      <c r="H127" s="9">
        <f t="shared" si="44"/>
        <v>3899.5699999999997</v>
      </c>
      <c r="I127" s="9">
        <f t="shared" si="44"/>
        <v>1008.66</v>
      </c>
      <c r="J127" s="9">
        <f t="shared" si="44"/>
        <v>751</v>
      </c>
      <c r="K127" s="9">
        <f t="shared" si="44"/>
        <v>2139.91</v>
      </c>
      <c r="L127" s="9">
        <f t="shared" si="44"/>
        <v>2367</v>
      </c>
      <c r="M127" s="9">
        <f t="shared" si="44"/>
        <v>559</v>
      </c>
      <c r="N127" s="9">
        <f t="shared" si="44"/>
        <v>1010</v>
      </c>
      <c r="O127" s="9">
        <f t="shared" si="44"/>
        <v>461</v>
      </c>
      <c r="P127" s="9">
        <f t="shared" si="44"/>
        <v>337</v>
      </c>
      <c r="Q127" s="9">
        <f t="shared" si="44"/>
        <v>1497</v>
      </c>
      <c r="R127" s="9">
        <f t="shared" si="44"/>
        <v>746</v>
      </c>
      <c r="S127" s="9">
        <f t="shared" si="44"/>
        <v>751</v>
      </c>
      <c r="T127" s="9">
        <f t="shared" si="44"/>
        <v>2387.87</v>
      </c>
      <c r="U127" s="9">
        <f t="shared" si="44"/>
        <v>18988.3</v>
      </c>
      <c r="V127" s="9">
        <f t="shared" si="44"/>
        <v>6839.8</v>
      </c>
      <c r="W127" s="9">
        <f t="shared" si="44"/>
        <v>3246.92</v>
      </c>
      <c r="X127" s="9">
        <f t="shared" si="44"/>
        <v>4450.6899999999996</v>
      </c>
      <c r="Y127" s="9">
        <f t="shared" si="44"/>
        <v>524.85</v>
      </c>
      <c r="Z127" s="9">
        <f t="shared" si="44"/>
        <v>3893.02</v>
      </c>
      <c r="AA127" s="9">
        <f t="shared" si="42"/>
        <v>33.020000000000003</v>
      </c>
      <c r="AB127" s="9">
        <f t="shared" si="42"/>
        <v>0</v>
      </c>
      <c r="AC127" s="9">
        <f t="shared" si="42"/>
        <v>1744.08</v>
      </c>
      <c r="AD127" s="9">
        <f t="shared" si="32"/>
        <v>9175.66</v>
      </c>
    </row>
    <row r="128" spans="1:30">
      <c r="A128" s="443"/>
      <c r="B128" s="48" t="s">
        <v>109</v>
      </c>
      <c r="C128" s="9">
        <f t="shared" si="20"/>
        <v>60395.61</v>
      </c>
      <c r="D128" s="9">
        <f t="shared" ref="D128:Z128" si="45">D24+D76</f>
        <v>0</v>
      </c>
      <c r="E128" s="9">
        <f t="shared" si="45"/>
        <v>9788</v>
      </c>
      <c r="F128" s="9">
        <f t="shared" si="45"/>
        <v>46368.23</v>
      </c>
      <c r="G128" s="9">
        <f t="shared" si="45"/>
        <v>524.27</v>
      </c>
      <c r="H128" s="9">
        <f t="shared" si="45"/>
        <v>0</v>
      </c>
      <c r="I128" s="9">
        <f t="shared" si="45"/>
        <v>0</v>
      </c>
      <c r="J128" s="9">
        <f t="shared" si="45"/>
        <v>0</v>
      </c>
      <c r="K128" s="9">
        <f t="shared" si="45"/>
        <v>0</v>
      </c>
      <c r="L128" s="9">
        <f t="shared" si="45"/>
        <v>0</v>
      </c>
      <c r="M128" s="9">
        <f t="shared" si="45"/>
        <v>0</v>
      </c>
      <c r="N128" s="9">
        <f t="shared" si="45"/>
        <v>0</v>
      </c>
      <c r="O128" s="9">
        <f t="shared" si="45"/>
        <v>0</v>
      </c>
      <c r="P128" s="9">
        <f t="shared" si="45"/>
        <v>0</v>
      </c>
      <c r="Q128" s="9">
        <f t="shared" si="45"/>
        <v>0</v>
      </c>
      <c r="R128" s="9">
        <f t="shared" si="45"/>
        <v>0</v>
      </c>
      <c r="S128" s="9">
        <f t="shared" si="45"/>
        <v>0</v>
      </c>
      <c r="T128" s="9">
        <f t="shared" si="45"/>
        <v>0</v>
      </c>
      <c r="U128" s="9">
        <f t="shared" si="45"/>
        <v>1836.47</v>
      </c>
      <c r="V128" s="9">
        <f t="shared" si="45"/>
        <v>1553.4</v>
      </c>
      <c r="W128" s="9">
        <f t="shared" si="45"/>
        <v>0</v>
      </c>
      <c r="X128" s="9">
        <f t="shared" si="45"/>
        <v>0</v>
      </c>
      <c r="Y128" s="9">
        <f t="shared" si="45"/>
        <v>131.07</v>
      </c>
      <c r="Z128" s="9">
        <f t="shared" si="45"/>
        <v>0</v>
      </c>
      <c r="AA128" s="9">
        <f t="shared" si="42"/>
        <v>152</v>
      </c>
      <c r="AB128" s="9">
        <f t="shared" si="42"/>
        <v>0</v>
      </c>
      <c r="AC128" s="9">
        <f t="shared" si="42"/>
        <v>854.37</v>
      </c>
      <c r="AD128" s="9">
        <f t="shared" si="32"/>
        <v>1024.27</v>
      </c>
    </row>
    <row r="129" spans="1:30">
      <c r="A129" s="443"/>
      <c r="B129" s="48" t="s">
        <v>110</v>
      </c>
      <c r="C129" s="9">
        <f t="shared" si="20"/>
        <v>92796.15</v>
      </c>
      <c r="D129" s="9">
        <f t="shared" ref="D129:Z129" si="46">D25+D77</f>
        <v>0</v>
      </c>
      <c r="E129" s="9">
        <f t="shared" si="46"/>
        <v>47169.81</v>
      </c>
      <c r="F129" s="9">
        <f t="shared" si="46"/>
        <v>45626.34</v>
      </c>
      <c r="G129" s="9">
        <f t="shared" si="46"/>
        <v>0</v>
      </c>
      <c r="H129" s="9">
        <f t="shared" si="46"/>
        <v>0</v>
      </c>
      <c r="I129" s="9">
        <f t="shared" si="46"/>
        <v>0</v>
      </c>
      <c r="J129" s="9">
        <f t="shared" si="46"/>
        <v>0</v>
      </c>
      <c r="K129" s="9">
        <f t="shared" si="46"/>
        <v>0</v>
      </c>
      <c r="L129" s="9">
        <f t="shared" si="46"/>
        <v>0</v>
      </c>
      <c r="M129" s="9">
        <f t="shared" si="46"/>
        <v>0</v>
      </c>
      <c r="N129" s="9">
        <f t="shared" si="46"/>
        <v>0</v>
      </c>
      <c r="O129" s="9">
        <f t="shared" si="46"/>
        <v>0</v>
      </c>
      <c r="P129" s="9">
        <f t="shared" si="46"/>
        <v>0</v>
      </c>
      <c r="Q129" s="9">
        <f t="shared" si="46"/>
        <v>0</v>
      </c>
      <c r="R129" s="9">
        <f t="shared" si="46"/>
        <v>0</v>
      </c>
      <c r="S129" s="9">
        <f t="shared" si="46"/>
        <v>0</v>
      </c>
      <c r="T129" s="9">
        <f t="shared" si="46"/>
        <v>0</v>
      </c>
      <c r="U129" s="9">
        <f t="shared" si="46"/>
        <v>0</v>
      </c>
      <c r="V129" s="9">
        <f t="shared" si="46"/>
        <v>0</v>
      </c>
      <c r="W129" s="9">
        <f t="shared" si="46"/>
        <v>0</v>
      </c>
      <c r="X129" s="9">
        <f t="shared" si="46"/>
        <v>0</v>
      </c>
      <c r="Y129" s="9">
        <f t="shared" si="46"/>
        <v>0</v>
      </c>
      <c r="Z129" s="9">
        <f t="shared" si="46"/>
        <v>0</v>
      </c>
      <c r="AA129" s="9">
        <f t="shared" si="42"/>
        <v>0</v>
      </c>
      <c r="AB129" s="9">
        <f t="shared" si="42"/>
        <v>0</v>
      </c>
      <c r="AC129" s="9">
        <f t="shared" si="42"/>
        <v>0</v>
      </c>
      <c r="AD129" s="9">
        <f t="shared" si="32"/>
        <v>0</v>
      </c>
    </row>
    <row r="130" spans="1:30">
      <c r="A130" s="443"/>
      <c r="B130" s="48" t="s">
        <v>111</v>
      </c>
      <c r="C130" s="9">
        <f t="shared" si="20"/>
        <v>146226.41999999998</v>
      </c>
      <c r="D130" s="9">
        <f t="shared" ref="D130:Z130" si="47">D26+D78</f>
        <v>0</v>
      </c>
      <c r="E130" s="9">
        <f t="shared" si="47"/>
        <v>0</v>
      </c>
      <c r="F130" s="9">
        <f t="shared" si="47"/>
        <v>122641.51</v>
      </c>
      <c r="G130" s="9">
        <f t="shared" si="47"/>
        <v>0</v>
      </c>
      <c r="H130" s="9">
        <f t="shared" si="47"/>
        <v>20440.259999999998</v>
      </c>
      <c r="I130" s="9">
        <f t="shared" si="47"/>
        <v>0</v>
      </c>
      <c r="J130" s="9">
        <f t="shared" si="47"/>
        <v>0</v>
      </c>
      <c r="K130" s="9">
        <f t="shared" si="47"/>
        <v>20440.259999999998</v>
      </c>
      <c r="L130" s="9">
        <f t="shared" si="47"/>
        <v>0</v>
      </c>
      <c r="M130" s="9">
        <f t="shared" si="47"/>
        <v>0</v>
      </c>
      <c r="N130" s="9">
        <f t="shared" si="47"/>
        <v>0</v>
      </c>
      <c r="O130" s="9">
        <f t="shared" si="47"/>
        <v>0</v>
      </c>
      <c r="P130" s="9">
        <f t="shared" si="47"/>
        <v>0</v>
      </c>
      <c r="Q130" s="9">
        <f t="shared" si="47"/>
        <v>3144.65</v>
      </c>
      <c r="R130" s="9">
        <f t="shared" si="47"/>
        <v>3144.65</v>
      </c>
      <c r="S130" s="9">
        <f t="shared" si="47"/>
        <v>0</v>
      </c>
      <c r="T130" s="9">
        <f t="shared" si="47"/>
        <v>0</v>
      </c>
      <c r="U130" s="9">
        <f t="shared" si="47"/>
        <v>0</v>
      </c>
      <c r="V130" s="9">
        <f t="shared" si="47"/>
        <v>0</v>
      </c>
      <c r="W130" s="9">
        <f t="shared" si="47"/>
        <v>0</v>
      </c>
      <c r="X130" s="9">
        <f t="shared" si="47"/>
        <v>0</v>
      </c>
      <c r="Y130" s="9">
        <f t="shared" si="47"/>
        <v>0</v>
      </c>
      <c r="Z130" s="9">
        <f t="shared" si="47"/>
        <v>0</v>
      </c>
      <c r="AA130" s="9">
        <f t="shared" si="42"/>
        <v>0</v>
      </c>
      <c r="AB130" s="9">
        <f t="shared" si="42"/>
        <v>0</v>
      </c>
      <c r="AC130" s="9">
        <f t="shared" si="42"/>
        <v>0</v>
      </c>
      <c r="AD130" s="9">
        <f t="shared" si="32"/>
        <v>0</v>
      </c>
    </row>
    <row r="131" spans="1:30">
      <c r="A131" s="443"/>
      <c r="B131" s="48" t="s">
        <v>112</v>
      </c>
      <c r="C131" s="9">
        <f t="shared" si="20"/>
        <v>134063.97999999998</v>
      </c>
      <c r="D131" s="9">
        <f t="shared" ref="D131:Z131" si="48">D27+D79</f>
        <v>0</v>
      </c>
      <c r="E131" s="9">
        <f t="shared" si="48"/>
        <v>71929.87</v>
      </c>
      <c r="F131" s="9">
        <f t="shared" si="48"/>
        <v>63007.9</v>
      </c>
      <c r="G131" s="9">
        <f t="shared" si="48"/>
        <v>0</v>
      </c>
      <c r="H131" s="9">
        <f t="shared" si="48"/>
        <v>0</v>
      </c>
      <c r="I131" s="9">
        <f t="shared" si="48"/>
        <v>0</v>
      </c>
      <c r="J131" s="9">
        <f t="shared" si="48"/>
        <v>0</v>
      </c>
      <c r="K131" s="9">
        <f t="shared" si="48"/>
        <v>0</v>
      </c>
      <c r="L131" s="9">
        <f t="shared" si="48"/>
        <v>0</v>
      </c>
      <c r="M131" s="9">
        <f t="shared" si="48"/>
        <v>0</v>
      </c>
      <c r="N131" s="9">
        <f t="shared" si="48"/>
        <v>0</v>
      </c>
      <c r="O131" s="9">
        <f t="shared" si="48"/>
        <v>0</v>
      </c>
      <c r="P131" s="9">
        <f t="shared" si="48"/>
        <v>0</v>
      </c>
      <c r="Q131" s="9">
        <f t="shared" si="48"/>
        <v>0</v>
      </c>
      <c r="R131" s="9">
        <f t="shared" si="48"/>
        <v>0</v>
      </c>
      <c r="S131" s="9">
        <f t="shared" si="48"/>
        <v>0</v>
      </c>
      <c r="T131" s="9">
        <f t="shared" si="48"/>
        <v>0</v>
      </c>
      <c r="U131" s="9">
        <f t="shared" si="48"/>
        <v>0</v>
      </c>
      <c r="V131" s="9">
        <f t="shared" si="48"/>
        <v>0</v>
      </c>
      <c r="W131" s="9">
        <f t="shared" si="48"/>
        <v>0</v>
      </c>
      <c r="X131" s="9">
        <f t="shared" si="48"/>
        <v>0</v>
      </c>
      <c r="Y131" s="9">
        <f t="shared" si="48"/>
        <v>0</v>
      </c>
      <c r="Z131" s="9">
        <f t="shared" si="48"/>
        <v>0</v>
      </c>
      <c r="AA131" s="9">
        <f t="shared" si="42"/>
        <v>0</v>
      </c>
      <c r="AB131" s="9">
        <f t="shared" si="42"/>
        <v>0</v>
      </c>
      <c r="AC131" s="9">
        <f t="shared" si="42"/>
        <v>0</v>
      </c>
      <c r="AD131" s="9">
        <f t="shared" si="32"/>
        <v>-873.79</v>
      </c>
    </row>
    <row r="132" spans="1:30">
      <c r="A132" s="443"/>
      <c r="B132" s="48" t="s">
        <v>113</v>
      </c>
      <c r="C132" s="9">
        <f t="shared" si="20"/>
        <v>28977.93</v>
      </c>
      <c r="D132" s="9">
        <f t="shared" ref="D132:Z132" si="49">D28+D80</f>
        <v>0</v>
      </c>
      <c r="E132" s="9">
        <f t="shared" si="49"/>
        <v>2760</v>
      </c>
      <c r="F132" s="9">
        <f t="shared" si="49"/>
        <v>17116.09</v>
      </c>
      <c r="G132" s="9">
        <f t="shared" si="49"/>
        <v>0</v>
      </c>
      <c r="H132" s="9">
        <f t="shared" si="49"/>
        <v>120</v>
      </c>
      <c r="I132" s="9">
        <f t="shared" si="49"/>
        <v>0</v>
      </c>
      <c r="J132" s="9">
        <f t="shared" si="49"/>
        <v>120</v>
      </c>
      <c r="K132" s="9">
        <f t="shared" si="49"/>
        <v>0</v>
      </c>
      <c r="L132" s="9">
        <f t="shared" si="49"/>
        <v>720</v>
      </c>
      <c r="M132" s="9">
        <f t="shared" si="49"/>
        <v>360</v>
      </c>
      <c r="N132" s="9">
        <f t="shared" si="49"/>
        <v>300</v>
      </c>
      <c r="O132" s="9">
        <f t="shared" si="49"/>
        <v>0</v>
      </c>
      <c r="P132" s="9">
        <f t="shared" si="49"/>
        <v>60</v>
      </c>
      <c r="Q132" s="9">
        <f t="shared" si="49"/>
        <v>120</v>
      </c>
      <c r="R132" s="9">
        <f t="shared" si="49"/>
        <v>60</v>
      </c>
      <c r="S132" s="9">
        <f t="shared" si="49"/>
        <v>60</v>
      </c>
      <c r="T132" s="9">
        <f t="shared" si="49"/>
        <v>60</v>
      </c>
      <c r="U132" s="9">
        <f t="shared" si="49"/>
        <v>8081.84</v>
      </c>
      <c r="V132" s="9">
        <f t="shared" si="49"/>
        <v>5724.44</v>
      </c>
      <c r="W132" s="9">
        <f t="shared" si="49"/>
        <v>0</v>
      </c>
      <c r="X132" s="9">
        <f t="shared" si="49"/>
        <v>0</v>
      </c>
      <c r="Y132" s="9">
        <f t="shared" si="49"/>
        <v>356</v>
      </c>
      <c r="Z132" s="9">
        <f t="shared" si="49"/>
        <v>1541.4</v>
      </c>
      <c r="AA132" s="9">
        <f t="shared" si="42"/>
        <v>460</v>
      </c>
      <c r="AB132" s="9">
        <f t="shared" si="42"/>
        <v>0</v>
      </c>
      <c r="AC132" s="9">
        <f t="shared" si="42"/>
        <v>0</v>
      </c>
      <c r="AD132" s="9">
        <f t="shared" si="32"/>
        <v>0</v>
      </c>
    </row>
    <row r="133" spans="1:30">
      <c r="A133" s="443"/>
      <c r="B133" s="48" t="s">
        <v>114</v>
      </c>
      <c r="C133" s="9">
        <f t="shared" si="20"/>
        <v>9683.9500000000007</v>
      </c>
      <c r="D133" s="9">
        <f t="shared" ref="D133:Z133" si="50">D29+D81</f>
        <v>0</v>
      </c>
      <c r="E133" s="9">
        <f t="shared" si="50"/>
        <v>3557.55</v>
      </c>
      <c r="F133" s="9">
        <f t="shared" si="50"/>
        <v>6006.4</v>
      </c>
      <c r="G133" s="9">
        <f t="shared" si="50"/>
        <v>0</v>
      </c>
      <c r="H133" s="9">
        <f t="shared" si="50"/>
        <v>0</v>
      </c>
      <c r="I133" s="9">
        <f t="shared" si="50"/>
        <v>0</v>
      </c>
      <c r="J133" s="9">
        <f t="shared" si="50"/>
        <v>0</v>
      </c>
      <c r="K133" s="9">
        <f t="shared" si="50"/>
        <v>0</v>
      </c>
      <c r="L133" s="9">
        <f t="shared" si="50"/>
        <v>0</v>
      </c>
      <c r="M133" s="9">
        <f t="shared" si="50"/>
        <v>0</v>
      </c>
      <c r="N133" s="9">
        <f t="shared" si="50"/>
        <v>0</v>
      </c>
      <c r="O133" s="9">
        <f t="shared" si="50"/>
        <v>0</v>
      </c>
      <c r="P133" s="9">
        <f t="shared" si="50"/>
        <v>0</v>
      </c>
      <c r="Q133" s="9">
        <f t="shared" si="50"/>
        <v>0</v>
      </c>
      <c r="R133" s="9">
        <f t="shared" si="50"/>
        <v>0</v>
      </c>
      <c r="S133" s="9">
        <f t="shared" si="50"/>
        <v>0</v>
      </c>
      <c r="T133" s="9">
        <f t="shared" si="50"/>
        <v>0</v>
      </c>
      <c r="U133" s="9">
        <f t="shared" si="50"/>
        <v>0</v>
      </c>
      <c r="V133" s="9">
        <f t="shared" si="50"/>
        <v>0</v>
      </c>
      <c r="W133" s="9">
        <f t="shared" si="50"/>
        <v>0</v>
      </c>
      <c r="X133" s="9">
        <f t="shared" si="50"/>
        <v>0</v>
      </c>
      <c r="Y133" s="9">
        <f t="shared" si="50"/>
        <v>0</v>
      </c>
      <c r="Z133" s="9">
        <f t="shared" si="50"/>
        <v>0</v>
      </c>
      <c r="AA133" s="9">
        <f t="shared" si="42"/>
        <v>0</v>
      </c>
      <c r="AB133" s="9">
        <f t="shared" si="42"/>
        <v>0</v>
      </c>
      <c r="AC133" s="9">
        <f t="shared" si="42"/>
        <v>0</v>
      </c>
      <c r="AD133" s="9">
        <f t="shared" si="32"/>
        <v>120</v>
      </c>
    </row>
    <row r="134" spans="1:30">
      <c r="A134" s="443"/>
      <c r="B134" s="48" t="s">
        <v>115</v>
      </c>
      <c r="C134" s="9">
        <f t="shared" si="20"/>
        <v>64112.01999999999</v>
      </c>
      <c r="D134" s="9">
        <f t="shared" ref="D134:Z134" si="51">D30+D82</f>
        <v>0</v>
      </c>
      <c r="E134" s="9">
        <f t="shared" si="51"/>
        <v>14734.71</v>
      </c>
      <c r="F134" s="9">
        <f t="shared" si="51"/>
        <v>6363.7999999999993</v>
      </c>
      <c r="G134" s="9">
        <f t="shared" si="51"/>
        <v>101.54</v>
      </c>
      <c r="H134" s="9">
        <f t="shared" si="51"/>
        <v>2661.44</v>
      </c>
      <c r="I134" s="9">
        <f t="shared" si="51"/>
        <v>1148.99</v>
      </c>
      <c r="J134" s="9">
        <f t="shared" si="51"/>
        <v>1512.45</v>
      </c>
      <c r="K134" s="9">
        <f t="shared" si="51"/>
        <v>0</v>
      </c>
      <c r="L134" s="9">
        <f t="shared" si="51"/>
        <v>951.2299999999999</v>
      </c>
      <c r="M134" s="9">
        <f t="shared" si="51"/>
        <v>34.51</v>
      </c>
      <c r="N134" s="9">
        <f t="shared" si="51"/>
        <v>324.77999999999997</v>
      </c>
      <c r="O134" s="9">
        <f t="shared" si="51"/>
        <v>370.9</v>
      </c>
      <c r="P134" s="9">
        <f t="shared" si="51"/>
        <v>221.04</v>
      </c>
      <c r="Q134" s="9">
        <f t="shared" si="51"/>
        <v>1485.69</v>
      </c>
      <c r="R134" s="9">
        <f t="shared" si="51"/>
        <v>305.5</v>
      </c>
      <c r="S134" s="9">
        <f t="shared" si="51"/>
        <v>1180.19</v>
      </c>
      <c r="T134" s="9">
        <f t="shared" si="51"/>
        <v>79.44</v>
      </c>
      <c r="U134" s="9">
        <f t="shared" si="51"/>
        <v>37099.869999999995</v>
      </c>
      <c r="V134" s="9">
        <f t="shared" si="51"/>
        <v>7368.26</v>
      </c>
      <c r="W134" s="9">
        <f t="shared" si="51"/>
        <v>3493.36</v>
      </c>
      <c r="X134" s="9">
        <f t="shared" si="51"/>
        <v>7468.05</v>
      </c>
      <c r="Y134" s="9">
        <f t="shared" si="51"/>
        <v>11937.09</v>
      </c>
      <c r="Z134" s="9">
        <f t="shared" si="51"/>
        <v>5948.91</v>
      </c>
      <c r="AA134" s="9">
        <f t="shared" si="42"/>
        <v>884.2</v>
      </c>
      <c r="AB134" s="9">
        <f t="shared" si="42"/>
        <v>0</v>
      </c>
      <c r="AC134" s="9">
        <f t="shared" si="42"/>
        <v>634.29999999999995</v>
      </c>
      <c r="AD134" s="9">
        <f t="shared" si="32"/>
        <v>0</v>
      </c>
    </row>
    <row r="135" spans="1:30">
      <c r="A135" s="443"/>
      <c r="B135" s="48" t="s">
        <v>116</v>
      </c>
      <c r="C135" s="9">
        <f t="shared" si="20"/>
        <v>102192.8</v>
      </c>
      <c r="D135" s="9">
        <f t="shared" ref="D135:Z135" si="52">D31+D83</f>
        <v>0</v>
      </c>
      <c r="E135" s="9">
        <f t="shared" si="52"/>
        <v>42562.14</v>
      </c>
      <c r="F135" s="9">
        <f t="shared" si="52"/>
        <v>56630.66</v>
      </c>
      <c r="G135" s="9">
        <f t="shared" si="52"/>
        <v>0</v>
      </c>
      <c r="H135" s="9">
        <f t="shared" si="52"/>
        <v>0</v>
      </c>
      <c r="I135" s="9">
        <f t="shared" si="52"/>
        <v>0</v>
      </c>
      <c r="J135" s="9">
        <f t="shared" si="52"/>
        <v>0</v>
      </c>
      <c r="K135" s="9">
        <f t="shared" si="52"/>
        <v>0</v>
      </c>
      <c r="L135" s="9">
        <f t="shared" si="52"/>
        <v>0</v>
      </c>
      <c r="M135" s="9">
        <f t="shared" si="52"/>
        <v>0</v>
      </c>
      <c r="N135" s="9">
        <f t="shared" si="52"/>
        <v>0</v>
      </c>
      <c r="O135" s="9">
        <f t="shared" si="52"/>
        <v>0</v>
      </c>
      <c r="P135" s="9">
        <f t="shared" si="52"/>
        <v>0</v>
      </c>
      <c r="Q135" s="9">
        <f t="shared" si="52"/>
        <v>0</v>
      </c>
      <c r="R135" s="9">
        <f t="shared" si="52"/>
        <v>0</v>
      </c>
      <c r="S135" s="9">
        <f t="shared" si="52"/>
        <v>0</v>
      </c>
      <c r="T135" s="9">
        <f t="shared" si="52"/>
        <v>3000</v>
      </c>
      <c r="U135" s="9">
        <f t="shared" si="52"/>
        <v>0</v>
      </c>
      <c r="V135" s="9">
        <f t="shared" si="52"/>
        <v>0</v>
      </c>
      <c r="W135" s="9">
        <f t="shared" si="52"/>
        <v>0</v>
      </c>
      <c r="X135" s="9">
        <f t="shared" si="52"/>
        <v>0</v>
      </c>
      <c r="Y135" s="9">
        <f t="shared" si="52"/>
        <v>0</v>
      </c>
      <c r="Z135" s="9">
        <f t="shared" si="52"/>
        <v>0</v>
      </c>
      <c r="AA135" s="9">
        <f t="shared" si="42"/>
        <v>0</v>
      </c>
      <c r="AB135" s="9">
        <f t="shared" si="42"/>
        <v>0</v>
      </c>
      <c r="AC135" s="9">
        <f t="shared" si="42"/>
        <v>0</v>
      </c>
      <c r="AD135" s="9">
        <f t="shared" si="32"/>
        <v>0</v>
      </c>
    </row>
    <row r="136" spans="1:30">
      <c r="A136" s="443"/>
      <c r="B136" s="48" t="s">
        <v>117</v>
      </c>
      <c r="C136" s="9">
        <f t="shared" si="20"/>
        <v>694027.28</v>
      </c>
      <c r="D136" s="9">
        <f t="shared" ref="D136:Z136" si="53">D32+D84</f>
        <v>0</v>
      </c>
      <c r="E136" s="9">
        <f t="shared" si="53"/>
        <v>0</v>
      </c>
      <c r="F136" s="9">
        <f t="shared" si="53"/>
        <v>694027.28</v>
      </c>
      <c r="G136" s="9">
        <f t="shared" si="53"/>
        <v>0</v>
      </c>
      <c r="H136" s="9">
        <f t="shared" si="53"/>
        <v>0</v>
      </c>
      <c r="I136" s="9">
        <f t="shared" si="53"/>
        <v>0</v>
      </c>
      <c r="J136" s="9">
        <f t="shared" si="53"/>
        <v>0</v>
      </c>
      <c r="K136" s="9">
        <f t="shared" si="53"/>
        <v>0</v>
      </c>
      <c r="L136" s="9">
        <f t="shared" si="53"/>
        <v>0</v>
      </c>
      <c r="M136" s="9">
        <f t="shared" si="53"/>
        <v>0</v>
      </c>
      <c r="N136" s="9">
        <f t="shared" si="53"/>
        <v>0</v>
      </c>
      <c r="O136" s="9">
        <f t="shared" si="53"/>
        <v>0</v>
      </c>
      <c r="P136" s="9">
        <f t="shared" si="53"/>
        <v>0</v>
      </c>
      <c r="Q136" s="9">
        <f t="shared" si="53"/>
        <v>0</v>
      </c>
      <c r="R136" s="9">
        <f t="shared" si="53"/>
        <v>0</v>
      </c>
      <c r="S136" s="9">
        <f t="shared" si="53"/>
        <v>0</v>
      </c>
      <c r="T136" s="9">
        <f t="shared" si="53"/>
        <v>0</v>
      </c>
      <c r="U136" s="9">
        <f t="shared" si="53"/>
        <v>0</v>
      </c>
      <c r="V136" s="9">
        <f t="shared" si="53"/>
        <v>0</v>
      </c>
      <c r="W136" s="9">
        <f t="shared" si="53"/>
        <v>0</v>
      </c>
      <c r="X136" s="9">
        <f t="shared" si="53"/>
        <v>0</v>
      </c>
      <c r="Y136" s="9">
        <f t="shared" si="53"/>
        <v>0</v>
      </c>
      <c r="Z136" s="9">
        <f t="shared" si="53"/>
        <v>0</v>
      </c>
      <c r="AA136" s="9">
        <f t="shared" si="42"/>
        <v>0</v>
      </c>
      <c r="AB136" s="9">
        <f t="shared" si="42"/>
        <v>0</v>
      </c>
      <c r="AC136" s="9">
        <f t="shared" si="42"/>
        <v>0</v>
      </c>
      <c r="AD136" s="9">
        <f t="shared" si="32"/>
        <v>0</v>
      </c>
    </row>
    <row r="137" spans="1:30">
      <c r="A137" s="443"/>
      <c r="B137" s="48" t="s">
        <v>118</v>
      </c>
      <c r="C137" s="9">
        <f t="shared" si="20"/>
        <v>0</v>
      </c>
      <c r="D137" s="9">
        <f t="shared" ref="D137:Z137" si="54">D33+D85</f>
        <v>0</v>
      </c>
      <c r="E137" s="9">
        <f t="shared" si="54"/>
        <v>0</v>
      </c>
      <c r="F137" s="9">
        <f t="shared" si="54"/>
        <v>0</v>
      </c>
      <c r="G137" s="9">
        <f t="shared" si="54"/>
        <v>0</v>
      </c>
      <c r="H137" s="9">
        <f t="shared" si="54"/>
        <v>0</v>
      </c>
      <c r="I137" s="9">
        <f t="shared" si="54"/>
        <v>0</v>
      </c>
      <c r="J137" s="9">
        <f t="shared" si="54"/>
        <v>0</v>
      </c>
      <c r="K137" s="9">
        <f t="shared" si="54"/>
        <v>0</v>
      </c>
      <c r="L137" s="9">
        <f t="shared" si="54"/>
        <v>0</v>
      </c>
      <c r="M137" s="9">
        <f t="shared" si="54"/>
        <v>0</v>
      </c>
      <c r="N137" s="9">
        <f t="shared" si="54"/>
        <v>0</v>
      </c>
      <c r="O137" s="9">
        <f t="shared" si="54"/>
        <v>0</v>
      </c>
      <c r="P137" s="9">
        <f t="shared" si="54"/>
        <v>0</v>
      </c>
      <c r="Q137" s="9">
        <f t="shared" si="54"/>
        <v>0</v>
      </c>
      <c r="R137" s="9">
        <f t="shared" si="54"/>
        <v>0</v>
      </c>
      <c r="S137" s="9">
        <f t="shared" si="54"/>
        <v>0</v>
      </c>
      <c r="T137" s="9">
        <f t="shared" si="54"/>
        <v>0</v>
      </c>
      <c r="U137" s="9">
        <f t="shared" si="54"/>
        <v>0</v>
      </c>
      <c r="V137" s="9">
        <f t="shared" si="54"/>
        <v>0</v>
      </c>
      <c r="W137" s="9">
        <f t="shared" si="54"/>
        <v>0</v>
      </c>
      <c r="X137" s="9">
        <f t="shared" si="54"/>
        <v>0</v>
      </c>
      <c r="Y137" s="9">
        <f t="shared" si="54"/>
        <v>0</v>
      </c>
      <c r="Z137" s="9">
        <f t="shared" si="54"/>
        <v>0</v>
      </c>
      <c r="AA137" s="9">
        <f t="shared" si="42"/>
        <v>0</v>
      </c>
      <c r="AB137" s="9">
        <f t="shared" si="42"/>
        <v>0</v>
      </c>
      <c r="AC137" s="9">
        <f t="shared" si="42"/>
        <v>0</v>
      </c>
      <c r="AD137" s="9">
        <f t="shared" si="32"/>
        <v>0</v>
      </c>
    </row>
    <row r="138" spans="1:30">
      <c r="A138" s="444"/>
      <c r="B138" s="60" t="s">
        <v>98</v>
      </c>
      <c r="C138" s="92">
        <f t="shared" si="20"/>
        <v>3744470.4400000009</v>
      </c>
      <c r="D138" s="92">
        <f t="shared" ref="D138:U138" si="55">SUM(D125:D137)</f>
        <v>0</v>
      </c>
      <c r="E138" s="92">
        <f t="shared" si="55"/>
        <v>445925.08</v>
      </c>
      <c r="F138" s="92">
        <f t="shared" si="55"/>
        <v>1968373.7399999998</v>
      </c>
      <c r="G138" s="92">
        <f t="shared" si="55"/>
        <v>41607.17</v>
      </c>
      <c r="H138" s="92">
        <f t="shared" si="55"/>
        <v>103224.43000000001</v>
      </c>
      <c r="I138" s="92">
        <f t="shared" si="55"/>
        <v>17327.780000000002</v>
      </c>
      <c r="J138" s="92">
        <f t="shared" si="55"/>
        <v>16231.66</v>
      </c>
      <c r="K138" s="92">
        <f t="shared" si="55"/>
        <v>69664.989999999991</v>
      </c>
      <c r="L138" s="92">
        <f t="shared" si="55"/>
        <v>49276.990000000005</v>
      </c>
      <c r="M138" s="92">
        <f t="shared" si="55"/>
        <v>9314.27</v>
      </c>
      <c r="N138" s="92">
        <f t="shared" si="55"/>
        <v>3594.2799999999997</v>
      </c>
      <c r="O138" s="92">
        <f t="shared" si="55"/>
        <v>27390.400000000001</v>
      </c>
      <c r="P138" s="92">
        <f t="shared" si="55"/>
        <v>8978.0400000000009</v>
      </c>
      <c r="Q138" s="92">
        <f t="shared" si="55"/>
        <v>13955.14</v>
      </c>
      <c r="R138" s="92">
        <f t="shared" si="55"/>
        <v>7408.2000000000007</v>
      </c>
      <c r="S138" s="92">
        <f t="shared" si="55"/>
        <v>6546.9400000000005</v>
      </c>
      <c r="T138" s="92">
        <f t="shared" si="55"/>
        <v>34805.599999999999</v>
      </c>
      <c r="U138" s="92">
        <f t="shared" si="55"/>
        <v>1019104.37</v>
      </c>
      <c r="V138" s="92">
        <f t="shared" ref="V138:AC138" si="56">SUM(V125:V137)</f>
        <v>400374.02</v>
      </c>
      <c r="W138" s="92">
        <f t="shared" si="56"/>
        <v>125027.1</v>
      </c>
      <c r="X138" s="92">
        <f t="shared" si="56"/>
        <v>226742.66999999998</v>
      </c>
      <c r="Y138" s="92">
        <f t="shared" si="56"/>
        <v>112934.51000000001</v>
      </c>
      <c r="Z138" s="92">
        <f t="shared" si="56"/>
        <v>114497.61</v>
      </c>
      <c r="AA138" s="92">
        <f t="shared" si="56"/>
        <v>39528.46</v>
      </c>
      <c r="AB138" s="92">
        <f t="shared" si="56"/>
        <v>0</v>
      </c>
      <c r="AC138" s="92">
        <f t="shared" si="56"/>
        <v>48188.240000000013</v>
      </c>
      <c r="AD138" s="9">
        <f t="shared" si="32"/>
        <v>20009.68</v>
      </c>
    </row>
    <row r="139" spans="1:30" ht="13.5" customHeight="1">
      <c r="A139" s="442" t="s">
        <v>119</v>
      </c>
      <c r="B139" s="48" t="s">
        <v>120</v>
      </c>
      <c r="C139" s="9">
        <f t="shared" si="20"/>
        <v>253316.12000000002</v>
      </c>
      <c r="D139" s="9">
        <f t="shared" ref="D139:Z139" si="57">D35+D87</f>
        <v>0</v>
      </c>
      <c r="E139" s="9">
        <f t="shared" si="57"/>
        <v>104285.7</v>
      </c>
      <c r="F139" s="9">
        <f t="shared" si="57"/>
        <v>127524.52</v>
      </c>
      <c r="G139" s="9">
        <f t="shared" si="57"/>
        <v>0</v>
      </c>
      <c r="H139" s="9">
        <f t="shared" si="57"/>
        <v>2186.42</v>
      </c>
      <c r="I139" s="9">
        <f t="shared" si="57"/>
        <v>0</v>
      </c>
      <c r="J139" s="9">
        <f t="shared" si="57"/>
        <v>1093.21</v>
      </c>
      <c r="K139" s="9">
        <f t="shared" si="57"/>
        <v>1093.21</v>
      </c>
      <c r="L139" s="9">
        <f t="shared" si="57"/>
        <v>4372.84</v>
      </c>
      <c r="M139" s="9">
        <f t="shared" si="57"/>
        <v>1093.21</v>
      </c>
      <c r="N139" s="9">
        <f t="shared" si="57"/>
        <v>1093.21</v>
      </c>
      <c r="O139" s="9">
        <f t="shared" si="57"/>
        <v>1093.21</v>
      </c>
      <c r="P139" s="9">
        <f t="shared" si="57"/>
        <v>1093.21</v>
      </c>
      <c r="Q139" s="9">
        <f t="shared" si="57"/>
        <v>2186.42</v>
      </c>
      <c r="R139" s="9">
        <f t="shared" si="57"/>
        <v>1093.21</v>
      </c>
      <c r="S139" s="9">
        <f t="shared" si="57"/>
        <v>1093.21</v>
      </c>
      <c r="T139" s="9">
        <f t="shared" si="57"/>
        <v>5398.38</v>
      </c>
      <c r="U139" s="9">
        <f t="shared" si="57"/>
        <v>7361.84</v>
      </c>
      <c r="V139" s="9">
        <f t="shared" si="57"/>
        <v>4417.1000000000004</v>
      </c>
      <c r="W139" s="9">
        <f t="shared" si="57"/>
        <v>2944.74</v>
      </c>
      <c r="X139" s="9">
        <f t="shared" si="57"/>
        <v>0</v>
      </c>
      <c r="Y139" s="9">
        <f t="shared" si="57"/>
        <v>0</v>
      </c>
      <c r="Z139" s="9">
        <f t="shared" si="57"/>
        <v>0</v>
      </c>
      <c r="AA139" s="9">
        <f t="shared" ref="AA139:AC154" si="58">AA35+AA87</f>
        <v>0</v>
      </c>
      <c r="AB139" s="9">
        <f t="shared" si="58"/>
        <v>0</v>
      </c>
      <c r="AC139" s="9">
        <f t="shared" si="58"/>
        <v>0</v>
      </c>
      <c r="AD139" s="9">
        <f t="shared" si="32"/>
        <v>0</v>
      </c>
    </row>
    <row r="140" spans="1:30">
      <c r="A140" s="443"/>
      <c r="B140" s="48" t="s">
        <v>121</v>
      </c>
      <c r="C140" s="9">
        <f t="shared" si="20"/>
        <v>177504.32999999996</v>
      </c>
      <c r="D140" s="9">
        <f t="shared" ref="D140:Z140" si="59">D36+D88</f>
        <v>0</v>
      </c>
      <c r="E140" s="9">
        <f t="shared" si="59"/>
        <v>44089.039999999986</v>
      </c>
      <c r="F140" s="9">
        <f t="shared" si="59"/>
        <v>83785.539999999994</v>
      </c>
      <c r="G140" s="9">
        <f t="shared" si="59"/>
        <v>877.81</v>
      </c>
      <c r="H140" s="9">
        <f t="shared" si="59"/>
        <v>4418.96</v>
      </c>
      <c r="I140" s="9">
        <f t="shared" si="59"/>
        <v>300.24</v>
      </c>
      <c r="J140" s="9">
        <f t="shared" si="59"/>
        <v>2621.52</v>
      </c>
      <c r="K140" s="9">
        <f t="shared" si="59"/>
        <v>1497.2</v>
      </c>
      <c r="L140" s="9">
        <f t="shared" si="59"/>
        <v>6515.3499999999995</v>
      </c>
      <c r="M140" s="9">
        <f t="shared" si="59"/>
        <v>929.41</v>
      </c>
      <c r="N140" s="9">
        <f t="shared" si="59"/>
        <v>2499.81</v>
      </c>
      <c r="O140" s="9">
        <f t="shared" si="59"/>
        <v>1214.72</v>
      </c>
      <c r="P140" s="9">
        <f t="shared" si="59"/>
        <v>1871.41</v>
      </c>
      <c r="Q140" s="9">
        <f t="shared" si="59"/>
        <v>2696.15</v>
      </c>
      <c r="R140" s="9">
        <f t="shared" si="59"/>
        <v>391.29</v>
      </c>
      <c r="S140" s="9">
        <f t="shared" si="59"/>
        <v>2304.86</v>
      </c>
      <c r="T140" s="9">
        <f t="shared" si="59"/>
        <v>20291.21</v>
      </c>
      <c r="U140" s="9">
        <f t="shared" si="59"/>
        <v>6290.7699999999995</v>
      </c>
      <c r="V140" s="9">
        <f t="shared" si="59"/>
        <v>852.79</v>
      </c>
      <c r="W140" s="9">
        <f t="shared" si="59"/>
        <v>872.15</v>
      </c>
      <c r="X140" s="9">
        <f t="shared" si="59"/>
        <v>1527.82</v>
      </c>
      <c r="Y140" s="9">
        <f t="shared" si="59"/>
        <v>1015.7</v>
      </c>
      <c r="Z140" s="9">
        <f t="shared" si="59"/>
        <v>1331.95</v>
      </c>
      <c r="AA140" s="9">
        <f t="shared" si="58"/>
        <v>690.36</v>
      </c>
      <c r="AB140" s="9">
        <f t="shared" si="58"/>
        <v>0</v>
      </c>
      <c r="AC140" s="9">
        <f t="shared" si="58"/>
        <v>1093.24</v>
      </c>
      <c r="AD140" s="9">
        <f t="shared" si="32"/>
        <v>7446.26</v>
      </c>
    </row>
    <row r="141" spans="1:30">
      <c r="A141" s="443"/>
      <c r="B141" s="48" t="s">
        <v>122</v>
      </c>
      <c r="C141" s="9">
        <f t="shared" si="20"/>
        <v>33050.229999999996</v>
      </c>
      <c r="D141" s="9">
        <f t="shared" ref="D141:Z141" si="60">D37+D89</f>
        <v>0</v>
      </c>
      <c r="E141" s="9">
        <f t="shared" si="60"/>
        <v>29056.6</v>
      </c>
      <c r="F141" s="9">
        <f t="shared" si="60"/>
        <v>3993.63</v>
      </c>
      <c r="G141" s="9">
        <f t="shared" si="60"/>
        <v>0</v>
      </c>
      <c r="H141" s="9">
        <f t="shared" si="60"/>
        <v>0</v>
      </c>
      <c r="I141" s="9">
        <f t="shared" si="60"/>
        <v>0</v>
      </c>
      <c r="J141" s="9">
        <f t="shared" si="60"/>
        <v>0</v>
      </c>
      <c r="K141" s="9">
        <f t="shared" si="60"/>
        <v>0</v>
      </c>
      <c r="L141" s="9">
        <f t="shared" si="60"/>
        <v>0</v>
      </c>
      <c r="M141" s="9">
        <f t="shared" si="60"/>
        <v>0</v>
      </c>
      <c r="N141" s="9">
        <f t="shared" si="60"/>
        <v>0</v>
      </c>
      <c r="O141" s="9">
        <f t="shared" si="60"/>
        <v>0</v>
      </c>
      <c r="P141" s="9">
        <f t="shared" si="60"/>
        <v>0</v>
      </c>
      <c r="Q141" s="9">
        <f t="shared" si="60"/>
        <v>0</v>
      </c>
      <c r="R141" s="9">
        <f t="shared" si="60"/>
        <v>0</v>
      </c>
      <c r="S141" s="9">
        <f t="shared" si="60"/>
        <v>0</v>
      </c>
      <c r="T141" s="9">
        <f t="shared" si="60"/>
        <v>0</v>
      </c>
      <c r="U141" s="9">
        <f t="shared" si="60"/>
        <v>0</v>
      </c>
      <c r="V141" s="9">
        <f t="shared" si="60"/>
        <v>0</v>
      </c>
      <c r="W141" s="9">
        <f t="shared" si="60"/>
        <v>0</v>
      </c>
      <c r="X141" s="9">
        <f t="shared" si="60"/>
        <v>0</v>
      </c>
      <c r="Y141" s="9">
        <f t="shared" si="60"/>
        <v>0</v>
      </c>
      <c r="Z141" s="9">
        <f t="shared" si="60"/>
        <v>0</v>
      </c>
      <c r="AA141" s="9">
        <f t="shared" si="58"/>
        <v>0</v>
      </c>
      <c r="AB141" s="9">
        <f t="shared" si="58"/>
        <v>0</v>
      </c>
      <c r="AC141" s="9">
        <f t="shared" si="58"/>
        <v>0</v>
      </c>
      <c r="AD141" s="9">
        <f t="shared" si="32"/>
        <v>0</v>
      </c>
    </row>
    <row r="142" spans="1:30">
      <c r="A142" s="443"/>
      <c r="B142" s="48" t="s">
        <v>123</v>
      </c>
      <c r="C142" s="9">
        <f t="shared" si="20"/>
        <v>194991.99</v>
      </c>
      <c r="D142" s="9">
        <f t="shared" ref="D142:Z142" si="61">D38+D90</f>
        <v>0</v>
      </c>
      <c r="E142" s="9">
        <f t="shared" si="61"/>
        <v>34626.949999999997</v>
      </c>
      <c r="F142" s="9">
        <f t="shared" si="61"/>
        <v>148619.96</v>
      </c>
      <c r="G142" s="9">
        <f t="shared" si="61"/>
        <v>0</v>
      </c>
      <c r="H142" s="9">
        <f t="shared" si="61"/>
        <v>1266.3399999999999</v>
      </c>
      <c r="I142" s="9">
        <f t="shared" si="61"/>
        <v>0</v>
      </c>
      <c r="J142" s="9">
        <f t="shared" si="61"/>
        <v>1105.82</v>
      </c>
      <c r="K142" s="9">
        <f t="shared" si="61"/>
        <v>160.52000000000001</v>
      </c>
      <c r="L142" s="9">
        <f t="shared" si="61"/>
        <v>4423.28</v>
      </c>
      <c r="M142" s="9">
        <f t="shared" si="61"/>
        <v>1105.82</v>
      </c>
      <c r="N142" s="9">
        <f t="shared" si="61"/>
        <v>1105.82</v>
      </c>
      <c r="O142" s="9">
        <f t="shared" si="61"/>
        <v>1105.82</v>
      </c>
      <c r="P142" s="9">
        <f t="shared" si="61"/>
        <v>1105.82</v>
      </c>
      <c r="Q142" s="9">
        <f t="shared" si="61"/>
        <v>2211.64</v>
      </c>
      <c r="R142" s="9">
        <f t="shared" si="61"/>
        <v>1105.82</v>
      </c>
      <c r="S142" s="9">
        <f t="shared" si="61"/>
        <v>1105.82</v>
      </c>
      <c r="T142" s="9">
        <f t="shared" si="61"/>
        <v>1105.82</v>
      </c>
      <c r="U142" s="9">
        <f t="shared" si="61"/>
        <v>0</v>
      </c>
      <c r="V142" s="9">
        <f t="shared" si="61"/>
        <v>0</v>
      </c>
      <c r="W142" s="9">
        <f t="shared" si="61"/>
        <v>0</v>
      </c>
      <c r="X142" s="9">
        <f t="shared" si="61"/>
        <v>0</v>
      </c>
      <c r="Y142" s="9">
        <f t="shared" si="61"/>
        <v>0</v>
      </c>
      <c r="Z142" s="9">
        <f t="shared" si="61"/>
        <v>0</v>
      </c>
      <c r="AA142" s="9">
        <f t="shared" si="58"/>
        <v>0</v>
      </c>
      <c r="AB142" s="9">
        <f t="shared" si="58"/>
        <v>0</v>
      </c>
      <c r="AC142" s="9">
        <f t="shared" si="58"/>
        <v>0</v>
      </c>
      <c r="AD142" s="9">
        <f t="shared" si="32"/>
        <v>2738</v>
      </c>
    </row>
    <row r="143" spans="1:30">
      <c r="A143" s="443"/>
      <c r="B143" s="48" t="s">
        <v>124</v>
      </c>
      <c r="C143" s="9">
        <f t="shared" si="20"/>
        <v>47500</v>
      </c>
      <c r="D143" s="9">
        <f t="shared" ref="D143:Z143" si="62">D39+D91</f>
        <v>0</v>
      </c>
      <c r="E143" s="9">
        <f t="shared" si="62"/>
        <v>47500</v>
      </c>
      <c r="F143" s="9">
        <f t="shared" si="62"/>
        <v>0</v>
      </c>
      <c r="G143" s="9">
        <f t="shared" si="62"/>
        <v>0</v>
      </c>
      <c r="H143" s="9">
        <f t="shared" si="62"/>
        <v>0</v>
      </c>
      <c r="I143" s="9">
        <f t="shared" si="62"/>
        <v>0</v>
      </c>
      <c r="J143" s="9">
        <f t="shared" si="62"/>
        <v>0</v>
      </c>
      <c r="K143" s="9">
        <f t="shared" si="62"/>
        <v>0</v>
      </c>
      <c r="L143" s="9">
        <f t="shared" si="62"/>
        <v>0</v>
      </c>
      <c r="M143" s="9">
        <f t="shared" si="62"/>
        <v>0</v>
      </c>
      <c r="N143" s="9">
        <f t="shared" si="62"/>
        <v>0</v>
      </c>
      <c r="O143" s="9">
        <f t="shared" si="62"/>
        <v>0</v>
      </c>
      <c r="P143" s="9">
        <f t="shared" si="62"/>
        <v>0</v>
      </c>
      <c r="Q143" s="9">
        <f t="shared" si="62"/>
        <v>0</v>
      </c>
      <c r="R143" s="9">
        <f t="shared" si="62"/>
        <v>0</v>
      </c>
      <c r="S143" s="9">
        <f t="shared" si="62"/>
        <v>0</v>
      </c>
      <c r="T143" s="9">
        <f t="shared" si="62"/>
        <v>0</v>
      </c>
      <c r="U143" s="9">
        <f t="shared" si="62"/>
        <v>0</v>
      </c>
      <c r="V143" s="9">
        <f t="shared" si="62"/>
        <v>0</v>
      </c>
      <c r="W143" s="9">
        <f t="shared" si="62"/>
        <v>0</v>
      </c>
      <c r="X143" s="9">
        <f t="shared" si="62"/>
        <v>0</v>
      </c>
      <c r="Y143" s="9">
        <f t="shared" si="62"/>
        <v>0</v>
      </c>
      <c r="Z143" s="9">
        <f t="shared" si="62"/>
        <v>0</v>
      </c>
      <c r="AA143" s="9">
        <f t="shared" si="58"/>
        <v>0</v>
      </c>
      <c r="AB143" s="9">
        <f t="shared" si="58"/>
        <v>0</v>
      </c>
      <c r="AC143" s="9">
        <f t="shared" si="58"/>
        <v>0</v>
      </c>
      <c r="AD143" s="9">
        <f t="shared" si="32"/>
        <v>0</v>
      </c>
    </row>
    <row r="144" spans="1:30">
      <c r="A144" s="443"/>
      <c r="B144" s="48" t="s">
        <v>125</v>
      </c>
      <c r="C144" s="9">
        <f t="shared" si="20"/>
        <v>42004.15</v>
      </c>
      <c r="D144" s="9">
        <f t="shared" ref="D144:Z144" si="63">D40+D92</f>
        <v>0</v>
      </c>
      <c r="E144" s="9">
        <f t="shared" si="63"/>
        <v>22694.38</v>
      </c>
      <c r="F144" s="9">
        <f t="shared" si="63"/>
        <v>17789.77</v>
      </c>
      <c r="G144" s="9">
        <f t="shared" si="63"/>
        <v>0</v>
      </c>
      <c r="H144" s="9">
        <f t="shared" si="63"/>
        <v>0</v>
      </c>
      <c r="I144" s="9">
        <f t="shared" si="63"/>
        <v>0</v>
      </c>
      <c r="J144" s="9">
        <f t="shared" si="63"/>
        <v>0</v>
      </c>
      <c r="K144" s="9">
        <f t="shared" si="63"/>
        <v>0</v>
      </c>
      <c r="L144" s="9">
        <f t="shared" si="63"/>
        <v>0</v>
      </c>
      <c r="M144" s="9">
        <f t="shared" si="63"/>
        <v>0</v>
      </c>
      <c r="N144" s="9">
        <f t="shared" si="63"/>
        <v>0</v>
      </c>
      <c r="O144" s="9">
        <f t="shared" si="63"/>
        <v>0</v>
      </c>
      <c r="P144" s="9">
        <f t="shared" si="63"/>
        <v>0</v>
      </c>
      <c r="Q144" s="9">
        <f t="shared" si="63"/>
        <v>0</v>
      </c>
      <c r="R144" s="9">
        <f t="shared" si="63"/>
        <v>0</v>
      </c>
      <c r="S144" s="9">
        <f t="shared" si="63"/>
        <v>0</v>
      </c>
      <c r="T144" s="9">
        <f t="shared" si="63"/>
        <v>0</v>
      </c>
      <c r="U144" s="9">
        <f t="shared" si="63"/>
        <v>1520</v>
      </c>
      <c r="V144" s="9">
        <f t="shared" si="63"/>
        <v>0</v>
      </c>
      <c r="W144" s="9">
        <f t="shared" si="63"/>
        <v>0</v>
      </c>
      <c r="X144" s="9">
        <f t="shared" si="63"/>
        <v>1040</v>
      </c>
      <c r="Y144" s="9">
        <f t="shared" si="63"/>
        <v>480</v>
      </c>
      <c r="Z144" s="9">
        <f t="shared" si="63"/>
        <v>0</v>
      </c>
      <c r="AA144" s="9">
        <f t="shared" si="58"/>
        <v>0</v>
      </c>
      <c r="AB144" s="9">
        <f t="shared" si="58"/>
        <v>0</v>
      </c>
      <c r="AC144" s="9">
        <f t="shared" si="58"/>
        <v>0</v>
      </c>
      <c r="AD144" s="9">
        <f t="shared" si="32"/>
        <v>0</v>
      </c>
    </row>
    <row r="145" spans="1:30">
      <c r="A145" s="443"/>
      <c r="B145" s="48" t="s">
        <v>126</v>
      </c>
      <c r="C145" s="9">
        <f t="shared" si="20"/>
        <v>40000</v>
      </c>
      <c r="D145" s="9">
        <f t="shared" ref="D145:Z145" si="64">D41+D93</f>
        <v>0</v>
      </c>
      <c r="E145" s="9">
        <f t="shared" si="64"/>
        <v>0</v>
      </c>
      <c r="F145" s="9">
        <f t="shared" si="64"/>
        <v>40000</v>
      </c>
      <c r="G145" s="9">
        <f t="shared" si="64"/>
        <v>0</v>
      </c>
      <c r="H145" s="9">
        <f t="shared" si="64"/>
        <v>0</v>
      </c>
      <c r="I145" s="9">
        <f t="shared" si="64"/>
        <v>0</v>
      </c>
      <c r="J145" s="9">
        <f t="shared" si="64"/>
        <v>0</v>
      </c>
      <c r="K145" s="9">
        <f t="shared" si="64"/>
        <v>0</v>
      </c>
      <c r="L145" s="9">
        <f t="shared" si="64"/>
        <v>0</v>
      </c>
      <c r="M145" s="9">
        <f t="shared" si="64"/>
        <v>0</v>
      </c>
      <c r="N145" s="9">
        <f t="shared" si="64"/>
        <v>0</v>
      </c>
      <c r="O145" s="9">
        <f t="shared" si="64"/>
        <v>0</v>
      </c>
      <c r="P145" s="9">
        <f t="shared" si="64"/>
        <v>0</v>
      </c>
      <c r="Q145" s="9">
        <f t="shared" si="64"/>
        <v>0</v>
      </c>
      <c r="R145" s="9">
        <f t="shared" si="64"/>
        <v>0</v>
      </c>
      <c r="S145" s="9">
        <f t="shared" si="64"/>
        <v>0</v>
      </c>
      <c r="T145" s="9">
        <f t="shared" si="64"/>
        <v>0</v>
      </c>
      <c r="U145" s="9">
        <f t="shared" si="64"/>
        <v>0</v>
      </c>
      <c r="V145" s="9">
        <f t="shared" si="64"/>
        <v>0</v>
      </c>
      <c r="W145" s="9">
        <f t="shared" si="64"/>
        <v>0</v>
      </c>
      <c r="X145" s="9">
        <f t="shared" si="64"/>
        <v>0</v>
      </c>
      <c r="Y145" s="9">
        <f t="shared" si="64"/>
        <v>0</v>
      </c>
      <c r="Z145" s="9">
        <f t="shared" si="64"/>
        <v>0</v>
      </c>
      <c r="AA145" s="9">
        <f t="shared" si="58"/>
        <v>0</v>
      </c>
      <c r="AB145" s="9">
        <f t="shared" si="58"/>
        <v>0</v>
      </c>
      <c r="AC145" s="9">
        <f t="shared" si="58"/>
        <v>0</v>
      </c>
      <c r="AD145" s="9">
        <f t="shared" si="32"/>
        <v>0</v>
      </c>
    </row>
    <row r="146" spans="1:30">
      <c r="A146" s="443"/>
      <c r="B146" s="48" t="s">
        <v>127</v>
      </c>
      <c r="C146" s="9">
        <f t="shared" si="20"/>
        <v>872521.69</v>
      </c>
      <c r="D146" s="9">
        <f t="shared" ref="D146:Z146" si="65">D42+D94</f>
        <v>0</v>
      </c>
      <c r="E146" s="9">
        <f t="shared" si="65"/>
        <v>183962.26</v>
      </c>
      <c r="F146" s="9">
        <f t="shared" si="65"/>
        <v>91509.43</v>
      </c>
      <c r="G146" s="9">
        <f t="shared" si="65"/>
        <v>0</v>
      </c>
      <c r="H146" s="9">
        <f t="shared" si="65"/>
        <v>0</v>
      </c>
      <c r="I146" s="9">
        <f t="shared" si="65"/>
        <v>0</v>
      </c>
      <c r="J146" s="9">
        <f t="shared" si="65"/>
        <v>0</v>
      </c>
      <c r="K146" s="9">
        <f t="shared" si="65"/>
        <v>0</v>
      </c>
      <c r="L146" s="9">
        <f t="shared" si="65"/>
        <v>597050</v>
      </c>
      <c r="M146" s="9">
        <f t="shared" si="65"/>
        <v>0</v>
      </c>
      <c r="N146" s="9">
        <f t="shared" si="65"/>
        <v>597050</v>
      </c>
      <c r="O146" s="9">
        <f t="shared" si="65"/>
        <v>0</v>
      </c>
      <c r="P146" s="9">
        <f t="shared" si="65"/>
        <v>0</v>
      </c>
      <c r="Q146" s="9">
        <f t="shared" si="65"/>
        <v>0</v>
      </c>
      <c r="R146" s="9">
        <f t="shared" si="65"/>
        <v>0</v>
      </c>
      <c r="S146" s="9">
        <f t="shared" si="65"/>
        <v>0</v>
      </c>
      <c r="T146" s="9">
        <f t="shared" si="65"/>
        <v>0</v>
      </c>
      <c r="U146" s="9">
        <f t="shared" si="65"/>
        <v>0</v>
      </c>
      <c r="V146" s="9">
        <f t="shared" si="65"/>
        <v>0</v>
      </c>
      <c r="W146" s="9">
        <f t="shared" si="65"/>
        <v>0</v>
      </c>
      <c r="X146" s="9">
        <f t="shared" si="65"/>
        <v>0</v>
      </c>
      <c r="Y146" s="9">
        <f t="shared" si="65"/>
        <v>0</v>
      </c>
      <c r="Z146" s="9">
        <f t="shared" si="65"/>
        <v>0</v>
      </c>
      <c r="AA146" s="9">
        <f t="shared" si="58"/>
        <v>0</v>
      </c>
      <c r="AB146" s="9">
        <f t="shared" si="58"/>
        <v>0</v>
      </c>
      <c r="AC146" s="9">
        <f t="shared" si="58"/>
        <v>0</v>
      </c>
      <c r="AD146" s="9">
        <f t="shared" si="32"/>
        <v>0</v>
      </c>
    </row>
    <row r="147" spans="1:30">
      <c r="A147" s="443"/>
      <c r="B147" s="48" t="s">
        <v>128</v>
      </c>
      <c r="C147" s="9">
        <f t="shared" si="20"/>
        <v>0</v>
      </c>
      <c r="D147" s="9">
        <f t="shared" ref="D147:Z147" si="66">D43+D95</f>
        <v>0</v>
      </c>
      <c r="E147" s="9">
        <f t="shared" si="66"/>
        <v>0</v>
      </c>
      <c r="F147" s="9">
        <f t="shared" si="66"/>
        <v>0</v>
      </c>
      <c r="G147" s="9">
        <f t="shared" si="66"/>
        <v>0</v>
      </c>
      <c r="H147" s="9">
        <f t="shared" si="66"/>
        <v>0</v>
      </c>
      <c r="I147" s="9">
        <f t="shared" si="66"/>
        <v>0</v>
      </c>
      <c r="J147" s="9">
        <f t="shared" si="66"/>
        <v>0</v>
      </c>
      <c r="K147" s="9">
        <f t="shared" si="66"/>
        <v>0</v>
      </c>
      <c r="L147" s="9">
        <f t="shared" si="66"/>
        <v>0</v>
      </c>
      <c r="M147" s="9">
        <f t="shared" si="66"/>
        <v>0</v>
      </c>
      <c r="N147" s="9">
        <f t="shared" si="66"/>
        <v>0</v>
      </c>
      <c r="O147" s="9">
        <f t="shared" si="66"/>
        <v>0</v>
      </c>
      <c r="P147" s="9">
        <f t="shared" si="66"/>
        <v>0</v>
      </c>
      <c r="Q147" s="9">
        <f t="shared" si="66"/>
        <v>0</v>
      </c>
      <c r="R147" s="9">
        <f t="shared" si="66"/>
        <v>0</v>
      </c>
      <c r="S147" s="9">
        <f t="shared" si="66"/>
        <v>0</v>
      </c>
      <c r="T147" s="9">
        <f t="shared" si="66"/>
        <v>0</v>
      </c>
      <c r="U147" s="9">
        <f t="shared" si="66"/>
        <v>0</v>
      </c>
      <c r="V147" s="9">
        <f t="shared" si="66"/>
        <v>0</v>
      </c>
      <c r="W147" s="9">
        <f t="shared" si="66"/>
        <v>0</v>
      </c>
      <c r="X147" s="9">
        <f t="shared" si="66"/>
        <v>0</v>
      </c>
      <c r="Y147" s="9">
        <f t="shared" si="66"/>
        <v>0</v>
      </c>
      <c r="Z147" s="9">
        <f t="shared" si="66"/>
        <v>0</v>
      </c>
      <c r="AA147" s="9">
        <f t="shared" si="58"/>
        <v>0</v>
      </c>
      <c r="AB147" s="9">
        <f t="shared" si="58"/>
        <v>0</v>
      </c>
      <c r="AC147" s="9">
        <f t="shared" si="58"/>
        <v>0</v>
      </c>
      <c r="AD147" s="9">
        <f t="shared" si="32"/>
        <v>0</v>
      </c>
    </row>
    <row r="148" spans="1:30" ht="13.5" customHeight="1">
      <c r="A148" s="443"/>
      <c r="B148" s="48" t="s">
        <v>129</v>
      </c>
      <c r="C148" s="9">
        <f t="shared" si="20"/>
        <v>88071.65</v>
      </c>
      <c r="D148" s="9">
        <f t="shared" ref="D148:Z148" si="67">D44+D96</f>
        <v>0</v>
      </c>
      <c r="E148" s="9">
        <f t="shared" si="67"/>
        <v>-373.58</v>
      </c>
      <c r="F148" s="9">
        <f t="shared" si="67"/>
        <v>78570.95</v>
      </c>
      <c r="G148" s="9">
        <f t="shared" si="67"/>
        <v>0</v>
      </c>
      <c r="H148" s="9">
        <f t="shared" si="67"/>
        <v>0</v>
      </c>
      <c r="I148" s="9">
        <f t="shared" si="67"/>
        <v>0</v>
      </c>
      <c r="J148" s="9">
        <f t="shared" si="67"/>
        <v>0</v>
      </c>
      <c r="K148" s="9">
        <f t="shared" si="67"/>
        <v>0</v>
      </c>
      <c r="L148" s="9">
        <f t="shared" si="67"/>
        <v>0</v>
      </c>
      <c r="M148" s="9">
        <f t="shared" si="67"/>
        <v>0</v>
      </c>
      <c r="N148" s="9">
        <f t="shared" si="67"/>
        <v>0</v>
      </c>
      <c r="O148" s="9">
        <f t="shared" si="67"/>
        <v>0</v>
      </c>
      <c r="P148" s="9">
        <f t="shared" si="67"/>
        <v>0</v>
      </c>
      <c r="Q148" s="9">
        <f t="shared" si="67"/>
        <v>9874.2800000000007</v>
      </c>
      <c r="R148" s="9">
        <f t="shared" si="67"/>
        <v>0</v>
      </c>
      <c r="S148" s="9">
        <f t="shared" si="67"/>
        <v>9874.2800000000007</v>
      </c>
      <c r="T148" s="9">
        <f t="shared" si="67"/>
        <v>0</v>
      </c>
      <c r="U148" s="9">
        <f t="shared" si="67"/>
        <v>0</v>
      </c>
      <c r="V148" s="9">
        <f t="shared" si="67"/>
        <v>0</v>
      </c>
      <c r="W148" s="9">
        <f t="shared" si="67"/>
        <v>0</v>
      </c>
      <c r="X148" s="9">
        <f t="shared" si="67"/>
        <v>0</v>
      </c>
      <c r="Y148" s="9">
        <f t="shared" si="67"/>
        <v>0</v>
      </c>
      <c r="Z148" s="9">
        <f t="shared" si="67"/>
        <v>0</v>
      </c>
      <c r="AA148" s="9">
        <f t="shared" si="58"/>
        <v>0</v>
      </c>
      <c r="AB148" s="9">
        <f t="shared" si="58"/>
        <v>0</v>
      </c>
      <c r="AC148" s="9">
        <f t="shared" si="58"/>
        <v>0</v>
      </c>
      <c r="AD148" s="9">
        <f t="shared" si="32"/>
        <v>0</v>
      </c>
    </row>
    <row r="149" spans="1:30">
      <c r="A149" s="443"/>
      <c r="B149" s="48" t="s">
        <v>130</v>
      </c>
      <c r="C149" s="9">
        <f t="shared" si="20"/>
        <v>194325.97999999998</v>
      </c>
      <c r="D149" s="9">
        <f t="shared" ref="D149:Z149" si="68">D45+D97</f>
        <v>0</v>
      </c>
      <c r="E149" s="9">
        <f t="shared" si="68"/>
        <v>139174.53999999998</v>
      </c>
      <c r="F149" s="9">
        <f t="shared" si="68"/>
        <v>55151.44</v>
      </c>
      <c r="G149" s="9">
        <f t="shared" si="68"/>
        <v>0</v>
      </c>
      <c r="H149" s="9">
        <f t="shared" si="68"/>
        <v>0</v>
      </c>
      <c r="I149" s="9">
        <f t="shared" si="68"/>
        <v>0</v>
      </c>
      <c r="J149" s="9">
        <f t="shared" si="68"/>
        <v>0</v>
      </c>
      <c r="K149" s="9">
        <f t="shared" si="68"/>
        <v>0</v>
      </c>
      <c r="L149" s="9">
        <f t="shared" si="68"/>
        <v>0</v>
      </c>
      <c r="M149" s="9">
        <f t="shared" si="68"/>
        <v>0</v>
      </c>
      <c r="N149" s="9">
        <f t="shared" si="68"/>
        <v>0</v>
      </c>
      <c r="O149" s="9">
        <f t="shared" si="68"/>
        <v>0</v>
      </c>
      <c r="P149" s="9">
        <f t="shared" si="68"/>
        <v>0</v>
      </c>
      <c r="Q149" s="9">
        <f t="shared" si="68"/>
        <v>0</v>
      </c>
      <c r="R149" s="9">
        <f t="shared" si="68"/>
        <v>0</v>
      </c>
      <c r="S149" s="9">
        <f t="shared" si="68"/>
        <v>0</v>
      </c>
      <c r="T149" s="9">
        <f t="shared" si="68"/>
        <v>0</v>
      </c>
      <c r="U149" s="9">
        <f t="shared" si="68"/>
        <v>0</v>
      </c>
      <c r="V149" s="9">
        <f t="shared" si="68"/>
        <v>0</v>
      </c>
      <c r="W149" s="9">
        <f t="shared" si="68"/>
        <v>0</v>
      </c>
      <c r="X149" s="9">
        <f t="shared" si="68"/>
        <v>0</v>
      </c>
      <c r="Y149" s="9">
        <f t="shared" si="68"/>
        <v>0</v>
      </c>
      <c r="Z149" s="9">
        <f t="shared" si="68"/>
        <v>0</v>
      </c>
      <c r="AA149" s="9">
        <f t="shared" si="58"/>
        <v>0</v>
      </c>
      <c r="AB149" s="9">
        <f t="shared" si="58"/>
        <v>0</v>
      </c>
      <c r="AC149" s="9">
        <f t="shared" si="58"/>
        <v>0</v>
      </c>
      <c r="AD149" s="9">
        <f t="shared" si="32"/>
        <v>0</v>
      </c>
    </row>
    <row r="150" spans="1:30">
      <c r="A150" s="443"/>
      <c r="B150" s="48" t="s">
        <v>131</v>
      </c>
      <c r="C150" s="9">
        <f t="shared" si="20"/>
        <v>4064790.0900000003</v>
      </c>
      <c r="D150" s="9">
        <f t="shared" ref="D150:Z150" si="69">D46+D98</f>
        <v>0</v>
      </c>
      <c r="E150" s="9">
        <f t="shared" si="69"/>
        <v>561292.94999999995</v>
      </c>
      <c r="F150" s="9">
        <f t="shared" si="69"/>
        <v>1896623.05</v>
      </c>
      <c r="G150" s="9">
        <f t="shared" si="69"/>
        <v>0</v>
      </c>
      <c r="H150" s="9">
        <f t="shared" si="69"/>
        <v>2086.6</v>
      </c>
      <c r="I150" s="9">
        <f t="shared" si="69"/>
        <v>0</v>
      </c>
      <c r="J150" s="9">
        <f t="shared" si="69"/>
        <v>1043.3</v>
      </c>
      <c r="K150" s="9">
        <f t="shared" si="69"/>
        <v>1043.3</v>
      </c>
      <c r="L150" s="9">
        <f t="shared" si="69"/>
        <v>4173.2</v>
      </c>
      <c r="M150" s="9">
        <f t="shared" si="69"/>
        <v>1043.3</v>
      </c>
      <c r="N150" s="9">
        <f t="shared" si="69"/>
        <v>1043.3</v>
      </c>
      <c r="O150" s="9">
        <f t="shared" si="69"/>
        <v>1043.3</v>
      </c>
      <c r="P150" s="9">
        <f t="shared" si="69"/>
        <v>1043.3</v>
      </c>
      <c r="Q150" s="9">
        <f t="shared" si="69"/>
        <v>2086.6</v>
      </c>
      <c r="R150" s="9">
        <f t="shared" si="69"/>
        <v>1043.3</v>
      </c>
      <c r="S150" s="9">
        <f t="shared" si="69"/>
        <v>1043.3</v>
      </c>
      <c r="T150" s="9">
        <f t="shared" si="69"/>
        <v>1567748.52</v>
      </c>
      <c r="U150" s="9">
        <f t="shared" si="69"/>
        <v>6771.17</v>
      </c>
      <c r="V150" s="9">
        <f t="shared" si="69"/>
        <v>4062.7</v>
      </c>
      <c r="W150" s="9">
        <f t="shared" si="69"/>
        <v>2708.47</v>
      </c>
      <c r="X150" s="9">
        <f t="shared" si="69"/>
        <v>0</v>
      </c>
      <c r="Y150" s="9">
        <f t="shared" si="69"/>
        <v>0</v>
      </c>
      <c r="Z150" s="9">
        <f t="shared" si="69"/>
        <v>0</v>
      </c>
      <c r="AA150" s="9">
        <f t="shared" si="58"/>
        <v>0</v>
      </c>
      <c r="AB150" s="9">
        <f t="shared" si="58"/>
        <v>0</v>
      </c>
      <c r="AC150" s="9">
        <f t="shared" si="58"/>
        <v>0</v>
      </c>
      <c r="AD150" s="9">
        <f t="shared" si="32"/>
        <v>24008</v>
      </c>
    </row>
    <row r="151" spans="1:30">
      <c r="A151" s="443"/>
      <c r="B151" s="48" t="s">
        <v>132</v>
      </c>
      <c r="C151" s="9">
        <f t="shared" si="20"/>
        <v>1529331.13</v>
      </c>
      <c r="D151" s="9">
        <f t="shared" ref="D151:Z151" si="70">D47+D99</f>
        <v>-833333.33</v>
      </c>
      <c r="E151" s="9">
        <f t="shared" si="70"/>
        <v>1113172.99</v>
      </c>
      <c r="F151" s="9">
        <f t="shared" si="70"/>
        <v>1187364.0899999999</v>
      </c>
      <c r="G151" s="9">
        <f t="shared" si="70"/>
        <v>0</v>
      </c>
      <c r="H151" s="9">
        <f t="shared" si="70"/>
        <v>5449.98</v>
      </c>
      <c r="I151" s="9">
        <f t="shared" si="70"/>
        <v>0</v>
      </c>
      <c r="J151" s="9">
        <f t="shared" si="70"/>
        <v>0</v>
      </c>
      <c r="K151" s="9">
        <f t="shared" si="70"/>
        <v>5449.98</v>
      </c>
      <c r="L151" s="9">
        <f t="shared" si="70"/>
        <v>8109.72</v>
      </c>
      <c r="M151" s="9">
        <f t="shared" si="70"/>
        <v>7184.81</v>
      </c>
      <c r="N151" s="9">
        <f t="shared" si="70"/>
        <v>641.65</v>
      </c>
      <c r="O151" s="9">
        <f t="shared" si="70"/>
        <v>0</v>
      </c>
      <c r="P151" s="9">
        <f t="shared" si="70"/>
        <v>283.26</v>
      </c>
      <c r="Q151" s="9">
        <f t="shared" si="70"/>
        <v>3380.04</v>
      </c>
      <c r="R151" s="9">
        <f t="shared" si="70"/>
        <v>785.93</v>
      </c>
      <c r="S151" s="9">
        <f t="shared" si="70"/>
        <v>2594.11</v>
      </c>
      <c r="T151" s="9">
        <f t="shared" si="70"/>
        <v>45187.64</v>
      </c>
      <c r="U151" s="9">
        <f t="shared" si="70"/>
        <v>0</v>
      </c>
      <c r="V151" s="9">
        <f t="shared" si="70"/>
        <v>0</v>
      </c>
      <c r="W151" s="9">
        <f t="shared" si="70"/>
        <v>0</v>
      </c>
      <c r="X151" s="9">
        <f t="shared" si="70"/>
        <v>0</v>
      </c>
      <c r="Y151" s="9">
        <f t="shared" si="70"/>
        <v>0</v>
      </c>
      <c r="Z151" s="9">
        <f t="shared" si="70"/>
        <v>0</v>
      </c>
      <c r="AA151" s="9">
        <f t="shared" si="58"/>
        <v>0</v>
      </c>
      <c r="AB151" s="9">
        <f t="shared" si="58"/>
        <v>0</v>
      </c>
      <c r="AC151" s="9">
        <f t="shared" si="58"/>
        <v>0</v>
      </c>
      <c r="AD151" s="9">
        <f t="shared" si="32"/>
        <v>0</v>
      </c>
    </row>
    <row r="152" spans="1:30">
      <c r="A152" s="443"/>
      <c r="B152" s="48" t="s">
        <v>133</v>
      </c>
      <c r="C152" s="9">
        <f t="shared" si="20"/>
        <v>774613.34</v>
      </c>
      <c r="D152" s="9">
        <f t="shared" ref="D152:Z152" si="71">D48+D100</f>
        <v>0</v>
      </c>
      <c r="E152" s="9">
        <f t="shared" si="71"/>
        <v>711379.87</v>
      </c>
      <c r="F152" s="9">
        <f t="shared" si="71"/>
        <v>51442.62</v>
      </c>
      <c r="G152" s="9">
        <f t="shared" si="71"/>
        <v>0</v>
      </c>
      <c r="H152" s="9">
        <f t="shared" si="71"/>
        <v>0</v>
      </c>
      <c r="I152" s="9">
        <f t="shared" si="71"/>
        <v>0</v>
      </c>
      <c r="J152" s="9">
        <f t="shared" si="71"/>
        <v>0</v>
      </c>
      <c r="K152" s="9">
        <f t="shared" si="71"/>
        <v>0</v>
      </c>
      <c r="L152" s="9">
        <f t="shared" si="71"/>
        <v>11161.91</v>
      </c>
      <c r="M152" s="9">
        <f t="shared" si="71"/>
        <v>11161.91</v>
      </c>
      <c r="N152" s="9">
        <f t="shared" si="71"/>
        <v>0</v>
      </c>
      <c r="O152" s="9">
        <f t="shared" si="71"/>
        <v>0</v>
      </c>
      <c r="P152" s="9">
        <f t="shared" si="71"/>
        <v>0</v>
      </c>
      <c r="Q152" s="9">
        <f t="shared" si="71"/>
        <v>0</v>
      </c>
      <c r="R152" s="9">
        <f t="shared" si="71"/>
        <v>0</v>
      </c>
      <c r="S152" s="9">
        <f t="shared" si="71"/>
        <v>0</v>
      </c>
      <c r="T152" s="9">
        <f t="shared" si="71"/>
        <v>0</v>
      </c>
      <c r="U152" s="9">
        <f t="shared" si="71"/>
        <v>0</v>
      </c>
      <c r="V152" s="9">
        <f t="shared" si="71"/>
        <v>0</v>
      </c>
      <c r="W152" s="9">
        <f t="shared" si="71"/>
        <v>0</v>
      </c>
      <c r="X152" s="9">
        <f t="shared" si="71"/>
        <v>0</v>
      </c>
      <c r="Y152" s="9">
        <f t="shared" si="71"/>
        <v>0</v>
      </c>
      <c r="Z152" s="9">
        <f t="shared" si="71"/>
        <v>0</v>
      </c>
      <c r="AA152" s="9">
        <f t="shared" si="58"/>
        <v>0</v>
      </c>
      <c r="AB152" s="9">
        <f t="shared" si="58"/>
        <v>0</v>
      </c>
      <c r="AC152" s="9">
        <f t="shared" si="58"/>
        <v>0</v>
      </c>
      <c r="AD152" s="9">
        <f t="shared" si="32"/>
        <v>628.94000000000005</v>
      </c>
    </row>
    <row r="153" spans="1:30">
      <c r="A153" s="443"/>
      <c r="B153" s="48" t="s">
        <v>134</v>
      </c>
      <c r="C153" s="9">
        <f t="shared" si="20"/>
        <v>595644.35</v>
      </c>
      <c r="D153" s="9">
        <f t="shared" ref="D153:Z153" si="72">D49+D101</f>
        <v>0</v>
      </c>
      <c r="E153" s="9">
        <f t="shared" si="72"/>
        <v>193281.62</v>
      </c>
      <c r="F153" s="9">
        <f t="shared" si="72"/>
        <v>375393.94</v>
      </c>
      <c r="G153" s="9">
        <f t="shared" si="72"/>
        <v>1027.8499999999999</v>
      </c>
      <c r="H153" s="9">
        <f t="shared" si="72"/>
        <v>6652.08</v>
      </c>
      <c r="I153" s="9">
        <f t="shared" si="72"/>
        <v>0</v>
      </c>
      <c r="J153" s="9">
        <f t="shared" si="72"/>
        <v>4459.68</v>
      </c>
      <c r="K153" s="9">
        <f t="shared" si="72"/>
        <v>2192.4</v>
      </c>
      <c r="L153" s="9">
        <f t="shared" si="72"/>
        <v>10039.960000000001</v>
      </c>
      <c r="M153" s="9">
        <f t="shared" si="72"/>
        <v>2303.0700000000002</v>
      </c>
      <c r="N153" s="9">
        <f t="shared" si="72"/>
        <v>2192.4</v>
      </c>
      <c r="O153" s="9">
        <f t="shared" si="72"/>
        <v>3352.09</v>
      </c>
      <c r="P153" s="9">
        <f t="shared" si="72"/>
        <v>2192.4</v>
      </c>
      <c r="Q153" s="9">
        <f t="shared" si="72"/>
        <v>4384.8</v>
      </c>
      <c r="R153" s="9">
        <f t="shared" si="72"/>
        <v>2192.4</v>
      </c>
      <c r="S153" s="9">
        <f t="shared" si="72"/>
        <v>2192.4</v>
      </c>
      <c r="T153" s="9">
        <f t="shared" si="72"/>
        <v>3295.9</v>
      </c>
      <c r="U153" s="9">
        <f t="shared" si="72"/>
        <v>1568.2</v>
      </c>
      <c r="V153" s="9">
        <f t="shared" si="72"/>
        <v>156.66999999999999</v>
      </c>
      <c r="W153" s="9">
        <f t="shared" si="72"/>
        <v>1411.53</v>
      </c>
      <c r="X153" s="9">
        <f t="shared" si="72"/>
        <v>0</v>
      </c>
      <c r="Y153" s="9">
        <f t="shared" si="72"/>
        <v>0</v>
      </c>
      <c r="Z153" s="9">
        <f t="shared" si="72"/>
        <v>0</v>
      </c>
      <c r="AA153" s="9">
        <f t="shared" si="58"/>
        <v>0</v>
      </c>
      <c r="AB153" s="9">
        <f t="shared" si="58"/>
        <v>0</v>
      </c>
      <c r="AC153" s="9">
        <f t="shared" si="58"/>
        <v>0</v>
      </c>
      <c r="AD153" s="9">
        <f t="shared" si="32"/>
        <v>0</v>
      </c>
    </row>
    <row r="154" spans="1:30">
      <c r="A154" s="443"/>
      <c r="B154" s="48" t="s">
        <v>135</v>
      </c>
      <c r="C154" s="9">
        <f t="shared" si="20"/>
        <v>61728.34</v>
      </c>
      <c r="D154" s="9">
        <f t="shared" ref="D154:Z154" si="73">D50+D102</f>
        <v>0</v>
      </c>
      <c r="E154" s="9">
        <f t="shared" si="73"/>
        <v>30660.38</v>
      </c>
      <c r="F154" s="9">
        <f t="shared" si="73"/>
        <v>0</v>
      </c>
      <c r="G154" s="9">
        <f t="shared" si="73"/>
        <v>0</v>
      </c>
      <c r="H154" s="9">
        <f t="shared" si="73"/>
        <v>0</v>
      </c>
      <c r="I154" s="9">
        <f t="shared" si="73"/>
        <v>0</v>
      </c>
      <c r="J154" s="9">
        <f t="shared" si="73"/>
        <v>0</v>
      </c>
      <c r="K154" s="9">
        <f t="shared" si="73"/>
        <v>0</v>
      </c>
      <c r="L154" s="9">
        <f t="shared" si="73"/>
        <v>0</v>
      </c>
      <c r="M154" s="9">
        <f t="shared" si="73"/>
        <v>0</v>
      </c>
      <c r="N154" s="9">
        <f t="shared" si="73"/>
        <v>0</v>
      </c>
      <c r="O154" s="9">
        <f t="shared" si="73"/>
        <v>0</v>
      </c>
      <c r="P154" s="9">
        <f t="shared" si="73"/>
        <v>0</v>
      </c>
      <c r="Q154" s="9">
        <f t="shared" si="73"/>
        <v>31067.96</v>
      </c>
      <c r="R154" s="9">
        <f t="shared" si="73"/>
        <v>0</v>
      </c>
      <c r="S154" s="9">
        <f t="shared" si="73"/>
        <v>31067.96</v>
      </c>
      <c r="T154" s="9">
        <f t="shared" si="73"/>
        <v>0</v>
      </c>
      <c r="U154" s="9">
        <f t="shared" si="73"/>
        <v>0</v>
      </c>
      <c r="V154" s="9">
        <f t="shared" si="73"/>
        <v>0</v>
      </c>
      <c r="W154" s="9">
        <f t="shared" si="73"/>
        <v>0</v>
      </c>
      <c r="X154" s="9">
        <f t="shared" si="73"/>
        <v>0</v>
      </c>
      <c r="Y154" s="9">
        <f t="shared" si="73"/>
        <v>0</v>
      </c>
      <c r="Z154" s="9">
        <f t="shared" si="73"/>
        <v>0</v>
      </c>
      <c r="AA154" s="9">
        <f t="shared" si="58"/>
        <v>0</v>
      </c>
      <c r="AB154" s="9">
        <f t="shared" si="58"/>
        <v>0</v>
      </c>
      <c r="AC154" s="9">
        <f t="shared" si="58"/>
        <v>0</v>
      </c>
      <c r="AD154" s="9">
        <f t="shared" si="32"/>
        <v>0</v>
      </c>
    </row>
    <row r="155" spans="1:30">
      <c r="A155" s="444"/>
      <c r="B155" s="60" t="s">
        <v>98</v>
      </c>
      <c r="C155" s="93">
        <f t="shared" si="20"/>
        <v>8969393.3900000006</v>
      </c>
      <c r="D155" s="93">
        <f>SUM(D139:D154)</f>
        <v>-833333.33</v>
      </c>
      <c r="E155" s="93">
        <f t="shared" ref="E155:U155" si="74">SUM(E139:E154)</f>
        <v>3214803.7</v>
      </c>
      <c r="F155" s="93">
        <f t="shared" si="74"/>
        <v>4157768.94</v>
      </c>
      <c r="G155" s="93">
        <f t="shared" si="74"/>
        <v>1905.6599999999999</v>
      </c>
      <c r="H155" s="93">
        <f t="shared" si="74"/>
        <v>22060.379999999997</v>
      </c>
      <c r="I155" s="93">
        <f t="shared" si="74"/>
        <v>300.24</v>
      </c>
      <c r="J155" s="93">
        <f t="shared" si="74"/>
        <v>10323.530000000001</v>
      </c>
      <c r="K155" s="93">
        <f t="shared" si="74"/>
        <v>11436.609999999999</v>
      </c>
      <c r="L155" s="93">
        <f t="shared" si="74"/>
        <v>645846.25999999989</v>
      </c>
      <c r="M155" s="93">
        <f t="shared" si="74"/>
        <v>24821.53</v>
      </c>
      <c r="N155" s="93">
        <f t="shared" si="74"/>
        <v>605626.19000000006</v>
      </c>
      <c r="O155" s="93">
        <f t="shared" si="74"/>
        <v>7809.14</v>
      </c>
      <c r="P155" s="93">
        <f t="shared" si="74"/>
        <v>7589.4</v>
      </c>
      <c r="Q155" s="93">
        <f t="shared" si="74"/>
        <v>57887.89</v>
      </c>
      <c r="R155" s="93">
        <f t="shared" si="74"/>
        <v>6611.9500000000007</v>
      </c>
      <c r="S155" s="93">
        <f t="shared" si="74"/>
        <v>51275.94</v>
      </c>
      <c r="T155" s="93">
        <f t="shared" si="74"/>
        <v>1643027.4699999997</v>
      </c>
      <c r="U155" s="93">
        <f t="shared" si="74"/>
        <v>23511.98</v>
      </c>
      <c r="V155" s="93">
        <f t="shared" ref="V155:AC155" si="75">SUM(V139:V154)</f>
        <v>9489.26</v>
      </c>
      <c r="W155" s="93">
        <f t="shared" si="75"/>
        <v>7936.8899999999994</v>
      </c>
      <c r="X155" s="93">
        <f t="shared" si="75"/>
        <v>2567.8199999999997</v>
      </c>
      <c r="Y155" s="93">
        <f t="shared" si="75"/>
        <v>1495.7</v>
      </c>
      <c r="Z155" s="93">
        <f t="shared" si="75"/>
        <v>1331.95</v>
      </c>
      <c r="AA155" s="93">
        <f t="shared" si="75"/>
        <v>690.36</v>
      </c>
      <c r="AB155" s="93">
        <f t="shared" si="75"/>
        <v>0</v>
      </c>
      <c r="AC155" s="93">
        <f t="shared" si="75"/>
        <v>1093.24</v>
      </c>
      <c r="AD155" s="9">
        <f t="shared" si="32"/>
        <v>34821.199999999997</v>
      </c>
    </row>
    <row r="156" spans="1:30" ht="14.25" thickBot="1">
      <c r="A156" s="14"/>
      <c r="B156" s="62" t="s">
        <v>4</v>
      </c>
      <c r="C156" s="16">
        <f>C52+C104</f>
        <v>43031182.840000004</v>
      </c>
      <c r="D156" s="16">
        <f t="shared" ref="D156:AC156" si="76">D155+D138+D118+D124</f>
        <v>-1892870.4700000002</v>
      </c>
      <c r="E156" s="16">
        <f t="shared" si="76"/>
        <v>8733495.9499999993</v>
      </c>
      <c r="F156" s="16">
        <f t="shared" si="76"/>
        <v>25091032.439999998</v>
      </c>
      <c r="G156" s="16">
        <f t="shared" si="76"/>
        <v>289136.94</v>
      </c>
      <c r="H156" s="16">
        <f t="shared" si="76"/>
        <v>1724995.35</v>
      </c>
      <c r="I156" s="16">
        <f t="shared" si="76"/>
        <v>374743.77</v>
      </c>
      <c r="J156" s="16">
        <f t="shared" si="76"/>
        <v>271831.83</v>
      </c>
      <c r="K156" s="16">
        <f t="shared" si="76"/>
        <v>1078419.75</v>
      </c>
      <c r="L156" s="16">
        <f t="shared" si="76"/>
        <v>1865791.5999999996</v>
      </c>
      <c r="M156" s="16">
        <f t="shared" si="76"/>
        <v>251707.11000000002</v>
      </c>
      <c r="N156" s="16">
        <f t="shared" si="76"/>
        <v>972976.27000000014</v>
      </c>
      <c r="O156" s="16">
        <f t="shared" si="76"/>
        <v>540576.18999999994</v>
      </c>
      <c r="P156" s="16">
        <f t="shared" si="76"/>
        <v>100532.03</v>
      </c>
      <c r="Q156" s="16">
        <f t="shared" si="76"/>
        <v>265640.71999999997</v>
      </c>
      <c r="R156" s="16">
        <f t="shared" si="76"/>
        <v>-66796.000000000058</v>
      </c>
      <c r="S156" s="16">
        <f t="shared" si="76"/>
        <v>332436.72000000003</v>
      </c>
      <c r="T156" s="16">
        <f t="shared" si="76"/>
        <v>1889404.73</v>
      </c>
      <c r="U156" s="16">
        <f>U155+U138+U118+U124</f>
        <v>3576391.06</v>
      </c>
      <c r="V156" s="16">
        <f t="shared" si="76"/>
        <v>1198557.2500000002</v>
      </c>
      <c r="W156" s="16">
        <f t="shared" si="76"/>
        <v>1028842.0700000001</v>
      </c>
      <c r="X156" s="16">
        <f t="shared" si="76"/>
        <v>620413.03</v>
      </c>
      <c r="Y156" s="16">
        <f t="shared" si="76"/>
        <v>267755.05</v>
      </c>
      <c r="Z156" s="16">
        <f t="shared" si="76"/>
        <v>297480.70999999996</v>
      </c>
      <c r="AA156" s="16">
        <f t="shared" si="76"/>
        <v>163342.95000000001</v>
      </c>
      <c r="AB156" s="16">
        <f t="shared" si="76"/>
        <v>0</v>
      </c>
      <c r="AC156" s="16">
        <f t="shared" si="76"/>
        <v>599590.26</v>
      </c>
      <c r="AD156" s="9">
        <f t="shared" si="32"/>
        <v>888574.26</v>
      </c>
    </row>
    <row r="157" spans="1:30">
      <c r="C157" s="94"/>
    </row>
    <row r="158" spans="1:30" s="73" customFormat="1" ht="12">
      <c r="B158" s="95" t="s">
        <v>55</v>
      </c>
      <c r="C158" s="95">
        <f>C156-累计利润调整表!B82</f>
        <v>0</v>
      </c>
      <c r="D158" s="95">
        <f>D156-累计利润调整表!C82</f>
        <v>0</v>
      </c>
      <c r="E158" s="95">
        <f>E156-累计利润调整表!D82</f>
        <v>0</v>
      </c>
      <c r="F158" s="95">
        <f>F156-累计利润调整表!E82</f>
        <v>0</v>
      </c>
      <c r="G158" s="95">
        <f>G156-累计利润调整表!F82</f>
        <v>0</v>
      </c>
      <c r="H158" s="95">
        <f>H156-累计利润调整表!G82</f>
        <v>0</v>
      </c>
      <c r="I158" s="95">
        <f>I156-累计利润调整表!H82</f>
        <v>0</v>
      </c>
      <c r="J158" s="95">
        <f>J156-累计利润调整表!I82</f>
        <v>0</v>
      </c>
      <c r="K158" s="95">
        <f>K156-累计利润调整表!J82</f>
        <v>0</v>
      </c>
      <c r="L158" s="95">
        <f>L156-累计利润调整表!K82</f>
        <v>0</v>
      </c>
      <c r="M158" s="95">
        <f>M156-累计利润调整表!L82</f>
        <v>0</v>
      </c>
      <c r="N158" s="95">
        <f>N156-累计利润调整表!M82</f>
        <v>0</v>
      </c>
      <c r="O158" s="95">
        <f>O156-累计利润调整表!N82</f>
        <v>0</v>
      </c>
      <c r="P158" s="95">
        <f>P156-累计利润调整表!O82</f>
        <v>0</v>
      </c>
      <c r="Q158" s="95">
        <f>Q156-累计利润调整表!P82</f>
        <v>0</v>
      </c>
      <c r="R158" s="95">
        <f>R156-累计利润调整表!Q82</f>
        <v>0</v>
      </c>
      <c r="S158" s="95">
        <f>S156-累计利润调整表!R82</f>
        <v>0</v>
      </c>
      <c r="T158" s="95">
        <f>T156-累计利润调整表!S82</f>
        <v>0</v>
      </c>
      <c r="U158" s="95">
        <f>U156-累计利润调整表!T82</f>
        <v>0</v>
      </c>
      <c r="V158" s="95">
        <f>V156-累计利润调整表!U82</f>
        <v>0</v>
      </c>
      <c r="W158" s="95">
        <f>W156-累计利润调整表!V82</f>
        <v>0</v>
      </c>
      <c r="X158" s="95">
        <f>X156-累计利润调整表!W82</f>
        <v>0</v>
      </c>
      <c r="Y158" s="95">
        <f>Y156-累计利润调整表!X82</f>
        <v>0</v>
      </c>
      <c r="Z158" s="95">
        <f>Z156-累计利润调整表!Y82</f>
        <v>0</v>
      </c>
      <c r="AA158" s="95">
        <f>AA156-累计利润调整表!Z82</f>
        <v>0</v>
      </c>
      <c r="AB158" s="95">
        <f>AB156-累计利润调整表!AA82</f>
        <v>0</v>
      </c>
      <c r="AC158" s="95">
        <f>AC156-累计利润调整表!AB82</f>
        <v>0</v>
      </c>
      <c r="AD158" s="95">
        <f>AD156-累计利润调整表!AC82</f>
        <v>0</v>
      </c>
    </row>
    <row r="160" spans="1:30">
      <c r="T160" s="74"/>
      <c r="U160" s="74"/>
      <c r="V160" s="74"/>
    </row>
  </sheetData>
  <mergeCells count="12">
    <mergeCell ref="A125:A138"/>
    <mergeCell ref="A139:A155"/>
    <mergeCell ref="A67:A72"/>
    <mergeCell ref="A73:A86"/>
    <mergeCell ref="A87:A103"/>
    <mergeCell ref="A108:A118"/>
    <mergeCell ref="A119:A124"/>
    <mergeCell ref="A4:A14"/>
    <mergeCell ref="A15:A20"/>
    <mergeCell ref="A21:A34"/>
    <mergeCell ref="A35:A51"/>
    <mergeCell ref="A56:A66"/>
  </mergeCells>
  <phoneticPr fontId="3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135"/>
  <sheetViews>
    <sheetView showGridLines="0" workbookViewId="0">
      <selection activeCell="A2" sqref="A2:XFD52"/>
    </sheetView>
  </sheetViews>
  <sheetFormatPr defaultColWidth="11.125" defaultRowHeight="12"/>
  <cols>
    <col min="1" max="1" width="16.875" style="53" bestFit="1" customWidth="1"/>
    <col min="2" max="2" width="16.25" style="54" bestFit="1" customWidth="1"/>
    <col min="3" max="3" width="15.125" style="54" bestFit="1" customWidth="1"/>
    <col min="4" max="4" width="17.125" style="54" bestFit="1" customWidth="1"/>
    <col min="5" max="9" width="14.125" style="54" bestFit="1" customWidth="1"/>
    <col min="10" max="11" width="12.25" style="54" bestFit="1" customWidth="1"/>
    <col min="12" max="16" width="14.125" style="54" bestFit="1" customWidth="1"/>
    <col min="17" max="17" width="15.125" style="54" bestFit="1" customWidth="1"/>
    <col min="18" max="19" width="15.125" style="54" customWidth="1"/>
    <col min="20" max="20" width="12.25" style="54" bestFit="1" customWidth="1"/>
    <col min="21" max="21" width="14.125" style="54" bestFit="1" customWidth="1"/>
    <col min="22" max="22" width="15.25" style="54" bestFit="1" customWidth="1"/>
    <col min="23" max="23" width="16.25" style="54" bestFit="1" customWidth="1"/>
    <col min="24" max="24" width="15.25" style="54" bestFit="1" customWidth="1"/>
    <col min="25" max="26" width="14.25" style="54" bestFit="1" customWidth="1"/>
    <col min="27" max="28" width="14.125" style="54" bestFit="1" customWidth="1"/>
    <col min="29" max="29" width="14.25" style="54" bestFit="1" customWidth="1"/>
    <col min="30" max="30" width="16.25" style="54" bestFit="1" customWidth="1"/>
    <col min="31" max="32" width="14.25" style="54" bestFit="1" customWidth="1"/>
    <col min="33" max="33" width="14.25" style="54" customWidth="1"/>
    <col min="34" max="36" width="14.25" style="54" bestFit="1" customWidth="1"/>
    <col min="37" max="37" width="14.125" style="54" customWidth="1"/>
    <col min="38" max="38" width="17" style="54" bestFit="1" customWidth="1"/>
    <col min="39" max="40" width="15.25" style="54" bestFit="1" customWidth="1"/>
    <col min="41" max="49" width="15.25" style="54" customWidth="1"/>
    <col min="50" max="50" width="14.25" style="54" bestFit="1" customWidth="1"/>
    <col min="51" max="51" width="12.375" style="54" bestFit="1" customWidth="1"/>
    <col min="52" max="52" width="15.25" style="54" bestFit="1" customWidth="1"/>
    <col min="53" max="53" width="14.25" style="54" bestFit="1" customWidth="1"/>
    <col min="54" max="54" width="16.125" style="54" bestFit="1" customWidth="1"/>
    <col min="55" max="55" width="14.25" style="54" bestFit="1" customWidth="1"/>
    <col min="56" max="56" width="14.25" style="54" customWidth="1"/>
    <col min="57" max="57" width="16.25" style="54" hidden="1" customWidth="1"/>
    <col min="58" max="62" width="15.25" style="54" hidden="1" customWidth="1"/>
    <col min="63" max="63" width="15.125" style="54" hidden="1" customWidth="1"/>
    <col min="64" max="64" width="14.25" style="54" hidden="1" customWidth="1"/>
    <col min="65" max="65" width="15.25" style="54" hidden="1" customWidth="1"/>
    <col min="66" max="67" width="17" style="54" hidden="1" customWidth="1"/>
    <col min="68" max="68" width="15.25" style="54" hidden="1" customWidth="1"/>
    <col min="69" max="69" width="14.25" style="54" hidden="1" customWidth="1"/>
    <col min="70" max="71" width="15.25" style="54" hidden="1" customWidth="1"/>
    <col min="72" max="78" width="14.25" style="54" hidden="1" customWidth="1"/>
    <col min="79" max="80" width="15.25" style="54" hidden="1" customWidth="1"/>
    <col min="81" max="86" width="14.25" style="54" hidden="1" customWidth="1"/>
    <col min="87" max="87" width="15.25" style="54" hidden="1" customWidth="1"/>
    <col min="88" max="88" width="12.375" style="54" hidden="1" customWidth="1"/>
    <col min="89" max="91" width="14.25" style="54" hidden="1" customWidth="1"/>
    <col min="92" max="92" width="15.25" style="54" hidden="1" customWidth="1"/>
    <col min="93" max="94" width="14.25" style="54" hidden="1" customWidth="1"/>
    <col min="95" max="95" width="17" style="54" hidden="1" customWidth="1"/>
    <col min="96" max="99" width="12.375" style="54" hidden="1" customWidth="1"/>
    <col min="100" max="100" width="13.125" style="54" hidden="1" customWidth="1"/>
    <col min="101" max="107" width="12.375" style="54" hidden="1" customWidth="1"/>
    <col min="108" max="108" width="13.5" style="54" hidden="1" customWidth="1"/>
    <col min="109" max="109" width="12.375" style="54" hidden="1" customWidth="1"/>
    <col min="110" max="110" width="13.5" style="54" hidden="1" customWidth="1"/>
    <col min="111" max="116" width="12.375" style="54" hidden="1" customWidth="1"/>
    <col min="117" max="117" width="14.125" style="54" hidden="1" customWidth="1"/>
    <col min="118" max="118" width="15.25" style="54" hidden="1" customWidth="1"/>
    <col min="119" max="119" width="13.125" style="54" hidden="1" customWidth="1"/>
    <col min="120" max="120" width="14.125" style="54" hidden="1" customWidth="1"/>
    <col min="121" max="123" width="15.25" style="54" hidden="1" customWidth="1"/>
    <col min="124" max="127" width="6" style="54" bestFit="1" customWidth="1"/>
    <col min="128" max="128" width="16.125" style="54" bestFit="1" customWidth="1"/>
    <col min="129" max="130" width="5.875" style="54" bestFit="1" customWidth="1"/>
    <col min="131" max="131" width="16.125" style="54" bestFit="1" customWidth="1"/>
    <col min="132" max="132" width="5.875" style="54" bestFit="1" customWidth="1"/>
    <col min="133" max="133" width="8.125" style="54" bestFit="1" customWidth="1"/>
    <col min="134" max="134" width="14.125" style="54" bestFit="1" customWidth="1"/>
    <col min="135" max="135" width="6.5" style="54" bestFit="1" customWidth="1"/>
    <col min="136" max="137" width="14.125" style="54" bestFit="1" customWidth="1"/>
    <col min="138" max="16384" width="11.125" style="54"/>
  </cols>
  <sheetData>
    <row r="1" spans="1:137" ht="12.75" thickBot="1">
      <c r="A1" s="278">
        <v>43070</v>
      </c>
      <c r="B1" s="54" t="s">
        <v>540</v>
      </c>
      <c r="EA1" s="445" t="s">
        <v>541</v>
      </c>
      <c r="EB1" s="445"/>
      <c r="EC1" s="445"/>
      <c r="ED1" s="445"/>
      <c r="EE1" s="445"/>
      <c r="EF1" s="445"/>
    </row>
    <row r="2" spans="1:137">
      <c r="A2" s="55"/>
      <c r="B2" s="56" t="s">
        <v>328</v>
      </c>
      <c r="C2" s="58" t="s">
        <v>333</v>
      </c>
      <c r="D2" s="58" t="s">
        <v>241</v>
      </c>
      <c r="E2" s="64" t="s">
        <v>334</v>
      </c>
      <c r="F2" s="64" t="s">
        <v>335</v>
      </c>
      <c r="G2" s="64" t="s">
        <v>336</v>
      </c>
      <c r="H2" s="64" t="s">
        <v>337</v>
      </c>
      <c r="I2" s="64" t="s">
        <v>338</v>
      </c>
      <c r="J2" s="64" t="s">
        <v>339</v>
      </c>
      <c r="K2" s="64" t="s">
        <v>340</v>
      </c>
      <c r="L2" s="64" t="s">
        <v>341</v>
      </c>
      <c r="M2" s="64" t="s">
        <v>76</v>
      </c>
      <c r="N2" s="64" t="s">
        <v>342</v>
      </c>
      <c r="O2" s="64" t="s">
        <v>343</v>
      </c>
      <c r="P2" s="64" t="s">
        <v>344</v>
      </c>
      <c r="Q2" s="64" t="s">
        <v>345</v>
      </c>
      <c r="R2" s="64" t="s">
        <v>542</v>
      </c>
      <c r="S2" s="64" t="s">
        <v>543</v>
      </c>
      <c r="T2" s="64" t="s">
        <v>346</v>
      </c>
      <c r="U2" s="64" t="s">
        <v>544</v>
      </c>
      <c r="V2" s="64" t="s">
        <v>347</v>
      </c>
      <c r="W2" s="64" t="s">
        <v>331</v>
      </c>
      <c r="X2" s="54" t="s">
        <v>545</v>
      </c>
      <c r="Y2" s="64" t="s">
        <v>8</v>
      </c>
      <c r="Z2" s="64" t="s">
        <v>141</v>
      </c>
      <c r="AA2" s="64" t="s">
        <v>472</v>
      </c>
      <c r="AB2" s="64" t="s">
        <v>142</v>
      </c>
      <c r="AC2" s="64" t="s">
        <v>546</v>
      </c>
      <c r="AD2" s="64" t="s">
        <v>30</v>
      </c>
      <c r="AE2" s="64" t="s">
        <v>329</v>
      </c>
      <c r="AF2" s="64" t="s">
        <v>20</v>
      </c>
      <c r="AG2" s="64" t="s">
        <v>14</v>
      </c>
      <c r="AH2" s="64" t="s">
        <v>15</v>
      </c>
      <c r="AI2" s="64" t="s">
        <v>17</v>
      </c>
      <c r="AJ2" s="64" t="s">
        <v>19</v>
      </c>
      <c r="AK2" s="64" t="s">
        <v>18</v>
      </c>
      <c r="AL2" s="64" t="s">
        <v>16</v>
      </c>
      <c r="AM2" s="64" t="s">
        <v>29</v>
      </c>
      <c r="AN2" s="64" t="s">
        <v>23</v>
      </c>
      <c r="AO2" s="64" t="s">
        <v>24</v>
      </c>
      <c r="AP2" s="64" t="s">
        <v>22</v>
      </c>
      <c r="AQ2" s="64" t="s">
        <v>25</v>
      </c>
      <c r="AR2" s="64" t="s">
        <v>26</v>
      </c>
      <c r="AS2" s="64" t="s">
        <v>27</v>
      </c>
      <c r="AT2" s="64" t="s">
        <v>481</v>
      </c>
      <c r="AU2" s="64" t="s">
        <v>12</v>
      </c>
      <c r="AV2" s="64" t="s">
        <v>9</v>
      </c>
      <c r="AW2" s="64" t="s">
        <v>10</v>
      </c>
      <c r="AX2" s="64" t="s">
        <v>11</v>
      </c>
      <c r="AY2" s="64" t="s">
        <v>352</v>
      </c>
      <c r="AZ2" s="64" t="s">
        <v>140</v>
      </c>
      <c r="BA2" s="64" t="s">
        <v>353</v>
      </c>
      <c r="BB2" s="64" t="s">
        <v>354</v>
      </c>
      <c r="BC2" s="64" t="s">
        <v>547</v>
      </c>
      <c r="BD2" s="64" t="s">
        <v>356</v>
      </c>
      <c r="BE2" s="64" t="s">
        <v>483</v>
      </c>
      <c r="BF2" s="64" t="s">
        <v>357</v>
      </c>
      <c r="BG2" s="64" t="s">
        <v>358</v>
      </c>
      <c r="BH2" s="64" t="s">
        <v>359</v>
      </c>
      <c r="BI2" s="64" t="s">
        <v>360</v>
      </c>
      <c r="BJ2" s="64" t="s">
        <v>361</v>
      </c>
      <c r="BK2" s="64" t="s">
        <v>362</v>
      </c>
      <c r="BL2" s="64" t="s">
        <v>363</v>
      </c>
      <c r="BM2" s="64" t="s">
        <v>364</v>
      </c>
      <c r="BN2" s="64" t="s">
        <v>365</v>
      </c>
      <c r="BO2" s="64" t="s">
        <v>366</v>
      </c>
      <c r="BP2" s="64" t="s">
        <v>367</v>
      </c>
      <c r="BQ2" s="64" t="s">
        <v>368</v>
      </c>
      <c r="BR2" s="64" t="s">
        <v>484</v>
      </c>
      <c r="BS2" s="64" t="s">
        <v>370</v>
      </c>
      <c r="BT2" s="64" t="s">
        <v>371</v>
      </c>
      <c r="BU2" s="64" t="s">
        <v>372</v>
      </c>
      <c r="BV2" s="64" t="s">
        <v>374</v>
      </c>
      <c r="BW2" s="64" t="s">
        <v>373</v>
      </c>
      <c r="BX2" s="64" t="s">
        <v>375</v>
      </c>
      <c r="BY2" s="64" t="s">
        <v>376</v>
      </c>
      <c r="BZ2" s="64" t="s">
        <v>377</v>
      </c>
      <c r="CA2" s="64" t="s">
        <v>378</v>
      </c>
      <c r="CB2" s="64" t="s">
        <v>379</v>
      </c>
      <c r="CC2" s="64" t="s">
        <v>380</v>
      </c>
      <c r="CD2" s="64" t="s">
        <v>381</v>
      </c>
      <c r="CE2" s="64" t="s">
        <v>382</v>
      </c>
      <c r="CF2" s="64" t="s">
        <v>383</v>
      </c>
      <c r="CG2" s="64" t="s">
        <v>384</v>
      </c>
      <c r="CH2" s="64" t="s">
        <v>385</v>
      </c>
      <c r="CI2" s="64" t="s">
        <v>386</v>
      </c>
      <c r="CJ2" s="64" t="s">
        <v>387</v>
      </c>
      <c r="CK2" s="64" t="s">
        <v>388</v>
      </c>
      <c r="CL2" s="64" t="s">
        <v>389</v>
      </c>
      <c r="CM2" s="64" t="s">
        <v>390</v>
      </c>
      <c r="CN2" s="64" t="s">
        <v>391</v>
      </c>
      <c r="CO2" s="64" t="s">
        <v>392</v>
      </c>
      <c r="CP2" s="64" t="s">
        <v>393</v>
      </c>
      <c r="CQ2" s="64" t="s">
        <v>394</v>
      </c>
      <c r="CR2" s="64" t="s">
        <v>395</v>
      </c>
      <c r="CS2" s="64" t="s">
        <v>396</v>
      </c>
      <c r="CT2" s="64" t="s">
        <v>398</v>
      </c>
      <c r="CU2" s="64" t="s">
        <v>397</v>
      </c>
      <c r="CV2" s="64" t="s">
        <v>399</v>
      </c>
      <c r="CW2" s="64" t="s">
        <v>400</v>
      </c>
      <c r="CX2" s="64" t="s">
        <v>401</v>
      </c>
      <c r="CY2" s="64" t="s">
        <v>402</v>
      </c>
      <c r="CZ2" s="64" t="s">
        <v>403</v>
      </c>
      <c r="DA2" s="64" t="s">
        <v>404</v>
      </c>
      <c r="DB2" s="64" t="s">
        <v>405</v>
      </c>
      <c r="DC2" s="64" t="s">
        <v>406</v>
      </c>
      <c r="DD2" s="64" t="s">
        <v>407</v>
      </c>
      <c r="DE2" s="64" t="s">
        <v>408</v>
      </c>
      <c r="DF2" s="64" t="s">
        <v>409</v>
      </c>
      <c r="DG2" s="64" t="s">
        <v>410</v>
      </c>
      <c r="DH2" s="64" t="s">
        <v>411</v>
      </c>
      <c r="DI2" s="64" t="s">
        <v>412</v>
      </c>
      <c r="DJ2" s="64" t="s">
        <v>413</v>
      </c>
      <c r="DK2" s="64" t="s">
        <v>414</v>
      </c>
      <c r="DL2" s="64" t="s">
        <v>415</v>
      </c>
      <c r="DM2" s="64" t="s">
        <v>416</v>
      </c>
      <c r="DN2" s="64" t="s">
        <v>417</v>
      </c>
      <c r="DO2" s="65" t="s">
        <v>418</v>
      </c>
      <c r="DP2" s="54" t="s">
        <v>486</v>
      </c>
      <c r="DQ2" s="54" t="s">
        <v>487</v>
      </c>
      <c r="DR2" s="54" t="s">
        <v>488</v>
      </c>
      <c r="DS2" s="54" t="s">
        <v>489</v>
      </c>
      <c r="DT2" s="54" t="s">
        <v>490</v>
      </c>
      <c r="DU2" s="54" t="s">
        <v>491</v>
      </c>
      <c r="DV2" s="54" t="s">
        <v>492</v>
      </c>
      <c r="DW2" s="54" t="s">
        <v>493</v>
      </c>
      <c r="EA2" s="54" t="s">
        <v>553</v>
      </c>
      <c r="EB2" s="54" t="s">
        <v>554</v>
      </c>
      <c r="EC2" s="54" t="s">
        <v>555</v>
      </c>
      <c r="ED2" s="54" t="s">
        <v>556</v>
      </c>
      <c r="EE2" s="54" t="s">
        <v>557</v>
      </c>
      <c r="EF2" s="54" t="s">
        <v>558</v>
      </c>
      <c r="EG2" s="54" t="s">
        <v>559</v>
      </c>
    </row>
    <row r="3" spans="1:137">
      <c r="A3" s="279" t="s">
        <v>88</v>
      </c>
      <c r="B3" s="280">
        <v>15820225.74</v>
      </c>
      <c r="C3" s="280">
        <v>899853.35</v>
      </c>
      <c r="D3" s="280">
        <v>0</v>
      </c>
      <c r="E3" s="280">
        <v>125964.47</v>
      </c>
      <c r="F3" s="280">
        <v>269770</v>
      </c>
      <c r="G3" s="280">
        <v>326573.73</v>
      </c>
      <c r="H3" s="280">
        <v>93577</v>
      </c>
      <c r="I3" s="280">
        <v>188041.47</v>
      </c>
      <c r="J3" s="280">
        <v>0</v>
      </c>
      <c r="K3" s="280">
        <v>45253</v>
      </c>
      <c r="L3" s="280">
        <v>161854.35</v>
      </c>
      <c r="M3" s="280">
        <v>202598.52</v>
      </c>
      <c r="N3" s="280">
        <v>175406.83</v>
      </c>
      <c r="O3" s="280">
        <v>333833.88</v>
      </c>
      <c r="P3" s="280">
        <v>259246.02</v>
      </c>
      <c r="Q3" s="280">
        <v>583795.98</v>
      </c>
      <c r="R3" s="280">
        <v>179512.75</v>
      </c>
      <c r="S3" s="280">
        <v>65688.33</v>
      </c>
      <c r="T3" s="280">
        <v>0</v>
      </c>
      <c r="U3" s="280">
        <v>0</v>
      </c>
      <c r="V3" s="280">
        <v>0</v>
      </c>
      <c r="W3" s="280">
        <v>1080158.7</v>
      </c>
      <c r="X3" s="280">
        <v>2182009.81</v>
      </c>
      <c r="Y3" s="280">
        <v>688805.76</v>
      </c>
      <c r="Z3" s="280">
        <v>488582.54</v>
      </c>
      <c r="AA3" s="280">
        <v>237566</v>
      </c>
      <c r="AB3" s="280">
        <v>198050.97</v>
      </c>
      <c r="AC3" s="280">
        <v>0</v>
      </c>
      <c r="AD3" s="280">
        <v>435123.23</v>
      </c>
      <c r="AE3" s="280">
        <v>6598959.0499999998</v>
      </c>
      <c r="AF3" s="280">
        <v>110067.47</v>
      </c>
      <c r="AG3" s="280">
        <v>95505</v>
      </c>
      <c r="AH3" s="280">
        <v>138478.93</v>
      </c>
      <c r="AI3" s="280">
        <v>334231.28000000003</v>
      </c>
      <c r="AJ3" s="280">
        <v>190593.38</v>
      </c>
      <c r="AK3" s="280">
        <v>155536.64000000001</v>
      </c>
      <c r="AL3" s="280">
        <v>55746</v>
      </c>
      <c r="AM3" s="280">
        <v>381629</v>
      </c>
      <c r="AN3" s="280">
        <v>514252.23</v>
      </c>
      <c r="AO3" s="280">
        <v>683215.42</v>
      </c>
      <c r="AP3" s="280">
        <v>277809.46000000002</v>
      </c>
      <c r="AQ3" s="280">
        <v>108398</v>
      </c>
      <c r="AR3" s="280">
        <v>127984.7</v>
      </c>
      <c r="AS3" s="280">
        <v>88721</v>
      </c>
      <c r="AT3" s="280">
        <v>0</v>
      </c>
      <c r="AU3" s="280">
        <v>181878</v>
      </c>
      <c r="AV3" s="280">
        <v>193035.73</v>
      </c>
      <c r="AW3" s="280">
        <v>228939.03</v>
      </c>
      <c r="AX3" s="280">
        <v>84953</v>
      </c>
      <c r="AY3" s="280">
        <v>186822</v>
      </c>
      <c r="AZ3" s="280">
        <v>50744</v>
      </c>
      <c r="BA3" s="280">
        <v>285609.18</v>
      </c>
      <c r="BB3" s="280">
        <v>217939.19</v>
      </c>
      <c r="BC3" s="280">
        <v>163045.32</v>
      </c>
      <c r="BD3" s="280">
        <v>205656.46</v>
      </c>
      <c r="BE3" s="280">
        <v>5726708.9000000004</v>
      </c>
      <c r="BF3" s="280">
        <v>268496.61</v>
      </c>
      <c r="BG3" s="280">
        <v>266594.2</v>
      </c>
      <c r="BH3" s="280">
        <v>298816.65000000002</v>
      </c>
      <c r="BI3" s="280">
        <v>221537.85</v>
      </c>
      <c r="BJ3" s="280">
        <v>221643.48</v>
      </c>
      <c r="BK3" s="280">
        <v>231770.6</v>
      </c>
      <c r="BL3" s="280">
        <v>98360.6</v>
      </c>
      <c r="BM3" s="280">
        <v>244136.94</v>
      </c>
      <c r="BN3" s="280">
        <v>122206.54</v>
      </c>
      <c r="BO3" s="280">
        <v>120319.8</v>
      </c>
      <c r="BP3" s="280">
        <v>256014.76</v>
      </c>
      <c r="BQ3" s="280">
        <v>139100.70000000001</v>
      </c>
      <c r="BR3" s="280">
        <v>205815.42</v>
      </c>
      <c r="BS3" s="280">
        <v>113221.92</v>
      </c>
      <c r="BT3" s="280">
        <v>105976.1</v>
      </c>
      <c r="BU3" s="280">
        <v>121239.8</v>
      </c>
      <c r="BV3" s="280">
        <v>124287.9</v>
      </c>
      <c r="BW3" s="280">
        <v>122843.27</v>
      </c>
      <c r="BX3" s="280">
        <v>96001</v>
      </c>
      <c r="BY3" s="280">
        <v>89575.4</v>
      </c>
      <c r="BZ3" s="280">
        <v>113159.1</v>
      </c>
      <c r="CA3" s="280">
        <v>129808.93</v>
      </c>
      <c r="CB3" s="280">
        <v>66712.7</v>
      </c>
      <c r="CC3" s="280">
        <v>59857.8</v>
      </c>
      <c r="CD3" s="280">
        <v>57537.7</v>
      </c>
      <c r="CE3" s="280">
        <v>60201.99</v>
      </c>
      <c r="CF3" s="280">
        <v>60854.7</v>
      </c>
      <c r="CG3" s="280">
        <v>71134.03</v>
      </c>
      <c r="CH3" s="280">
        <v>53320.1</v>
      </c>
      <c r="CI3" s="280">
        <v>84051.83</v>
      </c>
      <c r="CJ3" s="280">
        <v>34823.17</v>
      </c>
      <c r="CK3" s="280">
        <v>51548.4</v>
      </c>
      <c r="CL3" s="280">
        <v>21075.200000000001</v>
      </c>
      <c r="CM3" s="280">
        <v>36505.599999999999</v>
      </c>
      <c r="CN3" s="280">
        <v>45304.12</v>
      </c>
      <c r="CO3" s="280">
        <v>78326.259999999995</v>
      </c>
      <c r="CP3" s="280">
        <v>59061.09</v>
      </c>
      <c r="CQ3" s="280">
        <v>25201.69</v>
      </c>
      <c r="CR3" s="280">
        <v>30444</v>
      </c>
      <c r="CS3" s="280">
        <v>16210</v>
      </c>
      <c r="CT3" s="280">
        <v>42401.38</v>
      </c>
      <c r="CU3" s="280">
        <v>23728.400000000001</v>
      </c>
      <c r="CV3" s="280">
        <v>36767.199999999997</v>
      </c>
      <c r="CW3" s="280">
        <v>37344.699999999997</v>
      </c>
      <c r="CX3" s="280">
        <v>47082.29</v>
      </c>
      <c r="CY3" s="280">
        <v>37905.9</v>
      </c>
      <c r="CZ3" s="280">
        <v>46849</v>
      </c>
      <c r="DA3" s="280">
        <v>58164.84</v>
      </c>
      <c r="DB3" s="280">
        <v>53616</v>
      </c>
      <c r="DC3" s="280">
        <v>31098.09</v>
      </c>
      <c r="DD3" s="280">
        <v>41335.68</v>
      </c>
      <c r="DE3" s="280">
        <v>34314.44</v>
      </c>
      <c r="DF3" s="280">
        <v>33337.5</v>
      </c>
      <c r="DG3" s="280">
        <v>31796.25</v>
      </c>
      <c r="DH3" s="280">
        <v>22966.62</v>
      </c>
      <c r="DI3" s="280">
        <v>29742.3</v>
      </c>
      <c r="DJ3" s="280">
        <v>39690</v>
      </c>
      <c r="DK3" s="280">
        <v>31380</v>
      </c>
      <c r="DL3" s="280">
        <v>44715.1</v>
      </c>
      <c r="DM3" s="280">
        <v>47908.1</v>
      </c>
      <c r="DN3" s="280">
        <v>89554.93</v>
      </c>
      <c r="DO3" s="280">
        <v>66454.8</v>
      </c>
      <c r="DP3" s="280">
        <v>47670.57</v>
      </c>
      <c r="DQ3" s="280">
        <v>33101.86</v>
      </c>
      <c r="DR3" s="280">
        <v>62887</v>
      </c>
      <c r="DS3" s="280">
        <v>31798</v>
      </c>
      <c r="DT3" s="280">
        <v>0</v>
      </c>
      <c r="DU3" s="280">
        <v>0</v>
      </c>
      <c r="DV3" s="280">
        <v>0</v>
      </c>
      <c r="DW3" s="280">
        <v>0</v>
      </c>
      <c r="DX3" s="280"/>
      <c r="DY3" s="280"/>
      <c r="DZ3" s="280"/>
      <c r="EA3" s="54">
        <v>-6598959.0500000007</v>
      </c>
      <c r="EB3" s="54">
        <v>6214579.8200000003</v>
      </c>
      <c r="EC3" s="54">
        <v>0</v>
      </c>
      <c r="ED3" s="54">
        <v>7623371.7499999991</v>
      </c>
      <c r="EE3" s="54">
        <v>-216807.53999999998</v>
      </c>
      <c r="EF3" s="54">
        <v>1157597.1100000001</v>
      </c>
      <c r="EG3" s="54">
        <v>-1578157.05</v>
      </c>
    </row>
    <row r="4" spans="1:137">
      <c r="A4" s="279" t="s">
        <v>89</v>
      </c>
      <c r="B4" s="280">
        <v>165192.29999999999</v>
      </c>
      <c r="C4" s="280">
        <v>7599.16</v>
      </c>
      <c r="D4" s="280">
        <v>0</v>
      </c>
      <c r="E4" s="280">
        <v>1505</v>
      </c>
      <c r="F4" s="280">
        <v>1946.23</v>
      </c>
      <c r="G4" s="280">
        <v>15534.95</v>
      </c>
      <c r="H4" s="280">
        <v>840</v>
      </c>
      <c r="I4" s="280">
        <v>5530</v>
      </c>
      <c r="J4" s="280">
        <v>0</v>
      </c>
      <c r="K4" s="280">
        <v>875</v>
      </c>
      <c r="L4" s="280">
        <v>8400.2800000000007</v>
      </c>
      <c r="M4" s="280">
        <v>4165</v>
      </c>
      <c r="N4" s="280">
        <v>4095</v>
      </c>
      <c r="O4" s="280">
        <v>11585</v>
      </c>
      <c r="P4" s="280">
        <v>5670</v>
      </c>
      <c r="Q4" s="280">
        <v>1448.37</v>
      </c>
      <c r="R4" s="280">
        <v>3290</v>
      </c>
      <c r="S4" s="280">
        <v>3220</v>
      </c>
      <c r="T4" s="280">
        <v>0</v>
      </c>
      <c r="U4" s="280">
        <v>0</v>
      </c>
      <c r="V4" s="280">
        <v>0</v>
      </c>
      <c r="W4" s="280">
        <v>2491.52</v>
      </c>
      <c r="X4" s="280">
        <v>37291.300000000003</v>
      </c>
      <c r="Y4" s="280">
        <v>12495</v>
      </c>
      <c r="Z4" s="280">
        <v>0</v>
      </c>
      <c r="AA4" s="280">
        <v>0</v>
      </c>
      <c r="AB4" s="280">
        <v>274.83999999999997</v>
      </c>
      <c r="AC4" s="280">
        <v>0</v>
      </c>
      <c r="AD4" s="280">
        <v>7130.68</v>
      </c>
      <c r="AE4" s="280">
        <v>29804.97</v>
      </c>
      <c r="AF4" s="280">
        <v>35</v>
      </c>
      <c r="AG4" s="280">
        <v>0</v>
      </c>
      <c r="AH4" s="280">
        <v>-133.47999999999999</v>
      </c>
      <c r="AI4" s="280">
        <v>1820</v>
      </c>
      <c r="AJ4" s="280">
        <v>0</v>
      </c>
      <c r="AK4" s="280">
        <v>770</v>
      </c>
      <c r="AL4" s="280">
        <v>0</v>
      </c>
      <c r="AM4" s="280">
        <v>12949.89</v>
      </c>
      <c r="AN4" s="280">
        <v>13436.41</v>
      </c>
      <c r="AO4" s="280">
        <v>6055</v>
      </c>
      <c r="AP4" s="280">
        <v>3675</v>
      </c>
      <c r="AQ4" s="280">
        <v>875</v>
      </c>
      <c r="AR4" s="280">
        <v>300</v>
      </c>
      <c r="AS4" s="280">
        <v>0</v>
      </c>
      <c r="AT4" s="280">
        <v>0</v>
      </c>
      <c r="AU4" s="280">
        <v>0</v>
      </c>
      <c r="AV4" s="280">
        <v>6370</v>
      </c>
      <c r="AW4" s="280">
        <v>6125</v>
      </c>
      <c r="AX4" s="280">
        <v>0</v>
      </c>
      <c r="AY4" s="280">
        <v>0</v>
      </c>
      <c r="AZ4" s="280">
        <v>0</v>
      </c>
      <c r="BA4" s="280">
        <v>4375</v>
      </c>
      <c r="BB4" s="280">
        <v>7035</v>
      </c>
      <c r="BC4" s="280">
        <v>3045</v>
      </c>
      <c r="BD4" s="280">
        <v>2940</v>
      </c>
      <c r="BE4" s="280">
        <v>12409.97</v>
      </c>
      <c r="BF4" s="280">
        <v>-7.25</v>
      </c>
      <c r="BG4" s="280">
        <v>0</v>
      </c>
      <c r="BH4" s="280">
        <v>2869.91</v>
      </c>
      <c r="BI4" s="280">
        <v>0</v>
      </c>
      <c r="BJ4" s="280">
        <v>-9.43</v>
      </c>
      <c r="BK4" s="280">
        <v>0</v>
      </c>
      <c r="BL4" s="280">
        <v>0</v>
      </c>
      <c r="BM4" s="280">
        <v>0</v>
      </c>
      <c r="BN4" s="280">
        <v>0</v>
      </c>
      <c r="BO4" s="280">
        <v>0</v>
      </c>
      <c r="BP4" s="280">
        <v>100.73</v>
      </c>
      <c r="BQ4" s="280">
        <v>0</v>
      </c>
      <c r="BR4" s="280">
        <v>0</v>
      </c>
      <c r="BS4" s="280">
        <v>0</v>
      </c>
      <c r="BT4" s="280">
        <v>0</v>
      </c>
      <c r="BU4" s="280">
        <v>0</v>
      </c>
      <c r="BV4" s="280">
        <v>0</v>
      </c>
      <c r="BW4" s="280">
        <v>449.73</v>
      </c>
      <c r="BX4" s="280">
        <v>0</v>
      </c>
      <c r="BY4" s="280">
        <v>0</v>
      </c>
      <c r="BZ4" s="280">
        <v>0</v>
      </c>
      <c r="CA4" s="280">
        <v>0</v>
      </c>
      <c r="CB4" s="280">
        <v>467.72</v>
      </c>
      <c r="CC4" s="280">
        <v>0</v>
      </c>
      <c r="CD4" s="280">
        <v>0</v>
      </c>
      <c r="CE4" s="280">
        <v>100.73</v>
      </c>
      <c r="CF4" s="280">
        <v>0</v>
      </c>
      <c r="CG4" s="280">
        <v>0</v>
      </c>
      <c r="CH4" s="280">
        <v>99.95</v>
      </c>
      <c r="CI4" s="280">
        <v>3010</v>
      </c>
      <c r="CJ4" s="280">
        <v>0</v>
      </c>
      <c r="CK4" s="280">
        <v>0</v>
      </c>
      <c r="CL4" s="280">
        <v>0</v>
      </c>
      <c r="CM4" s="280">
        <v>0</v>
      </c>
      <c r="CN4" s="280">
        <v>349.78</v>
      </c>
      <c r="CO4" s="280">
        <v>297.64</v>
      </c>
      <c r="CP4" s="280">
        <v>174.89</v>
      </c>
      <c r="CQ4" s="280">
        <v>0</v>
      </c>
      <c r="CR4" s="280">
        <v>0</v>
      </c>
      <c r="CS4" s="280">
        <v>0</v>
      </c>
      <c r="CT4" s="280">
        <v>0</v>
      </c>
      <c r="CU4" s="280">
        <v>0</v>
      </c>
      <c r="CV4" s="280">
        <v>3059</v>
      </c>
      <c r="CW4" s="280">
        <v>0</v>
      </c>
      <c r="CX4" s="280">
        <v>174.89</v>
      </c>
      <c r="CY4" s="280">
        <v>0</v>
      </c>
      <c r="CZ4" s="280">
        <v>74.16</v>
      </c>
      <c r="DA4" s="280">
        <v>472.53</v>
      </c>
      <c r="DB4" s="280">
        <v>174.89</v>
      </c>
      <c r="DC4" s="280">
        <v>0</v>
      </c>
      <c r="DD4" s="280">
        <v>0</v>
      </c>
      <c r="DE4" s="280">
        <v>0</v>
      </c>
      <c r="DF4" s="280">
        <v>0</v>
      </c>
      <c r="DG4" s="280">
        <v>0</v>
      </c>
      <c r="DH4" s="280">
        <v>297.64</v>
      </c>
      <c r="DI4" s="280">
        <v>0</v>
      </c>
      <c r="DJ4" s="280">
        <v>0</v>
      </c>
      <c r="DK4" s="280">
        <v>0</v>
      </c>
      <c r="DL4" s="280">
        <v>126.23</v>
      </c>
      <c r="DM4" s="280">
        <v>0</v>
      </c>
      <c r="DN4" s="280">
        <v>0</v>
      </c>
      <c r="DO4" s="280">
        <v>0</v>
      </c>
      <c r="DP4" s="280">
        <v>126.23</v>
      </c>
      <c r="DQ4" s="280">
        <v>0</v>
      </c>
      <c r="DR4" s="280">
        <v>0</v>
      </c>
      <c r="DS4" s="280">
        <v>0</v>
      </c>
      <c r="DT4" s="280">
        <v>0</v>
      </c>
      <c r="DU4" s="280">
        <v>0</v>
      </c>
      <c r="DV4" s="280">
        <v>0</v>
      </c>
      <c r="DW4" s="280">
        <v>0</v>
      </c>
      <c r="DX4" s="280"/>
      <c r="DY4" s="280"/>
      <c r="DZ4" s="280"/>
      <c r="EA4" s="54">
        <v>-29804.97</v>
      </c>
      <c r="EB4" s="54">
        <v>22674.29</v>
      </c>
      <c r="EC4" s="54">
        <v>0</v>
      </c>
      <c r="ED4" s="54">
        <v>32296.49</v>
      </c>
      <c r="EE4" s="54">
        <v>0</v>
      </c>
      <c r="EF4" s="54">
        <v>34799.780000000006</v>
      </c>
      <c r="EG4" s="54">
        <v>-24796.300000000003</v>
      </c>
    </row>
    <row r="5" spans="1:137">
      <c r="A5" s="279" t="s">
        <v>90</v>
      </c>
      <c r="B5" s="280">
        <v>372321.2</v>
      </c>
      <c r="C5" s="280">
        <v>18013.87</v>
      </c>
      <c r="D5" s="280">
        <v>0</v>
      </c>
      <c r="E5" s="280">
        <v>2536.09</v>
      </c>
      <c r="F5" s="280">
        <v>5488.8</v>
      </c>
      <c r="G5" s="280">
        <v>6531.47</v>
      </c>
      <c r="H5" s="280">
        <v>1871.54</v>
      </c>
      <c r="I5" s="280">
        <v>3985.09</v>
      </c>
      <c r="J5" s="280">
        <v>0</v>
      </c>
      <c r="K5" s="280">
        <v>905.06</v>
      </c>
      <c r="L5" s="280">
        <v>3245.49</v>
      </c>
      <c r="M5" s="280">
        <v>4051.97</v>
      </c>
      <c r="N5" s="280">
        <v>3508.14</v>
      </c>
      <c r="O5" s="280">
        <v>6743.08</v>
      </c>
      <c r="P5" s="280">
        <v>5184.92</v>
      </c>
      <c r="Q5" s="280">
        <v>11828.6</v>
      </c>
      <c r="R5" s="280">
        <v>3615.46</v>
      </c>
      <c r="S5" s="280">
        <v>1313.77</v>
      </c>
      <c r="T5" s="280">
        <v>0</v>
      </c>
      <c r="U5" s="280">
        <v>0</v>
      </c>
      <c r="V5" s="280">
        <v>0</v>
      </c>
      <c r="W5" s="280">
        <v>21603.17</v>
      </c>
      <c r="X5" s="280">
        <v>43640.19</v>
      </c>
      <c r="Y5" s="280">
        <v>13902.11</v>
      </c>
      <c r="Z5" s="280">
        <v>10259.370000000001</v>
      </c>
      <c r="AA5" s="280">
        <v>4860.5200000000004</v>
      </c>
      <c r="AB5" s="280">
        <v>4119.24</v>
      </c>
      <c r="AC5" s="280">
        <v>0</v>
      </c>
      <c r="AD5" s="280">
        <v>8979.67</v>
      </c>
      <c r="AE5" s="280">
        <v>186133.58</v>
      </c>
      <c r="AF5" s="280">
        <v>2201.35</v>
      </c>
      <c r="AG5" s="280">
        <v>1910.1</v>
      </c>
      <c r="AH5" s="280">
        <v>2769.58</v>
      </c>
      <c r="AI5" s="280">
        <v>6684.62</v>
      </c>
      <c r="AJ5" s="280">
        <v>3811.87</v>
      </c>
      <c r="AK5" s="280">
        <v>3110.73</v>
      </c>
      <c r="AL5" s="280">
        <v>1114.92</v>
      </c>
      <c r="AM5" s="280">
        <v>7632.58</v>
      </c>
      <c r="AN5" s="280">
        <v>10285.040000000001</v>
      </c>
      <c r="AO5" s="280">
        <v>13664.31</v>
      </c>
      <c r="AP5" s="280">
        <v>5556.19</v>
      </c>
      <c r="AQ5" s="280">
        <v>2167.96</v>
      </c>
      <c r="AR5" s="280">
        <v>2559.69</v>
      </c>
      <c r="AS5" s="280">
        <v>1774.42</v>
      </c>
      <c r="AT5" s="280">
        <v>0</v>
      </c>
      <c r="AU5" s="280">
        <v>3721.56</v>
      </c>
      <c r="AV5" s="280">
        <v>3860.71</v>
      </c>
      <c r="AW5" s="280">
        <v>4578.78</v>
      </c>
      <c r="AX5" s="280">
        <v>1741.06</v>
      </c>
      <c r="AY5" s="280">
        <v>3812.04</v>
      </c>
      <c r="AZ5" s="280">
        <v>1048.48</v>
      </c>
      <c r="BA5" s="280">
        <v>6175.16</v>
      </c>
      <c r="BB5" s="280">
        <v>4358.78</v>
      </c>
      <c r="BC5" s="280">
        <v>3260.91</v>
      </c>
      <c r="BD5" s="280">
        <v>6673.13</v>
      </c>
      <c r="BE5" s="280">
        <v>165665.60000000001</v>
      </c>
      <c r="BF5" s="280">
        <v>8089.9</v>
      </c>
      <c r="BG5" s="280">
        <v>7443.31</v>
      </c>
      <c r="BH5" s="280">
        <v>8935.56</v>
      </c>
      <c r="BI5" s="280">
        <v>7830.89</v>
      </c>
      <c r="BJ5" s="280">
        <v>7396.04</v>
      </c>
      <c r="BK5" s="280">
        <v>6229.54</v>
      </c>
      <c r="BL5" s="280">
        <v>2809.52</v>
      </c>
      <c r="BM5" s="280">
        <v>7638.4</v>
      </c>
      <c r="BN5" s="280">
        <v>4275.7299999999996</v>
      </c>
      <c r="BO5" s="280">
        <v>2862.17</v>
      </c>
      <c r="BP5" s="280">
        <v>9136.9</v>
      </c>
      <c r="BQ5" s="280">
        <v>4129.54</v>
      </c>
      <c r="BR5" s="280">
        <v>5459.54</v>
      </c>
      <c r="BS5" s="280">
        <v>2913.37</v>
      </c>
      <c r="BT5" s="280">
        <v>2587.7800000000002</v>
      </c>
      <c r="BU5" s="280">
        <v>3075.5</v>
      </c>
      <c r="BV5" s="280">
        <v>3159.95</v>
      </c>
      <c r="BW5" s="280">
        <v>3293.24</v>
      </c>
      <c r="BX5" s="280">
        <v>2380.9</v>
      </c>
      <c r="BY5" s="280">
        <v>2594.9</v>
      </c>
      <c r="BZ5" s="280">
        <v>3226.75</v>
      </c>
      <c r="CA5" s="280">
        <v>3281.66</v>
      </c>
      <c r="CB5" s="280">
        <v>1495.48</v>
      </c>
      <c r="CC5" s="280">
        <v>1467.36</v>
      </c>
      <c r="CD5" s="280">
        <v>1497.56</v>
      </c>
      <c r="CE5" s="280">
        <v>2201.35</v>
      </c>
      <c r="CF5" s="280">
        <v>1576.8</v>
      </c>
      <c r="CG5" s="280">
        <v>1897.74</v>
      </c>
      <c r="CH5" s="280">
        <v>1466.89</v>
      </c>
      <c r="CI5" s="280">
        <v>3501.27</v>
      </c>
      <c r="CJ5" s="280">
        <v>798.06</v>
      </c>
      <c r="CK5" s="280">
        <v>1249.8499999999999</v>
      </c>
      <c r="CL5" s="280">
        <v>628.98</v>
      </c>
      <c r="CM5" s="280">
        <v>1061.76</v>
      </c>
      <c r="CN5" s="280">
        <v>1031.72</v>
      </c>
      <c r="CO5" s="280">
        <v>2129.15</v>
      </c>
      <c r="CP5" s="280">
        <v>2435.0500000000002</v>
      </c>
      <c r="CQ5" s="280">
        <v>564.16</v>
      </c>
      <c r="CR5" s="280">
        <v>725.39</v>
      </c>
      <c r="CS5" s="280">
        <v>360.04</v>
      </c>
      <c r="CT5" s="280">
        <v>1038.5</v>
      </c>
      <c r="CU5" s="280">
        <v>613.83000000000004</v>
      </c>
      <c r="CV5" s="280">
        <v>768.57</v>
      </c>
      <c r="CW5" s="280">
        <v>1328.48</v>
      </c>
      <c r="CX5" s="280">
        <v>1415.75</v>
      </c>
      <c r="CY5" s="280">
        <v>860.31</v>
      </c>
      <c r="CZ5" s="280">
        <v>1056.81</v>
      </c>
      <c r="DA5" s="280">
        <v>2130.69</v>
      </c>
      <c r="DB5" s="280">
        <v>1309.8800000000001</v>
      </c>
      <c r="DC5" s="280">
        <v>774</v>
      </c>
      <c r="DD5" s="280">
        <v>1069.69</v>
      </c>
      <c r="DE5" s="280">
        <v>1020.09</v>
      </c>
      <c r="DF5" s="280">
        <v>822.6</v>
      </c>
      <c r="DG5" s="280">
        <v>1388.34</v>
      </c>
      <c r="DH5" s="280">
        <v>515.41</v>
      </c>
      <c r="DI5" s="280">
        <v>635.20000000000005</v>
      </c>
      <c r="DJ5" s="280">
        <v>1972.38</v>
      </c>
      <c r="DK5" s="280">
        <v>694.28</v>
      </c>
      <c r="DL5" s="280">
        <v>1419.49</v>
      </c>
      <c r="DM5" s="280">
        <v>1247.31</v>
      </c>
      <c r="DN5" s="280">
        <v>2232.64</v>
      </c>
      <c r="DO5" s="280">
        <v>1552.32</v>
      </c>
      <c r="DP5" s="280">
        <v>1054.74</v>
      </c>
      <c r="DQ5" s="280">
        <v>901.11</v>
      </c>
      <c r="DR5" s="280">
        <v>2305.56</v>
      </c>
      <c r="DS5" s="280">
        <v>697.92</v>
      </c>
      <c r="DT5" s="280">
        <v>0</v>
      </c>
      <c r="DU5" s="280">
        <v>0</v>
      </c>
      <c r="DV5" s="280">
        <v>0</v>
      </c>
      <c r="DW5" s="280">
        <v>0</v>
      </c>
      <c r="DX5" s="280"/>
      <c r="DY5" s="280"/>
      <c r="DZ5" s="280"/>
      <c r="EA5" s="54">
        <v>-186133.58000000002</v>
      </c>
      <c r="EB5" s="54">
        <v>178202.38999999998</v>
      </c>
      <c r="EC5" s="54">
        <v>0</v>
      </c>
      <c r="ED5" s="54">
        <v>206621.83</v>
      </c>
      <c r="EE5" s="54">
        <v>-4706.2700000000004</v>
      </c>
      <c r="EF5" s="54">
        <v>23151.940000000002</v>
      </c>
      <c r="EG5" s="54">
        <v>-31479.140000000003</v>
      </c>
    </row>
    <row r="6" spans="1:137">
      <c r="A6" s="279" t="s">
        <v>91</v>
      </c>
      <c r="B6" s="280">
        <v>86914.94</v>
      </c>
      <c r="C6" s="280">
        <v>0</v>
      </c>
      <c r="D6" s="280">
        <v>0</v>
      </c>
      <c r="E6" s="280">
        <v>0</v>
      </c>
      <c r="F6" s="280">
        <v>0</v>
      </c>
      <c r="G6" s="280">
        <v>0</v>
      </c>
      <c r="H6" s="280">
        <v>0</v>
      </c>
      <c r="I6" s="280">
        <v>0</v>
      </c>
      <c r="J6" s="280">
        <v>0</v>
      </c>
      <c r="K6" s="280">
        <v>0</v>
      </c>
      <c r="L6" s="280">
        <v>0</v>
      </c>
      <c r="M6" s="280">
        <v>0</v>
      </c>
      <c r="N6" s="280">
        <v>0</v>
      </c>
      <c r="O6" s="280">
        <v>0</v>
      </c>
      <c r="P6" s="280">
        <v>0</v>
      </c>
      <c r="Q6" s="280">
        <v>0</v>
      </c>
      <c r="R6" s="280">
        <v>0</v>
      </c>
      <c r="S6" s="280">
        <v>0</v>
      </c>
      <c r="T6" s="280">
        <v>0</v>
      </c>
      <c r="U6" s="280">
        <v>0</v>
      </c>
      <c r="V6" s="280">
        <v>0</v>
      </c>
      <c r="W6" s="280">
        <v>3615.53</v>
      </c>
      <c r="X6" s="280">
        <v>4295.43</v>
      </c>
      <c r="Y6" s="280">
        <v>2229.92</v>
      </c>
      <c r="Z6" s="280">
        <v>0</v>
      </c>
      <c r="AA6" s="280">
        <v>0</v>
      </c>
      <c r="AB6" s="280">
        <v>0</v>
      </c>
      <c r="AC6" s="280">
        <v>0</v>
      </c>
      <c r="AD6" s="280">
        <v>2776.64</v>
      </c>
      <c r="AE6" s="280">
        <v>73997.42</v>
      </c>
      <c r="AF6" s="280">
        <v>0</v>
      </c>
      <c r="AG6" s="280">
        <v>0</v>
      </c>
      <c r="AH6" s="280">
        <v>0</v>
      </c>
      <c r="AI6" s="280">
        <v>0</v>
      </c>
      <c r="AJ6" s="280">
        <v>0</v>
      </c>
      <c r="AK6" s="280">
        <v>3615.53</v>
      </c>
      <c r="AL6" s="280">
        <v>0</v>
      </c>
      <c r="AM6" s="280">
        <v>3092.51</v>
      </c>
      <c r="AN6" s="280">
        <v>0</v>
      </c>
      <c r="AO6" s="280">
        <v>1202.92</v>
      </c>
      <c r="AP6" s="280">
        <v>0</v>
      </c>
      <c r="AQ6" s="280">
        <v>0</v>
      </c>
      <c r="AR6" s="280">
        <v>0</v>
      </c>
      <c r="AS6" s="280">
        <v>0</v>
      </c>
      <c r="AT6" s="280">
        <v>0</v>
      </c>
      <c r="AU6" s="280">
        <v>0</v>
      </c>
      <c r="AV6" s="280">
        <v>2229.92</v>
      </c>
      <c r="AW6" s="280">
        <v>0</v>
      </c>
      <c r="AX6" s="280">
        <v>0</v>
      </c>
      <c r="AY6" s="280">
        <v>0</v>
      </c>
      <c r="AZ6" s="280">
        <v>0</v>
      </c>
      <c r="BA6" s="280">
        <v>0</v>
      </c>
      <c r="BB6" s="280">
        <v>0</v>
      </c>
      <c r="BC6" s="280">
        <v>0</v>
      </c>
      <c r="BD6" s="280">
        <v>0</v>
      </c>
      <c r="BE6" s="280">
        <v>73997.42</v>
      </c>
      <c r="BF6" s="280">
        <v>1200</v>
      </c>
      <c r="BG6" s="280">
        <v>2285.71</v>
      </c>
      <c r="BH6" s="280">
        <v>0</v>
      </c>
      <c r="BI6" s="280">
        <v>0</v>
      </c>
      <c r="BJ6" s="280">
        <v>10800</v>
      </c>
      <c r="BK6" s="280">
        <v>0</v>
      </c>
      <c r="BL6" s="280">
        <v>1200</v>
      </c>
      <c r="BM6" s="280">
        <v>4800</v>
      </c>
      <c r="BN6" s="280">
        <v>5388.25</v>
      </c>
      <c r="BO6" s="280">
        <v>4729</v>
      </c>
      <c r="BP6" s="280">
        <v>0</v>
      </c>
      <c r="BQ6" s="280">
        <v>7200</v>
      </c>
      <c r="BR6" s="280">
        <v>777</v>
      </c>
      <c r="BS6" s="280">
        <v>0</v>
      </c>
      <c r="BT6" s="280">
        <v>0</v>
      </c>
      <c r="BU6" s="280">
        <v>351.5</v>
      </c>
      <c r="BV6" s="280">
        <v>14732.24</v>
      </c>
      <c r="BW6" s="280">
        <v>2488.92</v>
      </c>
      <c r="BX6" s="280">
        <v>0</v>
      </c>
      <c r="BY6" s="280">
        <v>0</v>
      </c>
      <c r="BZ6" s="280">
        <v>0</v>
      </c>
      <c r="CA6" s="280">
        <v>2400</v>
      </c>
      <c r="CB6" s="280">
        <v>0</v>
      </c>
      <c r="CC6" s="280">
        <v>0</v>
      </c>
      <c r="CD6" s="280">
        <v>3073.83</v>
      </c>
      <c r="CE6" s="280">
        <v>0</v>
      </c>
      <c r="CF6" s="280">
        <v>1854.3</v>
      </c>
      <c r="CG6" s="280">
        <v>0</v>
      </c>
      <c r="CH6" s="280">
        <v>0</v>
      </c>
      <c r="CI6" s="280">
        <v>0</v>
      </c>
      <c r="CJ6" s="280">
        <v>0</v>
      </c>
      <c r="CK6" s="280">
        <v>0</v>
      </c>
      <c r="CL6" s="280">
        <v>707</v>
      </c>
      <c r="CM6" s="280">
        <v>297</v>
      </c>
      <c r="CN6" s="280">
        <v>0</v>
      </c>
      <c r="CO6" s="280">
        <v>2308</v>
      </c>
      <c r="CP6" s="280">
        <v>0</v>
      </c>
      <c r="CQ6" s="280">
        <v>0</v>
      </c>
      <c r="CR6" s="280">
        <v>1085.71</v>
      </c>
      <c r="CS6" s="280">
        <v>0</v>
      </c>
      <c r="CT6" s="280">
        <v>4144.4399999999996</v>
      </c>
      <c r="CU6" s="280">
        <v>0</v>
      </c>
      <c r="CV6" s="280">
        <v>450</v>
      </c>
      <c r="CW6" s="280">
        <v>0</v>
      </c>
      <c r="CX6" s="280">
        <v>0</v>
      </c>
      <c r="CY6" s="280">
        <v>0</v>
      </c>
      <c r="CZ6" s="280">
        <v>0</v>
      </c>
      <c r="DA6" s="280">
        <v>0</v>
      </c>
      <c r="DB6" s="280">
        <v>0</v>
      </c>
      <c r="DC6" s="280">
        <v>0</v>
      </c>
      <c r="DD6" s="280">
        <v>0</v>
      </c>
      <c r="DE6" s="280">
        <v>0</v>
      </c>
      <c r="DF6" s="280">
        <v>0</v>
      </c>
      <c r="DG6" s="280">
        <v>0</v>
      </c>
      <c r="DH6" s="280">
        <v>0</v>
      </c>
      <c r="DI6" s="280">
        <v>0</v>
      </c>
      <c r="DJ6" s="280">
        <v>0</v>
      </c>
      <c r="DK6" s="280">
        <v>0</v>
      </c>
      <c r="DL6" s="280">
        <v>0</v>
      </c>
      <c r="DM6" s="280">
        <v>915</v>
      </c>
      <c r="DN6" s="280">
        <v>0</v>
      </c>
      <c r="DO6" s="280">
        <v>0</v>
      </c>
      <c r="DP6" s="280">
        <v>0</v>
      </c>
      <c r="DQ6" s="280">
        <v>0</v>
      </c>
      <c r="DR6" s="280">
        <v>809.52</v>
      </c>
      <c r="DS6" s="280">
        <v>0</v>
      </c>
      <c r="DT6" s="280">
        <v>0</v>
      </c>
      <c r="DU6" s="280">
        <v>0</v>
      </c>
      <c r="DV6" s="280">
        <v>0</v>
      </c>
      <c r="DW6" s="280">
        <v>0</v>
      </c>
      <c r="DX6" s="280"/>
      <c r="DY6" s="280"/>
      <c r="DZ6" s="280"/>
      <c r="EA6" s="54">
        <v>-73997.42</v>
      </c>
      <c r="EB6" s="54">
        <v>71220.78</v>
      </c>
      <c r="EC6" s="54">
        <v>0</v>
      </c>
      <c r="ED6" s="54">
        <v>77612.95</v>
      </c>
      <c r="EE6" s="54">
        <v>0</v>
      </c>
      <c r="EF6" s="54">
        <v>679.90000000000009</v>
      </c>
      <c r="EG6" s="54">
        <v>-2065.5100000000002</v>
      </c>
    </row>
    <row r="7" spans="1:137">
      <c r="A7" s="279" t="s">
        <v>92</v>
      </c>
      <c r="B7" s="280">
        <v>5256974.17</v>
      </c>
      <c r="C7" s="280">
        <v>209177.22</v>
      </c>
      <c r="D7" s="280">
        <v>0</v>
      </c>
      <c r="E7" s="280">
        <v>43383.45</v>
      </c>
      <c r="F7" s="280">
        <v>93628.3</v>
      </c>
      <c r="G7" s="280">
        <v>125357.19</v>
      </c>
      <c r="H7" s="280">
        <v>36528.14</v>
      </c>
      <c r="I7" s="280">
        <v>63289.77</v>
      </c>
      <c r="J7" s="280">
        <v>0</v>
      </c>
      <c r="K7" s="280">
        <v>19780.080000000002</v>
      </c>
      <c r="L7" s="280">
        <v>64869.4</v>
      </c>
      <c r="M7" s="280">
        <v>77686.8</v>
      </c>
      <c r="N7" s="280">
        <v>66624.289999999994</v>
      </c>
      <c r="O7" s="280">
        <v>117944.88</v>
      </c>
      <c r="P7" s="280">
        <v>97005.29</v>
      </c>
      <c r="Q7" s="280">
        <v>229461.41</v>
      </c>
      <c r="R7" s="280">
        <v>62034.98</v>
      </c>
      <c r="S7" s="280">
        <v>22995.02</v>
      </c>
      <c r="T7" s="280">
        <v>-400.77</v>
      </c>
      <c r="U7" s="280">
        <v>0</v>
      </c>
      <c r="V7" s="280">
        <v>0</v>
      </c>
      <c r="W7" s="280">
        <v>299170.02</v>
      </c>
      <c r="X7" s="280">
        <v>748083.9</v>
      </c>
      <c r="Y7" s="280">
        <v>241005.44</v>
      </c>
      <c r="Z7" s="280">
        <v>162153.5</v>
      </c>
      <c r="AA7" s="280">
        <v>42847.1</v>
      </c>
      <c r="AB7" s="280">
        <v>58714</v>
      </c>
      <c r="AC7" s="280">
        <v>0</v>
      </c>
      <c r="AD7" s="280">
        <v>161242.29999999999</v>
      </c>
      <c r="AE7" s="280">
        <v>2214392.46</v>
      </c>
      <c r="AF7" s="280">
        <v>41628.14</v>
      </c>
      <c r="AG7" s="280">
        <v>25324.639999999999</v>
      </c>
      <c r="AH7" s="280">
        <v>41954.86</v>
      </c>
      <c r="AI7" s="280">
        <v>79074.48</v>
      </c>
      <c r="AJ7" s="280">
        <v>48868.54</v>
      </c>
      <c r="AK7" s="280">
        <v>45855.77</v>
      </c>
      <c r="AL7" s="280">
        <v>16463.59</v>
      </c>
      <c r="AM7" s="280">
        <v>134805.4</v>
      </c>
      <c r="AN7" s="280">
        <v>194197.99</v>
      </c>
      <c r="AO7" s="280">
        <v>195078.33</v>
      </c>
      <c r="AP7" s="280">
        <v>98682.86</v>
      </c>
      <c r="AQ7" s="280">
        <v>41883.879999999997</v>
      </c>
      <c r="AR7" s="280">
        <v>50806.76</v>
      </c>
      <c r="AS7" s="280">
        <v>32628.68</v>
      </c>
      <c r="AT7" s="280">
        <v>0</v>
      </c>
      <c r="AU7" s="280">
        <v>46694.28</v>
      </c>
      <c r="AV7" s="280">
        <v>80750.13</v>
      </c>
      <c r="AW7" s="280">
        <v>83952.24</v>
      </c>
      <c r="AX7" s="280">
        <v>29608.79</v>
      </c>
      <c r="AY7" s="280">
        <v>28555.49</v>
      </c>
      <c r="AZ7" s="280">
        <v>14291.61</v>
      </c>
      <c r="BA7" s="280">
        <v>112431.66</v>
      </c>
      <c r="BB7" s="280">
        <v>89314.43</v>
      </c>
      <c r="BC7" s="280">
        <v>60895.56</v>
      </c>
      <c r="BD7" s="280">
        <v>72274.06</v>
      </c>
      <c r="BE7" s="280">
        <v>1879476.75</v>
      </c>
      <c r="BF7" s="280">
        <v>100715.75</v>
      </c>
      <c r="BG7" s="280">
        <v>89683.65</v>
      </c>
      <c r="BH7" s="280">
        <v>99750.5</v>
      </c>
      <c r="BI7" s="280">
        <v>81110.62</v>
      </c>
      <c r="BJ7" s="280">
        <v>91531.85</v>
      </c>
      <c r="BK7" s="280">
        <v>86620.6</v>
      </c>
      <c r="BL7" s="280">
        <v>5501.15</v>
      </c>
      <c r="BM7" s="280">
        <v>98654.26</v>
      </c>
      <c r="BN7" s="280">
        <v>38061.949999999997</v>
      </c>
      <c r="BO7" s="280">
        <v>40257.97</v>
      </c>
      <c r="BP7" s="280">
        <v>108409.87</v>
      </c>
      <c r="BQ7" s="280">
        <v>44249.34</v>
      </c>
      <c r="BR7" s="280">
        <v>66542.320000000007</v>
      </c>
      <c r="BS7" s="280">
        <v>30422.05</v>
      </c>
      <c r="BT7" s="280">
        <v>16620.759999999998</v>
      </c>
      <c r="BU7" s="280">
        <v>2016.01</v>
      </c>
      <c r="BV7" s="280">
        <v>21380.19</v>
      </c>
      <c r="BW7" s="280">
        <v>46262.93</v>
      </c>
      <c r="BX7" s="280">
        <v>142.46</v>
      </c>
      <c r="BY7" s="280">
        <v>29786.04</v>
      </c>
      <c r="BZ7" s="280">
        <v>38210.83</v>
      </c>
      <c r="CA7" s="280">
        <v>54985.22</v>
      </c>
      <c r="CB7" s="280">
        <v>22043.59</v>
      </c>
      <c r="CC7" s="280">
        <v>9728.8799999999992</v>
      </c>
      <c r="CD7" s="280">
        <v>10093.700000000001</v>
      </c>
      <c r="CE7" s="280">
        <v>25912.45</v>
      </c>
      <c r="CF7" s="280">
        <v>23230.83</v>
      </c>
      <c r="CG7" s="280">
        <v>5377.29</v>
      </c>
      <c r="CH7" s="280">
        <v>8887.43</v>
      </c>
      <c r="CI7" s="280">
        <v>28932.35</v>
      </c>
      <c r="CJ7" s="280">
        <v>13163.65</v>
      </c>
      <c r="CK7" s="280">
        <v>17372.52</v>
      </c>
      <c r="CL7" s="280">
        <v>6348</v>
      </c>
      <c r="CM7" s="280">
        <v>10273.25</v>
      </c>
      <c r="CN7" s="280">
        <v>15715.73</v>
      </c>
      <c r="CO7" s="280">
        <v>54085.69</v>
      </c>
      <c r="CP7" s="280">
        <v>22464.17</v>
      </c>
      <c r="CQ7" s="280">
        <v>10605.01</v>
      </c>
      <c r="CR7" s="280">
        <v>10685.34</v>
      </c>
      <c r="CS7" s="280">
        <v>5021.0600000000004</v>
      </c>
      <c r="CT7" s="280">
        <v>16617.150000000001</v>
      </c>
      <c r="CU7" s="280">
        <v>8461.35</v>
      </c>
      <c r="CV7" s="280">
        <v>12236.87</v>
      </c>
      <c r="CW7" s="280">
        <v>9965.75</v>
      </c>
      <c r="CX7" s="280">
        <v>13805.43</v>
      </c>
      <c r="CY7" s="280">
        <v>13677.36</v>
      </c>
      <c r="CZ7" s="280">
        <v>23165.66</v>
      </c>
      <c r="DA7" s="280">
        <v>14885.97</v>
      </c>
      <c r="DB7" s="280">
        <v>25136.41</v>
      </c>
      <c r="DC7" s="280">
        <v>5951.74</v>
      </c>
      <c r="DD7" s="280">
        <v>15852.06</v>
      </c>
      <c r="DE7" s="280">
        <v>14886.96</v>
      </c>
      <c r="DF7" s="280">
        <v>23987.89</v>
      </c>
      <c r="DG7" s="280">
        <v>9848.01</v>
      </c>
      <c r="DH7" s="280">
        <v>6820.97</v>
      </c>
      <c r="DI7" s="280">
        <v>22775.15</v>
      </c>
      <c r="DJ7" s="280">
        <v>7411.12</v>
      </c>
      <c r="DK7" s="280">
        <v>14757.5</v>
      </c>
      <c r="DL7" s="280">
        <v>10854.77</v>
      </c>
      <c r="DM7" s="280">
        <v>21184.52</v>
      </c>
      <c r="DN7" s="280">
        <v>25300.74</v>
      </c>
      <c r="DO7" s="280">
        <v>20839.48</v>
      </c>
      <c r="DP7" s="280">
        <v>12356.14</v>
      </c>
      <c r="DQ7" s="280">
        <v>10007.94</v>
      </c>
      <c r="DR7" s="280">
        <v>18204.7</v>
      </c>
      <c r="DS7" s="280">
        <v>9627.85</v>
      </c>
      <c r="DT7" s="280">
        <v>0</v>
      </c>
      <c r="DU7" s="280">
        <v>0</v>
      </c>
      <c r="DV7" s="280">
        <v>0</v>
      </c>
      <c r="DW7" s="280">
        <v>0</v>
      </c>
      <c r="DX7" s="280"/>
      <c r="DY7" s="280"/>
      <c r="DZ7" s="280"/>
      <c r="EA7" s="54">
        <v>-2214392.46</v>
      </c>
      <c r="EB7" s="54">
        <v>2067441.7699999998</v>
      </c>
      <c r="EC7" s="54">
        <v>0</v>
      </c>
      <c r="ED7" s="54">
        <v>2497098.89</v>
      </c>
      <c r="EE7" s="54">
        <v>-103989.22</v>
      </c>
      <c r="EF7" s="54">
        <v>465377.47</v>
      </c>
      <c r="EG7" s="54">
        <v>-536687.25</v>
      </c>
    </row>
    <row r="8" spans="1:137">
      <c r="A8" s="279" t="s">
        <v>93</v>
      </c>
      <c r="B8" s="280">
        <v>0</v>
      </c>
      <c r="C8" s="280">
        <v>0</v>
      </c>
      <c r="D8" s="280">
        <v>0</v>
      </c>
      <c r="E8" s="280">
        <v>0</v>
      </c>
      <c r="F8" s="280">
        <v>0</v>
      </c>
      <c r="G8" s="280">
        <v>0</v>
      </c>
      <c r="H8" s="280">
        <v>0</v>
      </c>
      <c r="I8" s="280">
        <v>0</v>
      </c>
      <c r="J8" s="280">
        <v>0</v>
      </c>
      <c r="K8" s="280">
        <v>0</v>
      </c>
      <c r="L8" s="280">
        <v>0</v>
      </c>
      <c r="M8" s="280">
        <v>0</v>
      </c>
      <c r="N8" s="280">
        <v>0</v>
      </c>
      <c r="O8" s="280">
        <v>0</v>
      </c>
      <c r="P8" s="280">
        <v>0</v>
      </c>
      <c r="Q8" s="280">
        <v>0</v>
      </c>
      <c r="R8" s="280">
        <v>0</v>
      </c>
      <c r="S8" s="280">
        <v>0</v>
      </c>
      <c r="T8" s="280">
        <v>0</v>
      </c>
      <c r="U8" s="280">
        <v>0</v>
      </c>
      <c r="V8" s="280">
        <v>0</v>
      </c>
      <c r="W8" s="280">
        <v>0</v>
      </c>
      <c r="X8" s="280">
        <v>0</v>
      </c>
      <c r="Y8" s="280">
        <v>0</v>
      </c>
      <c r="Z8" s="280">
        <v>0</v>
      </c>
      <c r="AA8" s="280">
        <v>0</v>
      </c>
      <c r="AB8" s="280">
        <v>0</v>
      </c>
      <c r="AC8" s="280">
        <v>0</v>
      </c>
      <c r="AD8" s="280">
        <v>0</v>
      </c>
      <c r="AE8" s="280">
        <v>0</v>
      </c>
      <c r="AF8" s="280">
        <v>0</v>
      </c>
      <c r="AG8" s="280">
        <v>0</v>
      </c>
      <c r="AH8" s="280">
        <v>0</v>
      </c>
      <c r="AI8" s="280">
        <v>0</v>
      </c>
      <c r="AJ8" s="280">
        <v>0</v>
      </c>
      <c r="AK8" s="280">
        <v>0</v>
      </c>
      <c r="AL8" s="280">
        <v>0</v>
      </c>
      <c r="AM8" s="280">
        <v>0</v>
      </c>
      <c r="AN8" s="280">
        <v>0</v>
      </c>
      <c r="AO8" s="280">
        <v>0</v>
      </c>
      <c r="AP8" s="280">
        <v>0</v>
      </c>
      <c r="AQ8" s="280">
        <v>0</v>
      </c>
      <c r="AR8" s="280">
        <v>0</v>
      </c>
      <c r="AS8" s="280">
        <v>0</v>
      </c>
      <c r="AT8" s="280">
        <v>0</v>
      </c>
      <c r="AU8" s="280">
        <v>0</v>
      </c>
      <c r="AV8" s="280">
        <v>0</v>
      </c>
      <c r="AW8" s="280">
        <v>0</v>
      </c>
      <c r="AX8" s="280">
        <v>0</v>
      </c>
      <c r="AY8" s="280">
        <v>0</v>
      </c>
      <c r="AZ8" s="280">
        <v>0</v>
      </c>
      <c r="BA8" s="280">
        <v>0</v>
      </c>
      <c r="BB8" s="280">
        <v>0</v>
      </c>
      <c r="BC8" s="280">
        <v>0</v>
      </c>
      <c r="BD8" s="280">
        <v>0</v>
      </c>
      <c r="BE8" s="280">
        <v>0</v>
      </c>
      <c r="BF8" s="280">
        <v>0</v>
      </c>
      <c r="BG8" s="280">
        <v>0</v>
      </c>
      <c r="BH8" s="280">
        <v>0</v>
      </c>
      <c r="BI8" s="280">
        <v>0</v>
      </c>
      <c r="BJ8" s="280">
        <v>0</v>
      </c>
      <c r="BK8" s="280">
        <v>0</v>
      </c>
      <c r="BL8" s="280">
        <v>0</v>
      </c>
      <c r="BM8" s="280">
        <v>0</v>
      </c>
      <c r="BN8" s="280">
        <v>0</v>
      </c>
      <c r="BO8" s="280">
        <v>0</v>
      </c>
      <c r="BP8" s="280">
        <v>0</v>
      </c>
      <c r="BQ8" s="280">
        <v>0</v>
      </c>
      <c r="BR8" s="280">
        <v>0</v>
      </c>
      <c r="BS8" s="280">
        <v>0</v>
      </c>
      <c r="BT8" s="280">
        <v>0</v>
      </c>
      <c r="BU8" s="280">
        <v>0</v>
      </c>
      <c r="BV8" s="280">
        <v>0</v>
      </c>
      <c r="BW8" s="280">
        <v>0</v>
      </c>
      <c r="BX8" s="280">
        <v>0</v>
      </c>
      <c r="BY8" s="280">
        <v>0</v>
      </c>
      <c r="BZ8" s="280">
        <v>0</v>
      </c>
      <c r="CA8" s="280">
        <v>0</v>
      </c>
      <c r="CB8" s="280">
        <v>0</v>
      </c>
      <c r="CC8" s="280">
        <v>0</v>
      </c>
      <c r="CD8" s="280">
        <v>0</v>
      </c>
      <c r="CE8" s="280">
        <v>0</v>
      </c>
      <c r="CF8" s="280">
        <v>0</v>
      </c>
      <c r="CG8" s="280">
        <v>0</v>
      </c>
      <c r="CH8" s="280">
        <v>0</v>
      </c>
      <c r="CI8" s="280">
        <v>0</v>
      </c>
      <c r="CJ8" s="280">
        <v>0</v>
      </c>
      <c r="CK8" s="280">
        <v>0</v>
      </c>
      <c r="CL8" s="280">
        <v>0</v>
      </c>
      <c r="CM8" s="280">
        <v>0</v>
      </c>
      <c r="CN8" s="280">
        <v>0</v>
      </c>
      <c r="CO8" s="280">
        <v>0</v>
      </c>
      <c r="CP8" s="280">
        <v>0</v>
      </c>
      <c r="CQ8" s="280">
        <v>0</v>
      </c>
      <c r="CR8" s="280">
        <v>0</v>
      </c>
      <c r="CS8" s="280">
        <v>0</v>
      </c>
      <c r="CT8" s="280">
        <v>0</v>
      </c>
      <c r="CU8" s="280">
        <v>0</v>
      </c>
      <c r="CV8" s="280">
        <v>0</v>
      </c>
      <c r="CW8" s="280">
        <v>0</v>
      </c>
      <c r="CX8" s="280">
        <v>0</v>
      </c>
      <c r="CY8" s="280">
        <v>0</v>
      </c>
      <c r="CZ8" s="280">
        <v>0</v>
      </c>
      <c r="DA8" s="280">
        <v>0</v>
      </c>
      <c r="DB8" s="280">
        <v>0</v>
      </c>
      <c r="DC8" s="280">
        <v>0</v>
      </c>
      <c r="DD8" s="280">
        <v>0</v>
      </c>
      <c r="DE8" s="280">
        <v>0</v>
      </c>
      <c r="DF8" s="280">
        <v>0</v>
      </c>
      <c r="DG8" s="280">
        <v>0</v>
      </c>
      <c r="DH8" s="280">
        <v>0</v>
      </c>
      <c r="DI8" s="280">
        <v>0</v>
      </c>
      <c r="DJ8" s="280">
        <v>0</v>
      </c>
      <c r="DK8" s="280">
        <v>0</v>
      </c>
      <c r="DL8" s="280">
        <v>0</v>
      </c>
      <c r="DM8" s="280">
        <v>0</v>
      </c>
      <c r="DN8" s="280">
        <v>0</v>
      </c>
      <c r="DO8" s="280">
        <v>0</v>
      </c>
      <c r="DP8" s="280">
        <v>0</v>
      </c>
      <c r="DQ8" s="280">
        <v>0</v>
      </c>
      <c r="DR8" s="280">
        <v>0</v>
      </c>
      <c r="DS8" s="280">
        <v>0</v>
      </c>
      <c r="DT8" s="280">
        <v>0</v>
      </c>
      <c r="DU8" s="280">
        <v>0</v>
      </c>
      <c r="DV8" s="280">
        <v>0</v>
      </c>
      <c r="DW8" s="280">
        <v>0</v>
      </c>
      <c r="DX8" s="280"/>
      <c r="DY8" s="280"/>
      <c r="DZ8" s="280"/>
      <c r="EA8" s="54">
        <v>0</v>
      </c>
      <c r="EB8" s="54">
        <v>0</v>
      </c>
      <c r="EC8" s="54">
        <v>0</v>
      </c>
      <c r="ED8" s="54">
        <v>0</v>
      </c>
      <c r="EE8" s="54">
        <v>0</v>
      </c>
      <c r="EF8" s="54">
        <v>0</v>
      </c>
      <c r="EG8" s="54">
        <v>0</v>
      </c>
    </row>
    <row r="9" spans="1:137">
      <c r="A9" s="279" t="s">
        <v>94</v>
      </c>
      <c r="B9" s="280">
        <v>30905.78</v>
      </c>
      <c r="C9" s="280">
        <v>0</v>
      </c>
      <c r="D9" s="280">
        <v>0</v>
      </c>
      <c r="E9" s="280">
        <v>0</v>
      </c>
      <c r="F9" s="280">
        <v>0</v>
      </c>
      <c r="G9" s="280">
        <v>0</v>
      </c>
      <c r="H9" s="280">
        <v>0</v>
      </c>
      <c r="I9" s="280">
        <v>0</v>
      </c>
      <c r="J9" s="280">
        <v>0</v>
      </c>
      <c r="K9" s="280">
        <v>0</v>
      </c>
      <c r="L9" s="280">
        <v>0</v>
      </c>
      <c r="M9" s="280">
        <v>0</v>
      </c>
      <c r="N9" s="280">
        <v>0</v>
      </c>
      <c r="O9" s="280">
        <v>-1575.5</v>
      </c>
      <c r="P9" s="280">
        <v>0</v>
      </c>
      <c r="Q9" s="280">
        <v>0</v>
      </c>
      <c r="R9" s="280">
        <v>0</v>
      </c>
      <c r="S9" s="280">
        <v>0</v>
      </c>
      <c r="T9" s="280">
        <v>0</v>
      </c>
      <c r="U9" s="280">
        <v>0</v>
      </c>
      <c r="V9" s="280">
        <v>0</v>
      </c>
      <c r="W9" s="280">
        <v>0</v>
      </c>
      <c r="X9" s="280">
        <v>-3151</v>
      </c>
      <c r="Y9" s="280">
        <v>0</v>
      </c>
      <c r="Z9" s="280">
        <v>0</v>
      </c>
      <c r="AA9" s="280">
        <v>0</v>
      </c>
      <c r="AB9" s="280">
        <v>0</v>
      </c>
      <c r="AC9" s="280">
        <v>0</v>
      </c>
      <c r="AD9" s="280">
        <v>0</v>
      </c>
      <c r="AE9" s="280">
        <v>35632.28</v>
      </c>
      <c r="AF9" s="280">
        <v>0</v>
      </c>
      <c r="AG9" s="280">
        <v>0</v>
      </c>
      <c r="AH9" s="280">
        <v>0</v>
      </c>
      <c r="AI9" s="280">
        <v>0</v>
      </c>
      <c r="AJ9" s="280">
        <v>0</v>
      </c>
      <c r="AK9" s="280">
        <v>0</v>
      </c>
      <c r="AL9" s="280">
        <v>0</v>
      </c>
      <c r="AM9" s="280">
        <v>0</v>
      </c>
      <c r="AN9" s="280">
        <v>0</v>
      </c>
      <c r="AO9" s="280">
        <v>-3151</v>
      </c>
      <c r="AP9" s="280">
        <v>0</v>
      </c>
      <c r="AQ9" s="280">
        <v>0</v>
      </c>
      <c r="AR9" s="280">
        <v>0</v>
      </c>
      <c r="AS9" s="280">
        <v>0</v>
      </c>
      <c r="AT9" s="280">
        <v>0</v>
      </c>
      <c r="AU9" s="280">
        <v>0</v>
      </c>
      <c r="AV9" s="280">
        <v>0</v>
      </c>
      <c r="AW9" s="280">
        <v>0</v>
      </c>
      <c r="AX9" s="280">
        <v>0</v>
      </c>
      <c r="AY9" s="280">
        <v>0</v>
      </c>
      <c r="AZ9" s="280">
        <v>0</v>
      </c>
      <c r="BA9" s="280">
        <v>0</v>
      </c>
      <c r="BB9" s="280">
        <v>0</v>
      </c>
      <c r="BC9" s="280">
        <v>0</v>
      </c>
      <c r="BD9" s="280">
        <v>0</v>
      </c>
      <c r="BE9" s="280">
        <v>35632.28</v>
      </c>
      <c r="BF9" s="280">
        <v>-1858.5</v>
      </c>
      <c r="BG9" s="280">
        <v>0</v>
      </c>
      <c r="BH9" s="280">
        <v>0</v>
      </c>
      <c r="BI9" s="280">
        <v>0</v>
      </c>
      <c r="BJ9" s="280">
        <v>-1858.5</v>
      </c>
      <c r="BK9" s="280">
        <v>-200</v>
      </c>
      <c r="BL9" s="280">
        <v>0</v>
      </c>
      <c r="BM9" s="280">
        <v>0</v>
      </c>
      <c r="BN9" s="280">
        <v>0</v>
      </c>
      <c r="BO9" s="280">
        <v>5926</v>
      </c>
      <c r="BP9" s="280">
        <v>33623.279999999999</v>
      </c>
      <c r="BQ9" s="280">
        <v>0</v>
      </c>
      <c r="BR9" s="280">
        <v>0</v>
      </c>
      <c r="BS9" s="280">
        <v>0</v>
      </c>
      <c r="BT9" s="280">
        <v>0</v>
      </c>
      <c r="BU9" s="280">
        <v>0</v>
      </c>
      <c r="BV9" s="280">
        <v>0</v>
      </c>
      <c r="BW9" s="280">
        <v>0</v>
      </c>
      <c r="BX9" s="280">
        <v>0</v>
      </c>
      <c r="BY9" s="280">
        <v>0</v>
      </c>
      <c r="BZ9" s="280">
        <v>0</v>
      </c>
      <c r="CA9" s="280">
        <v>0</v>
      </c>
      <c r="CB9" s="280">
        <v>0</v>
      </c>
      <c r="CC9" s="280">
        <v>0</v>
      </c>
      <c r="CD9" s="280">
        <v>0</v>
      </c>
      <c r="CE9" s="280">
        <v>0</v>
      </c>
      <c r="CF9" s="280">
        <v>0</v>
      </c>
      <c r="CG9" s="280">
        <v>0</v>
      </c>
      <c r="CH9" s="280">
        <v>0</v>
      </c>
      <c r="CI9" s="280">
        <v>0</v>
      </c>
      <c r="CJ9" s="280">
        <v>0</v>
      </c>
      <c r="CK9" s="280">
        <v>0</v>
      </c>
      <c r="CL9" s="280">
        <v>0</v>
      </c>
      <c r="CM9" s="280">
        <v>0</v>
      </c>
      <c r="CN9" s="280">
        <v>0</v>
      </c>
      <c r="CO9" s="280">
        <v>0</v>
      </c>
      <c r="CP9" s="280">
        <v>0</v>
      </c>
      <c r="CQ9" s="280">
        <v>0</v>
      </c>
      <c r="CR9" s="280">
        <v>0</v>
      </c>
      <c r="CS9" s="280">
        <v>0</v>
      </c>
      <c r="CT9" s="280">
        <v>0</v>
      </c>
      <c r="CU9" s="280">
        <v>0</v>
      </c>
      <c r="CV9" s="280">
        <v>0</v>
      </c>
      <c r="CW9" s="280">
        <v>0</v>
      </c>
      <c r="CX9" s="280">
        <v>0</v>
      </c>
      <c r="CY9" s="280">
        <v>0</v>
      </c>
      <c r="CZ9" s="280">
        <v>0</v>
      </c>
      <c r="DA9" s="280">
        <v>0</v>
      </c>
      <c r="DB9" s="280">
        <v>0</v>
      </c>
      <c r="DC9" s="280">
        <v>0</v>
      </c>
      <c r="DD9" s="280">
        <v>0</v>
      </c>
      <c r="DE9" s="280">
        <v>0</v>
      </c>
      <c r="DF9" s="280">
        <v>0</v>
      </c>
      <c r="DG9" s="280">
        <v>0</v>
      </c>
      <c r="DH9" s="280">
        <v>0</v>
      </c>
      <c r="DI9" s="280">
        <v>0</v>
      </c>
      <c r="DJ9" s="280">
        <v>0</v>
      </c>
      <c r="DK9" s="280">
        <v>0</v>
      </c>
      <c r="DL9" s="280">
        <v>0</v>
      </c>
      <c r="DM9" s="280">
        <v>0</v>
      </c>
      <c r="DN9" s="280">
        <v>0</v>
      </c>
      <c r="DO9" s="280">
        <v>0</v>
      </c>
      <c r="DP9" s="280">
        <v>0</v>
      </c>
      <c r="DQ9" s="280">
        <v>0</v>
      </c>
      <c r="DR9" s="280">
        <v>0</v>
      </c>
      <c r="DS9" s="280">
        <v>0</v>
      </c>
      <c r="DT9" s="280">
        <v>0</v>
      </c>
      <c r="DU9" s="280">
        <v>0</v>
      </c>
      <c r="DV9" s="280">
        <v>0</v>
      </c>
      <c r="DW9" s="280">
        <v>0</v>
      </c>
      <c r="DX9" s="280"/>
      <c r="DY9" s="280"/>
      <c r="DZ9" s="280"/>
      <c r="EA9" s="54">
        <v>-35632.28</v>
      </c>
      <c r="EB9" s="54">
        <v>35632.28</v>
      </c>
      <c r="EC9" s="54">
        <v>0</v>
      </c>
      <c r="ED9" s="54">
        <v>35632.28</v>
      </c>
      <c r="EE9" s="54">
        <v>0</v>
      </c>
      <c r="EF9" s="54">
        <v>-3151</v>
      </c>
      <c r="EG9" s="54">
        <v>3151</v>
      </c>
    </row>
    <row r="10" spans="1:137">
      <c r="A10" s="279" t="s">
        <v>95</v>
      </c>
      <c r="B10" s="280">
        <v>196163.11</v>
      </c>
      <c r="C10" s="280">
        <v>840</v>
      </c>
      <c r="D10" s="280">
        <v>0</v>
      </c>
      <c r="E10" s="280">
        <v>840</v>
      </c>
      <c r="F10" s="280">
        <v>2750</v>
      </c>
      <c r="G10" s="280">
        <v>0</v>
      </c>
      <c r="H10" s="280">
        <v>0</v>
      </c>
      <c r="I10" s="280">
        <v>0</v>
      </c>
      <c r="J10" s="280">
        <v>0</v>
      </c>
      <c r="K10" s="280">
        <v>0</v>
      </c>
      <c r="L10" s="280">
        <v>420</v>
      </c>
      <c r="M10" s="280">
        <v>0</v>
      </c>
      <c r="N10" s="280">
        <v>0</v>
      </c>
      <c r="O10" s="280">
        <v>3320</v>
      </c>
      <c r="P10" s="280">
        <v>0</v>
      </c>
      <c r="Q10" s="280">
        <v>18846.900000000001</v>
      </c>
      <c r="R10" s="280">
        <v>1260</v>
      </c>
      <c r="S10" s="280">
        <v>0</v>
      </c>
      <c r="T10" s="280">
        <v>0</v>
      </c>
      <c r="U10" s="280">
        <v>0</v>
      </c>
      <c r="V10" s="280">
        <v>0</v>
      </c>
      <c r="W10" s="280">
        <v>0</v>
      </c>
      <c r="X10" s="280">
        <v>0</v>
      </c>
      <c r="Y10" s="280">
        <v>6300</v>
      </c>
      <c r="Z10" s="280">
        <v>386.21</v>
      </c>
      <c r="AA10" s="280">
        <v>5460</v>
      </c>
      <c r="AB10" s="280">
        <v>3660</v>
      </c>
      <c r="AC10" s="280">
        <v>0</v>
      </c>
      <c r="AD10" s="280">
        <v>13860</v>
      </c>
      <c r="AE10" s="280">
        <v>138220</v>
      </c>
      <c r="AF10" s="280">
        <v>0</v>
      </c>
      <c r="AG10" s="280">
        <v>0</v>
      </c>
      <c r="AH10" s="280">
        <v>0</v>
      </c>
      <c r="AI10" s="280">
        <v>0</v>
      </c>
      <c r="AJ10" s="280">
        <v>0</v>
      </c>
      <c r="AK10" s="280">
        <v>0</v>
      </c>
      <c r="AL10" s="280">
        <v>0</v>
      </c>
      <c r="AM10" s="280">
        <v>0</v>
      </c>
      <c r="AN10" s="280">
        <v>0</v>
      </c>
      <c r="AO10" s="280">
        <v>0</v>
      </c>
      <c r="AP10" s="280">
        <v>0</v>
      </c>
      <c r="AQ10" s="280">
        <v>0</v>
      </c>
      <c r="AR10" s="280">
        <v>0</v>
      </c>
      <c r="AS10" s="280">
        <v>0</v>
      </c>
      <c r="AT10" s="280">
        <v>0</v>
      </c>
      <c r="AU10" s="280">
        <v>4200</v>
      </c>
      <c r="AV10" s="280">
        <v>0</v>
      </c>
      <c r="AW10" s="280">
        <v>0</v>
      </c>
      <c r="AX10" s="280">
        <v>2100</v>
      </c>
      <c r="AY10" s="280">
        <v>3780</v>
      </c>
      <c r="AZ10" s="280">
        <v>1680</v>
      </c>
      <c r="BA10" s="280">
        <v>8820</v>
      </c>
      <c r="BB10" s="280">
        <v>0</v>
      </c>
      <c r="BC10" s="280">
        <v>0</v>
      </c>
      <c r="BD10" s="280">
        <v>0</v>
      </c>
      <c r="BE10" s="280">
        <v>129400</v>
      </c>
      <c r="BF10" s="280">
        <v>3780</v>
      </c>
      <c r="BG10" s="280">
        <v>2940</v>
      </c>
      <c r="BH10" s="280">
        <v>3780</v>
      </c>
      <c r="BI10" s="280">
        <v>3360</v>
      </c>
      <c r="BJ10" s="280">
        <v>2940</v>
      </c>
      <c r="BK10" s="280">
        <v>2940</v>
      </c>
      <c r="BL10" s="280">
        <v>1680</v>
      </c>
      <c r="BM10" s="280">
        <v>2940</v>
      </c>
      <c r="BN10" s="280">
        <v>2100</v>
      </c>
      <c r="BO10" s="280">
        <v>2520</v>
      </c>
      <c r="BP10" s="280">
        <v>2940</v>
      </c>
      <c r="BQ10" s="280">
        <v>3360</v>
      </c>
      <c r="BR10" s="280">
        <v>3360</v>
      </c>
      <c r="BS10" s="280">
        <v>2380</v>
      </c>
      <c r="BT10" s="280">
        <v>2100</v>
      </c>
      <c r="BU10" s="280">
        <v>2100</v>
      </c>
      <c r="BV10" s="280">
        <v>2520</v>
      </c>
      <c r="BW10" s="280">
        <v>2520</v>
      </c>
      <c r="BX10" s="280">
        <v>1260</v>
      </c>
      <c r="BY10" s="280">
        <v>1680</v>
      </c>
      <c r="BZ10" s="280">
        <v>2520</v>
      </c>
      <c r="CA10" s="280">
        <v>2940</v>
      </c>
      <c r="CB10" s="280">
        <v>1260</v>
      </c>
      <c r="CC10" s="280">
        <v>1260</v>
      </c>
      <c r="CD10" s="280">
        <v>1260</v>
      </c>
      <c r="CE10" s="280">
        <v>1260</v>
      </c>
      <c r="CF10" s="280">
        <v>1260</v>
      </c>
      <c r="CG10" s="280">
        <v>1260</v>
      </c>
      <c r="CH10" s="280">
        <v>1260</v>
      </c>
      <c r="CI10" s="280">
        <v>12120</v>
      </c>
      <c r="CJ10" s="280">
        <v>1240</v>
      </c>
      <c r="CK10" s="280">
        <v>1260</v>
      </c>
      <c r="CL10" s="280">
        <v>840</v>
      </c>
      <c r="CM10" s="280">
        <v>1260</v>
      </c>
      <c r="CN10" s="280">
        <v>1260</v>
      </c>
      <c r="CO10" s="280">
        <v>2520</v>
      </c>
      <c r="CP10" s="280">
        <v>1680</v>
      </c>
      <c r="CQ10" s="280">
        <v>1260</v>
      </c>
      <c r="CR10" s="280">
        <v>1260</v>
      </c>
      <c r="CS10" s="280">
        <v>1260</v>
      </c>
      <c r="CT10" s="280">
        <v>1680</v>
      </c>
      <c r="CU10" s="280">
        <v>1260</v>
      </c>
      <c r="CV10" s="280">
        <v>1260</v>
      </c>
      <c r="CW10" s="280">
        <v>1260</v>
      </c>
      <c r="CX10" s="280">
        <v>1260</v>
      </c>
      <c r="CY10" s="280">
        <v>1260</v>
      </c>
      <c r="CZ10" s="280">
        <v>1260</v>
      </c>
      <c r="DA10" s="280">
        <v>2160</v>
      </c>
      <c r="DB10" s="280">
        <v>1380</v>
      </c>
      <c r="DC10" s="280">
        <v>1260</v>
      </c>
      <c r="DD10" s="280">
        <v>1260</v>
      </c>
      <c r="DE10" s="280">
        <v>1260</v>
      </c>
      <c r="DF10" s="280">
        <v>1260</v>
      </c>
      <c r="DG10" s="280">
        <v>1260</v>
      </c>
      <c r="DH10" s="280">
        <v>920</v>
      </c>
      <c r="DI10" s="280">
        <v>1260</v>
      </c>
      <c r="DJ10" s="280">
        <v>1680</v>
      </c>
      <c r="DK10" s="280">
        <v>1260</v>
      </c>
      <c r="DL10" s="280">
        <v>1260</v>
      </c>
      <c r="DM10" s="280">
        <v>1260</v>
      </c>
      <c r="DN10" s="280">
        <v>2520</v>
      </c>
      <c r="DO10" s="280">
        <v>2100</v>
      </c>
      <c r="DP10" s="280">
        <v>1260</v>
      </c>
      <c r="DQ10" s="280">
        <v>840</v>
      </c>
      <c r="DR10" s="280">
        <v>1260</v>
      </c>
      <c r="DS10" s="280">
        <v>1260</v>
      </c>
      <c r="DT10" s="280">
        <v>0</v>
      </c>
      <c r="DU10" s="280">
        <v>0</v>
      </c>
      <c r="DV10" s="280">
        <v>0</v>
      </c>
      <c r="DW10" s="280">
        <v>0</v>
      </c>
      <c r="DX10" s="280"/>
      <c r="DY10" s="280"/>
      <c r="DZ10" s="280"/>
      <c r="EA10" s="54">
        <v>-138220</v>
      </c>
      <c r="EB10" s="54">
        <v>126040</v>
      </c>
      <c r="EC10" s="54">
        <v>0</v>
      </c>
      <c r="ED10" s="54">
        <v>138220</v>
      </c>
      <c r="EE10" s="54">
        <v>5493.79</v>
      </c>
      <c r="EF10" s="54">
        <v>0</v>
      </c>
      <c r="EG10" s="54">
        <v>4200</v>
      </c>
    </row>
    <row r="11" spans="1:137">
      <c r="A11" s="279" t="s">
        <v>96</v>
      </c>
      <c r="B11" s="280">
        <v>407339.86</v>
      </c>
      <c r="C11" s="280">
        <v>0</v>
      </c>
      <c r="D11" s="280">
        <v>0</v>
      </c>
      <c r="E11" s="280">
        <v>0</v>
      </c>
      <c r="F11" s="280">
        <v>51516.480000000003</v>
      </c>
      <c r="G11" s="280">
        <v>0</v>
      </c>
      <c r="H11" s="280">
        <v>0</v>
      </c>
      <c r="I11" s="280">
        <v>5496</v>
      </c>
      <c r="J11" s="280">
        <v>0</v>
      </c>
      <c r="K11" s="280">
        <v>0</v>
      </c>
      <c r="L11" s="280">
        <v>0</v>
      </c>
      <c r="M11" s="280">
        <v>0</v>
      </c>
      <c r="N11" s="280">
        <v>0</v>
      </c>
      <c r="O11" s="280">
        <v>0</v>
      </c>
      <c r="P11" s="280">
        <v>0</v>
      </c>
      <c r="Q11" s="280">
        <v>100767.03</v>
      </c>
      <c r="R11" s="280">
        <v>0</v>
      </c>
      <c r="S11" s="280">
        <v>0</v>
      </c>
      <c r="T11" s="280">
        <v>0</v>
      </c>
      <c r="U11" s="280">
        <v>0</v>
      </c>
      <c r="V11" s="280">
        <v>0</v>
      </c>
      <c r="W11" s="280">
        <v>34730.089999999997</v>
      </c>
      <c r="X11" s="280">
        <v>10199.4</v>
      </c>
      <c r="Y11" s="280">
        <v>0</v>
      </c>
      <c r="Z11" s="280">
        <v>0</v>
      </c>
      <c r="AA11" s="280">
        <v>0</v>
      </c>
      <c r="AB11" s="280">
        <v>0</v>
      </c>
      <c r="AC11" s="280">
        <v>0</v>
      </c>
      <c r="AD11" s="280">
        <v>204630.86</v>
      </c>
      <c r="AE11" s="280">
        <v>0</v>
      </c>
      <c r="AF11" s="280">
        <v>34730.089999999997</v>
      </c>
      <c r="AG11" s="280">
        <v>0</v>
      </c>
      <c r="AH11" s="280">
        <v>0</v>
      </c>
      <c r="AI11" s="280">
        <v>0</v>
      </c>
      <c r="AJ11" s="280">
        <v>0</v>
      </c>
      <c r="AK11" s="280">
        <v>0</v>
      </c>
      <c r="AL11" s="280">
        <v>0</v>
      </c>
      <c r="AM11" s="280">
        <v>10199.4</v>
      </c>
      <c r="AN11" s="280">
        <v>0</v>
      </c>
      <c r="AO11" s="280">
        <v>0</v>
      </c>
      <c r="AP11" s="280">
        <v>0</v>
      </c>
      <c r="AQ11" s="280">
        <v>0</v>
      </c>
      <c r="AR11" s="280">
        <v>0</v>
      </c>
      <c r="AS11" s="280">
        <v>0</v>
      </c>
      <c r="AT11" s="280">
        <v>0</v>
      </c>
      <c r="AU11" s="280">
        <v>0</v>
      </c>
      <c r="AV11" s="280">
        <v>0</v>
      </c>
      <c r="AW11" s="280">
        <v>0</v>
      </c>
      <c r="AX11" s="280">
        <v>0</v>
      </c>
      <c r="AY11" s="280">
        <v>0</v>
      </c>
      <c r="AZ11" s="280">
        <v>0</v>
      </c>
      <c r="BA11" s="280">
        <v>0</v>
      </c>
      <c r="BB11" s="280">
        <v>0</v>
      </c>
      <c r="BC11" s="280">
        <v>0</v>
      </c>
      <c r="BD11" s="280">
        <v>0</v>
      </c>
      <c r="BE11" s="280">
        <v>0</v>
      </c>
      <c r="BF11" s="280">
        <v>0</v>
      </c>
      <c r="BG11" s="280">
        <v>0</v>
      </c>
      <c r="BH11" s="280">
        <v>0</v>
      </c>
      <c r="BI11" s="280">
        <v>0</v>
      </c>
      <c r="BJ11" s="280">
        <v>0</v>
      </c>
      <c r="BK11" s="280">
        <v>0</v>
      </c>
      <c r="BL11" s="280">
        <v>0</v>
      </c>
      <c r="BM11" s="280">
        <v>0</v>
      </c>
      <c r="BN11" s="280">
        <v>0</v>
      </c>
      <c r="BO11" s="280">
        <v>0</v>
      </c>
      <c r="BP11" s="280">
        <v>0</v>
      </c>
      <c r="BQ11" s="280">
        <v>0</v>
      </c>
      <c r="BR11" s="280">
        <v>0</v>
      </c>
      <c r="BS11" s="280">
        <v>0</v>
      </c>
      <c r="BT11" s="280">
        <v>0</v>
      </c>
      <c r="BU11" s="280">
        <v>0</v>
      </c>
      <c r="BV11" s="280">
        <v>0</v>
      </c>
      <c r="BW11" s="280">
        <v>0</v>
      </c>
      <c r="BX11" s="280">
        <v>0</v>
      </c>
      <c r="BY11" s="280">
        <v>0</v>
      </c>
      <c r="BZ11" s="280">
        <v>0</v>
      </c>
      <c r="CA11" s="280">
        <v>0</v>
      </c>
      <c r="CB11" s="280">
        <v>0</v>
      </c>
      <c r="CC11" s="280">
        <v>0</v>
      </c>
      <c r="CD11" s="280">
        <v>0</v>
      </c>
      <c r="CE11" s="280">
        <v>0</v>
      </c>
      <c r="CF11" s="280">
        <v>0</v>
      </c>
      <c r="CG11" s="280">
        <v>0</v>
      </c>
      <c r="CH11" s="280">
        <v>0</v>
      </c>
      <c r="CI11" s="280">
        <v>0</v>
      </c>
      <c r="CJ11" s="280">
        <v>0</v>
      </c>
      <c r="CK11" s="280">
        <v>0</v>
      </c>
      <c r="CL11" s="280">
        <v>0</v>
      </c>
      <c r="CM11" s="280">
        <v>0</v>
      </c>
      <c r="CN11" s="280">
        <v>0</v>
      </c>
      <c r="CO11" s="280">
        <v>0</v>
      </c>
      <c r="CP11" s="280">
        <v>0</v>
      </c>
      <c r="CQ11" s="280">
        <v>0</v>
      </c>
      <c r="CR11" s="280">
        <v>0</v>
      </c>
      <c r="CS11" s="280">
        <v>0</v>
      </c>
      <c r="CT11" s="280">
        <v>0</v>
      </c>
      <c r="CU11" s="280">
        <v>0</v>
      </c>
      <c r="CV11" s="280">
        <v>0</v>
      </c>
      <c r="CW11" s="280">
        <v>0</v>
      </c>
      <c r="CX11" s="280">
        <v>0</v>
      </c>
      <c r="CY11" s="280">
        <v>0</v>
      </c>
      <c r="CZ11" s="280">
        <v>0</v>
      </c>
      <c r="DA11" s="280">
        <v>0</v>
      </c>
      <c r="DB11" s="280">
        <v>0</v>
      </c>
      <c r="DC11" s="280">
        <v>0</v>
      </c>
      <c r="DD11" s="280">
        <v>0</v>
      </c>
      <c r="DE11" s="280">
        <v>0</v>
      </c>
      <c r="DF11" s="280">
        <v>0</v>
      </c>
      <c r="DG11" s="280">
        <v>0</v>
      </c>
      <c r="DH11" s="280">
        <v>0</v>
      </c>
      <c r="DI11" s="280">
        <v>0</v>
      </c>
      <c r="DJ11" s="280">
        <v>0</v>
      </c>
      <c r="DK11" s="280">
        <v>0</v>
      </c>
      <c r="DL11" s="280">
        <v>0</v>
      </c>
      <c r="DM11" s="280">
        <v>0</v>
      </c>
      <c r="DN11" s="280">
        <v>0</v>
      </c>
      <c r="DO11" s="280">
        <v>0</v>
      </c>
      <c r="DP11" s="280">
        <v>0</v>
      </c>
      <c r="DQ11" s="280">
        <v>0</v>
      </c>
      <c r="DR11" s="280">
        <v>0</v>
      </c>
      <c r="DS11" s="280">
        <v>0</v>
      </c>
      <c r="DT11" s="280">
        <v>0</v>
      </c>
      <c r="DU11" s="280">
        <v>0</v>
      </c>
      <c r="DV11" s="280">
        <v>0</v>
      </c>
      <c r="DW11" s="280">
        <v>0</v>
      </c>
      <c r="DX11" s="280"/>
      <c r="DY11" s="280"/>
      <c r="DZ11" s="280"/>
      <c r="EA11" s="54">
        <v>0</v>
      </c>
      <c r="EB11" s="54">
        <v>-204630.86</v>
      </c>
      <c r="EC11" s="54">
        <v>0</v>
      </c>
      <c r="ED11" s="54">
        <v>34730.089999999997</v>
      </c>
      <c r="EE11" s="54">
        <v>0</v>
      </c>
      <c r="EF11" s="54">
        <v>-24530.689999999995</v>
      </c>
      <c r="EG11" s="54">
        <v>-10199.4</v>
      </c>
    </row>
    <row r="12" spans="1:137">
      <c r="A12" s="279" t="s">
        <v>97</v>
      </c>
      <c r="B12" s="280">
        <v>0</v>
      </c>
      <c r="C12" s="280">
        <v>0</v>
      </c>
      <c r="D12" s="280">
        <v>0</v>
      </c>
      <c r="E12" s="280">
        <v>0</v>
      </c>
      <c r="F12" s="280">
        <v>0</v>
      </c>
      <c r="G12" s="280">
        <v>0</v>
      </c>
      <c r="H12" s="280">
        <v>0</v>
      </c>
      <c r="I12" s="280">
        <v>0</v>
      </c>
      <c r="J12" s="280">
        <v>0</v>
      </c>
      <c r="K12" s="280">
        <v>0</v>
      </c>
      <c r="L12" s="280">
        <v>0</v>
      </c>
      <c r="M12" s="280">
        <v>0</v>
      </c>
      <c r="N12" s="280">
        <v>0</v>
      </c>
      <c r="O12" s="280">
        <v>0</v>
      </c>
      <c r="P12" s="280">
        <v>0</v>
      </c>
      <c r="Q12" s="280">
        <v>0</v>
      </c>
      <c r="R12" s="280">
        <v>0</v>
      </c>
      <c r="S12" s="280">
        <v>0</v>
      </c>
      <c r="T12" s="280">
        <v>0</v>
      </c>
      <c r="U12" s="280">
        <v>0</v>
      </c>
      <c r="V12" s="280">
        <v>0</v>
      </c>
      <c r="W12" s="280">
        <v>0</v>
      </c>
      <c r="X12" s="280">
        <v>0</v>
      </c>
      <c r="Y12" s="280">
        <v>0</v>
      </c>
      <c r="Z12" s="280">
        <v>0</v>
      </c>
      <c r="AA12" s="280">
        <v>0</v>
      </c>
      <c r="AB12" s="280">
        <v>0</v>
      </c>
      <c r="AC12" s="280">
        <v>0</v>
      </c>
      <c r="AD12" s="280">
        <v>0</v>
      </c>
      <c r="AE12" s="280">
        <v>0</v>
      </c>
      <c r="AF12" s="280">
        <v>0</v>
      </c>
      <c r="AG12" s="280">
        <v>0</v>
      </c>
      <c r="AH12" s="280">
        <v>0</v>
      </c>
      <c r="AI12" s="280">
        <v>0</v>
      </c>
      <c r="AJ12" s="280">
        <v>0</v>
      </c>
      <c r="AK12" s="280">
        <v>0</v>
      </c>
      <c r="AL12" s="280">
        <v>0</v>
      </c>
      <c r="AM12" s="280">
        <v>0</v>
      </c>
      <c r="AN12" s="280">
        <v>0</v>
      </c>
      <c r="AO12" s="280">
        <v>0</v>
      </c>
      <c r="AP12" s="280">
        <v>0</v>
      </c>
      <c r="AQ12" s="280">
        <v>0</v>
      </c>
      <c r="AR12" s="280">
        <v>0</v>
      </c>
      <c r="AS12" s="280">
        <v>0</v>
      </c>
      <c r="AT12" s="280">
        <v>0</v>
      </c>
      <c r="AU12" s="280">
        <v>0</v>
      </c>
      <c r="AV12" s="280">
        <v>0</v>
      </c>
      <c r="AW12" s="280">
        <v>0</v>
      </c>
      <c r="AX12" s="280">
        <v>0</v>
      </c>
      <c r="AY12" s="280">
        <v>0</v>
      </c>
      <c r="AZ12" s="280">
        <v>0</v>
      </c>
      <c r="BA12" s="280">
        <v>0</v>
      </c>
      <c r="BB12" s="280">
        <v>0</v>
      </c>
      <c r="BC12" s="280">
        <v>0</v>
      </c>
      <c r="BD12" s="280">
        <v>0</v>
      </c>
      <c r="BE12" s="280">
        <v>0</v>
      </c>
      <c r="BF12" s="280">
        <v>0</v>
      </c>
      <c r="BG12" s="280">
        <v>0</v>
      </c>
      <c r="BH12" s="280">
        <v>0</v>
      </c>
      <c r="BI12" s="280">
        <v>0</v>
      </c>
      <c r="BJ12" s="280">
        <v>0</v>
      </c>
      <c r="BK12" s="280">
        <v>0</v>
      </c>
      <c r="BL12" s="280">
        <v>0</v>
      </c>
      <c r="BM12" s="280">
        <v>0</v>
      </c>
      <c r="BN12" s="280">
        <v>0</v>
      </c>
      <c r="BO12" s="280">
        <v>0</v>
      </c>
      <c r="BP12" s="280">
        <v>0</v>
      </c>
      <c r="BQ12" s="280">
        <v>0</v>
      </c>
      <c r="BR12" s="280">
        <v>0</v>
      </c>
      <c r="BS12" s="280">
        <v>0</v>
      </c>
      <c r="BT12" s="280">
        <v>0</v>
      </c>
      <c r="BU12" s="280">
        <v>0</v>
      </c>
      <c r="BV12" s="280">
        <v>0</v>
      </c>
      <c r="BW12" s="280">
        <v>0</v>
      </c>
      <c r="BX12" s="280">
        <v>0</v>
      </c>
      <c r="BY12" s="280">
        <v>0</v>
      </c>
      <c r="BZ12" s="280">
        <v>0</v>
      </c>
      <c r="CA12" s="280">
        <v>0</v>
      </c>
      <c r="CB12" s="280">
        <v>0</v>
      </c>
      <c r="CC12" s="280">
        <v>0</v>
      </c>
      <c r="CD12" s="280">
        <v>0</v>
      </c>
      <c r="CE12" s="280">
        <v>0</v>
      </c>
      <c r="CF12" s="280">
        <v>0</v>
      </c>
      <c r="CG12" s="280">
        <v>0</v>
      </c>
      <c r="CH12" s="280">
        <v>0</v>
      </c>
      <c r="CI12" s="280">
        <v>0</v>
      </c>
      <c r="CJ12" s="280">
        <v>0</v>
      </c>
      <c r="CK12" s="280">
        <v>0</v>
      </c>
      <c r="CL12" s="280">
        <v>0</v>
      </c>
      <c r="CM12" s="280">
        <v>0</v>
      </c>
      <c r="CN12" s="280">
        <v>0</v>
      </c>
      <c r="CO12" s="280">
        <v>0</v>
      </c>
      <c r="CP12" s="280">
        <v>0</v>
      </c>
      <c r="CQ12" s="280">
        <v>0</v>
      </c>
      <c r="CR12" s="280">
        <v>0</v>
      </c>
      <c r="CS12" s="280">
        <v>0</v>
      </c>
      <c r="CT12" s="280">
        <v>0</v>
      </c>
      <c r="CU12" s="280">
        <v>0</v>
      </c>
      <c r="CV12" s="280">
        <v>0</v>
      </c>
      <c r="CW12" s="280">
        <v>0</v>
      </c>
      <c r="CX12" s="280">
        <v>0</v>
      </c>
      <c r="CY12" s="280">
        <v>0</v>
      </c>
      <c r="CZ12" s="280">
        <v>0</v>
      </c>
      <c r="DA12" s="280">
        <v>0</v>
      </c>
      <c r="DB12" s="280">
        <v>0</v>
      </c>
      <c r="DC12" s="280">
        <v>0</v>
      </c>
      <c r="DD12" s="280">
        <v>0</v>
      </c>
      <c r="DE12" s="280">
        <v>0</v>
      </c>
      <c r="DF12" s="280">
        <v>0</v>
      </c>
      <c r="DG12" s="280">
        <v>0</v>
      </c>
      <c r="DH12" s="280">
        <v>0</v>
      </c>
      <c r="DI12" s="280">
        <v>0</v>
      </c>
      <c r="DJ12" s="280">
        <v>0</v>
      </c>
      <c r="DK12" s="280">
        <v>0</v>
      </c>
      <c r="DL12" s="280">
        <v>0</v>
      </c>
      <c r="DM12" s="280">
        <v>0</v>
      </c>
      <c r="DN12" s="280">
        <v>0</v>
      </c>
      <c r="DO12" s="280">
        <v>0</v>
      </c>
      <c r="DP12" s="280">
        <v>0</v>
      </c>
      <c r="DQ12" s="280">
        <v>0</v>
      </c>
      <c r="DR12" s="280">
        <v>0</v>
      </c>
      <c r="DS12" s="280">
        <v>0</v>
      </c>
      <c r="DT12" s="280">
        <v>0</v>
      </c>
      <c r="DU12" s="280">
        <v>0</v>
      </c>
      <c r="DV12" s="280">
        <v>0</v>
      </c>
      <c r="DW12" s="280">
        <v>0</v>
      </c>
      <c r="DX12" s="280"/>
      <c r="DY12" s="280"/>
      <c r="DZ12" s="280"/>
      <c r="EA12" s="54">
        <v>0</v>
      </c>
      <c r="EB12" s="54">
        <v>0</v>
      </c>
      <c r="EC12" s="54">
        <v>0</v>
      </c>
      <c r="ED12" s="54">
        <v>0</v>
      </c>
      <c r="EE12" s="54">
        <v>0</v>
      </c>
      <c r="EF12" s="54">
        <v>0</v>
      </c>
      <c r="EG12" s="54">
        <v>0</v>
      </c>
    </row>
    <row r="13" spans="1:137" s="283" customFormat="1">
      <c r="A13" s="281" t="s">
        <v>98</v>
      </c>
      <c r="B13" s="280">
        <v>22336037.100000001</v>
      </c>
      <c r="C13" s="280">
        <v>1135483.6000000001</v>
      </c>
      <c r="D13" s="280">
        <v>0</v>
      </c>
      <c r="E13" s="280">
        <v>174229.01</v>
      </c>
      <c r="F13" s="280">
        <v>425099.81</v>
      </c>
      <c r="G13" s="280">
        <v>473997.34</v>
      </c>
      <c r="H13" s="280">
        <v>132816.68</v>
      </c>
      <c r="I13" s="280">
        <v>266342.33</v>
      </c>
      <c r="J13" s="280">
        <v>0</v>
      </c>
      <c r="K13" s="280">
        <v>66813.14</v>
      </c>
      <c r="L13" s="280">
        <v>238789.52</v>
      </c>
      <c r="M13" s="280">
        <v>288502.28999999998</v>
      </c>
      <c r="N13" s="280">
        <v>249634.26</v>
      </c>
      <c r="O13" s="280">
        <v>471851.34</v>
      </c>
      <c r="P13" s="280">
        <v>367106.23</v>
      </c>
      <c r="Q13" s="280">
        <v>946148.29</v>
      </c>
      <c r="R13" s="280">
        <v>249713.19</v>
      </c>
      <c r="S13" s="280">
        <v>93217.12</v>
      </c>
      <c r="T13" s="280">
        <v>-400.77</v>
      </c>
      <c r="U13" s="280">
        <v>0</v>
      </c>
      <c r="V13" s="280">
        <v>0</v>
      </c>
      <c r="W13" s="280">
        <v>1441769.03</v>
      </c>
      <c r="X13" s="280">
        <v>3022369.03</v>
      </c>
      <c r="Y13" s="280">
        <v>964738.23</v>
      </c>
      <c r="Z13" s="280">
        <v>661381.62</v>
      </c>
      <c r="AA13" s="280">
        <v>290733.62</v>
      </c>
      <c r="AB13" s="280">
        <v>264819.05</v>
      </c>
      <c r="AC13" s="280">
        <v>0</v>
      </c>
      <c r="AD13" s="280">
        <v>833743.38</v>
      </c>
      <c r="AE13" s="280">
        <v>9277139.7599999998</v>
      </c>
      <c r="AF13" s="280">
        <v>188662.05</v>
      </c>
      <c r="AG13" s="280">
        <v>122739.74</v>
      </c>
      <c r="AH13" s="280">
        <v>183069.89</v>
      </c>
      <c r="AI13" s="280">
        <v>421810.38</v>
      </c>
      <c r="AJ13" s="280">
        <v>243273.79</v>
      </c>
      <c r="AK13" s="280">
        <v>208888.67</v>
      </c>
      <c r="AL13" s="280">
        <v>73324.509999999995</v>
      </c>
      <c r="AM13" s="280">
        <v>550308.78</v>
      </c>
      <c r="AN13" s="280">
        <v>732171.67</v>
      </c>
      <c r="AO13" s="280">
        <v>896064.98</v>
      </c>
      <c r="AP13" s="280">
        <v>385723.51</v>
      </c>
      <c r="AQ13" s="280">
        <v>153324.84</v>
      </c>
      <c r="AR13" s="280">
        <v>181651.15</v>
      </c>
      <c r="AS13" s="280">
        <v>123124.1</v>
      </c>
      <c r="AT13" s="280">
        <v>0</v>
      </c>
      <c r="AU13" s="280">
        <v>236493.84</v>
      </c>
      <c r="AV13" s="280">
        <v>286246.49</v>
      </c>
      <c r="AW13" s="280">
        <v>323595.05</v>
      </c>
      <c r="AX13" s="280">
        <v>118402.85</v>
      </c>
      <c r="AY13" s="280">
        <v>222969.53</v>
      </c>
      <c r="AZ13" s="280">
        <v>67764.09</v>
      </c>
      <c r="BA13" s="280">
        <v>417411</v>
      </c>
      <c r="BB13" s="280">
        <v>318647.40000000002</v>
      </c>
      <c r="BC13" s="280">
        <v>230246.79</v>
      </c>
      <c r="BD13" s="280">
        <v>287543.65000000002</v>
      </c>
      <c r="BE13" s="280">
        <v>8023290.9199999999</v>
      </c>
      <c r="BF13" s="280">
        <v>380416.51</v>
      </c>
      <c r="BG13" s="280">
        <v>368946.87</v>
      </c>
      <c r="BH13" s="280">
        <v>414152.62</v>
      </c>
      <c r="BI13" s="280">
        <v>313839.35999999999</v>
      </c>
      <c r="BJ13" s="280">
        <v>332443.44</v>
      </c>
      <c r="BK13" s="280">
        <v>327360.74</v>
      </c>
      <c r="BL13" s="280">
        <v>109551.27</v>
      </c>
      <c r="BM13" s="280">
        <v>358169.59999999998</v>
      </c>
      <c r="BN13" s="280">
        <v>172032.47</v>
      </c>
      <c r="BO13" s="280">
        <v>176614.94</v>
      </c>
      <c r="BP13" s="280">
        <v>410225.54</v>
      </c>
      <c r="BQ13" s="280">
        <v>198039.58</v>
      </c>
      <c r="BR13" s="280">
        <v>281954.28000000003</v>
      </c>
      <c r="BS13" s="280">
        <v>148937.34</v>
      </c>
      <c r="BT13" s="280">
        <v>127284.64</v>
      </c>
      <c r="BU13" s="280">
        <v>128782.81</v>
      </c>
      <c r="BV13" s="280">
        <v>166080.28</v>
      </c>
      <c r="BW13" s="280">
        <v>177858.09</v>
      </c>
      <c r="BX13" s="280">
        <v>99784.36</v>
      </c>
      <c r="BY13" s="280">
        <v>123636.34</v>
      </c>
      <c r="BZ13" s="280">
        <v>157116.68</v>
      </c>
      <c r="CA13" s="280">
        <v>193415.81</v>
      </c>
      <c r="CB13" s="280">
        <v>91979.49</v>
      </c>
      <c r="CC13" s="280">
        <v>72314.039999999994</v>
      </c>
      <c r="CD13" s="280">
        <v>73462.789999999994</v>
      </c>
      <c r="CE13" s="280">
        <v>89676.52</v>
      </c>
      <c r="CF13" s="280">
        <v>88776.63</v>
      </c>
      <c r="CG13" s="280">
        <v>79669.06</v>
      </c>
      <c r="CH13" s="280">
        <v>65034.37</v>
      </c>
      <c r="CI13" s="280">
        <v>131615.45000000001</v>
      </c>
      <c r="CJ13" s="280">
        <v>50024.88</v>
      </c>
      <c r="CK13" s="280">
        <v>71430.77</v>
      </c>
      <c r="CL13" s="280">
        <v>29599.18</v>
      </c>
      <c r="CM13" s="280">
        <v>49397.61</v>
      </c>
      <c r="CN13" s="280">
        <v>63661.35</v>
      </c>
      <c r="CO13" s="280">
        <v>139666.74</v>
      </c>
      <c r="CP13" s="280">
        <v>85815.2</v>
      </c>
      <c r="CQ13" s="280">
        <v>37630.86</v>
      </c>
      <c r="CR13" s="280">
        <v>44200.44</v>
      </c>
      <c r="CS13" s="280">
        <v>22851.1</v>
      </c>
      <c r="CT13" s="280">
        <v>65881.47</v>
      </c>
      <c r="CU13" s="280">
        <v>34063.58</v>
      </c>
      <c r="CV13" s="280">
        <v>54541.64</v>
      </c>
      <c r="CW13" s="280">
        <v>49898.93</v>
      </c>
      <c r="CX13" s="280">
        <v>63738.36</v>
      </c>
      <c r="CY13" s="280">
        <v>53703.57</v>
      </c>
      <c r="CZ13" s="280">
        <v>72405.63</v>
      </c>
      <c r="DA13" s="280">
        <v>77814.03</v>
      </c>
      <c r="DB13" s="280">
        <v>81617.179999999993</v>
      </c>
      <c r="DC13" s="280">
        <v>39083.83</v>
      </c>
      <c r="DD13" s="280">
        <v>59517.43</v>
      </c>
      <c r="DE13" s="280">
        <v>51481.49</v>
      </c>
      <c r="DF13" s="280">
        <v>59407.99</v>
      </c>
      <c r="DG13" s="280">
        <v>44292.6</v>
      </c>
      <c r="DH13" s="280">
        <v>31520.639999999999</v>
      </c>
      <c r="DI13" s="280">
        <v>54412.65</v>
      </c>
      <c r="DJ13" s="280">
        <v>50753.5</v>
      </c>
      <c r="DK13" s="280">
        <v>48091.78</v>
      </c>
      <c r="DL13" s="280">
        <v>58375.59</v>
      </c>
      <c r="DM13" s="280">
        <v>72514.929999999993</v>
      </c>
      <c r="DN13" s="280">
        <v>119608.31</v>
      </c>
      <c r="DO13" s="280">
        <v>90946.6</v>
      </c>
      <c r="DP13" s="280">
        <v>62467.68</v>
      </c>
      <c r="DQ13" s="280">
        <v>44850.91</v>
      </c>
      <c r="DR13" s="280">
        <v>85466.78</v>
      </c>
      <c r="DS13" s="280">
        <v>43383.77</v>
      </c>
      <c r="DT13" s="280">
        <v>0</v>
      </c>
      <c r="DU13" s="280">
        <v>0</v>
      </c>
      <c r="DV13" s="282">
        <v>0</v>
      </c>
      <c r="DW13" s="282">
        <v>0</v>
      </c>
      <c r="DX13" s="282"/>
      <c r="DY13" s="282"/>
      <c r="DZ13" s="282"/>
      <c r="EA13" s="283">
        <v>-9277139.7599999998</v>
      </c>
      <c r="EB13" s="283">
        <v>8511160.4699999988</v>
      </c>
      <c r="EC13" s="283">
        <v>0</v>
      </c>
      <c r="ED13" s="283">
        <v>10645584.280000001</v>
      </c>
      <c r="EE13" s="283">
        <v>-320009.24</v>
      </c>
      <c r="EF13" s="54">
        <v>1653924.51</v>
      </c>
      <c r="EG13" s="54">
        <v>-2176033.65</v>
      </c>
    </row>
    <row r="14" spans="1:137">
      <c r="A14" s="279" t="s">
        <v>100</v>
      </c>
      <c r="B14" s="280">
        <v>1955524.7</v>
      </c>
      <c r="C14" s="280">
        <v>0</v>
      </c>
      <c r="D14" s="280">
        <v>0</v>
      </c>
      <c r="E14" s="280">
        <v>0</v>
      </c>
      <c r="F14" s="280">
        <v>0</v>
      </c>
      <c r="G14" s="280">
        <v>0</v>
      </c>
      <c r="H14" s="280">
        <v>0</v>
      </c>
      <c r="I14" s="280">
        <v>0</v>
      </c>
      <c r="J14" s="280">
        <v>0</v>
      </c>
      <c r="K14" s="280">
        <v>0</v>
      </c>
      <c r="L14" s="280">
        <v>0</v>
      </c>
      <c r="M14" s="280">
        <v>0</v>
      </c>
      <c r="N14" s="280">
        <v>0</v>
      </c>
      <c r="O14" s="280">
        <v>0</v>
      </c>
      <c r="P14" s="280">
        <v>0</v>
      </c>
      <c r="Q14" s="280">
        <v>0</v>
      </c>
      <c r="R14" s="280">
        <v>0</v>
      </c>
      <c r="S14" s="280">
        <v>0</v>
      </c>
      <c r="T14" s="280">
        <v>0</v>
      </c>
      <c r="U14" s="280">
        <v>0</v>
      </c>
      <c r="V14" s="280">
        <v>0</v>
      </c>
      <c r="W14" s="280">
        <v>0</v>
      </c>
      <c r="X14" s="280">
        <v>0</v>
      </c>
      <c r="Y14" s="280">
        <v>0</v>
      </c>
      <c r="Z14" s="280">
        <v>18000</v>
      </c>
      <c r="AA14" s="280">
        <v>0</v>
      </c>
      <c r="AB14" s="280">
        <v>4250.84</v>
      </c>
      <c r="AC14" s="280">
        <v>0</v>
      </c>
      <c r="AD14" s="280">
        <v>0</v>
      </c>
      <c r="AE14" s="280">
        <v>1933273.86</v>
      </c>
      <c r="AF14" s="280">
        <v>0</v>
      </c>
      <c r="AG14" s="280">
        <v>0</v>
      </c>
      <c r="AH14" s="280">
        <v>0</v>
      </c>
      <c r="AI14" s="280">
        <v>0</v>
      </c>
      <c r="AJ14" s="280">
        <v>0</v>
      </c>
      <c r="AK14" s="280">
        <v>0</v>
      </c>
      <c r="AL14" s="280">
        <v>0</v>
      </c>
      <c r="AM14" s="280">
        <v>0</v>
      </c>
      <c r="AN14" s="280">
        <v>0</v>
      </c>
      <c r="AO14" s="280">
        <v>0</v>
      </c>
      <c r="AP14" s="280">
        <v>0</v>
      </c>
      <c r="AQ14" s="280">
        <v>0</v>
      </c>
      <c r="AR14" s="280">
        <v>0</v>
      </c>
      <c r="AS14" s="280">
        <v>0</v>
      </c>
      <c r="AT14" s="280">
        <v>0</v>
      </c>
      <c r="AU14" s="280">
        <v>0</v>
      </c>
      <c r="AV14" s="280">
        <v>0</v>
      </c>
      <c r="AW14" s="280">
        <v>0</v>
      </c>
      <c r="AX14" s="280">
        <v>0</v>
      </c>
      <c r="AY14" s="280">
        <v>0</v>
      </c>
      <c r="AZ14" s="280">
        <v>0</v>
      </c>
      <c r="BA14" s="280">
        <v>14328.57</v>
      </c>
      <c r="BB14" s="280">
        <v>0</v>
      </c>
      <c r="BC14" s="280">
        <v>0</v>
      </c>
      <c r="BD14" s="280">
        <v>0</v>
      </c>
      <c r="BE14" s="280">
        <v>1918945.29</v>
      </c>
      <c r="BF14" s="280">
        <v>114513.72</v>
      </c>
      <c r="BG14" s="280">
        <v>90542.32</v>
      </c>
      <c r="BH14" s="280">
        <v>131193.16</v>
      </c>
      <c r="BI14" s="280">
        <v>159423.56</v>
      </c>
      <c r="BJ14" s="280">
        <v>145218.06</v>
      </c>
      <c r="BK14" s="280">
        <v>76766.789999999994</v>
      </c>
      <c r="BL14" s="280">
        <v>40435.22</v>
      </c>
      <c r="BM14" s="280">
        <v>112219.95</v>
      </c>
      <c r="BN14" s="280">
        <v>24536.25</v>
      </c>
      <c r="BO14" s="280">
        <v>20268.689999999999</v>
      </c>
      <c r="BP14" s="280">
        <v>197890.43</v>
      </c>
      <c r="BQ14" s="280">
        <v>52132.32</v>
      </c>
      <c r="BR14" s="280">
        <v>57559.65</v>
      </c>
      <c r="BS14" s="280">
        <v>27798.26</v>
      </c>
      <c r="BT14" s="280">
        <v>21312.47</v>
      </c>
      <c r="BU14" s="280">
        <v>31735.69</v>
      </c>
      <c r="BV14" s="280">
        <v>30389.37</v>
      </c>
      <c r="BW14" s="280">
        <v>39298.89</v>
      </c>
      <c r="BX14" s="280">
        <v>21784.14</v>
      </c>
      <c r="BY14" s="280">
        <v>19894.849999999999</v>
      </c>
      <c r="BZ14" s="280">
        <v>43821.39</v>
      </c>
      <c r="CA14" s="280">
        <v>31334.080000000002</v>
      </c>
      <c r="CB14" s="280">
        <v>6801.36</v>
      </c>
      <c r="CC14" s="280">
        <v>11589.3</v>
      </c>
      <c r="CD14" s="280">
        <v>16080.15</v>
      </c>
      <c r="CE14" s="280">
        <v>46979.75</v>
      </c>
      <c r="CF14" s="280">
        <v>15596.02</v>
      </c>
      <c r="CG14" s="280">
        <v>20131.900000000001</v>
      </c>
      <c r="CH14" s="280">
        <v>18764.419999999998</v>
      </c>
      <c r="CI14" s="280">
        <v>17300.490000000002</v>
      </c>
      <c r="CJ14" s="280">
        <v>3839.66</v>
      </c>
      <c r="CK14" s="280">
        <v>9684.08</v>
      </c>
      <c r="CL14" s="280">
        <v>9423.33</v>
      </c>
      <c r="CM14" s="280">
        <v>14194.44</v>
      </c>
      <c r="CN14" s="280">
        <v>4586.1400000000003</v>
      </c>
      <c r="CO14" s="280">
        <v>15112.95</v>
      </c>
      <c r="CP14" s="280">
        <v>24401.67</v>
      </c>
      <c r="CQ14" s="280">
        <v>1616.31</v>
      </c>
      <c r="CR14" s="280">
        <v>2690.12</v>
      </c>
      <c r="CS14" s="280">
        <v>531.79</v>
      </c>
      <c r="CT14" s="280">
        <v>3198.59</v>
      </c>
      <c r="CU14" s="280">
        <v>5703.24</v>
      </c>
      <c r="CV14" s="280">
        <v>164.2</v>
      </c>
      <c r="CW14" s="280">
        <v>4287.32</v>
      </c>
      <c r="CX14" s="280">
        <v>2309.98</v>
      </c>
      <c r="CY14" s="280">
        <v>1804.64</v>
      </c>
      <c r="CZ14" s="280">
        <v>3039.57</v>
      </c>
      <c r="DA14" s="280">
        <v>798.65</v>
      </c>
      <c r="DB14" s="280">
        <v>5134.8599999999997</v>
      </c>
      <c r="DC14" s="280">
        <v>5688.56</v>
      </c>
      <c r="DD14" s="280">
        <v>5188.95</v>
      </c>
      <c r="DE14" s="280">
        <v>2587.39</v>
      </c>
      <c r="DF14" s="280">
        <v>2515.63</v>
      </c>
      <c r="DG14" s="280">
        <v>34727.5</v>
      </c>
      <c r="DH14" s="280">
        <v>775.86</v>
      </c>
      <c r="DI14" s="280">
        <v>757.61</v>
      </c>
      <c r="DJ14" s="280">
        <v>57249.18</v>
      </c>
      <c r="DK14" s="280">
        <v>2073.6799999999998</v>
      </c>
      <c r="DL14" s="280">
        <v>3769.3</v>
      </c>
      <c r="DM14" s="280">
        <v>6363.75</v>
      </c>
      <c r="DN14" s="280">
        <v>13216.43</v>
      </c>
      <c r="DO14" s="280">
        <v>9061.39</v>
      </c>
      <c r="DP14" s="280">
        <v>473.25</v>
      </c>
      <c r="DQ14" s="280">
        <v>1818.99</v>
      </c>
      <c r="DR14" s="280">
        <v>15005.56</v>
      </c>
      <c r="DS14" s="280">
        <v>1838.07</v>
      </c>
      <c r="DT14" s="280">
        <v>0</v>
      </c>
      <c r="DU14" s="280">
        <v>0</v>
      </c>
      <c r="DV14" s="280">
        <v>0</v>
      </c>
      <c r="DW14" s="280">
        <v>0</v>
      </c>
      <c r="DX14" s="280"/>
      <c r="DY14" s="280"/>
      <c r="DZ14" s="280"/>
      <c r="EA14" s="54">
        <v>-1933273.8599999999</v>
      </c>
      <c r="EB14" s="54">
        <v>1933273.86</v>
      </c>
      <c r="EC14" s="54">
        <v>0</v>
      </c>
      <c r="ED14" s="54">
        <v>1933273.86</v>
      </c>
      <c r="EE14" s="54">
        <v>-18000</v>
      </c>
      <c r="EF14" s="54">
        <v>0</v>
      </c>
      <c r="EG14" s="54">
        <v>0</v>
      </c>
    </row>
    <row r="15" spans="1:137">
      <c r="A15" s="279" t="s">
        <v>101</v>
      </c>
      <c r="B15" s="280">
        <v>5181765.68</v>
      </c>
      <c r="C15" s="280">
        <v>0</v>
      </c>
      <c r="D15" s="280">
        <v>0</v>
      </c>
      <c r="E15" s="280">
        <v>0</v>
      </c>
      <c r="F15" s="280">
        <v>0</v>
      </c>
      <c r="G15" s="280">
        <v>0</v>
      </c>
      <c r="H15" s="280">
        <v>0</v>
      </c>
      <c r="I15" s="280">
        <v>0</v>
      </c>
      <c r="J15" s="280">
        <v>0</v>
      </c>
      <c r="K15" s="280">
        <v>0</v>
      </c>
      <c r="L15" s="280">
        <v>0</v>
      </c>
      <c r="M15" s="280">
        <v>0</v>
      </c>
      <c r="N15" s="280">
        <v>0</v>
      </c>
      <c r="O15" s="280">
        <v>0</v>
      </c>
      <c r="P15" s="280">
        <v>0</v>
      </c>
      <c r="Q15" s="280">
        <v>0</v>
      </c>
      <c r="R15" s="280">
        <v>0</v>
      </c>
      <c r="S15" s="280">
        <v>0</v>
      </c>
      <c r="T15" s="280">
        <v>0</v>
      </c>
      <c r="U15" s="280">
        <v>0</v>
      </c>
      <c r="V15" s="280">
        <v>0</v>
      </c>
      <c r="W15" s="280">
        <v>0</v>
      </c>
      <c r="X15" s="280">
        <v>55812.639999999999</v>
      </c>
      <c r="Y15" s="280">
        <v>101180.8</v>
      </c>
      <c r="Z15" s="280">
        <v>0</v>
      </c>
      <c r="AA15" s="280">
        <v>0</v>
      </c>
      <c r="AB15" s="280">
        <v>0</v>
      </c>
      <c r="AC15" s="280">
        <v>0</v>
      </c>
      <c r="AD15" s="280">
        <v>0</v>
      </c>
      <c r="AE15" s="280">
        <v>5024772.24</v>
      </c>
      <c r="AF15" s="280">
        <v>0</v>
      </c>
      <c r="AG15" s="280">
        <v>0</v>
      </c>
      <c r="AH15" s="280">
        <v>0</v>
      </c>
      <c r="AI15" s="280">
        <v>0</v>
      </c>
      <c r="AJ15" s="280">
        <v>0</v>
      </c>
      <c r="AK15" s="280">
        <v>0</v>
      </c>
      <c r="AL15" s="280">
        <v>0</v>
      </c>
      <c r="AM15" s="280">
        <v>0</v>
      </c>
      <c r="AN15" s="280">
        <v>58252.43</v>
      </c>
      <c r="AO15" s="280">
        <v>0</v>
      </c>
      <c r="AP15" s="280">
        <v>-2439.79</v>
      </c>
      <c r="AQ15" s="280">
        <v>0</v>
      </c>
      <c r="AR15" s="280">
        <v>0</v>
      </c>
      <c r="AS15" s="280">
        <v>0</v>
      </c>
      <c r="AT15" s="280">
        <v>0</v>
      </c>
      <c r="AU15" s="280">
        <v>0</v>
      </c>
      <c r="AV15" s="280">
        <v>0</v>
      </c>
      <c r="AW15" s="280">
        <v>0</v>
      </c>
      <c r="AX15" s="280">
        <v>101180.8</v>
      </c>
      <c r="AY15" s="280">
        <v>0</v>
      </c>
      <c r="AZ15" s="280">
        <v>0</v>
      </c>
      <c r="BA15" s="280">
        <v>4962264.1500000004</v>
      </c>
      <c r="BB15" s="280">
        <v>0</v>
      </c>
      <c r="BC15" s="280">
        <v>0</v>
      </c>
      <c r="BD15" s="280">
        <v>0</v>
      </c>
      <c r="BE15" s="280">
        <v>62508.09</v>
      </c>
      <c r="BF15" s="280">
        <v>0</v>
      </c>
      <c r="BG15" s="280">
        <v>0</v>
      </c>
      <c r="BH15" s="280">
        <v>0</v>
      </c>
      <c r="BI15" s="280">
        <v>60000</v>
      </c>
      <c r="BJ15" s="280">
        <v>0</v>
      </c>
      <c r="BK15" s="280">
        <v>0</v>
      </c>
      <c r="BL15" s="280">
        <v>0</v>
      </c>
      <c r="BM15" s="280">
        <v>0</v>
      </c>
      <c r="BN15" s="280">
        <v>0</v>
      </c>
      <c r="BO15" s="280">
        <v>0</v>
      </c>
      <c r="BP15" s="280">
        <v>0</v>
      </c>
      <c r="BQ15" s="280">
        <v>0</v>
      </c>
      <c r="BR15" s="280">
        <v>0</v>
      </c>
      <c r="BS15" s="280">
        <v>0</v>
      </c>
      <c r="BT15" s="280">
        <v>0</v>
      </c>
      <c r="BU15" s="280">
        <v>0</v>
      </c>
      <c r="BV15" s="280">
        <v>0</v>
      </c>
      <c r="BW15" s="280">
        <v>0</v>
      </c>
      <c r="BX15" s="280">
        <v>0</v>
      </c>
      <c r="BY15" s="280">
        <v>0</v>
      </c>
      <c r="BZ15" s="280">
        <v>0</v>
      </c>
      <c r="CA15" s="280">
        <v>0</v>
      </c>
      <c r="CB15" s="280">
        <v>0</v>
      </c>
      <c r="CC15" s="280">
        <v>0</v>
      </c>
      <c r="CD15" s="280">
        <v>2508.09</v>
      </c>
      <c r="CE15" s="280">
        <v>0</v>
      </c>
      <c r="CF15" s="280">
        <v>0</v>
      </c>
      <c r="CG15" s="280">
        <v>0</v>
      </c>
      <c r="CH15" s="280">
        <v>0</v>
      </c>
      <c r="CI15" s="280">
        <v>0</v>
      </c>
      <c r="CJ15" s="280">
        <v>0</v>
      </c>
      <c r="CK15" s="280">
        <v>0</v>
      </c>
      <c r="CL15" s="280">
        <v>0</v>
      </c>
      <c r="CM15" s="280">
        <v>0</v>
      </c>
      <c r="CN15" s="280">
        <v>0</v>
      </c>
      <c r="CO15" s="280">
        <v>0</v>
      </c>
      <c r="CP15" s="280">
        <v>0</v>
      </c>
      <c r="CQ15" s="280">
        <v>0</v>
      </c>
      <c r="CR15" s="280">
        <v>0</v>
      </c>
      <c r="CS15" s="280">
        <v>0</v>
      </c>
      <c r="CT15" s="280">
        <v>0</v>
      </c>
      <c r="CU15" s="280">
        <v>0</v>
      </c>
      <c r="CV15" s="280">
        <v>0</v>
      </c>
      <c r="CW15" s="280">
        <v>0</v>
      </c>
      <c r="CX15" s="280">
        <v>0</v>
      </c>
      <c r="CY15" s="280">
        <v>0</v>
      </c>
      <c r="CZ15" s="280">
        <v>0</v>
      </c>
      <c r="DA15" s="280">
        <v>0</v>
      </c>
      <c r="DB15" s="280">
        <v>0</v>
      </c>
      <c r="DC15" s="280">
        <v>0</v>
      </c>
      <c r="DD15" s="280">
        <v>0</v>
      </c>
      <c r="DE15" s="280">
        <v>0</v>
      </c>
      <c r="DF15" s="280">
        <v>0</v>
      </c>
      <c r="DG15" s="280">
        <v>0</v>
      </c>
      <c r="DH15" s="280">
        <v>0</v>
      </c>
      <c r="DI15" s="280">
        <v>0</v>
      </c>
      <c r="DJ15" s="280">
        <v>0</v>
      </c>
      <c r="DK15" s="280">
        <v>0</v>
      </c>
      <c r="DL15" s="280">
        <v>0</v>
      </c>
      <c r="DM15" s="280">
        <v>0</v>
      </c>
      <c r="DN15" s="280">
        <v>0</v>
      </c>
      <c r="DO15" s="280">
        <v>0</v>
      </c>
      <c r="DP15" s="280">
        <v>0</v>
      </c>
      <c r="DQ15" s="280">
        <v>0</v>
      </c>
      <c r="DR15" s="280">
        <v>0</v>
      </c>
      <c r="DS15" s="280">
        <v>0</v>
      </c>
      <c r="DT15" s="280">
        <v>0</v>
      </c>
      <c r="DU15" s="280">
        <v>0</v>
      </c>
      <c r="DV15" s="280">
        <v>0</v>
      </c>
      <c r="DW15" s="280">
        <v>0</v>
      </c>
      <c r="DX15" s="280"/>
      <c r="DY15" s="280"/>
      <c r="DZ15" s="280"/>
      <c r="EA15" s="54">
        <v>-5024772.2399999993</v>
      </c>
      <c r="EB15" s="54">
        <v>5024772.24</v>
      </c>
      <c r="EC15" s="54">
        <v>0</v>
      </c>
      <c r="ED15" s="54">
        <v>5024772.24</v>
      </c>
      <c r="EE15" s="54">
        <v>101180.8</v>
      </c>
      <c r="EF15" s="54">
        <v>55812.639999999999</v>
      </c>
      <c r="EG15" s="54">
        <v>-55812.639999999999</v>
      </c>
    </row>
    <row r="16" spans="1:137">
      <c r="A16" s="279" t="s">
        <v>102</v>
      </c>
      <c r="B16" s="280">
        <v>744741.16</v>
      </c>
      <c r="C16" s="280">
        <v>0</v>
      </c>
      <c r="D16" s="280">
        <v>-488844.06</v>
      </c>
      <c r="E16" s="280">
        <v>0</v>
      </c>
      <c r="F16" s="280">
        <v>0</v>
      </c>
      <c r="G16" s="280">
        <v>0</v>
      </c>
      <c r="H16" s="280">
        <v>0</v>
      </c>
      <c r="I16" s="280">
        <v>0</v>
      </c>
      <c r="J16" s="280">
        <v>0</v>
      </c>
      <c r="K16" s="280">
        <v>0</v>
      </c>
      <c r="L16" s="280">
        <v>0</v>
      </c>
      <c r="M16" s="280">
        <v>0</v>
      </c>
      <c r="N16" s="280">
        <v>0</v>
      </c>
      <c r="O16" s="280">
        <v>0</v>
      </c>
      <c r="P16" s="280">
        <v>0</v>
      </c>
      <c r="Q16" s="280">
        <v>0</v>
      </c>
      <c r="R16" s="280">
        <v>0</v>
      </c>
      <c r="S16" s="280">
        <v>0</v>
      </c>
      <c r="T16" s="280">
        <v>0</v>
      </c>
      <c r="U16" s="280">
        <v>0</v>
      </c>
      <c r="V16" s="280">
        <v>0</v>
      </c>
      <c r="W16" s="280">
        <v>-240955.56</v>
      </c>
      <c r="X16" s="280">
        <v>9822.81</v>
      </c>
      <c r="Y16" s="280">
        <v>80804.509999999995</v>
      </c>
      <c r="Z16" s="280">
        <v>0</v>
      </c>
      <c r="AA16" s="280">
        <v>-10.26</v>
      </c>
      <c r="AB16" s="280">
        <v>-6.6</v>
      </c>
      <c r="AC16" s="280">
        <v>0</v>
      </c>
      <c r="AD16" s="280">
        <v>0</v>
      </c>
      <c r="AE16" s="280">
        <v>1383930.32</v>
      </c>
      <c r="AF16" s="280">
        <v>-0.83</v>
      </c>
      <c r="AG16" s="280">
        <v>102380.83</v>
      </c>
      <c r="AH16" s="280">
        <v>181990.97</v>
      </c>
      <c r="AI16" s="280">
        <v>581524.01</v>
      </c>
      <c r="AJ16" s="280">
        <v>32511.03</v>
      </c>
      <c r="AK16" s="280">
        <v>-1140931.8600000001</v>
      </c>
      <c r="AL16" s="280">
        <v>1570.29</v>
      </c>
      <c r="AM16" s="280">
        <v>0</v>
      </c>
      <c r="AN16" s="280">
        <v>-1730.13</v>
      </c>
      <c r="AO16" s="280">
        <v>3114.99</v>
      </c>
      <c r="AP16" s="280">
        <v>8437.92</v>
      </c>
      <c r="AQ16" s="280">
        <v>0</v>
      </c>
      <c r="AR16" s="280">
        <v>0</v>
      </c>
      <c r="AS16" s="280">
        <v>0.03</v>
      </c>
      <c r="AT16" s="280">
        <v>0</v>
      </c>
      <c r="AU16" s="280">
        <v>8782.7999999999993</v>
      </c>
      <c r="AV16" s="280">
        <v>10446.370000000001</v>
      </c>
      <c r="AW16" s="280">
        <v>33520.699999999997</v>
      </c>
      <c r="AX16" s="280">
        <v>28054.639999999999</v>
      </c>
      <c r="AY16" s="280">
        <v>-10.26</v>
      </c>
      <c r="AZ16" s="280">
        <v>0</v>
      </c>
      <c r="BA16" s="280">
        <v>6259</v>
      </c>
      <c r="BB16" s="280">
        <v>0</v>
      </c>
      <c r="BC16" s="280">
        <v>668647.25</v>
      </c>
      <c r="BD16" s="280">
        <v>0</v>
      </c>
      <c r="BE16" s="280">
        <v>709024.07</v>
      </c>
      <c r="BF16" s="280">
        <v>26100.17</v>
      </c>
      <c r="BG16" s="280">
        <v>37045.199999999997</v>
      </c>
      <c r="BH16" s="280">
        <v>29305.119999999999</v>
      </c>
      <c r="BI16" s="280">
        <v>29197.279999999999</v>
      </c>
      <c r="BJ16" s="280">
        <v>31841.25</v>
      </c>
      <c r="BK16" s="280">
        <v>26536.46</v>
      </c>
      <c r="BL16" s="280">
        <v>9694.64</v>
      </c>
      <c r="BM16" s="280">
        <v>34004.92</v>
      </c>
      <c r="BN16" s="280">
        <v>11629.75</v>
      </c>
      <c r="BO16" s="280">
        <v>9289.68</v>
      </c>
      <c r="BP16" s="280">
        <v>35533.56</v>
      </c>
      <c r="BQ16" s="280">
        <v>99749.89</v>
      </c>
      <c r="BR16" s="280">
        <v>22450.9</v>
      </c>
      <c r="BS16" s="280">
        <v>7561.86</v>
      </c>
      <c r="BT16" s="280">
        <v>9302.92</v>
      </c>
      <c r="BU16" s="280">
        <v>8900.9599999999991</v>
      </c>
      <c r="BV16" s="280">
        <v>9737.44</v>
      </c>
      <c r="BW16" s="280">
        <v>10301.25</v>
      </c>
      <c r="BX16" s="280">
        <v>7695.88</v>
      </c>
      <c r="BY16" s="280">
        <v>5632.52</v>
      </c>
      <c r="BZ16" s="280">
        <v>7438.37</v>
      </c>
      <c r="CA16" s="280">
        <v>9739.57</v>
      </c>
      <c r="CB16" s="280">
        <v>2033.83</v>
      </c>
      <c r="CC16" s="280">
        <v>2781.96</v>
      </c>
      <c r="CD16" s="280">
        <v>3123.64</v>
      </c>
      <c r="CE16" s="280">
        <v>3046.87</v>
      </c>
      <c r="CF16" s="280">
        <v>2091.09</v>
      </c>
      <c r="CG16" s="280">
        <v>4509.29</v>
      </c>
      <c r="CH16" s="280">
        <v>3123.18</v>
      </c>
      <c r="CI16" s="280">
        <v>370.42</v>
      </c>
      <c r="CJ16" s="280">
        <v>727.49</v>
      </c>
      <c r="CK16" s="280">
        <v>1758.47</v>
      </c>
      <c r="CL16" s="280">
        <v>902.92</v>
      </c>
      <c r="CM16" s="280">
        <v>1596.05</v>
      </c>
      <c r="CN16" s="280">
        <v>2628.16</v>
      </c>
      <c r="CO16" s="280">
        <v>2283.62</v>
      </c>
      <c r="CP16" s="280">
        <v>173878.61</v>
      </c>
      <c r="CQ16" s="280">
        <v>1734.52</v>
      </c>
      <c r="CR16" s="280">
        <v>317.99</v>
      </c>
      <c r="CS16" s="280">
        <v>256.55</v>
      </c>
      <c r="CT16" s="280">
        <v>1454.09</v>
      </c>
      <c r="CU16" s="280">
        <v>524.6</v>
      </c>
      <c r="CV16" s="280">
        <v>613.92999999999995</v>
      </c>
      <c r="CW16" s="280">
        <v>1074.72</v>
      </c>
      <c r="CX16" s="280">
        <v>426.98</v>
      </c>
      <c r="CY16" s="280">
        <v>493.26</v>
      </c>
      <c r="CZ16" s="280">
        <v>691.63</v>
      </c>
      <c r="DA16" s="280">
        <v>261.25</v>
      </c>
      <c r="DB16" s="280">
        <v>942.99</v>
      </c>
      <c r="DC16" s="280">
        <v>616.64</v>
      </c>
      <c r="DD16" s="280">
        <v>473.2</v>
      </c>
      <c r="DE16" s="280">
        <v>-73.209999999999994</v>
      </c>
      <c r="DF16" s="280">
        <v>506.09</v>
      </c>
      <c r="DG16" s="280">
        <v>445.21</v>
      </c>
      <c r="DH16" s="280">
        <v>157.79</v>
      </c>
      <c r="DI16" s="280">
        <v>64.44</v>
      </c>
      <c r="DJ16" s="280">
        <v>245.52</v>
      </c>
      <c r="DK16" s="280">
        <v>209.11</v>
      </c>
      <c r="DL16" s="280">
        <v>645.05999999999995</v>
      </c>
      <c r="DM16" s="280">
        <v>2681.45</v>
      </c>
      <c r="DN16" s="280">
        <v>4646.6400000000003</v>
      </c>
      <c r="DO16" s="280">
        <v>2536.89</v>
      </c>
      <c r="DP16" s="280">
        <v>173.39</v>
      </c>
      <c r="DQ16" s="280">
        <v>828.56</v>
      </c>
      <c r="DR16" s="280">
        <v>1311.45</v>
      </c>
      <c r="DS16" s="280">
        <v>1218.1400000000001</v>
      </c>
      <c r="DT16" s="280">
        <v>0</v>
      </c>
      <c r="DU16" s="280">
        <v>0</v>
      </c>
      <c r="DV16" s="280">
        <v>0</v>
      </c>
      <c r="DW16" s="280">
        <v>0</v>
      </c>
      <c r="DX16" s="280"/>
      <c r="DY16" s="280"/>
      <c r="DZ16" s="280"/>
      <c r="EA16" s="54">
        <v>-1383930.3199999998</v>
      </c>
      <c r="EB16" s="54">
        <v>1383930.3199999998</v>
      </c>
      <c r="EC16" s="54">
        <v>0</v>
      </c>
      <c r="ED16" s="54">
        <v>1141404.4699999995</v>
      </c>
      <c r="EE16" s="54">
        <v>28044.38</v>
      </c>
      <c r="EF16" s="54">
        <v>252348.66</v>
      </c>
      <c r="EG16" s="54">
        <v>42927.06</v>
      </c>
    </row>
    <row r="17" spans="1:137">
      <c r="A17" s="279" t="s">
        <v>103</v>
      </c>
      <c r="B17" s="280">
        <v>99250.37</v>
      </c>
      <c r="C17" s="280">
        <v>0</v>
      </c>
      <c r="D17" s="280">
        <v>22200</v>
      </c>
      <c r="E17" s="280">
        <v>0</v>
      </c>
      <c r="F17" s="280">
        <v>0</v>
      </c>
      <c r="G17" s="280">
        <v>0</v>
      </c>
      <c r="H17" s="280">
        <v>0</v>
      </c>
      <c r="I17" s="280">
        <v>0</v>
      </c>
      <c r="J17" s="280">
        <v>0</v>
      </c>
      <c r="K17" s="280">
        <v>0</v>
      </c>
      <c r="L17" s="280">
        <v>0</v>
      </c>
      <c r="M17" s="280">
        <v>0</v>
      </c>
      <c r="N17" s="280">
        <v>0</v>
      </c>
      <c r="O17" s="280">
        <v>0</v>
      </c>
      <c r="P17" s="280">
        <v>0</v>
      </c>
      <c r="Q17" s="280">
        <v>0</v>
      </c>
      <c r="R17" s="280">
        <v>0</v>
      </c>
      <c r="S17" s="280">
        <v>0</v>
      </c>
      <c r="T17" s="280">
        <v>0</v>
      </c>
      <c r="U17" s="280">
        <v>0</v>
      </c>
      <c r="V17" s="280">
        <v>0</v>
      </c>
      <c r="W17" s="280">
        <v>22910.44</v>
      </c>
      <c r="X17" s="280">
        <v>0</v>
      </c>
      <c r="Y17" s="280">
        <v>0</v>
      </c>
      <c r="Z17" s="280">
        <v>0</v>
      </c>
      <c r="AA17" s="280">
        <v>0</v>
      </c>
      <c r="AB17" s="280">
        <v>0</v>
      </c>
      <c r="AC17" s="280">
        <v>0</v>
      </c>
      <c r="AD17" s="280">
        <v>0</v>
      </c>
      <c r="AE17" s="280">
        <v>54139.93</v>
      </c>
      <c r="AF17" s="280">
        <v>22910.44</v>
      </c>
      <c r="AG17" s="280">
        <v>0</v>
      </c>
      <c r="AH17" s="280">
        <v>0</v>
      </c>
      <c r="AI17" s="280">
        <v>0</v>
      </c>
      <c r="AJ17" s="280">
        <v>0</v>
      </c>
      <c r="AK17" s="280">
        <v>0</v>
      </c>
      <c r="AL17" s="280">
        <v>0</v>
      </c>
      <c r="AM17" s="280">
        <v>0</v>
      </c>
      <c r="AN17" s="280">
        <v>0</v>
      </c>
      <c r="AO17" s="280">
        <v>0</v>
      </c>
      <c r="AP17" s="280">
        <v>0</v>
      </c>
      <c r="AQ17" s="280">
        <v>0</v>
      </c>
      <c r="AR17" s="280">
        <v>0</v>
      </c>
      <c r="AS17" s="280">
        <v>0</v>
      </c>
      <c r="AT17" s="280">
        <v>0</v>
      </c>
      <c r="AU17" s="280">
        <v>0</v>
      </c>
      <c r="AV17" s="280">
        <v>0</v>
      </c>
      <c r="AW17" s="280">
        <v>0</v>
      </c>
      <c r="AX17" s="280">
        <v>0</v>
      </c>
      <c r="AY17" s="280">
        <v>0</v>
      </c>
      <c r="AZ17" s="280">
        <v>0</v>
      </c>
      <c r="BA17" s="280">
        <v>0</v>
      </c>
      <c r="BB17" s="280">
        <v>0</v>
      </c>
      <c r="BC17" s="280">
        <v>0</v>
      </c>
      <c r="BD17" s="280">
        <v>0</v>
      </c>
      <c r="BE17" s="280">
        <v>54139.93</v>
      </c>
      <c r="BF17" s="280">
        <v>0</v>
      </c>
      <c r="BG17" s="280">
        <v>0</v>
      </c>
      <c r="BH17" s="280">
        <v>0</v>
      </c>
      <c r="BI17" s="280">
        <v>0</v>
      </c>
      <c r="BJ17" s="280">
        <v>3549.07</v>
      </c>
      <c r="BK17" s="280">
        <v>3964.26</v>
      </c>
      <c r="BL17" s="280">
        <v>0</v>
      </c>
      <c r="BM17" s="280">
        <v>0</v>
      </c>
      <c r="BN17" s="280">
        <v>0</v>
      </c>
      <c r="BO17" s="280">
        <v>0</v>
      </c>
      <c r="BP17" s="280">
        <v>1102.69</v>
      </c>
      <c r="BQ17" s="280">
        <v>5265.35</v>
      </c>
      <c r="BR17" s="280">
        <v>0</v>
      </c>
      <c r="BS17" s="280">
        <v>0</v>
      </c>
      <c r="BT17" s="280">
        <v>432.48</v>
      </c>
      <c r="BU17" s="280">
        <v>399.55</v>
      </c>
      <c r="BV17" s="280">
        <v>0</v>
      </c>
      <c r="BW17" s="280">
        <v>314.02</v>
      </c>
      <c r="BX17" s="280">
        <v>524.35</v>
      </c>
      <c r="BY17" s="280">
        <v>369.41</v>
      </c>
      <c r="BZ17" s="280">
        <v>166.65</v>
      </c>
      <c r="CA17" s="280">
        <v>2050.48</v>
      </c>
      <c r="CB17" s="280">
        <v>0</v>
      </c>
      <c r="CC17" s="280">
        <v>6187.04</v>
      </c>
      <c r="CD17" s="280">
        <v>959.42</v>
      </c>
      <c r="CE17" s="280">
        <v>347.77</v>
      </c>
      <c r="CF17" s="280">
        <v>102.64</v>
      </c>
      <c r="CG17" s="280">
        <v>27128.92</v>
      </c>
      <c r="CH17" s="280">
        <v>658.4</v>
      </c>
      <c r="CI17" s="280">
        <v>0</v>
      </c>
      <c r="CJ17" s="280">
        <v>198</v>
      </c>
      <c r="CK17" s="280">
        <v>0</v>
      </c>
      <c r="CL17" s="280">
        <v>0</v>
      </c>
      <c r="CM17" s="280">
        <v>419.43</v>
      </c>
      <c r="CN17" s="280">
        <v>0</v>
      </c>
      <c r="CO17" s="280">
        <v>0</v>
      </c>
      <c r="CP17" s="280">
        <v>0</v>
      </c>
      <c r="CQ17" s="280">
        <v>0</v>
      </c>
      <c r="CR17" s="280">
        <v>0</v>
      </c>
      <c r="CS17" s="280">
        <v>0</v>
      </c>
      <c r="CT17" s="280">
        <v>0</v>
      </c>
      <c r="CU17" s="280">
        <v>0</v>
      </c>
      <c r="CV17" s="280">
        <v>0</v>
      </c>
      <c r="CW17" s="280">
        <v>0</v>
      </c>
      <c r="CX17" s="280">
        <v>0</v>
      </c>
      <c r="CY17" s="280">
        <v>0</v>
      </c>
      <c r="CZ17" s="280">
        <v>0</v>
      </c>
      <c r="DA17" s="280">
        <v>0</v>
      </c>
      <c r="DB17" s="280">
        <v>0</v>
      </c>
      <c r="DC17" s="280">
        <v>0</v>
      </c>
      <c r="DD17" s="280">
        <v>0</v>
      </c>
      <c r="DE17" s="280">
        <v>0</v>
      </c>
      <c r="DF17" s="280">
        <v>0</v>
      </c>
      <c r="DG17" s="280">
        <v>0</v>
      </c>
      <c r="DH17" s="280">
        <v>0</v>
      </c>
      <c r="DI17" s="280">
        <v>0</v>
      </c>
      <c r="DJ17" s="280">
        <v>0</v>
      </c>
      <c r="DK17" s="280">
        <v>0</v>
      </c>
      <c r="DL17" s="280">
        <v>0</v>
      </c>
      <c r="DM17" s="280">
        <v>0</v>
      </c>
      <c r="DN17" s="280">
        <v>0</v>
      </c>
      <c r="DO17" s="280">
        <v>0</v>
      </c>
      <c r="DP17" s="280">
        <v>0</v>
      </c>
      <c r="DQ17" s="280">
        <v>0</v>
      </c>
      <c r="DR17" s="280">
        <v>0</v>
      </c>
      <c r="DS17" s="280">
        <v>0</v>
      </c>
      <c r="DT17" s="280">
        <v>0</v>
      </c>
      <c r="DU17" s="280">
        <v>0</v>
      </c>
      <c r="DV17" s="280">
        <v>0</v>
      </c>
      <c r="DW17" s="280">
        <v>0</v>
      </c>
      <c r="DX17" s="280"/>
      <c r="DY17" s="280"/>
      <c r="DZ17" s="280"/>
      <c r="EA17" s="54">
        <v>-54139.929999999993</v>
      </c>
      <c r="EB17" s="54">
        <v>54139.93</v>
      </c>
      <c r="EC17" s="54">
        <v>0</v>
      </c>
      <c r="ED17" s="54">
        <v>77050.37</v>
      </c>
      <c r="EE17" s="54">
        <v>0</v>
      </c>
      <c r="EF17" s="54">
        <v>-22910.44</v>
      </c>
      <c r="EG17" s="54">
        <v>0</v>
      </c>
    </row>
    <row r="18" spans="1:137">
      <c r="A18" s="279" t="s">
        <v>104</v>
      </c>
      <c r="B18" s="280">
        <v>0</v>
      </c>
      <c r="C18" s="280">
        <v>0</v>
      </c>
      <c r="D18" s="280">
        <v>0</v>
      </c>
      <c r="E18" s="280">
        <v>0</v>
      </c>
      <c r="F18" s="280">
        <v>0</v>
      </c>
      <c r="G18" s="280">
        <v>0</v>
      </c>
      <c r="H18" s="280">
        <v>0</v>
      </c>
      <c r="I18" s="280">
        <v>0</v>
      </c>
      <c r="J18" s="280">
        <v>0</v>
      </c>
      <c r="K18" s="280">
        <v>0</v>
      </c>
      <c r="L18" s="280">
        <v>0</v>
      </c>
      <c r="M18" s="280">
        <v>0</v>
      </c>
      <c r="N18" s="280">
        <v>0</v>
      </c>
      <c r="O18" s="280">
        <v>0</v>
      </c>
      <c r="P18" s="280">
        <v>0</v>
      </c>
      <c r="Q18" s="280">
        <v>0</v>
      </c>
      <c r="R18" s="280">
        <v>0</v>
      </c>
      <c r="S18" s="280">
        <v>0</v>
      </c>
      <c r="T18" s="280">
        <v>0</v>
      </c>
      <c r="U18" s="280">
        <v>0</v>
      </c>
      <c r="V18" s="280">
        <v>0</v>
      </c>
      <c r="W18" s="280">
        <v>0</v>
      </c>
      <c r="X18" s="280">
        <v>0</v>
      </c>
      <c r="Y18" s="280">
        <v>0</v>
      </c>
      <c r="Z18" s="280">
        <v>0</v>
      </c>
      <c r="AA18" s="280">
        <v>0</v>
      </c>
      <c r="AB18" s="280">
        <v>0</v>
      </c>
      <c r="AC18" s="280">
        <v>0</v>
      </c>
      <c r="AD18" s="280">
        <v>0</v>
      </c>
      <c r="AE18" s="280">
        <v>0</v>
      </c>
      <c r="AF18" s="280">
        <v>0</v>
      </c>
      <c r="AG18" s="280">
        <v>0</v>
      </c>
      <c r="AH18" s="280">
        <v>0</v>
      </c>
      <c r="AI18" s="280">
        <v>0</v>
      </c>
      <c r="AJ18" s="280">
        <v>0</v>
      </c>
      <c r="AK18" s="280">
        <v>0</v>
      </c>
      <c r="AL18" s="280">
        <v>0</v>
      </c>
      <c r="AM18" s="280">
        <v>0</v>
      </c>
      <c r="AN18" s="280">
        <v>0</v>
      </c>
      <c r="AO18" s="280">
        <v>0</v>
      </c>
      <c r="AP18" s="280">
        <v>0</v>
      </c>
      <c r="AQ18" s="280">
        <v>0</v>
      </c>
      <c r="AR18" s="280">
        <v>0</v>
      </c>
      <c r="AS18" s="280">
        <v>0</v>
      </c>
      <c r="AT18" s="280">
        <v>0</v>
      </c>
      <c r="AU18" s="280">
        <v>0</v>
      </c>
      <c r="AV18" s="280">
        <v>0</v>
      </c>
      <c r="AW18" s="280">
        <v>0</v>
      </c>
      <c r="AX18" s="280">
        <v>0</v>
      </c>
      <c r="AY18" s="280">
        <v>0</v>
      </c>
      <c r="AZ18" s="280">
        <v>0</v>
      </c>
      <c r="BA18" s="280">
        <v>0</v>
      </c>
      <c r="BB18" s="280">
        <v>0</v>
      </c>
      <c r="BC18" s="280">
        <v>0</v>
      </c>
      <c r="BD18" s="280">
        <v>0</v>
      </c>
      <c r="BE18" s="280">
        <v>0</v>
      </c>
      <c r="BF18" s="280">
        <v>0</v>
      </c>
      <c r="BG18" s="280">
        <v>0</v>
      </c>
      <c r="BH18" s="280">
        <v>0</v>
      </c>
      <c r="BI18" s="280">
        <v>0</v>
      </c>
      <c r="BJ18" s="280">
        <v>0</v>
      </c>
      <c r="BK18" s="280">
        <v>0</v>
      </c>
      <c r="BL18" s="280">
        <v>0</v>
      </c>
      <c r="BM18" s="280">
        <v>0</v>
      </c>
      <c r="BN18" s="280">
        <v>0</v>
      </c>
      <c r="BO18" s="280">
        <v>0</v>
      </c>
      <c r="BP18" s="280">
        <v>0</v>
      </c>
      <c r="BQ18" s="280">
        <v>0</v>
      </c>
      <c r="BR18" s="280">
        <v>0</v>
      </c>
      <c r="BS18" s="280">
        <v>0</v>
      </c>
      <c r="BT18" s="280">
        <v>0</v>
      </c>
      <c r="BU18" s="280">
        <v>0</v>
      </c>
      <c r="BV18" s="280">
        <v>0</v>
      </c>
      <c r="BW18" s="280">
        <v>0</v>
      </c>
      <c r="BX18" s="280">
        <v>0</v>
      </c>
      <c r="BY18" s="280">
        <v>0</v>
      </c>
      <c r="BZ18" s="280">
        <v>0</v>
      </c>
      <c r="CA18" s="280">
        <v>0</v>
      </c>
      <c r="CB18" s="280">
        <v>0</v>
      </c>
      <c r="CC18" s="280">
        <v>0</v>
      </c>
      <c r="CD18" s="280">
        <v>0</v>
      </c>
      <c r="CE18" s="280">
        <v>0</v>
      </c>
      <c r="CF18" s="280">
        <v>0</v>
      </c>
      <c r="CG18" s="280">
        <v>0</v>
      </c>
      <c r="CH18" s="280">
        <v>0</v>
      </c>
      <c r="CI18" s="280">
        <v>0</v>
      </c>
      <c r="CJ18" s="280">
        <v>0</v>
      </c>
      <c r="CK18" s="280">
        <v>0</v>
      </c>
      <c r="CL18" s="280">
        <v>0</v>
      </c>
      <c r="CM18" s="280">
        <v>0</v>
      </c>
      <c r="CN18" s="280">
        <v>0</v>
      </c>
      <c r="CO18" s="280">
        <v>0</v>
      </c>
      <c r="CP18" s="280">
        <v>0</v>
      </c>
      <c r="CQ18" s="280">
        <v>0</v>
      </c>
      <c r="CR18" s="280">
        <v>0</v>
      </c>
      <c r="CS18" s="280">
        <v>0</v>
      </c>
      <c r="CT18" s="280">
        <v>0</v>
      </c>
      <c r="CU18" s="280">
        <v>0</v>
      </c>
      <c r="CV18" s="280">
        <v>0</v>
      </c>
      <c r="CW18" s="280">
        <v>0</v>
      </c>
      <c r="CX18" s="280">
        <v>0</v>
      </c>
      <c r="CY18" s="280">
        <v>0</v>
      </c>
      <c r="CZ18" s="280">
        <v>0</v>
      </c>
      <c r="DA18" s="280">
        <v>0</v>
      </c>
      <c r="DB18" s="280">
        <v>0</v>
      </c>
      <c r="DC18" s="280">
        <v>0</v>
      </c>
      <c r="DD18" s="280">
        <v>0</v>
      </c>
      <c r="DE18" s="280">
        <v>0</v>
      </c>
      <c r="DF18" s="280">
        <v>0</v>
      </c>
      <c r="DG18" s="280">
        <v>0</v>
      </c>
      <c r="DH18" s="280">
        <v>0</v>
      </c>
      <c r="DI18" s="280">
        <v>0</v>
      </c>
      <c r="DJ18" s="280">
        <v>0</v>
      </c>
      <c r="DK18" s="280">
        <v>0</v>
      </c>
      <c r="DL18" s="280">
        <v>0</v>
      </c>
      <c r="DM18" s="280">
        <v>0</v>
      </c>
      <c r="DN18" s="280">
        <v>0</v>
      </c>
      <c r="DO18" s="280">
        <v>0</v>
      </c>
      <c r="DP18" s="280">
        <v>0</v>
      </c>
      <c r="DQ18" s="280">
        <v>0</v>
      </c>
      <c r="DR18" s="280">
        <v>0</v>
      </c>
      <c r="DS18" s="280">
        <v>0</v>
      </c>
      <c r="DT18" s="280">
        <v>0</v>
      </c>
      <c r="DU18" s="280">
        <v>0</v>
      </c>
      <c r="DV18" s="280">
        <v>0</v>
      </c>
      <c r="DW18" s="280">
        <v>0</v>
      </c>
      <c r="DX18" s="280"/>
      <c r="DY18" s="280"/>
      <c r="DZ18" s="280"/>
      <c r="EA18" s="54">
        <v>0</v>
      </c>
      <c r="EB18" s="54">
        <v>0</v>
      </c>
      <c r="EC18" s="54">
        <v>0</v>
      </c>
      <c r="ED18" s="54">
        <v>0</v>
      </c>
      <c r="EE18" s="54">
        <v>0</v>
      </c>
      <c r="EF18" s="54">
        <v>0</v>
      </c>
      <c r="EG18" s="54">
        <v>0</v>
      </c>
    </row>
    <row r="19" spans="1:137" s="283" customFormat="1">
      <c r="A19" s="281" t="s">
        <v>98</v>
      </c>
      <c r="B19" s="280">
        <v>7981281.9100000001</v>
      </c>
      <c r="C19" s="280">
        <v>0</v>
      </c>
      <c r="D19" s="280">
        <v>-466644.06</v>
      </c>
      <c r="E19" s="280">
        <v>0</v>
      </c>
      <c r="F19" s="280">
        <v>0</v>
      </c>
      <c r="G19" s="280">
        <v>0</v>
      </c>
      <c r="H19" s="280">
        <v>0</v>
      </c>
      <c r="I19" s="280">
        <v>0</v>
      </c>
      <c r="J19" s="280">
        <v>0</v>
      </c>
      <c r="K19" s="280">
        <v>0</v>
      </c>
      <c r="L19" s="280">
        <v>0</v>
      </c>
      <c r="M19" s="280">
        <v>0</v>
      </c>
      <c r="N19" s="280">
        <v>0</v>
      </c>
      <c r="O19" s="280">
        <v>0</v>
      </c>
      <c r="P19" s="280">
        <v>0</v>
      </c>
      <c r="Q19" s="280">
        <v>0</v>
      </c>
      <c r="R19" s="280">
        <v>0</v>
      </c>
      <c r="S19" s="280">
        <v>0</v>
      </c>
      <c r="T19" s="280">
        <v>0</v>
      </c>
      <c r="U19" s="280">
        <v>0</v>
      </c>
      <c r="V19" s="280">
        <v>0</v>
      </c>
      <c r="W19" s="280">
        <v>-218045.12</v>
      </c>
      <c r="X19" s="280">
        <v>65635.45</v>
      </c>
      <c r="Y19" s="280">
        <v>181985.31</v>
      </c>
      <c r="Z19" s="280">
        <v>18000</v>
      </c>
      <c r="AA19" s="280">
        <v>-10.26</v>
      </c>
      <c r="AB19" s="280">
        <v>4244.24</v>
      </c>
      <c r="AC19" s="280">
        <v>0</v>
      </c>
      <c r="AD19" s="280">
        <v>0</v>
      </c>
      <c r="AE19" s="280">
        <v>8396116.3499999996</v>
      </c>
      <c r="AF19" s="280">
        <v>22909.61</v>
      </c>
      <c r="AG19" s="280">
        <v>102380.83</v>
      </c>
      <c r="AH19" s="280">
        <v>181990.97</v>
      </c>
      <c r="AI19" s="280">
        <v>581524.01</v>
      </c>
      <c r="AJ19" s="280">
        <v>32511.03</v>
      </c>
      <c r="AK19" s="280">
        <v>-1140931.8600000001</v>
      </c>
      <c r="AL19" s="280">
        <v>1570.29</v>
      </c>
      <c r="AM19" s="280">
        <v>0</v>
      </c>
      <c r="AN19" s="280">
        <v>56522.3</v>
      </c>
      <c r="AO19" s="280">
        <v>3114.99</v>
      </c>
      <c r="AP19" s="280">
        <v>5998.13</v>
      </c>
      <c r="AQ19" s="280">
        <v>0</v>
      </c>
      <c r="AR19" s="280">
        <v>0</v>
      </c>
      <c r="AS19" s="280">
        <v>0.03</v>
      </c>
      <c r="AT19" s="280">
        <v>0</v>
      </c>
      <c r="AU19" s="280">
        <v>8782.7999999999993</v>
      </c>
      <c r="AV19" s="280">
        <v>10446.370000000001</v>
      </c>
      <c r="AW19" s="280">
        <v>33520.699999999997</v>
      </c>
      <c r="AX19" s="280">
        <v>129235.44</v>
      </c>
      <c r="AY19" s="280">
        <v>-10.26</v>
      </c>
      <c r="AZ19" s="280">
        <v>0</v>
      </c>
      <c r="BA19" s="280">
        <v>4982851.72</v>
      </c>
      <c r="BB19" s="280">
        <v>0</v>
      </c>
      <c r="BC19" s="280">
        <v>668647.25</v>
      </c>
      <c r="BD19" s="280">
        <v>0</v>
      </c>
      <c r="BE19" s="280">
        <v>2744617.38</v>
      </c>
      <c r="BF19" s="280">
        <v>140613.89000000001</v>
      </c>
      <c r="BG19" s="280">
        <v>127587.52</v>
      </c>
      <c r="BH19" s="280">
        <v>160498.28</v>
      </c>
      <c r="BI19" s="280">
        <v>248620.84</v>
      </c>
      <c r="BJ19" s="280">
        <v>180608.38</v>
      </c>
      <c r="BK19" s="280">
        <v>107267.51</v>
      </c>
      <c r="BL19" s="280">
        <v>50129.86</v>
      </c>
      <c r="BM19" s="280">
        <v>146224.87</v>
      </c>
      <c r="BN19" s="280">
        <v>36166</v>
      </c>
      <c r="BO19" s="280">
        <v>29558.37</v>
      </c>
      <c r="BP19" s="280">
        <v>234526.68</v>
      </c>
      <c r="BQ19" s="280">
        <v>157147.56</v>
      </c>
      <c r="BR19" s="280">
        <v>80010.55</v>
      </c>
      <c r="BS19" s="280">
        <v>35360.120000000003</v>
      </c>
      <c r="BT19" s="280">
        <v>31047.87</v>
      </c>
      <c r="BU19" s="280">
        <v>41036.199999999997</v>
      </c>
      <c r="BV19" s="280">
        <v>40126.81</v>
      </c>
      <c r="BW19" s="280">
        <v>49914.16</v>
      </c>
      <c r="BX19" s="280">
        <v>30004.37</v>
      </c>
      <c r="BY19" s="280">
        <v>25896.78</v>
      </c>
      <c r="BZ19" s="280">
        <v>51426.41</v>
      </c>
      <c r="CA19" s="280">
        <v>43124.13</v>
      </c>
      <c r="CB19" s="280">
        <v>8835.19</v>
      </c>
      <c r="CC19" s="280">
        <v>20558.3</v>
      </c>
      <c r="CD19" s="280">
        <v>22671.3</v>
      </c>
      <c r="CE19" s="280">
        <v>50374.39</v>
      </c>
      <c r="CF19" s="280">
        <v>17789.75</v>
      </c>
      <c r="CG19" s="280">
        <v>51770.11</v>
      </c>
      <c r="CH19" s="280">
        <v>22546</v>
      </c>
      <c r="CI19" s="280">
        <v>17670.91</v>
      </c>
      <c r="CJ19" s="280">
        <v>4765.1499999999996</v>
      </c>
      <c r="CK19" s="280">
        <v>11442.55</v>
      </c>
      <c r="CL19" s="280">
        <v>10326.25</v>
      </c>
      <c r="CM19" s="280">
        <v>16209.92</v>
      </c>
      <c r="CN19" s="280">
        <v>7214.3</v>
      </c>
      <c r="CO19" s="280">
        <v>17396.57</v>
      </c>
      <c r="CP19" s="280">
        <v>198280.28</v>
      </c>
      <c r="CQ19" s="280">
        <v>3350.83</v>
      </c>
      <c r="CR19" s="280">
        <v>3008.11</v>
      </c>
      <c r="CS19" s="280">
        <v>788.34</v>
      </c>
      <c r="CT19" s="280">
        <v>4652.68</v>
      </c>
      <c r="CU19" s="280">
        <v>6227.84</v>
      </c>
      <c r="CV19" s="280">
        <v>778.13</v>
      </c>
      <c r="CW19" s="280">
        <v>5362.04</v>
      </c>
      <c r="CX19" s="280">
        <v>2736.96</v>
      </c>
      <c r="CY19" s="280">
        <v>2297.9</v>
      </c>
      <c r="CZ19" s="280">
        <v>3731.2</v>
      </c>
      <c r="DA19" s="280">
        <v>1059.9000000000001</v>
      </c>
      <c r="DB19" s="280">
        <v>6077.85</v>
      </c>
      <c r="DC19" s="280">
        <v>6305.2</v>
      </c>
      <c r="DD19" s="280">
        <v>5662.15</v>
      </c>
      <c r="DE19" s="280">
        <v>2514.1799999999998</v>
      </c>
      <c r="DF19" s="280">
        <v>3021.72</v>
      </c>
      <c r="DG19" s="280">
        <v>35172.71</v>
      </c>
      <c r="DH19" s="280">
        <v>933.65</v>
      </c>
      <c r="DI19" s="280">
        <v>822.05</v>
      </c>
      <c r="DJ19" s="280">
        <v>57494.7</v>
      </c>
      <c r="DK19" s="280">
        <v>2282.79</v>
      </c>
      <c r="DL19" s="280">
        <v>4414.3599999999997</v>
      </c>
      <c r="DM19" s="280">
        <v>9045.2000000000007</v>
      </c>
      <c r="DN19" s="280">
        <v>17863.07</v>
      </c>
      <c r="DO19" s="280">
        <v>11598.28</v>
      </c>
      <c r="DP19" s="280">
        <v>646.64</v>
      </c>
      <c r="DQ19" s="280">
        <v>2647.55</v>
      </c>
      <c r="DR19" s="280">
        <v>16317.01</v>
      </c>
      <c r="DS19" s="280">
        <v>3056.21</v>
      </c>
      <c r="DT19" s="280">
        <v>0</v>
      </c>
      <c r="DU19" s="280">
        <v>0</v>
      </c>
      <c r="DV19" s="282">
        <v>0</v>
      </c>
      <c r="DW19" s="282">
        <v>0</v>
      </c>
      <c r="DX19" s="282"/>
      <c r="DY19" s="282"/>
      <c r="DZ19" s="282"/>
      <c r="EA19" s="283">
        <v>-8396116.3499999996</v>
      </c>
      <c r="EB19" s="283">
        <v>8396116.3499999996</v>
      </c>
      <c r="EC19" s="283">
        <v>0</v>
      </c>
      <c r="ED19" s="283">
        <v>8176500.9399999985</v>
      </c>
      <c r="EE19" s="283">
        <v>111225.18000000001</v>
      </c>
      <c r="EF19" s="54">
        <v>285250.86</v>
      </c>
      <c r="EG19" s="54">
        <v>-12885.580000000002</v>
      </c>
    </row>
    <row r="20" spans="1:137">
      <c r="A20" s="279" t="s">
        <v>106</v>
      </c>
      <c r="B20" s="280">
        <v>1406602.72</v>
      </c>
      <c r="C20" s="280">
        <v>6815</v>
      </c>
      <c r="D20" s="280">
        <v>0</v>
      </c>
      <c r="E20" s="280">
        <v>5495</v>
      </c>
      <c r="F20" s="280">
        <v>47810.14</v>
      </c>
      <c r="G20" s="280">
        <v>18881.5</v>
      </c>
      <c r="H20" s="280">
        <v>6179</v>
      </c>
      <c r="I20" s="280">
        <v>3062.5</v>
      </c>
      <c r="J20" s="280">
        <v>1117</v>
      </c>
      <c r="K20" s="280">
        <v>9447.5</v>
      </c>
      <c r="L20" s="280">
        <v>788.9</v>
      </c>
      <c r="M20" s="280">
        <v>0</v>
      </c>
      <c r="N20" s="280">
        <v>1770</v>
      </c>
      <c r="O20" s="280">
        <v>13706</v>
      </c>
      <c r="P20" s="280">
        <v>1203</v>
      </c>
      <c r="Q20" s="280">
        <v>6425</v>
      </c>
      <c r="R20" s="280">
        <v>0</v>
      </c>
      <c r="S20" s="280">
        <v>0</v>
      </c>
      <c r="T20" s="280">
        <v>0</v>
      </c>
      <c r="U20" s="280">
        <v>0</v>
      </c>
      <c r="V20" s="280">
        <v>0</v>
      </c>
      <c r="W20" s="280">
        <v>69251</v>
      </c>
      <c r="X20" s="280">
        <v>398302.58</v>
      </c>
      <c r="Y20" s="280">
        <v>75290</v>
      </c>
      <c r="Z20" s="280">
        <v>24561.69</v>
      </c>
      <c r="AA20" s="280">
        <v>20127.5</v>
      </c>
      <c r="AB20" s="280">
        <v>50853.7</v>
      </c>
      <c r="AC20" s="280">
        <v>0</v>
      </c>
      <c r="AD20" s="280">
        <v>9830.7099999999991</v>
      </c>
      <c r="AE20" s="280">
        <v>635685</v>
      </c>
      <c r="AF20" s="280">
        <v>23602</v>
      </c>
      <c r="AG20" s="280">
        <v>7482</v>
      </c>
      <c r="AH20" s="280">
        <v>1114</v>
      </c>
      <c r="AI20" s="280">
        <v>28533</v>
      </c>
      <c r="AJ20" s="280">
        <v>2273</v>
      </c>
      <c r="AK20" s="280">
        <v>1735</v>
      </c>
      <c r="AL20" s="280">
        <v>4512</v>
      </c>
      <c r="AM20" s="280">
        <v>19409</v>
      </c>
      <c r="AN20" s="280">
        <v>132722.26999999999</v>
      </c>
      <c r="AO20" s="280">
        <v>22366</v>
      </c>
      <c r="AP20" s="280">
        <v>110191.4</v>
      </c>
      <c r="AQ20" s="280">
        <v>60253.599999999999</v>
      </c>
      <c r="AR20" s="280">
        <v>41787.449999999997</v>
      </c>
      <c r="AS20" s="280">
        <v>11572.86</v>
      </c>
      <c r="AT20" s="280">
        <v>0</v>
      </c>
      <c r="AU20" s="280">
        <v>6822</v>
      </c>
      <c r="AV20" s="280">
        <v>35511</v>
      </c>
      <c r="AW20" s="280">
        <v>10496</v>
      </c>
      <c r="AX20" s="280">
        <v>22461</v>
      </c>
      <c r="AY20" s="280">
        <v>20127.5</v>
      </c>
      <c r="AZ20" s="280">
        <v>0</v>
      </c>
      <c r="BA20" s="280">
        <v>750</v>
      </c>
      <c r="BB20" s="280">
        <v>36555.980000000003</v>
      </c>
      <c r="BC20" s="280">
        <v>220</v>
      </c>
      <c r="BD20" s="280">
        <v>5562</v>
      </c>
      <c r="BE20" s="280">
        <v>592597.02</v>
      </c>
      <c r="BF20" s="280">
        <v>35126</v>
      </c>
      <c r="BG20" s="280">
        <v>22075.5</v>
      </c>
      <c r="BH20" s="280">
        <v>22293.86</v>
      </c>
      <c r="BI20" s="280">
        <v>4957</v>
      </c>
      <c r="BJ20" s="280">
        <v>8361</v>
      </c>
      <c r="BK20" s="280">
        <v>23329</v>
      </c>
      <c r="BL20" s="280">
        <v>7670</v>
      </c>
      <c r="BM20" s="280">
        <v>2544</v>
      </c>
      <c r="BN20" s="280">
        <v>21330.400000000001</v>
      </c>
      <c r="BO20" s="280">
        <v>10815.8</v>
      </c>
      <c r="BP20" s="280">
        <v>16456.23</v>
      </c>
      <c r="BQ20" s="280">
        <v>2700</v>
      </c>
      <c r="BR20" s="280">
        <v>28468.2</v>
      </c>
      <c r="BS20" s="280">
        <v>15054</v>
      </c>
      <c r="BT20" s="280">
        <v>980</v>
      </c>
      <c r="BU20" s="280">
        <v>8750</v>
      </c>
      <c r="BV20" s="280">
        <v>2332</v>
      </c>
      <c r="BW20" s="280">
        <v>8010</v>
      </c>
      <c r="BX20" s="280">
        <v>3189</v>
      </c>
      <c r="BY20" s="280">
        <v>3750.3</v>
      </c>
      <c r="BZ20" s="280">
        <v>9260</v>
      </c>
      <c r="CA20" s="280">
        <v>19779.8</v>
      </c>
      <c r="CB20" s="280">
        <v>3317.5</v>
      </c>
      <c r="CC20" s="280">
        <v>2713</v>
      </c>
      <c r="CD20" s="280">
        <v>7479.5</v>
      </c>
      <c r="CE20" s="280">
        <v>6015</v>
      </c>
      <c r="CF20" s="280">
        <v>2391.33</v>
      </c>
      <c r="CG20" s="280">
        <v>4822</v>
      </c>
      <c r="CH20" s="280">
        <v>19437.79</v>
      </c>
      <c r="CI20" s="280">
        <v>10987.4</v>
      </c>
      <c r="CJ20" s="280">
        <v>6863.8</v>
      </c>
      <c r="CK20" s="280">
        <v>4227</v>
      </c>
      <c r="CL20" s="280">
        <v>7569</v>
      </c>
      <c r="CM20" s="280">
        <v>10807</v>
      </c>
      <c r="CN20" s="280">
        <v>5094</v>
      </c>
      <c r="CO20" s="280">
        <v>4544</v>
      </c>
      <c r="CP20" s="280">
        <v>-210</v>
      </c>
      <c r="CQ20" s="280">
        <v>2902.4</v>
      </c>
      <c r="CR20" s="280">
        <v>6427</v>
      </c>
      <c r="CS20" s="280">
        <v>12045.7</v>
      </c>
      <c r="CT20" s="280">
        <v>6903</v>
      </c>
      <c r="CU20" s="280">
        <v>189</v>
      </c>
      <c r="CV20" s="280">
        <v>10115</v>
      </c>
      <c r="CW20" s="280">
        <v>11289</v>
      </c>
      <c r="CX20" s="280">
        <v>10207.74</v>
      </c>
      <c r="CY20" s="280">
        <v>9438</v>
      </c>
      <c r="CZ20" s="280">
        <v>10014.64</v>
      </c>
      <c r="DA20" s="280">
        <v>9710</v>
      </c>
      <c r="DB20" s="280">
        <v>12107.52</v>
      </c>
      <c r="DC20" s="280">
        <v>12420</v>
      </c>
      <c r="DD20" s="280">
        <v>11605</v>
      </c>
      <c r="DE20" s="280">
        <v>10253</v>
      </c>
      <c r="DF20" s="280">
        <v>4887</v>
      </c>
      <c r="DG20" s="280">
        <v>5598</v>
      </c>
      <c r="DH20" s="280">
        <v>6802</v>
      </c>
      <c r="DI20" s="280">
        <v>0</v>
      </c>
      <c r="DJ20" s="280">
        <v>5682.1</v>
      </c>
      <c r="DK20" s="280">
        <v>6843</v>
      </c>
      <c r="DL20" s="280">
        <v>8725.61</v>
      </c>
      <c r="DM20" s="280">
        <v>2891</v>
      </c>
      <c r="DN20" s="280">
        <v>18500.900000000001</v>
      </c>
      <c r="DO20" s="280">
        <v>4122</v>
      </c>
      <c r="DP20" s="280">
        <v>4729</v>
      </c>
      <c r="DQ20" s="280">
        <v>988</v>
      </c>
      <c r="DR20" s="280">
        <v>13911</v>
      </c>
      <c r="DS20" s="280">
        <v>0</v>
      </c>
      <c r="DT20" s="280">
        <v>0</v>
      </c>
      <c r="DU20" s="280">
        <v>0</v>
      </c>
      <c r="DV20" s="280">
        <v>0</v>
      </c>
      <c r="DW20" s="280">
        <v>0</v>
      </c>
      <c r="DX20" s="280"/>
      <c r="DY20" s="280"/>
      <c r="DZ20" s="280"/>
      <c r="EA20" s="54">
        <v>-635685.00000000012</v>
      </c>
      <c r="EB20" s="54">
        <v>625854.29</v>
      </c>
      <c r="EC20" s="54">
        <v>0</v>
      </c>
      <c r="ED20" s="54">
        <v>700424</v>
      </c>
      <c r="EE20" s="54">
        <v>18026.810000000001</v>
      </c>
      <c r="EF20" s="54">
        <v>333563.57999999996</v>
      </c>
      <c r="EG20" s="54">
        <v>-345473.58</v>
      </c>
    </row>
    <row r="21" spans="1:137">
      <c r="A21" s="279" t="s">
        <v>107</v>
      </c>
      <c r="B21" s="280">
        <v>825292.21</v>
      </c>
      <c r="C21" s="280">
        <v>14898.91</v>
      </c>
      <c r="D21" s="280">
        <v>0</v>
      </c>
      <c r="E21" s="280">
        <v>2197</v>
      </c>
      <c r="F21" s="280">
        <v>7064.1</v>
      </c>
      <c r="G21" s="280">
        <v>0</v>
      </c>
      <c r="H21" s="280">
        <v>290</v>
      </c>
      <c r="I21" s="280">
        <v>777.36</v>
      </c>
      <c r="J21" s="280">
        <v>0</v>
      </c>
      <c r="K21" s="280">
        <v>5206.51</v>
      </c>
      <c r="L21" s="280">
        <v>0</v>
      </c>
      <c r="M21" s="280">
        <v>2087</v>
      </c>
      <c r="N21" s="280">
        <v>23118.13</v>
      </c>
      <c r="O21" s="280">
        <v>20247.79</v>
      </c>
      <c r="P21" s="280">
        <v>215.09</v>
      </c>
      <c r="Q21" s="280">
        <v>2705.5</v>
      </c>
      <c r="R21" s="280">
        <v>0</v>
      </c>
      <c r="S21" s="280">
        <v>0</v>
      </c>
      <c r="T21" s="280">
        <v>0</v>
      </c>
      <c r="U21" s="280">
        <v>0</v>
      </c>
      <c r="V21" s="280">
        <v>0</v>
      </c>
      <c r="W21" s="280">
        <v>33500.17</v>
      </c>
      <c r="X21" s="280">
        <v>594350.80000000005</v>
      </c>
      <c r="Y21" s="280">
        <v>17139.84</v>
      </c>
      <c r="Z21" s="280">
        <v>12894.42</v>
      </c>
      <c r="AA21" s="280">
        <v>5802.5</v>
      </c>
      <c r="AB21" s="280">
        <v>9359.52</v>
      </c>
      <c r="AC21" s="280">
        <v>0</v>
      </c>
      <c r="AD21" s="280">
        <v>732.83</v>
      </c>
      <c r="AE21" s="280">
        <v>72704.740000000005</v>
      </c>
      <c r="AF21" s="280">
        <v>5676.29</v>
      </c>
      <c r="AG21" s="280">
        <v>878.76</v>
      </c>
      <c r="AH21" s="280">
        <v>845.5</v>
      </c>
      <c r="AI21" s="280">
        <v>18551.82</v>
      </c>
      <c r="AJ21" s="280">
        <v>2282.75</v>
      </c>
      <c r="AK21" s="280">
        <v>1417.05</v>
      </c>
      <c r="AL21" s="280">
        <v>3848</v>
      </c>
      <c r="AM21" s="280">
        <v>25546.49</v>
      </c>
      <c r="AN21" s="280">
        <v>246165.85</v>
      </c>
      <c r="AO21" s="280">
        <v>95920.82</v>
      </c>
      <c r="AP21" s="280">
        <v>99232.53</v>
      </c>
      <c r="AQ21" s="280">
        <v>39731.9</v>
      </c>
      <c r="AR21" s="280">
        <v>61326.83</v>
      </c>
      <c r="AS21" s="280">
        <v>26426.38</v>
      </c>
      <c r="AT21" s="280">
        <v>0</v>
      </c>
      <c r="AU21" s="280">
        <v>7026.21</v>
      </c>
      <c r="AV21" s="280">
        <v>1342</v>
      </c>
      <c r="AW21" s="280">
        <v>4674.13</v>
      </c>
      <c r="AX21" s="280">
        <v>4097.5</v>
      </c>
      <c r="AY21" s="280">
        <v>2839.78</v>
      </c>
      <c r="AZ21" s="280">
        <v>2962.72</v>
      </c>
      <c r="BA21" s="280">
        <v>-9.74</v>
      </c>
      <c r="BB21" s="280">
        <v>3385.79</v>
      </c>
      <c r="BC21" s="280">
        <v>0</v>
      </c>
      <c r="BD21" s="280">
        <v>6447.27</v>
      </c>
      <c r="BE21" s="280">
        <v>62881.42</v>
      </c>
      <c r="BF21" s="280">
        <v>0</v>
      </c>
      <c r="BG21" s="280">
        <v>598</v>
      </c>
      <c r="BH21" s="280">
        <v>0</v>
      </c>
      <c r="BI21" s="280">
        <v>0</v>
      </c>
      <c r="BJ21" s="280">
        <v>676</v>
      </c>
      <c r="BK21" s="280">
        <v>1800.48</v>
      </c>
      <c r="BL21" s="280">
        <v>0</v>
      </c>
      <c r="BM21" s="280">
        <v>0</v>
      </c>
      <c r="BN21" s="280">
        <v>5542.68</v>
      </c>
      <c r="BO21" s="280">
        <v>2356.2600000000002</v>
      </c>
      <c r="BP21" s="280">
        <v>0</v>
      </c>
      <c r="BQ21" s="280">
        <v>0</v>
      </c>
      <c r="BR21" s="280">
        <v>1709.14</v>
      </c>
      <c r="BS21" s="280">
        <v>0</v>
      </c>
      <c r="BT21" s="280">
        <v>0</v>
      </c>
      <c r="BU21" s="280">
        <v>692</v>
      </c>
      <c r="BV21" s="280">
        <v>0</v>
      </c>
      <c r="BW21" s="280">
        <v>2769.98</v>
      </c>
      <c r="BX21" s="280">
        <v>0</v>
      </c>
      <c r="BY21" s="280">
        <v>2615.3000000000002</v>
      </c>
      <c r="BZ21" s="280">
        <v>0</v>
      </c>
      <c r="CA21" s="280">
        <v>0</v>
      </c>
      <c r="CB21" s="280">
        <v>0</v>
      </c>
      <c r="CC21" s="280">
        <v>318</v>
      </c>
      <c r="CD21" s="280">
        <v>0</v>
      </c>
      <c r="CE21" s="280">
        <v>0</v>
      </c>
      <c r="CF21" s="280">
        <v>140</v>
      </c>
      <c r="CG21" s="280">
        <v>0</v>
      </c>
      <c r="CH21" s="280">
        <v>151</v>
      </c>
      <c r="CI21" s="280">
        <v>3154</v>
      </c>
      <c r="CJ21" s="280">
        <v>0</v>
      </c>
      <c r="CK21" s="280">
        <v>0</v>
      </c>
      <c r="CL21" s="280">
        <v>0</v>
      </c>
      <c r="CM21" s="280">
        <v>0</v>
      </c>
      <c r="CN21" s="280">
        <v>0</v>
      </c>
      <c r="CO21" s="280">
        <v>637.11</v>
      </c>
      <c r="CP21" s="280">
        <v>2113.5</v>
      </c>
      <c r="CQ21" s="280">
        <v>5957</v>
      </c>
      <c r="CR21" s="280">
        <v>611.23</v>
      </c>
      <c r="CS21" s="280">
        <v>804</v>
      </c>
      <c r="CT21" s="280">
        <v>1955</v>
      </c>
      <c r="CU21" s="280">
        <v>2039</v>
      </c>
      <c r="CV21" s="280">
        <v>1331.29</v>
      </c>
      <c r="CW21" s="280">
        <v>1794</v>
      </c>
      <c r="CX21" s="280">
        <v>1798.5</v>
      </c>
      <c r="CY21" s="280">
        <v>3325.24</v>
      </c>
      <c r="CZ21" s="280">
        <v>4050</v>
      </c>
      <c r="DA21" s="280">
        <v>1990.11</v>
      </c>
      <c r="DB21" s="280">
        <v>0</v>
      </c>
      <c r="DC21" s="280">
        <v>0</v>
      </c>
      <c r="DD21" s="280">
        <v>1282.4000000000001</v>
      </c>
      <c r="DE21" s="280">
        <v>4385</v>
      </c>
      <c r="DF21" s="280">
        <v>1040.2</v>
      </c>
      <c r="DG21" s="280">
        <v>352</v>
      </c>
      <c r="DH21" s="280">
        <v>1834</v>
      </c>
      <c r="DI21" s="280">
        <v>0</v>
      </c>
      <c r="DJ21" s="280">
        <v>0</v>
      </c>
      <c r="DK21" s="280">
        <v>0</v>
      </c>
      <c r="DL21" s="280">
        <v>1485</v>
      </c>
      <c r="DM21" s="280">
        <v>0</v>
      </c>
      <c r="DN21" s="280">
        <v>885</v>
      </c>
      <c r="DO21" s="280">
        <v>0</v>
      </c>
      <c r="DP21" s="280">
        <v>689</v>
      </c>
      <c r="DQ21" s="280">
        <v>0</v>
      </c>
      <c r="DR21" s="280">
        <v>0</v>
      </c>
      <c r="DS21" s="280">
        <v>0</v>
      </c>
      <c r="DT21" s="280">
        <v>0</v>
      </c>
      <c r="DU21" s="280">
        <v>0</v>
      </c>
      <c r="DV21" s="280">
        <v>0</v>
      </c>
      <c r="DW21" s="280">
        <v>0</v>
      </c>
      <c r="DX21" s="280"/>
      <c r="DY21" s="280"/>
      <c r="DZ21" s="280"/>
      <c r="EA21" s="54">
        <v>-72704.739999999874</v>
      </c>
      <c r="EB21" s="54">
        <v>74934.62999999999</v>
      </c>
      <c r="EC21" s="54">
        <v>0</v>
      </c>
      <c r="ED21" s="54">
        <v>102356.90999999999</v>
      </c>
      <c r="EE21" s="54">
        <v>-5957.1399999999994</v>
      </c>
      <c r="EF21" s="54">
        <v>564698.63</v>
      </c>
      <c r="EG21" s="54">
        <v>-581308.46000000008</v>
      </c>
    </row>
    <row r="22" spans="1:137">
      <c r="A22" s="279" t="s">
        <v>108</v>
      </c>
      <c r="B22" s="280">
        <v>180099.37</v>
      </c>
      <c r="C22" s="280">
        <v>0</v>
      </c>
      <c r="D22" s="280">
        <v>0</v>
      </c>
      <c r="E22" s="280">
        <v>2359.98</v>
      </c>
      <c r="F22" s="280">
        <v>20987.72</v>
      </c>
      <c r="G22" s="280">
        <v>4676.26</v>
      </c>
      <c r="H22" s="280">
        <v>1186.67</v>
      </c>
      <c r="I22" s="280">
        <v>1727.34</v>
      </c>
      <c r="J22" s="280">
        <v>0</v>
      </c>
      <c r="K22" s="280">
        <v>2690.97</v>
      </c>
      <c r="L22" s="280">
        <v>1983.28</v>
      </c>
      <c r="M22" s="280">
        <v>1900.73</v>
      </c>
      <c r="N22" s="280">
        <v>2514.13</v>
      </c>
      <c r="O22" s="280">
        <v>4082.56</v>
      </c>
      <c r="P22" s="280">
        <v>3328.43</v>
      </c>
      <c r="Q22" s="280">
        <v>7869.75</v>
      </c>
      <c r="R22" s="280">
        <v>2701.12</v>
      </c>
      <c r="S22" s="280">
        <v>1271.1300000000001</v>
      </c>
      <c r="T22" s="280">
        <v>0</v>
      </c>
      <c r="U22" s="280">
        <v>0</v>
      </c>
      <c r="V22" s="280">
        <v>0</v>
      </c>
      <c r="W22" s="280">
        <v>7930.78</v>
      </c>
      <c r="X22" s="280">
        <v>20732.38</v>
      </c>
      <c r="Y22" s="280">
        <v>6064.02</v>
      </c>
      <c r="Z22" s="280">
        <v>1196.9000000000001</v>
      </c>
      <c r="AA22" s="280">
        <v>300</v>
      </c>
      <c r="AB22" s="280">
        <v>3250.6</v>
      </c>
      <c r="AC22" s="280">
        <v>0</v>
      </c>
      <c r="AD22" s="280">
        <v>9175.66</v>
      </c>
      <c r="AE22" s="280">
        <v>72168.960000000006</v>
      </c>
      <c r="AF22" s="280">
        <v>2387.87</v>
      </c>
      <c r="AG22" s="280">
        <v>559</v>
      </c>
      <c r="AH22" s="280">
        <v>1010</v>
      </c>
      <c r="AI22" s="280">
        <v>2139.91</v>
      </c>
      <c r="AJ22" s="280">
        <v>751</v>
      </c>
      <c r="AK22" s="280">
        <v>746</v>
      </c>
      <c r="AL22" s="280">
        <v>337</v>
      </c>
      <c r="AM22" s="280">
        <v>1744.08</v>
      </c>
      <c r="AN22" s="280">
        <v>6839.8</v>
      </c>
      <c r="AO22" s="280">
        <v>3246.92</v>
      </c>
      <c r="AP22" s="280">
        <v>4450.6899999999996</v>
      </c>
      <c r="AQ22" s="280">
        <v>524.85</v>
      </c>
      <c r="AR22" s="280">
        <v>3893.02</v>
      </c>
      <c r="AS22" s="280">
        <v>33.020000000000003</v>
      </c>
      <c r="AT22" s="280">
        <v>0</v>
      </c>
      <c r="AU22" s="280">
        <v>751</v>
      </c>
      <c r="AV22" s="280">
        <v>3843.36</v>
      </c>
      <c r="AW22" s="280">
        <v>1008.66</v>
      </c>
      <c r="AX22" s="280">
        <v>461</v>
      </c>
      <c r="AY22" s="280">
        <v>300</v>
      </c>
      <c r="AZ22" s="280">
        <v>0</v>
      </c>
      <c r="BA22" s="280">
        <v>3753.13</v>
      </c>
      <c r="BB22" s="280">
        <v>1228.01</v>
      </c>
      <c r="BC22" s="280">
        <v>861.65</v>
      </c>
      <c r="BD22" s="280">
        <v>260.29000000000002</v>
      </c>
      <c r="BE22" s="280">
        <v>66065.88</v>
      </c>
      <c r="BF22" s="280">
        <v>514</v>
      </c>
      <c r="BG22" s="280">
        <v>2156.33</v>
      </c>
      <c r="BH22" s="280">
        <v>2929.13</v>
      </c>
      <c r="BI22" s="280">
        <v>0</v>
      </c>
      <c r="BJ22" s="280">
        <v>5933.9</v>
      </c>
      <c r="BK22" s="280">
        <v>2556.6999999999998</v>
      </c>
      <c r="BL22" s="280">
        <v>0</v>
      </c>
      <c r="BM22" s="280">
        <v>1614</v>
      </c>
      <c r="BN22" s="280">
        <v>0</v>
      </c>
      <c r="BO22" s="280">
        <v>153</v>
      </c>
      <c r="BP22" s="280">
        <v>137.97999999999999</v>
      </c>
      <c r="BQ22" s="280">
        <v>2830.1</v>
      </c>
      <c r="BR22" s="280">
        <v>1408.04</v>
      </c>
      <c r="BS22" s="280">
        <v>13717.88</v>
      </c>
      <c r="BT22" s="280">
        <v>72.8</v>
      </c>
      <c r="BU22" s="280">
        <v>0</v>
      </c>
      <c r="BV22" s="280">
        <v>1115</v>
      </c>
      <c r="BW22" s="280">
        <v>3870</v>
      </c>
      <c r="BX22" s="280">
        <v>0</v>
      </c>
      <c r="BY22" s="280">
        <v>500</v>
      </c>
      <c r="BZ22" s="280">
        <v>154.41999999999999</v>
      </c>
      <c r="CA22" s="280">
        <v>330</v>
      </c>
      <c r="CB22" s="280">
        <v>380</v>
      </c>
      <c r="CC22" s="280">
        <v>0</v>
      </c>
      <c r="CD22" s="280">
        <v>776.4</v>
      </c>
      <c r="CE22" s="280">
        <v>119.8</v>
      </c>
      <c r="CF22" s="280">
        <v>3070</v>
      </c>
      <c r="CG22" s="280">
        <v>0</v>
      </c>
      <c r="CH22" s="280">
        <v>0</v>
      </c>
      <c r="CI22" s="280">
        <v>3173.51</v>
      </c>
      <c r="CJ22" s="280">
        <v>0</v>
      </c>
      <c r="CK22" s="280">
        <v>0</v>
      </c>
      <c r="CL22" s="280">
        <v>0</v>
      </c>
      <c r="CM22" s="280">
        <v>120</v>
      </c>
      <c r="CN22" s="280">
        <v>612.9</v>
      </c>
      <c r="CO22" s="280">
        <v>1674.72</v>
      </c>
      <c r="CP22" s="280">
        <v>0</v>
      </c>
      <c r="CQ22" s="280">
        <v>95</v>
      </c>
      <c r="CR22" s="280">
        <v>2246</v>
      </c>
      <c r="CS22" s="280">
        <v>282</v>
      </c>
      <c r="CT22" s="280">
        <v>1000</v>
      </c>
      <c r="CU22" s="280">
        <v>40.200000000000003</v>
      </c>
      <c r="CV22" s="280">
        <v>0</v>
      </c>
      <c r="CW22" s="280">
        <v>157.19999999999999</v>
      </c>
      <c r="CX22" s="280">
        <v>355.8</v>
      </c>
      <c r="CY22" s="280">
        <v>280.67</v>
      </c>
      <c r="CZ22" s="280">
        <v>153.13999999999999</v>
      </c>
      <c r="DA22" s="280">
        <v>140</v>
      </c>
      <c r="DB22" s="280">
        <v>611.13</v>
      </c>
      <c r="DC22" s="280">
        <v>1453.4</v>
      </c>
      <c r="DD22" s="280">
        <v>702</v>
      </c>
      <c r="DE22" s="280">
        <v>0</v>
      </c>
      <c r="DF22" s="280">
        <v>0</v>
      </c>
      <c r="DG22" s="280">
        <v>929</v>
      </c>
      <c r="DH22" s="280">
        <v>185</v>
      </c>
      <c r="DI22" s="280">
        <v>0</v>
      </c>
      <c r="DJ22" s="280">
        <v>290</v>
      </c>
      <c r="DK22" s="280">
        <v>532.9</v>
      </c>
      <c r="DL22" s="280">
        <v>2068.92</v>
      </c>
      <c r="DM22" s="280">
        <v>0</v>
      </c>
      <c r="DN22" s="280">
        <v>1722.57</v>
      </c>
      <c r="DO22" s="280">
        <v>31.8</v>
      </c>
      <c r="DP22" s="280">
        <v>586.74</v>
      </c>
      <c r="DQ22" s="280">
        <v>0</v>
      </c>
      <c r="DR22" s="280">
        <v>2281.8000000000002</v>
      </c>
      <c r="DS22" s="280">
        <v>0</v>
      </c>
      <c r="DT22" s="280">
        <v>0</v>
      </c>
      <c r="DU22" s="280">
        <v>0</v>
      </c>
      <c r="DV22" s="280">
        <v>0</v>
      </c>
      <c r="DW22" s="280">
        <v>0</v>
      </c>
      <c r="DX22" s="280"/>
      <c r="DY22" s="280"/>
      <c r="DZ22" s="280"/>
      <c r="EA22" s="54">
        <v>-72168.959999999992</v>
      </c>
      <c r="EB22" s="54">
        <v>62993.3</v>
      </c>
      <c r="EC22" s="54">
        <v>0</v>
      </c>
      <c r="ED22" s="54">
        <v>79762.740000000005</v>
      </c>
      <c r="EE22" s="54">
        <v>-435.90000000000009</v>
      </c>
      <c r="EF22" s="54">
        <v>13138.600000000002</v>
      </c>
      <c r="EG22" s="54">
        <v>-15129.36</v>
      </c>
    </row>
    <row r="23" spans="1:137">
      <c r="A23" s="279" t="s">
        <v>109</v>
      </c>
      <c r="B23" s="280">
        <v>60395.61</v>
      </c>
      <c r="C23" s="280">
        <v>0</v>
      </c>
      <c r="D23" s="280">
        <v>3509.31</v>
      </c>
      <c r="E23" s="280">
        <v>1572.82</v>
      </c>
      <c r="F23" s="280">
        <v>987.42</v>
      </c>
      <c r="G23" s="280">
        <v>1650.49</v>
      </c>
      <c r="H23" s="280">
        <v>315.52999999999997</v>
      </c>
      <c r="I23" s="280">
        <v>660.19</v>
      </c>
      <c r="J23" s="280">
        <v>0</v>
      </c>
      <c r="K23" s="280">
        <v>0</v>
      </c>
      <c r="L23" s="280">
        <v>165.05</v>
      </c>
      <c r="M23" s="280">
        <v>0</v>
      </c>
      <c r="N23" s="280">
        <v>233.01</v>
      </c>
      <c r="O23" s="280">
        <v>19.420000000000002</v>
      </c>
      <c r="P23" s="280">
        <v>674.76</v>
      </c>
      <c r="Q23" s="280">
        <v>0</v>
      </c>
      <c r="R23" s="280">
        <v>0</v>
      </c>
      <c r="S23" s="280">
        <v>0</v>
      </c>
      <c r="T23" s="280">
        <v>0</v>
      </c>
      <c r="U23" s="280">
        <v>0</v>
      </c>
      <c r="V23" s="280">
        <v>0</v>
      </c>
      <c r="W23" s="280">
        <v>0</v>
      </c>
      <c r="X23" s="280">
        <v>2690.84</v>
      </c>
      <c r="Y23" s="280">
        <v>524.27</v>
      </c>
      <c r="Z23" s="280">
        <v>668</v>
      </c>
      <c r="AA23" s="280">
        <v>0</v>
      </c>
      <c r="AB23" s="280">
        <v>520</v>
      </c>
      <c r="AC23" s="280">
        <v>0</v>
      </c>
      <c r="AD23" s="280">
        <v>1024.27</v>
      </c>
      <c r="AE23" s="280">
        <v>45180.23</v>
      </c>
      <c r="AF23" s="280">
        <v>0</v>
      </c>
      <c r="AG23" s="280">
        <v>0</v>
      </c>
      <c r="AH23" s="280">
        <v>0</v>
      </c>
      <c r="AI23" s="280">
        <v>0</v>
      </c>
      <c r="AJ23" s="280">
        <v>0</v>
      </c>
      <c r="AK23" s="280">
        <v>0</v>
      </c>
      <c r="AL23" s="280">
        <v>0</v>
      </c>
      <c r="AM23" s="280">
        <v>854.37</v>
      </c>
      <c r="AN23" s="280">
        <v>1553.4</v>
      </c>
      <c r="AO23" s="280">
        <v>0</v>
      </c>
      <c r="AP23" s="280">
        <v>0</v>
      </c>
      <c r="AQ23" s="280">
        <v>131.07</v>
      </c>
      <c r="AR23" s="280">
        <v>0</v>
      </c>
      <c r="AS23" s="280">
        <v>152</v>
      </c>
      <c r="AT23" s="280">
        <v>0</v>
      </c>
      <c r="AU23" s="280">
        <v>0</v>
      </c>
      <c r="AV23" s="280">
        <v>524.27</v>
      </c>
      <c r="AW23" s="280">
        <v>0</v>
      </c>
      <c r="AX23" s="280">
        <v>0</v>
      </c>
      <c r="AY23" s="280">
        <v>0</v>
      </c>
      <c r="AZ23" s="280">
        <v>0</v>
      </c>
      <c r="BA23" s="280">
        <v>2009.71</v>
      </c>
      <c r="BB23" s="280">
        <v>0</v>
      </c>
      <c r="BC23" s="280">
        <v>0</v>
      </c>
      <c r="BD23" s="280">
        <v>0</v>
      </c>
      <c r="BE23" s="280">
        <v>43170.52</v>
      </c>
      <c r="BF23" s="280">
        <v>0</v>
      </c>
      <c r="BG23" s="280">
        <v>0</v>
      </c>
      <c r="BH23" s="280">
        <v>0</v>
      </c>
      <c r="BI23" s="280">
        <v>0</v>
      </c>
      <c r="BJ23" s="280">
        <v>0</v>
      </c>
      <c r="BK23" s="280">
        <v>0</v>
      </c>
      <c r="BL23" s="280">
        <v>2385</v>
      </c>
      <c r="BM23" s="280">
        <v>0</v>
      </c>
      <c r="BN23" s="280">
        <v>0</v>
      </c>
      <c r="BO23" s="280">
        <v>0</v>
      </c>
      <c r="BP23" s="280">
        <v>5541</v>
      </c>
      <c r="BQ23" s="280">
        <v>1209.4000000000001</v>
      </c>
      <c r="BR23" s="280">
        <v>2735</v>
      </c>
      <c r="BS23" s="280">
        <v>0</v>
      </c>
      <c r="BT23" s="280">
        <v>1810</v>
      </c>
      <c r="BU23" s="280">
        <v>0</v>
      </c>
      <c r="BV23" s="280">
        <v>0</v>
      </c>
      <c r="BW23" s="280">
        <v>2960</v>
      </c>
      <c r="BX23" s="280">
        <v>3600</v>
      </c>
      <c r="BY23" s="280">
        <v>1631.06</v>
      </c>
      <c r="BZ23" s="280">
        <v>399</v>
      </c>
      <c r="CA23" s="280">
        <v>4218.63</v>
      </c>
      <c r="CB23" s="280">
        <v>200</v>
      </c>
      <c r="CC23" s="280">
        <v>6427.34</v>
      </c>
      <c r="CD23" s="280">
        <v>550</v>
      </c>
      <c r="CE23" s="280">
        <v>1127</v>
      </c>
      <c r="CF23" s="280">
        <v>0</v>
      </c>
      <c r="CG23" s="280">
        <v>0</v>
      </c>
      <c r="CH23" s="280">
        <v>152.13999999999999</v>
      </c>
      <c r="CI23" s="280">
        <v>1296.05</v>
      </c>
      <c r="CJ23" s="280">
        <v>219</v>
      </c>
      <c r="CK23" s="280">
        <v>0</v>
      </c>
      <c r="CL23" s="280">
        <v>0</v>
      </c>
      <c r="CM23" s="280">
        <v>0</v>
      </c>
      <c r="CN23" s="280">
        <v>0</v>
      </c>
      <c r="CO23" s="280">
        <v>0</v>
      </c>
      <c r="CP23" s="280">
        <v>2118.62</v>
      </c>
      <c r="CQ23" s="280">
        <v>0</v>
      </c>
      <c r="CR23" s="280">
        <v>0</v>
      </c>
      <c r="CS23" s="280">
        <v>0</v>
      </c>
      <c r="CT23" s="280">
        <v>0</v>
      </c>
      <c r="CU23" s="280">
        <v>0</v>
      </c>
      <c r="CV23" s="280">
        <v>0</v>
      </c>
      <c r="CW23" s="280">
        <v>0</v>
      </c>
      <c r="CX23" s="280">
        <v>0</v>
      </c>
      <c r="CY23" s="280">
        <v>0</v>
      </c>
      <c r="CZ23" s="280">
        <v>504</v>
      </c>
      <c r="DA23" s="280">
        <v>0</v>
      </c>
      <c r="DB23" s="280">
        <v>499</v>
      </c>
      <c r="DC23" s="280">
        <v>750</v>
      </c>
      <c r="DD23" s="280">
        <v>0</v>
      </c>
      <c r="DE23" s="280">
        <v>563</v>
      </c>
      <c r="DF23" s="280">
        <v>0</v>
      </c>
      <c r="DG23" s="280">
        <v>259</v>
      </c>
      <c r="DH23" s="280">
        <v>0</v>
      </c>
      <c r="DI23" s="280">
        <v>0</v>
      </c>
      <c r="DJ23" s="280">
        <v>0</v>
      </c>
      <c r="DK23" s="280">
        <v>0</v>
      </c>
      <c r="DL23" s="280">
        <v>0</v>
      </c>
      <c r="DM23" s="280">
        <v>0</v>
      </c>
      <c r="DN23" s="280">
        <v>2016.28</v>
      </c>
      <c r="DO23" s="280">
        <v>0</v>
      </c>
      <c r="DP23" s="280">
        <v>0</v>
      </c>
      <c r="DQ23" s="280">
        <v>0</v>
      </c>
      <c r="DR23" s="280">
        <v>0</v>
      </c>
      <c r="DS23" s="280">
        <v>0</v>
      </c>
      <c r="DT23" s="280">
        <v>0</v>
      </c>
      <c r="DU23" s="280">
        <v>0</v>
      </c>
      <c r="DV23" s="280">
        <v>0</v>
      </c>
      <c r="DW23" s="280">
        <v>0</v>
      </c>
      <c r="DX23" s="280"/>
      <c r="DY23" s="280"/>
      <c r="DZ23" s="280"/>
      <c r="EA23" s="54">
        <v>-45180.229999999996</v>
      </c>
      <c r="EB23" s="54">
        <v>44155.96</v>
      </c>
      <c r="EC23" s="54">
        <v>0</v>
      </c>
      <c r="ED23" s="54">
        <v>45180.23</v>
      </c>
      <c r="EE23" s="54">
        <v>-668</v>
      </c>
      <c r="EF23" s="54">
        <v>2690.84</v>
      </c>
      <c r="EG23" s="54">
        <v>-2166.5700000000002</v>
      </c>
    </row>
    <row r="24" spans="1:137">
      <c r="A24" s="279" t="s">
        <v>110</v>
      </c>
      <c r="B24" s="280">
        <v>92796.15</v>
      </c>
      <c r="C24" s="280">
        <v>0</v>
      </c>
      <c r="D24" s="280">
        <v>0</v>
      </c>
      <c r="E24" s="280">
        <v>47169.81</v>
      </c>
      <c r="F24" s="280">
        <v>0</v>
      </c>
      <c r="G24" s="280">
        <v>0</v>
      </c>
      <c r="H24" s="280">
        <v>0</v>
      </c>
      <c r="I24" s="280">
        <v>0</v>
      </c>
      <c r="J24" s="280">
        <v>0</v>
      </c>
      <c r="K24" s="280">
        <v>0</v>
      </c>
      <c r="L24" s="280">
        <v>0</v>
      </c>
      <c r="M24" s="280">
        <v>0</v>
      </c>
      <c r="N24" s="280">
        <v>0</v>
      </c>
      <c r="O24" s="280">
        <v>0</v>
      </c>
      <c r="P24" s="280">
        <v>0</v>
      </c>
      <c r="Q24" s="280">
        <v>0</v>
      </c>
      <c r="R24" s="280">
        <v>0</v>
      </c>
      <c r="S24" s="280">
        <v>0</v>
      </c>
      <c r="T24" s="280">
        <v>0</v>
      </c>
      <c r="U24" s="280">
        <v>0</v>
      </c>
      <c r="V24" s="280">
        <v>0</v>
      </c>
      <c r="W24" s="280">
        <v>0</v>
      </c>
      <c r="X24" s="280">
        <v>0</v>
      </c>
      <c r="Y24" s="280">
        <v>0</v>
      </c>
      <c r="Z24" s="280">
        <v>7984.89</v>
      </c>
      <c r="AA24" s="280">
        <v>0</v>
      </c>
      <c r="AB24" s="280">
        <v>0</v>
      </c>
      <c r="AC24" s="280">
        <v>0</v>
      </c>
      <c r="AD24" s="280">
        <v>0</v>
      </c>
      <c r="AE24" s="280">
        <v>37641.449999999997</v>
      </c>
      <c r="AF24" s="280">
        <v>0</v>
      </c>
      <c r="AG24" s="280">
        <v>0</v>
      </c>
      <c r="AH24" s="280">
        <v>0</v>
      </c>
      <c r="AI24" s="280">
        <v>0</v>
      </c>
      <c r="AJ24" s="280">
        <v>0</v>
      </c>
      <c r="AK24" s="280">
        <v>0</v>
      </c>
      <c r="AL24" s="280">
        <v>0</v>
      </c>
      <c r="AM24" s="280">
        <v>0</v>
      </c>
      <c r="AN24" s="280">
        <v>0</v>
      </c>
      <c r="AO24" s="280">
        <v>0</v>
      </c>
      <c r="AP24" s="280">
        <v>0</v>
      </c>
      <c r="AQ24" s="280">
        <v>0</v>
      </c>
      <c r="AR24" s="280">
        <v>0</v>
      </c>
      <c r="AS24" s="280">
        <v>0</v>
      </c>
      <c r="AT24" s="280">
        <v>0</v>
      </c>
      <c r="AU24" s="280">
        <v>0</v>
      </c>
      <c r="AV24" s="280">
        <v>0</v>
      </c>
      <c r="AW24" s="280">
        <v>0</v>
      </c>
      <c r="AX24" s="280">
        <v>0</v>
      </c>
      <c r="AY24" s="280">
        <v>0</v>
      </c>
      <c r="AZ24" s="280">
        <v>0</v>
      </c>
      <c r="BA24" s="280">
        <v>0</v>
      </c>
      <c r="BB24" s="280">
        <v>0</v>
      </c>
      <c r="BC24" s="280">
        <v>0</v>
      </c>
      <c r="BD24" s="280">
        <v>0</v>
      </c>
      <c r="BE24" s="280">
        <v>37641.449999999997</v>
      </c>
      <c r="BF24" s="280">
        <v>0</v>
      </c>
      <c r="BG24" s="280">
        <v>0</v>
      </c>
      <c r="BH24" s="280">
        <v>3968.25</v>
      </c>
      <c r="BI24" s="280">
        <v>0</v>
      </c>
      <c r="BJ24" s="280">
        <v>0</v>
      </c>
      <c r="BK24" s="280">
        <v>0</v>
      </c>
      <c r="BL24" s="280">
        <v>0</v>
      </c>
      <c r="BM24" s="280">
        <v>0</v>
      </c>
      <c r="BN24" s="280">
        <v>3968.26</v>
      </c>
      <c r="BO24" s="280">
        <v>0</v>
      </c>
      <c r="BP24" s="280">
        <v>0</v>
      </c>
      <c r="BQ24" s="280">
        <v>0</v>
      </c>
      <c r="BR24" s="280">
        <v>0</v>
      </c>
      <c r="BS24" s="280">
        <v>0</v>
      </c>
      <c r="BT24" s="280">
        <v>16019.42</v>
      </c>
      <c r="BU24" s="280">
        <v>0</v>
      </c>
      <c r="BV24" s="280">
        <v>0</v>
      </c>
      <c r="BW24" s="280">
        <v>2593</v>
      </c>
      <c r="BX24" s="280">
        <v>0</v>
      </c>
      <c r="BY24" s="280">
        <v>0</v>
      </c>
      <c r="BZ24" s="280">
        <v>0</v>
      </c>
      <c r="CA24" s="280">
        <v>0</v>
      </c>
      <c r="CB24" s="280">
        <v>0</v>
      </c>
      <c r="CC24" s="280">
        <v>0</v>
      </c>
      <c r="CD24" s="280">
        <v>0</v>
      </c>
      <c r="CE24" s="280">
        <v>0</v>
      </c>
      <c r="CF24" s="280">
        <v>0</v>
      </c>
      <c r="CG24" s="280">
        <v>0</v>
      </c>
      <c r="CH24" s="280">
        <v>0</v>
      </c>
      <c r="CI24" s="280">
        <v>0</v>
      </c>
      <c r="CJ24" s="280">
        <v>679.36</v>
      </c>
      <c r="CK24" s="280">
        <v>0</v>
      </c>
      <c r="CL24" s="280">
        <v>0</v>
      </c>
      <c r="CM24" s="280">
        <v>0</v>
      </c>
      <c r="CN24" s="280">
        <v>0</v>
      </c>
      <c r="CO24" s="280">
        <v>6349.21</v>
      </c>
      <c r="CP24" s="280">
        <v>0</v>
      </c>
      <c r="CQ24" s="280">
        <v>1683</v>
      </c>
      <c r="CR24" s="280">
        <v>0</v>
      </c>
      <c r="CS24" s="280">
        <v>0</v>
      </c>
      <c r="CT24" s="280">
        <v>0</v>
      </c>
      <c r="CU24" s="280">
        <v>0</v>
      </c>
      <c r="CV24" s="280">
        <v>0</v>
      </c>
      <c r="CW24" s="280">
        <v>0</v>
      </c>
      <c r="CX24" s="280">
        <v>0</v>
      </c>
      <c r="CY24" s="280">
        <v>0</v>
      </c>
      <c r="CZ24" s="280">
        <v>0</v>
      </c>
      <c r="DA24" s="280">
        <v>0</v>
      </c>
      <c r="DB24" s="280">
        <v>0</v>
      </c>
      <c r="DC24" s="280">
        <v>0</v>
      </c>
      <c r="DD24" s="280">
        <v>0</v>
      </c>
      <c r="DE24" s="280">
        <v>0</v>
      </c>
      <c r="DF24" s="280">
        <v>0</v>
      </c>
      <c r="DG24" s="280">
        <v>0</v>
      </c>
      <c r="DH24" s="280">
        <v>0</v>
      </c>
      <c r="DI24" s="280">
        <v>0</v>
      </c>
      <c r="DJ24" s="280">
        <v>0</v>
      </c>
      <c r="DK24" s="280">
        <v>0</v>
      </c>
      <c r="DL24" s="280">
        <v>0</v>
      </c>
      <c r="DM24" s="280">
        <v>0</v>
      </c>
      <c r="DN24" s="280">
        <v>0</v>
      </c>
      <c r="DO24" s="280">
        <v>0</v>
      </c>
      <c r="DP24" s="280">
        <v>0</v>
      </c>
      <c r="DQ24" s="280">
        <v>0</v>
      </c>
      <c r="DR24" s="280">
        <v>2380.9499999999998</v>
      </c>
      <c r="DS24" s="280">
        <v>0</v>
      </c>
      <c r="DT24" s="280">
        <v>0</v>
      </c>
      <c r="DU24" s="280">
        <v>0</v>
      </c>
      <c r="DV24" s="280">
        <v>0</v>
      </c>
      <c r="DW24" s="280">
        <v>0</v>
      </c>
      <c r="DX24" s="280"/>
      <c r="DY24" s="280"/>
      <c r="DZ24" s="280"/>
      <c r="EA24" s="54">
        <v>-37641.449999999997</v>
      </c>
      <c r="EB24" s="54">
        <v>37641.449999999997</v>
      </c>
      <c r="EC24" s="54">
        <v>0</v>
      </c>
      <c r="ED24" s="54">
        <v>37641.449999999997</v>
      </c>
      <c r="EE24" s="54">
        <v>-7984.89</v>
      </c>
      <c r="EF24" s="54">
        <v>0</v>
      </c>
      <c r="EG24" s="54">
        <v>0</v>
      </c>
    </row>
    <row r="25" spans="1:137">
      <c r="A25" s="279" t="s">
        <v>111</v>
      </c>
      <c r="B25" s="280">
        <v>146226.42000000001</v>
      </c>
      <c r="C25" s="280">
        <v>0</v>
      </c>
      <c r="D25" s="280">
        <v>0</v>
      </c>
      <c r="E25" s="280">
        <v>0</v>
      </c>
      <c r="F25" s="280">
        <v>0</v>
      </c>
      <c r="G25" s="280">
        <v>0</v>
      </c>
      <c r="H25" s="280">
        <v>0</v>
      </c>
      <c r="I25" s="280">
        <v>0</v>
      </c>
      <c r="J25" s="280">
        <v>0</v>
      </c>
      <c r="K25" s="280">
        <v>0</v>
      </c>
      <c r="L25" s="280">
        <v>0</v>
      </c>
      <c r="M25" s="280">
        <v>0</v>
      </c>
      <c r="N25" s="280">
        <v>0</v>
      </c>
      <c r="O25" s="280">
        <v>0</v>
      </c>
      <c r="P25" s="280">
        <v>0</v>
      </c>
      <c r="Q25" s="280">
        <v>0</v>
      </c>
      <c r="R25" s="280">
        <v>0</v>
      </c>
      <c r="S25" s="280">
        <v>0</v>
      </c>
      <c r="T25" s="280">
        <v>0</v>
      </c>
      <c r="U25" s="280">
        <v>0</v>
      </c>
      <c r="V25" s="280">
        <v>0</v>
      </c>
      <c r="W25" s="280">
        <v>23584.91</v>
      </c>
      <c r="X25" s="280">
        <v>0</v>
      </c>
      <c r="Y25" s="280">
        <v>0</v>
      </c>
      <c r="Z25" s="280">
        <v>122641.51</v>
      </c>
      <c r="AA25" s="280">
        <v>0</v>
      </c>
      <c r="AB25" s="280">
        <v>0</v>
      </c>
      <c r="AC25" s="280">
        <v>0</v>
      </c>
      <c r="AD25" s="280">
        <v>0</v>
      </c>
      <c r="AE25" s="280">
        <v>0</v>
      </c>
      <c r="AF25" s="280">
        <v>0</v>
      </c>
      <c r="AG25" s="280">
        <v>0</v>
      </c>
      <c r="AH25" s="280">
        <v>0</v>
      </c>
      <c r="AI25" s="280">
        <v>20440.259999999998</v>
      </c>
      <c r="AJ25" s="280">
        <v>0</v>
      </c>
      <c r="AK25" s="280">
        <v>3144.65</v>
      </c>
      <c r="AL25" s="280">
        <v>0</v>
      </c>
      <c r="AM25" s="280">
        <v>0</v>
      </c>
      <c r="AN25" s="280">
        <v>0</v>
      </c>
      <c r="AO25" s="280">
        <v>0</v>
      </c>
      <c r="AP25" s="280">
        <v>0</v>
      </c>
      <c r="AQ25" s="280">
        <v>0</v>
      </c>
      <c r="AR25" s="280">
        <v>0</v>
      </c>
      <c r="AS25" s="280">
        <v>0</v>
      </c>
      <c r="AT25" s="280">
        <v>0</v>
      </c>
      <c r="AU25" s="280">
        <v>0</v>
      </c>
      <c r="AV25" s="280">
        <v>0</v>
      </c>
      <c r="AW25" s="280">
        <v>0</v>
      </c>
      <c r="AX25" s="280">
        <v>0</v>
      </c>
      <c r="AY25" s="280">
        <v>0</v>
      </c>
      <c r="AZ25" s="280">
        <v>0</v>
      </c>
      <c r="BA25" s="280">
        <v>0</v>
      </c>
      <c r="BB25" s="280">
        <v>0</v>
      </c>
      <c r="BC25" s="280">
        <v>0</v>
      </c>
      <c r="BD25" s="280">
        <v>0</v>
      </c>
      <c r="BE25" s="280">
        <v>0</v>
      </c>
      <c r="BF25" s="280">
        <v>0</v>
      </c>
      <c r="BG25" s="280">
        <v>0</v>
      </c>
      <c r="BH25" s="280">
        <v>0</v>
      </c>
      <c r="BI25" s="280">
        <v>0</v>
      </c>
      <c r="BJ25" s="280">
        <v>0</v>
      </c>
      <c r="BK25" s="280">
        <v>0</v>
      </c>
      <c r="BL25" s="280">
        <v>0</v>
      </c>
      <c r="BM25" s="280">
        <v>0</v>
      </c>
      <c r="BN25" s="280">
        <v>0</v>
      </c>
      <c r="BO25" s="280">
        <v>0</v>
      </c>
      <c r="BP25" s="280">
        <v>0</v>
      </c>
      <c r="BQ25" s="280">
        <v>0</v>
      </c>
      <c r="BR25" s="280">
        <v>0</v>
      </c>
      <c r="BS25" s="280">
        <v>0</v>
      </c>
      <c r="BT25" s="280">
        <v>0</v>
      </c>
      <c r="BU25" s="280">
        <v>0</v>
      </c>
      <c r="BV25" s="280">
        <v>0</v>
      </c>
      <c r="BW25" s="280">
        <v>0</v>
      </c>
      <c r="BX25" s="280">
        <v>0</v>
      </c>
      <c r="BY25" s="280">
        <v>0</v>
      </c>
      <c r="BZ25" s="280">
        <v>0</v>
      </c>
      <c r="CA25" s="280">
        <v>0</v>
      </c>
      <c r="CB25" s="280">
        <v>0</v>
      </c>
      <c r="CC25" s="280">
        <v>0</v>
      </c>
      <c r="CD25" s="280">
        <v>0</v>
      </c>
      <c r="CE25" s="280">
        <v>0</v>
      </c>
      <c r="CF25" s="280">
        <v>0</v>
      </c>
      <c r="CG25" s="280">
        <v>0</v>
      </c>
      <c r="CH25" s="280">
        <v>0</v>
      </c>
      <c r="CI25" s="280">
        <v>0</v>
      </c>
      <c r="CJ25" s="280">
        <v>0</v>
      </c>
      <c r="CK25" s="280">
        <v>0</v>
      </c>
      <c r="CL25" s="280">
        <v>0</v>
      </c>
      <c r="CM25" s="280">
        <v>0</v>
      </c>
      <c r="CN25" s="280">
        <v>0</v>
      </c>
      <c r="CO25" s="280">
        <v>0</v>
      </c>
      <c r="CP25" s="280">
        <v>0</v>
      </c>
      <c r="CQ25" s="280">
        <v>0</v>
      </c>
      <c r="CR25" s="280">
        <v>0</v>
      </c>
      <c r="CS25" s="280">
        <v>0</v>
      </c>
      <c r="CT25" s="280">
        <v>0</v>
      </c>
      <c r="CU25" s="280">
        <v>0</v>
      </c>
      <c r="CV25" s="280">
        <v>0</v>
      </c>
      <c r="CW25" s="280">
        <v>0</v>
      </c>
      <c r="CX25" s="280">
        <v>0</v>
      </c>
      <c r="CY25" s="280">
        <v>0</v>
      </c>
      <c r="CZ25" s="280">
        <v>0</v>
      </c>
      <c r="DA25" s="280">
        <v>0</v>
      </c>
      <c r="DB25" s="280">
        <v>0</v>
      </c>
      <c r="DC25" s="280">
        <v>0</v>
      </c>
      <c r="DD25" s="280">
        <v>0</v>
      </c>
      <c r="DE25" s="280">
        <v>0</v>
      </c>
      <c r="DF25" s="280">
        <v>0</v>
      </c>
      <c r="DG25" s="280">
        <v>0</v>
      </c>
      <c r="DH25" s="280">
        <v>0</v>
      </c>
      <c r="DI25" s="280">
        <v>0</v>
      </c>
      <c r="DJ25" s="280">
        <v>0</v>
      </c>
      <c r="DK25" s="280">
        <v>0</v>
      </c>
      <c r="DL25" s="280">
        <v>0</v>
      </c>
      <c r="DM25" s="280">
        <v>0</v>
      </c>
      <c r="DN25" s="280">
        <v>0</v>
      </c>
      <c r="DO25" s="280">
        <v>0</v>
      </c>
      <c r="DP25" s="280">
        <v>0</v>
      </c>
      <c r="DQ25" s="280">
        <v>0</v>
      </c>
      <c r="DR25" s="280">
        <v>0</v>
      </c>
      <c r="DS25" s="280">
        <v>0</v>
      </c>
      <c r="DT25" s="280">
        <v>0</v>
      </c>
      <c r="DU25" s="280">
        <v>0</v>
      </c>
      <c r="DV25" s="280">
        <v>0</v>
      </c>
      <c r="DW25" s="280">
        <v>0</v>
      </c>
      <c r="DX25" s="280"/>
      <c r="DY25" s="280"/>
      <c r="DZ25" s="280"/>
      <c r="EA25" s="54">
        <v>0</v>
      </c>
      <c r="EB25" s="54">
        <v>0</v>
      </c>
      <c r="EC25" s="54">
        <v>0</v>
      </c>
      <c r="ED25" s="54">
        <v>23584.91</v>
      </c>
      <c r="EE25" s="54">
        <v>-122641.51</v>
      </c>
      <c r="EF25" s="54">
        <v>-23584.91</v>
      </c>
      <c r="EG25" s="54">
        <v>0</v>
      </c>
    </row>
    <row r="26" spans="1:137">
      <c r="A26" s="279" t="s">
        <v>112</v>
      </c>
      <c r="B26" s="280">
        <v>134063.98000000001</v>
      </c>
      <c r="C26" s="280">
        <v>0</v>
      </c>
      <c r="D26" s="280">
        <v>0</v>
      </c>
      <c r="E26" s="280">
        <v>0</v>
      </c>
      <c r="F26" s="280">
        <v>71929.87</v>
      </c>
      <c r="G26" s="280">
        <v>0</v>
      </c>
      <c r="H26" s="280">
        <v>0</v>
      </c>
      <c r="I26" s="280">
        <v>0</v>
      </c>
      <c r="J26" s="280">
        <v>0</v>
      </c>
      <c r="K26" s="280">
        <v>0</v>
      </c>
      <c r="L26" s="280">
        <v>0</v>
      </c>
      <c r="M26" s="280">
        <v>0</v>
      </c>
      <c r="N26" s="280">
        <v>0</v>
      </c>
      <c r="O26" s="280">
        <v>0</v>
      </c>
      <c r="P26" s="280">
        <v>0</v>
      </c>
      <c r="Q26" s="280">
        <v>0</v>
      </c>
      <c r="R26" s="280">
        <v>0</v>
      </c>
      <c r="S26" s="280">
        <v>0</v>
      </c>
      <c r="T26" s="280">
        <v>0</v>
      </c>
      <c r="U26" s="280">
        <v>0</v>
      </c>
      <c r="V26" s="280">
        <v>0</v>
      </c>
      <c r="W26" s="280">
        <v>0</v>
      </c>
      <c r="X26" s="280">
        <v>0</v>
      </c>
      <c r="Y26" s="280">
        <v>0</v>
      </c>
      <c r="Z26" s="280">
        <v>0</v>
      </c>
      <c r="AA26" s="280">
        <v>0</v>
      </c>
      <c r="AB26" s="280">
        <v>0</v>
      </c>
      <c r="AC26" s="280">
        <v>0</v>
      </c>
      <c r="AD26" s="280">
        <v>-873.79</v>
      </c>
      <c r="AE26" s="280">
        <v>63007.9</v>
      </c>
      <c r="AF26" s="280">
        <v>0</v>
      </c>
      <c r="AG26" s="280">
        <v>0</v>
      </c>
      <c r="AH26" s="280">
        <v>0</v>
      </c>
      <c r="AI26" s="280">
        <v>0</v>
      </c>
      <c r="AJ26" s="280">
        <v>0</v>
      </c>
      <c r="AK26" s="280">
        <v>0</v>
      </c>
      <c r="AL26" s="280">
        <v>0</v>
      </c>
      <c r="AM26" s="280">
        <v>0</v>
      </c>
      <c r="AN26" s="280">
        <v>0</v>
      </c>
      <c r="AO26" s="280">
        <v>0</v>
      </c>
      <c r="AP26" s="280">
        <v>0</v>
      </c>
      <c r="AQ26" s="280">
        <v>0</v>
      </c>
      <c r="AR26" s="280">
        <v>0</v>
      </c>
      <c r="AS26" s="280">
        <v>0</v>
      </c>
      <c r="AT26" s="280">
        <v>0</v>
      </c>
      <c r="AU26" s="280">
        <v>0</v>
      </c>
      <c r="AV26" s="280">
        <v>0</v>
      </c>
      <c r="AW26" s="280">
        <v>0</v>
      </c>
      <c r="AX26" s="280">
        <v>0</v>
      </c>
      <c r="AY26" s="280">
        <v>0</v>
      </c>
      <c r="AZ26" s="280">
        <v>0</v>
      </c>
      <c r="BA26" s="280">
        <v>0</v>
      </c>
      <c r="BB26" s="280">
        <v>0</v>
      </c>
      <c r="BC26" s="280">
        <v>0</v>
      </c>
      <c r="BD26" s="280">
        <v>0</v>
      </c>
      <c r="BE26" s="280">
        <v>63007.9</v>
      </c>
      <c r="BF26" s="280">
        <v>2184</v>
      </c>
      <c r="BG26" s="280">
        <v>3205</v>
      </c>
      <c r="BH26" s="280">
        <v>0</v>
      </c>
      <c r="BI26" s="280">
        <v>0</v>
      </c>
      <c r="BJ26" s="280">
        <v>1170</v>
      </c>
      <c r="BK26" s="280">
        <v>0</v>
      </c>
      <c r="BL26" s="280">
        <v>78</v>
      </c>
      <c r="BM26" s="280">
        <v>0</v>
      </c>
      <c r="BN26" s="280">
        <v>28184.9</v>
      </c>
      <c r="BO26" s="280">
        <v>1170</v>
      </c>
      <c r="BP26" s="280">
        <v>5460</v>
      </c>
      <c r="BQ26" s="280">
        <v>2730</v>
      </c>
      <c r="BR26" s="280">
        <v>0</v>
      </c>
      <c r="BS26" s="280">
        <v>7800</v>
      </c>
      <c r="BT26" s="280">
        <v>0</v>
      </c>
      <c r="BU26" s="280">
        <v>0</v>
      </c>
      <c r="BV26" s="280">
        <v>624</v>
      </c>
      <c r="BW26" s="280">
        <v>0</v>
      </c>
      <c r="BX26" s="280">
        <v>0</v>
      </c>
      <c r="BY26" s="280">
        <v>0</v>
      </c>
      <c r="BZ26" s="280">
        <v>0</v>
      </c>
      <c r="CA26" s="280">
        <v>1170</v>
      </c>
      <c r="CB26" s="280">
        <v>0</v>
      </c>
      <c r="CC26" s="280">
        <v>0</v>
      </c>
      <c r="CD26" s="280">
        <v>0</v>
      </c>
      <c r="CE26" s="280">
        <v>0</v>
      </c>
      <c r="CF26" s="280">
        <v>0</v>
      </c>
      <c r="CG26" s="280">
        <v>936</v>
      </c>
      <c r="CH26" s="280">
        <v>0</v>
      </c>
      <c r="CI26" s="280">
        <v>0</v>
      </c>
      <c r="CJ26" s="280">
        <v>0</v>
      </c>
      <c r="CK26" s="280">
        <v>0</v>
      </c>
      <c r="CL26" s="280">
        <v>0</v>
      </c>
      <c r="CM26" s="280">
        <v>0</v>
      </c>
      <c r="CN26" s="280">
        <v>546</v>
      </c>
      <c r="CO26" s="280">
        <v>0</v>
      </c>
      <c r="CP26" s="280">
        <v>0</v>
      </c>
      <c r="CQ26" s="280">
        <v>0</v>
      </c>
      <c r="CR26" s="280">
        <v>312</v>
      </c>
      <c r="CS26" s="280">
        <v>936</v>
      </c>
      <c r="CT26" s="280">
        <v>0</v>
      </c>
      <c r="CU26" s="280">
        <v>312</v>
      </c>
      <c r="CV26" s="280">
        <v>0</v>
      </c>
      <c r="CW26" s="280">
        <v>0</v>
      </c>
      <c r="CX26" s="280">
        <v>886</v>
      </c>
      <c r="CY26" s="280">
        <v>0</v>
      </c>
      <c r="CZ26" s="280">
        <v>0</v>
      </c>
      <c r="DA26" s="280">
        <v>0</v>
      </c>
      <c r="DB26" s="280">
        <v>0</v>
      </c>
      <c r="DC26" s="280">
        <v>0</v>
      </c>
      <c r="DD26" s="280">
        <v>0</v>
      </c>
      <c r="DE26" s="280">
        <v>624</v>
      </c>
      <c r="DF26" s="280">
        <v>0</v>
      </c>
      <c r="DG26" s="280">
        <v>0</v>
      </c>
      <c r="DH26" s="280">
        <v>0</v>
      </c>
      <c r="DI26" s="280">
        <v>0</v>
      </c>
      <c r="DJ26" s="280">
        <v>0</v>
      </c>
      <c r="DK26" s="280">
        <v>858</v>
      </c>
      <c r="DL26" s="280">
        <v>546</v>
      </c>
      <c r="DM26" s="280">
        <v>0</v>
      </c>
      <c r="DN26" s="280">
        <v>546</v>
      </c>
      <c r="DO26" s="280">
        <v>0</v>
      </c>
      <c r="DP26" s="280">
        <v>2730</v>
      </c>
      <c r="DQ26" s="280">
        <v>0</v>
      </c>
      <c r="DR26" s="280">
        <v>0</v>
      </c>
      <c r="DS26" s="280">
        <v>0</v>
      </c>
      <c r="DT26" s="280">
        <v>0</v>
      </c>
      <c r="DU26" s="280">
        <v>0</v>
      </c>
      <c r="DV26" s="280">
        <v>0</v>
      </c>
      <c r="DW26" s="280">
        <v>0</v>
      </c>
      <c r="DX26" s="280"/>
      <c r="DY26" s="280"/>
      <c r="DZ26" s="280"/>
      <c r="EA26" s="54">
        <v>-63007.900000000009</v>
      </c>
      <c r="EB26" s="54">
        <v>63881.69</v>
      </c>
      <c r="EC26" s="54">
        <v>0</v>
      </c>
      <c r="ED26" s="54">
        <v>63007.9</v>
      </c>
      <c r="EE26" s="54">
        <v>0</v>
      </c>
      <c r="EF26" s="54">
        <v>0</v>
      </c>
      <c r="EG26" s="54">
        <v>0</v>
      </c>
    </row>
    <row r="27" spans="1:137">
      <c r="A27" s="279" t="s">
        <v>113</v>
      </c>
      <c r="B27" s="280">
        <v>28977.93</v>
      </c>
      <c r="C27" s="280">
        <v>0</v>
      </c>
      <c r="D27" s="280">
        <v>0</v>
      </c>
      <c r="E27" s="280">
        <v>0</v>
      </c>
      <c r="F27" s="280">
        <v>0</v>
      </c>
      <c r="G27" s="280">
        <v>0</v>
      </c>
      <c r="H27" s="280">
        <v>0</v>
      </c>
      <c r="I27" s="280">
        <v>2760</v>
      </c>
      <c r="J27" s="280">
        <v>0</v>
      </c>
      <c r="K27" s="280">
        <v>0</v>
      </c>
      <c r="L27" s="280">
        <v>0</v>
      </c>
      <c r="M27" s="280">
        <v>0</v>
      </c>
      <c r="N27" s="280">
        <v>0</v>
      </c>
      <c r="O27" s="280">
        <v>0</v>
      </c>
      <c r="P27" s="280">
        <v>0</v>
      </c>
      <c r="Q27" s="280">
        <v>0</v>
      </c>
      <c r="R27" s="280">
        <v>0</v>
      </c>
      <c r="S27" s="280">
        <v>0</v>
      </c>
      <c r="T27" s="280">
        <v>0</v>
      </c>
      <c r="U27" s="280">
        <v>0</v>
      </c>
      <c r="V27" s="280">
        <v>0</v>
      </c>
      <c r="W27" s="280">
        <v>900</v>
      </c>
      <c r="X27" s="280">
        <v>8081.84</v>
      </c>
      <c r="Y27" s="280">
        <v>120</v>
      </c>
      <c r="Z27" s="280">
        <v>71.7</v>
      </c>
      <c r="AA27" s="280">
        <v>0</v>
      </c>
      <c r="AB27" s="280">
        <v>312</v>
      </c>
      <c r="AC27" s="280">
        <v>0</v>
      </c>
      <c r="AD27" s="280">
        <v>0</v>
      </c>
      <c r="AE27" s="280">
        <v>16732.39</v>
      </c>
      <c r="AF27" s="280">
        <v>60</v>
      </c>
      <c r="AG27" s="280">
        <v>360</v>
      </c>
      <c r="AH27" s="280">
        <v>300</v>
      </c>
      <c r="AI27" s="280">
        <v>0</v>
      </c>
      <c r="AJ27" s="280">
        <v>60</v>
      </c>
      <c r="AK27" s="280">
        <v>60</v>
      </c>
      <c r="AL27" s="280">
        <v>60</v>
      </c>
      <c r="AM27" s="280">
        <v>0</v>
      </c>
      <c r="AN27" s="280">
        <v>5724.44</v>
      </c>
      <c r="AO27" s="280">
        <v>0</v>
      </c>
      <c r="AP27" s="280">
        <v>0</v>
      </c>
      <c r="AQ27" s="280">
        <v>356</v>
      </c>
      <c r="AR27" s="280">
        <v>1541.4</v>
      </c>
      <c r="AS27" s="280">
        <v>460</v>
      </c>
      <c r="AT27" s="280">
        <v>0</v>
      </c>
      <c r="AU27" s="280">
        <v>120</v>
      </c>
      <c r="AV27" s="280">
        <v>0</v>
      </c>
      <c r="AW27" s="280">
        <v>0</v>
      </c>
      <c r="AX27" s="280">
        <v>0</v>
      </c>
      <c r="AY27" s="280">
        <v>0</v>
      </c>
      <c r="AZ27" s="280">
        <v>0</v>
      </c>
      <c r="BA27" s="280">
        <v>0</v>
      </c>
      <c r="BB27" s="280">
        <v>0</v>
      </c>
      <c r="BC27" s="280">
        <v>0</v>
      </c>
      <c r="BD27" s="280">
        <v>0</v>
      </c>
      <c r="BE27" s="280">
        <v>16732.39</v>
      </c>
      <c r="BF27" s="280">
        <v>640</v>
      </c>
      <c r="BG27" s="280">
        <v>0</v>
      </c>
      <c r="BH27" s="280">
        <v>0</v>
      </c>
      <c r="BI27" s="280">
        <v>5220.3900000000003</v>
      </c>
      <c r="BJ27" s="280">
        <v>0</v>
      </c>
      <c r="BK27" s="280">
        <v>0</v>
      </c>
      <c r="BL27" s="280">
        <v>0</v>
      </c>
      <c r="BM27" s="280">
        <v>0</v>
      </c>
      <c r="BN27" s="280">
        <v>0</v>
      </c>
      <c r="BO27" s="280">
        <v>0</v>
      </c>
      <c r="BP27" s="280">
        <v>0</v>
      </c>
      <c r="BQ27" s="280">
        <v>0</v>
      </c>
      <c r="BR27" s="280">
        <v>0</v>
      </c>
      <c r="BS27" s="280">
        <v>0</v>
      </c>
      <c r="BT27" s="280">
        <v>0</v>
      </c>
      <c r="BU27" s="280">
        <v>0</v>
      </c>
      <c r="BV27" s="280">
        <v>0</v>
      </c>
      <c r="BW27" s="280">
        <v>0</v>
      </c>
      <c r="BX27" s="280">
        <v>0</v>
      </c>
      <c r="BY27" s="280">
        <v>0</v>
      </c>
      <c r="BZ27" s="280">
        <v>0</v>
      </c>
      <c r="CA27" s="280">
        <v>0</v>
      </c>
      <c r="CB27" s="280">
        <v>1400</v>
      </c>
      <c r="CC27" s="280">
        <v>0</v>
      </c>
      <c r="CD27" s="280">
        <v>0</v>
      </c>
      <c r="CE27" s="280">
        <v>0</v>
      </c>
      <c r="CF27" s="280">
        <v>517</v>
      </c>
      <c r="CG27" s="280">
        <v>6771.84</v>
      </c>
      <c r="CH27" s="280">
        <v>0</v>
      </c>
      <c r="CI27" s="280">
        <v>0</v>
      </c>
      <c r="CJ27" s="280">
        <v>928.16</v>
      </c>
      <c r="CK27" s="280">
        <v>0</v>
      </c>
      <c r="CL27" s="280">
        <v>0</v>
      </c>
      <c r="CM27" s="280">
        <v>0</v>
      </c>
      <c r="CN27" s="280">
        <v>0</v>
      </c>
      <c r="CO27" s="280">
        <v>0</v>
      </c>
      <c r="CP27" s="280">
        <v>0</v>
      </c>
      <c r="CQ27" s="280">
        <v>0</v>
      </c>
      <c r="CR27" s="280">
        <v>0</v>
      </c>
      <c r="CS27" s="280">
        <v>0</v>
      </c>
      <c r="CT27" s="280">
        <v>0</v>
      </c>
      <c r="CU27" s="280">
        <v>0</v>
      </c>
      <c r="CV27" s="280">
        <v>0</v>
      </c>
      <c r="CW27" s="280">
        <v>0</v>
      </c>
      <c r="CX27" s="280">
        <v>0</v>
      </c>
      <c r="CY27" s="280">
        <v>0</v>
      </c>
      <c r="CZ27" s="280">
        <v>0</v>
      </c>
      <c r="DA27" s="280">
        <v>0</v>
      </c>
      <c r="DB27" s="280">
        <v>0</v>
      </c>
      <c r="DC27" s="280">
        <v>0</v>
      </c>
      <c r="DD27" s="280">
        <v>0</v>
      </c>
      <c r="DE27" s="280">
        <v>0</v>
      </c>
      <c r="DF27" s="280">
        <v>0</v>
      </c>
      <c r="DG27" s="280">
        <v>0</v>
      </c>
      <c r="DH27" s="280">
        <v>0</v>
      </c>
      <c r="DI27" s="280">
        <v>0</v>
      </c>
      <c r="DJ27" s="280">
        <v>0</v>
      </c>
      <c r="DK27" s="280">
        <v>0</v>
      </c>
      <c r="DL27" s="280">
        <v>0</v>
      </c>
      <c r="DM27" s="280">
        <v>0</v>
      </c>
      <c r="DN27" s="280">
        <v>665</v>
      </c>
      <c r="DO27" s="280">
        <v>0</v>
      </c>
      <c r="DP27" s="280">
        <v>0</v>
      </c>
      <c r="DQ27" s="280">
        <v>0</v>
      </c>
      <c r="DR27" s="280">
        <v>590</v>
      </c>
      <c r="DS27" s="280">
        <v>0</v>
      </c>
      <c r="DT27" s="280">
        <v>0</v>
      </c>
      <c r="DU27" s="280">
        <v>0</v>
      </c>
      <c r="DV27" s="280">
        <v>0</v>
      </c>
      <c r="DW27" s="280">
        <v>0</v>
      </c>
      <c r="DX27" s="280"/>
      <c r="DY27" s="280"/>
      <c r="DZ27" s="280"/>
      <c r="EA27" s="54">
        <v>-16732.39</v>
      </c>
      <c r="EB27" s="54">
        <v>16732.39</v>
      </c>
      <c r="EC27" s="54">
        <v>0</v>
      </c>
      <c r="ED27" s="54">
        <v>17572.39</v>
      </c>
      <c r="EE27" s="54">
        <v>-71.7</v>
      </c>
      <c r="EF27" s="54">
        <v>7241.84</v>
      </c>
      <c r="EG27" s="54">
        <v>-7961.84</v>
      </c>
    </row>
    <row r="28" spans="1:137">
      <c r="A28" s="279" t="s">
        <v>114</v>
      </c>
      <c r="B28" s="280">
        <v>9683.9500000000007</v>
      </c>
      <c r="C28" s="280">
        <v>0</v>
      </c>
      <c r="D28" s="280">
        <v>0</v>
      </c>
      <c r="E28" s="280">
        <v>0</v>
      </c>
      <c r="F28" s="280">
        <v>1343.96</v>
      </c>
      <c r="G28" s="280">
        <v>0</v>
      </c>
      <c r="H28" s="280">
        <v>0</v>
      </c>
      <c r="I28" s="280">
        <v>0</v>
      </c>
      <c r="J28" s="280">
        <v>0</v>
      </c>
      <c r="K28" s="280">
        <v>0</v>
      </c>
      <c r="L28" s="280">
        <v>0</v>
      </c>
      <c r="M28" s="280">
        <v>0</v>
      </c>
      <c r="N28" s="280">
        <v>0</v>
      </c>
      <c r="O28" s="280">
        <v>2213.59</v>
      </c>
      <c r="P28" s="280">
        <v>0</v>
      </c>
      <c r="Q28" s="280">
        <v>0</v>
      </c>
      <c r="R28" s="280">
        <v>0</v>
      </c>
      <c r="S28" s="280">
        <v>0</v>
      </c>
      <c r="T28" s="280">
        <v>0</v>
      </c>
      <c r="U28" s="280">
        <v>0</v>
      </c>
      <c r="V28" s="280">
        <v>0</v>
      </c>
      <c r="W28" s="280">
        <v>0</v>
      </c>
      <c r="X28" s="280">
        <v>0</v>
      </c>
      <c r="Y28" s="280">
        <v>0</v>
      </c>
      <c r="Z28" s="280">
        <v>0</v>
      </c>
      <c r="AA28" s="280">
        <v>0</v>
      </c>
      <c r="AB28" s="280">
        <v>0</v>
      </c>
      <c r="AC28" s="280">
        <v>0</v>
      </c>
      <c r="AD28" s="280">
        <v>120</v>
      </c>
      <c r="AE28" s="280">
        <v>6006.4</v>
      </c>
      <c r="AF28" s="280">
        <v>0</v>
      </c>
      <c r="AG28" s="280">
        <v>0</v>
      </c>
      <c r="AH28" s="280">
        <v>0</v>
      </c>
      <c r="AI28" s="280">
        <v>0</v>
      </c>
      <c r="AJ28" s="280">
        <v>0</v>
      </c>
      <c r="AK28" s="280">
        <v>0</v>
      </c>
      <c r="AL28" s="280">
        <v>0</v>
      </c>
      <c r="AM28" s="280">
        <v>0</v>
      </c>
      <c r="AN28" s="280">
        <v>0</v>
      </c>
      <c r="AO28" s="280">
        <v>0</v>
      </c>
      <c r="AP28" s="280">
        <v>0</v>
      </c>
      <c r="AQ28" s="280">
        <v>0</v>
      </c>
      <c r="AR28" s="280">
        <v>0</v>
      </c>
      <c r="AS28" s="280">
        <v>0</v>
      </c>
      <c r="AT28" s="280">
        <v>0</v>
      </c>
      <c r="AU28" s="280">
        <v>0</v>
      </c>
      <c r="AV28" s="280">
        <v>0</v>
      </c>
      <c r="AW28" s="280">
        <v>0</v>
      </c>
      <c r="AX28" s="280">
        <v>0</v>
      </c>
      <c r="AY28" s="280">
        <v>0</v>
      </c>
      <c r="AZ28" s="280">
        <v>0</v>
      </c>
      <c r="BA28" s="280">
        <v>0</v>
      </c>
      <c r="BB28" s="280">
        <v>0</v>
      </c>
      <c r="BC28" s="280">
        <v>0</v>
      </c>
      <c r="BD28" s="280">
        <v>0</v>
      </c>
      <c r="BE28" s="280">
        <v>6006.4</v>
      </c>
      <c r="BF28" s="280">
        <v>0</v>
      </c>
      <c r="BG28" s="280">
        <v>0</v>
      </c>
      <c r="BH28" s="280">
        <v>0</v>
      </c>
      <c r="BI28" s="280">
        <v>0</v>
      </c>
      <c r="BJ28" s="280">
        <v>0</v>
      </c>
      <c r="BK28" s="280">
        <v>600</v>
      </c>
      <c r="BL28" s="280">
        <v>4320</v>
      </c>
      <c r="BM28" s="280">
        <v>0</v>
      </c>
      <c r="BN28" s="280">
        <v>0</v>
      </c>
      <c r="BO28" s="280">
        <v>0</v>
      </c>
      <c r="BP28" s="280">
        <v>0</v>
      </c>
      <c r="BQ28" s="280">
        <v>0</v>
      </c>
      <c r="BR28" s="280">
        <v>0</v>
      </c>
      <c r="BS28" s="280">
        <v>0</v>
      </c>
      <c r="BT28" s="280">
        <v>0</v>
      </c>
      <c r="BU28" s="280">
        <v>0</v>
      </c>
      <c r="BV28" s="280">
        <v>0</v>
      </c>
      <c r="BW28" s="280">
        <v>0</v>
      </c>
      <c r="BX28" s="280">
        <v>0</v>
      </c>
      <c r="BY28" s="280">
        <v>0</v>
      </c>
      <c r="BZ28" s="280">
        <v>0</v>
      </c>
      <c r="CA28" s="280">
        <v>0</v>
      </c>
      <c r="CB28" s="280">
        <v>0</v>
      </c>
      <c r="CC28" s="280">
        <v>0</v>
      </c>
      <c r="CD28" s="280">
        <v>0</v>
      </c>
      <c r="CE28" s="280">
        <v>0</v>
      </c>
      <c r="CF28" s="280">
        <v>0</v>
      </c>
      <c r="CG28" s="280">
        <v>0</v>
      </c>
      <c r="CH28" s="280">
        <v>0</v>
      </c>
      <c r="CI28" s="280">
        <v>0</v>
      </c>
      <c r="CJ28" s="280">
        <v>0</v>
      </c>
      <c r="CK28" s="280">
        <v>0</v>
      </c>
      <c r="CL28" s="280">
        <v>0</v>
      </c>
      <c r="CM28" s="280">
        <v>0</v>
      </c>
      <c r="CN28" s="280">
        <v>0</v>
      </c>
      <c r="CO28" s="280">
        <v>0</v>
      </c>
      <c r="CP28" s="280">
        <v>0</v>
      </c>
      <c r="CQ28" s="280">
        <v>0</v>
      </c>
      <c r="CR28" s="280">
        <v>283.39999999999998</v>
      </c>
      <c r="CS28" s="280">
        <v>0</v>
      </c>
      <c r="CT28" s="280">
        <v>540</v>
      </c>
      <c r="CU28" s="280">
        <v>0</v>
      </c>
      <c r="CV28" s="280">
        <v>0</v>
      </c>
      <c r="CW28" s="280">
        <v>0</v>
      </c>
      <c r="CX28" s="280">
        <v>0</v>
      </c>
      <c r="CY28" s="280">
        <v>0</v>
      </c>
      <c r="CZ28" s="280">
        <v>0</v>
      </c>
      <c r="DA28" s="280">
        <v>0</v>
      </c>
      <c r="DB28" s="280">
        <v>263</v>
      </c>
      <c r="DC28" s="280">
        <v>0</v>
      </c>
      <c r="DD28" s="280">
        <v>0</v>
      </c>
      <c r="DE28" s="280">
        <v>0</v>
      </c>
      <c r="DF28" s="280">
        <v>0</v>
      </c>
      <c r="DG28" s="280">
        <v>0</v>
      </c>
      <c r="DH28" s="280">
        <v>0</v>
      </c>
      <c r="DI28" s="280">
        <v>0</v>
      </c>
      <c r="DJ28" s="280">
        <v>0</v>
      </c>
      <c r="DK28" s="280">
        <v>0</v>
      </c>
      <c r="DL28" s="280">
        <v>0</v>
      </c>
      <c r="DM28" s="280">
        <v>0</v>
      </c>
      <c r="DN28" s="280">
        <v>0</v>
      </c>
      <c r="DO28" s="280">
        <v>0</v>
      </c>
      <c r="DP28" s="280">
        <v>0</v>
      </c>
      <c r="DQ28" s="280">
        <v>0</v>
      </c>
      <c r="DR28" s="280">
        <v>0</v>
      </c>
      <c r="DS28" s="280">
        <v>0</v>
      </c>
      <c r="DT28" s="280">
        <v>0</v>
      </c>
      <c r="DU28" s="280">
        <v>0</v>
      </c>
      <c r="DV28" s="280">
        <v>0</v>
      </c>
      <c r="DW28" s="280">
        <v>0</v>
      </c>
      <c r="DX28" s="280"/>
      <c r="DY28" s="280"/>
      <c r="DZ28" s="280"/>
      <c r="EA28" s="54">
        <v>-6006.4000000000005</v>
      </c>
      <c r="EB28" s="54">
        <v>5886.4</v>
      </c>
      <c r="EC28" s="54">
        <v>0</v>
      </c>
      <c r="ED28" s="54">
        <v>6006.4</v>
      </c>
      <c r="EE28" s="54">
        <v>0</v>
      </c>
      <c r="EF28" s="54">
        <v>0</v>
      </c>
      <c r="EG28" s="54">
        <v>0</v>
      </c>
    </row>
    <row r="29" spans="1:137">
      <c r="A29" s="279" t="s">
        <v>115</v>
      </c>
      <c r="B29" s="280">
        <v>64112.02</v>
      </c>
      <c r="C29" s="280">
        <v>4248.9399999999996</v>
      </c>
      <c r="D29" s="280">
        <v>0</v>
      </c>
      <c r="E29" s="280">
        <v>319.70999999999998</v>
      </c>
      <c r="F29" s="280">
        <v>1817.67</v>
      </c>
      <c r="G29" s="280">
        <v>2116</v>
      </c>
      <c r="H29" s="280">
        <v>747.42</v>
      </c>
      <c r="I29" s="280">
        <v>927.4</v>
      </c>
      <c r="J29" s="280">
        <v>914.5</v>
      </c>
      <c r="K29" s="280">
        <v>1183.5</v>
      </c>
      <c r="L29" s="280">
        <v>469.53</v>
      </c>
      <c r="M29" s="280">
        <v>33.18</v>
      </c>
      <c r="N29" s="280">
        <v>539.98</v>
      </c>
      <c r="O29" s="280">
        <v>655.57</v>
      </c>
      <c r="P29" s="280">
        <v>91.01</v>
      </c>
      <c r="Q29" s="280">
        <v>447.66</v>
      </c>
      <c r="R29" s="280">
        <v>222.64</v>
      </c>
      <c r="S29" s="280">
        <v>0</v>
      </c>
      <c r="T29" s="280">
        <v>0</v>
      </c>
      <c r="U29" s="280">
        <v>0</v>
      </c>
      <c r="V29" s="280">
        <v>0</v>
      </c>
      <c r="W29" s="280">
        <v>2145.46</v>
      </c>
      <c r="X29" s="280">
        <v>37734.17</v>
      </c>
      <c r="Y29" s="280">
        <v>3133.88</v>
      </c>
      <c r="Z29" s="280">
        <v>619.62</v>
      </c>
      <c r="AA29" s="280">
        <v>1487.25</v>
      </c>
      <c r="AB29" s="280">
        <v>1515.54</v>
      </c>
      <c r="AC29" s="280">
        <v>0</v>
      </c>
      <c r="AD29" s="280">
        <v>0</v>
      </c>
      <c r="AE29" s="280">
        <v>2741.39</v>
      </c>
      <c r="AF29" s="280">
        <v>79.44</v>
      </c>
      <c r="AG29" s="280">
        <v>34.51</v>
      </c>
      <c r="AH29" s="280">
        <v>324.77999999999997</v>
      </c>
      <c r="AI29" s="280">
        <v>0</v>
      </c>
      <c r="AJ29" s="280">
        <v>1180.19</v>
      </c>
      <c r="AK29" s="280">
        <v>305.5</v>
      </c>
      <c r="AL29" s="280">
        <v>221.04</v>
      </c>
      <c r="AM29" s="280">
        <v>634.29999999999995</v>
      </c>
      <c r="AN29" s="280">
        <v>7368.26</v>
      </c>
      <c r="AO29" s="280">
        <v>3493.36</v>
      </c>
      <c r="AP29" s="280">
        <v>7468.05</v>
      </c>
      <c r="AQ29" s="280">
        <v>11937.09</v>
      </c>
      <c r="AR29" s="280">
        <v>5948.91</v>
      </c>
      <c r="AS29" s="280">
        <v>884.2</v>
      </c>
      <c r="AT29" s="280">
        <v>0</v>
      </c>
      <c r="AU29" s="280">
        <v>1512.45</v>
      </c>
      <c r="AV29" s="280">
        <v>101.54</v>
      </c>
      <c r="AW29" s="280">
        <v>1148.99</v>
      </c>
      <c r="AX29" s="280">
        <v>370.9</v>
      </c>
      <c r="AY29" s="280">
        <v>265.7</v>
      </c>
      <c r="AZ29" s="280">
        <v>1221.55</v>
      </c>
      <c r="BA29" s="280">
        <v>920.5</v>
      </c>
      <c r="BB29" s="280">
        <v>325.22000000000003</v>
      </c>
      <c r="BC29" s="280">
        <v>1247.76</v>
      </c>
      <c r="BD29" s="280">
        <v>139.91</v>
      </c>
      <c r="BE29" s="280">
        <v>108</v>
      </c>
      <c r="BF29" s="280">
        <v>0</v>
      </c>
      <c r="BG29" s="280">
        <v>0</v>
      </c>
      <c r="BH29" s="280">
        <v>0</v>
      </c>
      <c r="BI29" s="280">
        <v>0</v>
      </c>
      <c r="BJ29" s="280">
        <v>0</v>
      </c>
      <c r="BK29" s="280">
        <v>0</v>
      </c>
      <c r="BL29" s="280">
        <v>0</v>
      </c>
      <c r="BM29" s="280">
        <v>0</v>
      </c>
      <c r="BN29" s="280">
        <v>0</v>
      </c>
      <c r="BO29" s="280">
        <v>0</v>
      </c>
      <c r="BP29" s="280">
        <v>0</v>
      </c>
      <c r="BQ29" s="280">
        <v>0</v>
      </c>
      <c r="BR29" s="280">
        <v>0</v>
      </c>
      <c r="BS29" s="280">
        <v>0</v>
      </c>
      <c r="BT29" s="280">
        <v>0</v>
      </c>
      <c r="BU29" s="280">
        <v>0</v>
      </c>
      <c r="BV29" s="280">
        <v>0</v>
      </c>
      <c r="BW29" s="280">
        <v>0</v>
      </c>
      <c r="BX29" s="280">
        <v>0</v>
      </c>
      <c r="BY29" s="280">
        <v>0</v>
      </c>
      <c r="BZ29" s="280">
        <v>0</v>
      </c>
      <c r="CA29" s="280">
        <v>0</v>
      </c>
      <c r="CB29" s="280">
        <v>0</v>
      </c>
      <c r="CC29" s="280">
        <v>0</v>
      </c>
      <c r="CD29" s="280">
        <v>0</v>
      </c>
      <c r="CE29" s="280">
        <v>0</v>
      </c>
      <c r="CF29" s="280">
        <v>0</v>
      </c>
      <c r="CG29" s="280">
        <v>0</v>
      </c>
      <c r="CH29" s="280">
        <v>0</v>
      </c>
      <c r="CI29" s="280">
        <v>0</v>
      </c>
      <c r="CJ29" s="280">
        <v>0</v>
      </c>
      <c r="CK29" s="280">
        <v>0</v>
      </c>
      <c r="CL29" s="280">
        <v>0</v>
      </c>
      <c r="CM29" s="280">
        <v>0</v>
      </c>
      <c r="CN29" s="280">
        <v>0</v>
      </c>
      <c r="CO29" s="280">
        <v>108</v>
      </c>
      <c r="CP29" s="280">
        <v>0</v>
      </c>
      <c r="CQ29" s="280">
        <v>0</v>
      </c>
      <c r="CR29" s="280">
        <v>0</v>
      </c>
      <c r="CS29" s="280">
        <v>0</v>
      </c>
      <c r="CT29" s="280">
        <v>0</v>
      </c>
      <c r="CU29" s="280">
        <v>0</v>
      </c>
      <c r="CV29" s="280">
        <v>0</v>
      </c>
      <c r="CW29" s="280">
        <v>0</v>
      </c>
      <c r="CX29" s="280">
        <v>0</v>
      </c>
      <c r="CY29" s="280">
        <v>0</v>
      </c>
      <c r="CZ29" s="280">
        <v>0</v>
      </c>
      <c r="DA29" s="280">
        <v>0</v>
      </c>
      <c r="DB29" s="280">
        <v>0</v>
      </c>
      <c r="DC29" s="280">
        <v>0</v>
      </c>
      <c r="DD29" s="280">
        <v>0</v>
      </c>
      <c r="DE29" s="280">
        <v>0</v>
      </c>
      <c r="DF29" s="280">
        <v>0</v>
      </c>
      <c r="DG29" s="280">
        <v>0</v>
      </c>
      <c r="DH29" s="280">
        <v>0</v>
      </c>
      <c r="DI29" s="280">
        <v>0</v>
      </c>
      <c r="DJ29" s="280">
        <v>0</v>
      </c>
      <c r="DK29" s="280">
        <v>0</v>
      </c>
      <c r="DL29" s="280">
        <v>0</v>
      </c>
      <c r="DM29" s="280">
        <v>0</v>
      </c>
      <c r="DN29" s="280">
        <v>0</v>
      </c>
      <c r="DO29" s="280">
        <v>0</v>
      </c>
      <c r="DP29" s="280">
        <v>0</v>
      </c>
      <c r="DQ29" s="280">
        <v>0</v>
      </c>
      <c r="DR29" s="280">
        <v>0</v>
      </c>
      <c r="DS29" s="280">
        <v>0</v>
      </c>
      <c r="DT29" s="280">
        <v>0</v>
      </c>
      <c r="DU29" s="280">
        <v>0</v>
      </c>
      <c r="DV29" s="280">
        <v>0</v>
      </c>
      <c r="DW29" s="280">
        <v>0</v>
      </c>
      <c r="DX29" s="280"/>
      <c r="DY29" s="280"/>
      <c r="DZ29" s="280"/>
      <c r="EA29" s="54">
        <v>-2741.3899999999994</v>
      </c>
      <c r="EB29" s="54">
        <v>3962.9400000000005</v>
      </c>
      <c r="EC29" s="54">
        <v>0</v>
      </c>
      <c r="ED29" s="54">
        <v>4665.8099999999995</v>
      </c>
      <c r="EE29" s="54">
        <v>16.979999999999905</v>
      </c>
      <c r="EF29" s="54">
        <v>35809.75</v>
      </c>
      <c r="EG29" s="54">
        <v>-34971.189999999995</v>
      </c>
    </row>
    <row r="30" spans="1:137">
      <c r="A30" s="279" t="s">
        <v>116</v>
      </c>
      <c r="B30" s="280">
        <v>102192.8</v>
      </c>
      <c r="C30" s="280">
        <v>0</v>
      </c>
      <c r="D30" s="280">
        <v>0</v>
      </c>
      <c r="E30" s="280">
        <v>0</v>
      </c>
      <c r="F30" s="280">
        <v>41399.14</v>
      </c>
      <c r="G30" s="280">
        <v>0</v>
      </c>
      <c r="H30" s="280">
        <v>0</v>
      </c>
      <c r="I30" s="280">
        <v>0</v>
      </c>
      <c r="J30" s="280">
        <v>0</v>
      </c>
      <c r="K30" s="280">
        <v>968</v>
      </c>
      <c r="L30" s="280">
        <v>0</v>
      </c>
      <c r="M30" s="280">
        <v>0</v>
      </c>
      <c r="N30" s="280">
        <v>0</v>
      </c>
      <c r="O30" s="280">
        <v>0</v>
      </c>
      <c r="P30" s="280">
        <v>0</v>
      </c>
      <c r="Q30" s="280">
        <v>195</v>
      </c>
      <c r="R30" s="280">
        <v>0</v>
      </c>
      <c r="S30" s="280">
        <v>0</v>
      </c>
      <c r="T30" s="280">
        <v>0</v>
      </c>
      <c r="U30" s="280">
        <v>0</v>
      </c>
      <c r="V30" s="280">
        <v>0</v>
      </c>
      <c r="W30" s="280">
        <v>3000</v>
      </c>
      <c r="X30" s="280">
        <v>0</v>
      </c>
      <c r="Y30" s="280">
        <v>0</v>
      </c>
      <c r="Z30" s="280">
        <v>25249.89</v>
      </c>
      <c r="AA30" s="280">
        <v>224</v>
      </c>
      <c r="AB30" s="280">
        <v>0</v>
      </c>
      <c r="AC30" s="280">
        <v>0</v>
      </c>
      <c r="AD30" s="280">
        <v>0</v>
      </c>
      <c r="AE30" s="280">
        <v>31156.77</v>
      </c>
      <c r="AF30" s="280">
        <v>3000</v>
      </c>
      <c r="AG30" s="280">
        <v>0</v>
      </c>
      <c r="AH30" s="280">
        <v>0</v>
      </c>
      <c r="AI30" s="280">
        <v>0</v>
      </c>
      <c r="AJ30" s="280">
        <v>0</v>
      </c>
      <c r="AK30" s="280">
        <v>0</v>
      </c>
      <c r="AL30" s="280">
        <v>0</v>
      </c>
      <c r="AM30" s="280">
        <v>0</v>
      </c>
      <c r="AN30" s="280">
        <v>0</v>
      </c>
      <c r="AO30" s="280">
        <v>0</v>
      </c>
      <c r="AP30" s="280">
        <v>0</v>
      </c>
      <c r="AQ30" s="280">
        <v>0</v>
      </c>
      <c r="AR30" s="280">
        <v>0</v>
      </c>
      <c r="AS30" s="280">
        <v>0</v>
      </c>
      <c r="AT30" s="280">
        <v>0</v>
      </c>
      <c r="AU30" s="280">
        <v>0</v>
      </c>
      <c r="AV30" s="280">
        <v>0</v>
      </c>
      <c r="AW30" s="280">
        <v>0</v>
      </c>
      <c r="AX30" s="280">
        <v>0</v>
      </c>
      <c r="AY30" s="280">
        <v>224</v>
      </c>
      <c r="AZ30" s="280">
        <v>0</v>
      </c>
      <c r="BA30" s="280">
        <v>0</v>
      </c>
      <c r="BB30" s="280">
        <v>0</v>
      </c>
      <c r="BC30" s="280">
        <v>0</v>
      </c>
      <c r="BD30" s="280">
        <v>0</v>
      </c>
      <c r="BE30" s="280">
        <v>31156.77</v>
      </c>
      <c r="BF30" s="280">
        <v>1890</v>
      </c>
      <c r="BG30" s="280">
        <v>0</v>
      </c>
      <c r="BH30" s="280">
        <v>1690</v>
      </c>
      <c r="BI30" s="280">
        <v>1505.39</v>
      </c>
      <c r="BJ30" s="280">
        <v>0</v>
      </c>
      <c r="BK30" s="280">
        <v>0</v>
      </c>
      <c r="BL30" s="280">
        <v>7752.5</v>
      </c>
      <c r="BM30" s="280">
        <v>0</v>
      </c>
      <c r="BN30" s="280">
        <v>4279.38</v>
      </c>
      <c r="BO30" s="280">
        <v>0</v>
      </c>
      <c r="BP30" s="280">
        <v>968</v>
      </c>
      <c r="BQ30" s="280">
        <v>0</v>
      </c>
      <c r="BR30" s="280">
        <v>-1375</v>
      </c>
      <c r="BS30" s="280">
        <v>1800</v>
      </c>
      <c r="BT30" s="280">
        <v>0</v>
      </c>
      <c r="BU30" s="280">
        <v>675</v>
      </c>
      <c r="BV30" s="280">
        <v>400</v>
      </c>
      <c r="BW30" s="280">
        <v>0</v>
      </c>
      <c r="BX30" s="280">
        <v>598</v>
      </c>
      <c r="BY30" s="280">
        <v>0</v>
      </c>
      <c r="BZ30" s="280">
        <v>534</v>
      </c>
      <c r="CA30" s="280">
        <v>0</v>
      </c>
      <c r="CB30" s="280">
        <v>0</v>
      </c>
      <c r="CC30" s="280">
        <v>0</v>
      </c>
      <c r="CD30" s="280">
        <v>0</v>
      </c>
      <c r="CE30" s="280">
        <v>0</v>
      </c>
      <c r="CF30" s="280">
        <v>0</v>
      </c>
      <c r="CG30" s="280">
        <v>0</v>
      </c>
      <c r="CH30" s="280">
        <v>0</v>
      </c>
      <c r="CI30" s="280">
        <v>0</v>
      </c>
      <c r="CJ30" s="280">
        <v>0</v>
      </c>
      <c r="CK30" s="280">
        <v>0</v>
      </c>
      <c r="CL30" s="280">
        <v>0</v>
      </c>
      <c r="CM30" s="280">
        <v>0</v>
      </c>
      <c r="CN30" s="280">
        <v>0</v>
      </c>
      <c r="CO30" s="280">
        <v>520</v>
      </c>
      <c r="CP30" s="280">
        <v>8319.5</v>
      </c>
      <c r="CQ30" s="280">
        <v>0</v>
      </c>
      <c r="CR30" s="280">
        <v>0</v>
      </c>
      <c r="CS30" s="280">
        <v>0</v>
      </c>
      <c r="CT30" s="280">
        <v>0</v>
      </c>
      <c r="CU30" s="280">
        <v>0</v>
      </c>
      <c r="CV30" s="280">
        <v>1600</v>
      </c>
      <c r="CW30" s="280">
        <v>0</v>
      </c>
      <c r="CX30" s="280">
        <v>0</v>
      </c>
      <c r="CY30" s="280">
        <v>0</v>
      </c>
      <c r="CZ30" s="280">
        <v>0</v>
      </c>
      <c r="DA30" s="280">
        <v>0</v>
      </c>
      <c r="DB30" s="280">
        <v>0</v>
      </c>
      <c r="DC30" s="280">
        <v>0</v>
      </c>
      <c r="DD30" s="280">
        <v>0</v>
      </c>
      <c r="DE30" s="280">
        <v>0</v>
      </c>
      <c r="DF30" s="280">
        <v>0</v>
      </c>
      <c r="DG30" s="280">
        <v>0</v>
      </c>
      <c r="DH30" s="280">
        <v>0</v>
      </c>
      <c r="DI30" s="280">
        <v>0</v>
      </c>
      <c r="DJ30" s="280">
        <v>0</v>
      </c>
      <c r="DK30" s="280">
        <v>0</v>
      </c>
      <c r="DL30" s="280">
        <v>0</v>
      </c>
      <c r="DM30" s="280">
        <v>0</v>
      </c>
      <c r="DN30" s="280">
        <v>0</v>
      </c>
      <c r="DO30" s="280">
        <v>0</v>
      </c>
      <c r="DP30" s="280">
        <v>0</v>
      </c>
      <c r="DQ30" s="280">
        <v>0</v>
      </c>
      <c r="DR30" s="280">
        <v>0</v>
      </c>
      <c r="DS30" s="280">
        <v>0</v>
      </c>
      <c r="DT30" s="280">
        <v>0</v>
      </c>
      <c r="DU30" s="280">
        <v>0</v>
      </c>
      <c r="DV30" s="280">
        <v>0</v>
      </c>
      <c r="DW30" s="280">
        <v>0</v>
      </c>
      <c r="DX30" s="280"/>
      <c r="DY30" s="280"/>
      <c r="DZ30" s="280"/>
      <c r="EA30" s="54">
        <v>-31156.770000000004</v>
      </c>
      <c r="EB30" s="54">
        <v>31156.77</v>
      </c>
      <c r="EC30" s="54">
        <v>0</v>
      </c>
      <c r="ED30" s="54">
        <v>34156.770000000004</v>
      </c>
      <c r="EE30" s="54">
        <v>-25025.89</v>
      </c>
      <c r="EF30" s="54">
        <v>-3000</v>
      </c>
      <c r="EG30" s="54">
        <v>0</v>
      </c>
    </row>
    <row r="31" spans="1:137">
      <c r="A31" s="279" t="s">
        <v>117</v>
      </c>
      <c r="B31" s="280">
        <v>694027.28</v>
      </c>
      <c r="C31" s="280">
        <v>0</v>
      </c>
      <c r="D31" s="280">
        <v>0</v>
      </c>
      <c r="E31" s="280">
        <v>0</v>
      </c>
      <c r="F31" s="280">
        <v>0</v>
      </c>
      <c r="G31" s="280">
        <v>0</v>
      </c>
      <c r="H31" s="280">
        <v>0</v>
      </c>
      <c r="I31" s="280">
        <v>0</v>
      </c>
      <c r="J31" s="280">
        <v>0</v>
      </c>
      <c r="K31" s="280">
        <v>0</v>
      </c>
      <c r="L31" s="280">
        <v>0</v>
      </c>
      <c r="M31" s="280">
        <v>0</v>
      </c>
      <c r="N31" s="280">
        <v>0</v>
      </c>
      <c r="O31" s="280">
        <v>0</v>
      </c>
      <c r="P31" s="280">
        <v>0</v>
      </c>
      <c r="Q31" s="280">
        <v>0</v>
      </c>
      <c r="R31" s="280">
        <v>0</v>
      </c>
      <c r="S31" s="280">
        <v>0</v>
      </c>
      <c r="T31" s="280">
        <v>0</v>
      </c>
      <c r="U31" s="280">
        <v>0</v>
      </c>
      <c r="V31" s="280">
        <v>0</v>
      </c>
      <c r="W31" s="280">
        <v>0</v>
      </c>
      <c r="X31" s="280">
        <v>0</v>
      </c>
      <c r="Y31" s="280">
        <v>0</v>
      </c>
      <c r="Z31" s="280">
        <v>6000</v>
      </c>
      <c r="AA31" s="280">
        <v>0</v>
      </c>
      <c r="AB31" s="280">
        <v>0</v>
      </c>
      <c r="AC31" s="280">
        <v>0</v>
      </c>
      <c r="AD31" s="280">
        <v>0</v>
      </c>
      <c r="AE31" s="280">
        <v>688027.28</v>
      </c>
      <c r="AF31" s="280">
        <v>0</v>
      </c>
      <c r="AG31" s="280">
        <v>0</v>
      </c>
      <c r="AH31" s="280">
        <v>0</v>
      </c>
      <c r="AI31" s="280">
        <v>0</v>
      </c>
      <c r="AJ31" s="280">
        <v>0</v>
      </c>
      <c r="AK31" s="280">
        <v>0</v>
      </c>
      <c r="AL31" s="280">
        <v>0</v>
      </c>
      <c r="AM31" s="280">
        <v>0</v>
      </c>
      <c r="AN31" s="280">
        <v>0</v>
      </c>
      <c r="AO31" s="280">
        <v>0</v>
      </c>
      <c r="AP31" s="280">
        <v>0</v>
      </c>
      <c r="AQ31" s="280">
        <v>0</v>
      </c>
      <c r="AR31" s="280">
        <v>0</v>
      </c>
      <c r="AS31" s="280">
        <v>0</v>
      </c>
      <c r="AT31" s="280">
        <v>0</v>
      </c>
      <c r="AU31" s="280">
        <v>0</v>
      </c>
      <c r="AV31" s="280">
        <v>0</v>
      </c>
      <c r="AW31" s="280">
        <v>0</v>
      </c>
      <c r="AX31" s="280">
        <v>0</v>
      </c>
      <c r="AY31" s="280">
        <v>0</v>
      </c>
      <c r="AZ31" s="280">
        <v>0</v>
      </c>
      <c r="BA31" s="280">
        <v>0</v>
      </c>
      <c r="BB31" s="280">
        <v>0</v>
      </c>
      <c r="BC31" s="280">
        <v>0</v>
      </c>
      <c r="BD31" s="280">
        <v>129837</v>
      </c>
      <c r="BE31" s="280">
        <v>558190.28</v>
      </c>
      <c r="BF31" s="280">
        <v>17705</v>
      </c>
      <c r="BG31" s="280">
        <v>12089</v>
      </c>
      <c r="BH31" s="280">
        <v>12988</v>
      </c>
      <c r="BI31" s="280">
        <v>7223</v>
      </c>
      <c r="BJ31" s="280">
        <v>0</v>
      </c>
      <c r="BK31" s="280">
        <v>0</v>
      </c>
      <c r="BL31" s="280">
        <v>0</v>
      </c>
      <c r="BM31" s="280">
        <v>22623</v>
      </c>
      <c r="BN31" s="280">
        <v>68353</v>
      </c>
      <c r="BO31" s="280">
        <v>0</v>
      </c>
      <c r="BP31" s="280">
        <v>0</v>
      </c>
      <c r="BQ31" s="280">
        <v>11884</v>
      </c>
      <c r="BR31" s="280">
        <v>16831.98</v>
      </c>
      <c r="BS31" s="280">
        <v>2268</v>
      </c>
      <c r="BT31" s="280">
        <v>0</v>
      </c>
      <c r="BU31" s="280">
        <v>-1300.55</v>
      </c>
      <c r="BV31" s="280">
        <v>800</v>
      </c>
      <c r="BW31" s="280">
        <v>1011</v>
      </c>
      <c r="BX31" s="280">
        <v>0</v>
      </c>
      <c r="BY31" s="280">
        <v>18595</v>
      </c>
      <c r="BZ31" s="280">
        <v>1837</v>
      </c>
      <c r="CA31" s="280">
        <v>0</v>
      </c>
      <c r="CB31" s="280">
        <v>16201.75</v>
      </c>
      <c r="CC31" s="280">
        <v>661</v>
      </c>
      <c r="CD31" s="280">
        <v>0</v>
      </c>
      <c r="CE31" s="280">
        <v>1626</v>
      </c>
      <c r="CF31" s="280">
        <v>1129</v>
      </c>
      <c r="CG31" s="280">
        <v>2361</v>
      </c>
      <c r="CH31" s="280">
        <v>0</v>
      </c>
      <c r="CI31" s="280">
        <v>61591</v>
      </c>
      <c r="CJ31" s="280">
        <v>0</v>
      </c>
      <c r="CK31" s="280">
        <v>0</v>
      </c>
      <c r="CL31" s="280">
        <v>111</v>
      </c>
      <c r="CM31" s="280">
        <v>1128</v>
      </c>
      <c r="CN31" s="280">
        <v>436</v>
      </c>
      <c r="CO31" s="280">
        <v>10498</v>
      </c>
      <c r="CP31" s="280">
        <v>36609</v>
      </c>
      <c r="CQ31" s="280">
        <v>130</v>
      </c>
      <c r="CR31" s="280">
        <v>1875</v>
      </c>
      <c r="CS31" s="280">
        <v>4511.6000000000004</v>
      </c>
      <c r="CT31" s="280">
        <v>4645</v>
      </c>
      <c r="CU31" s="280">
        <v>0</v>
      </c>
      <c r="CV31" s="280">
        <v>237</v>
      </c>
      <c r="CW31" s="280">
        <v>23532</v>
      </c>
      <c r="CX31" s="280">
        <v>20135</v>
      </c>
      <c r="CY31" s="280">
        <v>2045</v>
      </c>
      <c r="CZ31" s="280">
        <v>1692</v>
      </c>
      <c r="DA31" s="280">
        <v>45411</v>
      </c>
      <c r="DB31" s="280">
        <v>5363</v>
      </c>
      <c r="DC31" s="280">
        <v>653</v>
      </c>
      <c r="DD31" s="280">
        <v>5700</v>
      </c>
      <c r="DE31" s="280">
        <v>12843</v>
      </c>
      <c r="DF31" s="280">
        <v>4017</v>
      </c>
      <c r="DG31" s="280">
        <v>1633</v>
      </c>
      <c r="DH31" s="280">
        <v>1108</v>
      </c>
      <c r="DI31" s="280">
        <v>0</v>
      </c>
      <c r="DJ31" s="280">
        <v>0</v>
      </c>
      <c r="DK31" s="280">
        <v>0</v>
      </c>
      <c r="DL31" s="280">
        <v>21230</v>
      </c>
      <c r="DM31" s="280">
        <v>6834</v>
      </c>
      <c r="DN31" s="280">
        <v>6341</v>
      </c>
      <c r="DO31" s="280">
        <v>1938.5</v>
      </c>
      <c r="DP31" s="280">
        <v>3333</v>
      </c>
      <c r="DQ31" s="280">
        <v>9295</v>
      </c>
      <c r="DR31" s="280">
        <v>36126</v>
      </c>
      <c r="DS31" s="280">
        <v>12303</v>
      </c>
      <c r="DT31" s="280">
        <v>0</v>
      </c>
      <c r="DU31" s="280">
        <v>0</v>
      </c>
      <c r="DV31" s="280">
        <v>0</v>
      </c>
      <c r="DW31" s="280">
        <v>0</v>
      </c>
      <c r="DX31" s="280"/>
      <c r="DY31" s="280"/>
      <c r="DZ31" s="280"/>
      <c r="EA31" s="54">
        <v>-688027.28</v>
      </c>
      <c r="EB31" s="54">
        <v>688027.28</v>
      </c>
      <c r="EC31" s="54">
        <v>0</v>
      </c>
      <c r="ED31" s="54">
        <v>688027.28</v>
      </c>
      <c r="EE31" s="54">
        <v>-6000</v>
      </c>
      <c r="EF31" s="54">
        <v>0</v>
      </c>
      <c r="EG31" s="54">
        <v>0</v>
      </c>
    </row>
    <row r="32" spans="1:137">
      <c r="A32" s="279" t="s">
        <v>118</v>
      </c>
      <c r="B32" s="280">
        <v>0</v>
      </c>
      <c r="C32" s="280">
        <v>0</v>
      </c>
      <c r="D32" s="280">
        <v>0</v>
      </c>
      <c r="E32" s="280">
        <v>0</v>
      </c>
      <c r="F32" s="280">
        <v>0</v>
      </c>
      <c r="G32" s="280">
        <v>0</v>
      </c>
      <c r="H32" s="280">
        <v>0</v>
      </c>
      <c r="I32" s="280">
        <v>0</v>
      </c>
      <c r="J32" s="280">
        <v>0</v>
      </c>
      <c r="K32" s="280">
        <v>0</v>
      </c>
      <c r="L32" s="280">
        <v>0</v>
      </c>
      <c r="M32" s="280">
        <v>0</v>
      </c>
      <c r="N32" s="280">
        <v>0</v>
      </c>
      <c r="O32" s="280">
        <v>0</v>
      </c>
      <c r="P32" s="280">
        <v>0</v>
      </c>
      <c r="Q32" s="280">
        <v>0</v>
      </c>
      <c r="R32" s="280">
        <v>0</v>
      </c>
      <c r="S32" s="280">
        <v>0</v>
      </c>
      <c r="T32" s="280">
        <v>0</v>
      </c>
      <c r="U32" s="280">
        <v>0</v>
      </c>
      <c r="V32" s="280">
        <v>0</v>
      </c>
      <c r="W32" s="280">
        <v>0</v>
      </c>
      <c r="X32" s="280">
        <v>0</v>
      </c>
      <c r="Y32" s="280">
        <v>0</v>
      </c>
      <c r="Z32" s="280">
        <v>0</v>
      </c>
      <c r="AA32" s="280">
        <v>0</v>
      </c>
      <c r="AB32" s="280">
        <v>0</v>
      </c>
      <c r="AC32" s="280">
        <v>0</v>
      </c>
      <c r="AD32" s="280">
        <v>0</v>
      </c>
      <c r="AE32" s="280">
        <v>0</v>
      </c>
      <c r="AF32" s="280">
        <v>0</v>
      </c>
      <c r="AG32" s="280">
        <v>0</v>
      </c>
      <c r="AH32" s="280">
        <v>0</v>
      </c>
      <c r="AI32" s="280">
        <v>0</v>
      </c>
      <c r="AJ32" s="280">
        <v>0</v>
      </c>
      <c r="AK32" s="280">
        <v>0</v>
      </c>
      <c r="AL32" s="280">
        <v>0</v>
      </c>
      <c r="AM32" s="280">
        <v>0</v>
      </c>
      <c r="AN32" s="280">
        <v>0</v>
      </c>
      <c r="AO32" s="280">
        <v>0</v>
      </c>
      <c r="AP32" s="280">
        <v>0</v>
      </c>
      <c r="AQ32" s="280">
        <v>0</v>
      </c>
      <c r="AR32" s="280">
        <v>0</v>
      </c>
      <c r="AS32" s="280">
        <v>0</v>
      </c>
      <c r="AT32" s="280">
        <v>0</v>
      </c>
      <c r="AU32" s="280">
        <v>0</v>
      </c>
      <c r="AV32" s="280">
        <v>0</v>
      </c>
      <c r="AW32" s="280">
        <v>0</v>
      </c>
      <c r="AX32" s="280">
        <v>0</v>
      </c>
      <c r="AY32" s="280">
        <v>0</v>
      </c>
      <c r="AZ32" s="280">
        <v>0</v>
      </c>
      <c r="BA32" s="280">
        <v>0</v>
      </c>
      <c r="BB32" s="280">
        <v>0</v>
      </c>
      <c r="BC32" s="280">
        <v>0</v>
      </c>
      <c r="BD32" s="280">
        <v>0</v>
      </c>
      <c r="BE32" s="280">
        <v>0</v>
      </c>
      <c r="BF32" s="280">
        <v>0</v>
      </c>
      <c r="BG32" s="280">
        <v>0</v>
      </c>
      <c r="BH32" s="280">
        <v>0</v>
      </c>
      <c r="BI32" s="280">
        <v>0</v>
      </c>
      <c r="BJ32" s="280">
        <v>0</v>
      </c>
      <c r="BK32" s="280">
        <v>0</v>
      </c>
      <c r="BL32" s="280">
        <v>0</v>
      </c>
      <c r="BM32" s="280">
        <v>0</v>
      </c>
      <c r="BN32" s="280">
        <v>0</v>
      </c>
      <c r="BO32" s="280">
        <v>0</v>
      </c>
      <c r="BP32" s="280">
        <v>0</v>
      </c>
      <c r="BQ32" s="280">
        <v>0</v>
      </c>
      <c r="BR32" s="280">
        <v>0</v>
      </c>
      <c r="BS32" s="280">
        <v>0</v>
      </c>
      <c r="BT32" s="280">
        <v>0</v>
      </c>
      <c r="BU32" s="280">
        <v>0</v>
      </c>
      <c r="BV32" s="280">
        <v>0</v>
      </c>
      <c r="BW32" s="280">
        <v>0</v>
      </c>
      <c r="BX32" s="280">
        <v>0</v>
      </c>
      <c r="BY32" s="280">
        <v>0</v>
      </c>
      <c r="BZ32" s="280">
        <v>0</v>
      </c>
      <c r="CA32" s="280">
        <v>0</v>
      </c>
      <c r="CB32" s="280">
        <v>0</v>
      </c>
      <c r="CC32" s="280">
        <v>0</v>
      </c>
      <c r="CD32" s="280">
        <v>0</v>
      </c>
      <c r="CE32" s="280">
        <v>0</v>
      </c>
      <c r="CF32" s="280">
        <v>0</v>
      </c>
      <c r="CG32" s="280">
        <v>0</v>
      </c>
      <c r="CH32" s="280">
        <v>0</v>
      </c>
      <c r="CI32" s="280">
        <v>0</v>
      </c>
      <c r="CJ32" s="280">
        <v>0</v>
      </c>
      <c r="CK32" s="280">
        <v>0</v>
      </c>
      <c r="CL32" s="280">
        <v>0</v>
      </c>
      <c r="CM32" s="280">
        <v>0</v>
      </c>
      <c r="CN32" s="280">
        <v>0</v>
      </c>
      <c r="CO32" s="280">
        <v>0</v>
      </c>
      <c r="CP32" s="280">
        <v>0</v>
      </c>
      <c r="CQ32" s="280">
        <v>0</v>
      </c>
      <c r="CR32" s="280">
        <v>0</v>
      </c>
      <c r="CS32" s="280">
        <v>0</v>
      </c>
      <c r="CT32" s="280">
        <v>0</v>
      </c>
      <c r="CU32" s="280">
        <v>0</v>
      </c>
      <c r="CV32" s="280">
        <v>0</v>
      </c>
      <c r="CW32" s="280">
        <v>0</v>
      </c>
      <c r="CX32" s="280">
        <v>0</v>
      </c>
      <c r="CY32" s="280">
        <v>0</v>
      </c>
      <c r="CZ32" s="280">
        <v>0</v>
      </c>
      <c r="DA32" s="280">
        <v>0</v>
      </c>
      <c r="DB32" s="280">
        <v>0</v>
      </c>
      <c r="DC32" s="280">
        <v>0</v>
      </c>
      <c r="DD32" s="280">
        <v>0</v>
      </c>
      <c r="DE32" s="280">
        <v>0</v>
      </c>
      <c r="DF32" s="280">
        <v>0</v>
      </c>
      <c r="DG32" s="280">
        <v>0</v>
      </c>
      <c r="DH32" s="280">
        <v>0</v>
      </c>
      <c r="DI32" s="280">
        <v>0</v>
      </c>
      <c r="DJ32" s="280">
        <v>0</v>
      </c>
      <c r="DK32" s="280">
        <v>0</v>
      </c>
      <c r="DL32" s="280">
        <v>0</v>
      </c>
      <c r="DM32" s="280">
        <v>0</v>
      </c>
      <c r="DN32" s="280">
        <v>0</v>
      </c>
      <c r="DO32" s="280">
        <v>0</v>
      </c>
      <c r="DP32" s="280">
        <v>0</v>
      </c>
      <c r="DQ32" s="280">
        <v>0</v>
      </c>
      <c r="DR32" s="280">
        <v>0</v>
      </c>
      <c r="DS32" s="280">
        <v>0</v>
      </c>
      <c r="DT32" s="280">
        <v>0</v>
      </c>
      <c r="DU32" s="280">
        <v>0</v>
      </c>
      <c r="DV32" s="280">
        <v>0</v>
      </c>
      <c r="DW32" s="280">
        <v>0</v>
      </c>
      <c r="DX32" s="280"/>
      <c r="DY32" s="280"/>
      <c r="DZ32" s="280"/>
      <c r="EA32" s="54">
        <v>0</v>
      </c>
      <c r="EB32" s="54">
        <v>0</v>
      </c>
      <c r="EC32" s="54">
        <v>0</v>
      </c>
      <c r="ED32" s="54">
        <v>0</v>
      </c>
      <c r="EE32" s="54">
        <v>0</v>
      </c>
      <c r="EF32" s="54">
        <v>0</v>
      </c>
      <c r="EG32" s="54">
        <v>0</v>
      </c>
    </row>
    <row r="33" spans="1:137" s="283" customFormat="1">
      <c r="A33" s="281" t="s">
        <v>98</v>
      </c>
      <c r="B33" s="280">
        <v>3744470.44</v>
      </c>
      <c r="C33" s="280">
        <v>25962.85</v>
      </c>
      <c r="D33" s="280">
        <v>3509.31</v>
      </c>
      <c r="E33" s="280">
        <v>59114.32</v>
      </c>
      <c r="F33" s="280">
        <v>193340.02</v>
      </c>
      <c r="G33" s="280">
        <v>27324.25</v>
      </c>
      <c r="H33" s="280">
        <v>8718.6200000000008</v>
      </c>
      <c r="I33" s="280">
        <v>9914.7900000000009</v>
      </c>
      <c r="J33" s="280">
        <v>2031.5</v>
      </c>
      <c r="K33" s="280">
        <v>19496.48</v>
      </c>
      <c r="L33" s="280">
        <v>3406.76</v>
      </c>
      <c r="M33" s="280">
        <v>4020.91</v>
      </c>
      <c r="N33" s="280">
        <v>28175.25</v>
      </c>
      <c r="O33" s="280">
        <v>40924.93</v>
      </c>
      <c r="P33" s="280">
        <v>5512.29</v>
      </c>
      <c r="Q33" s="280">
        <v>17642.91</v>
      </c>
      <c r="R33" s="280">
        <v>2923.76</v>
      </c>
      <c r="S33" s="280">
        <v>1271.1300000000001</v>
      </c>
      <c r="T33" s="280">
        <v>0</v>
      </c>
      <c r="U33" s="280">
        <v>0</v>
      </c>
      <c r="V33" s="280">
        <v>0</v>
      </c>
      <c r="W33" s="280">
        <v>140312.32000000001</v>
      </c>
      <c r="X33" s="280">
        <v>1061892.6100000001</v>
      </c>
      <c r="Y33" s="280">
        <v>102272.01</v>
      </c>
      <c r="Z33" s="280">
        <v>201888.62</v>
      </c>
      <c r="AA33" s="280">
        <v>27941.25</v>
      </c>
      <c r="AB33" s="280">
        <v>65811.360000000001</v>
      </c>
      <c r="AC33" s="280">
        <v>0</v>
      </c>
      <c r="AD33" s="280">
        <v>20009.68</v>
      </c>
      <c r="AE33" s="280">
        <v>1671052.51</v>
      </c>
      <c r="AF33" s="280">
        <v>34805.599999999999</v>
      </c>
      <c r="AG33" s="280">
        <v>9314.27</v>
      </c>
      <c r="AH33" s="280">
        <v>3594.28</v>
      </c>
      <c r="AI33" s="280">
        <v>69664.990000000005</v>
      </c>
      <c r="AJ33" s="280">
        <v>6546.94</v>
      </c>
      <c r="AK33" s="280">
        <v>7408.2</v>
      </c>
      <c r="AL33" s="280">
        <v>8978.0400000000009</v>
      </c>
      <c r="AM33" s="280">
        <v>48188.24</v>
      </c>
      <c r="AN33" s="280">
        <v>400374.02</v>
      </c>
      <c r="AO33" s="280">
        <v>125027.1</v>
      </c>
      <c r="AP33" s="280">
        <v>221342.67</v>
      </c>
      <c r="AQ33" s="280">
        <v>112934.51</v>
      </c>
      <c r="AR33" s="280">
        <v>114497.61</v>
      </c>
      <c r="AS33" s="280">
        <v>39528.46</v>
      </c>
      <c r="AT33" s="280">
        <v>0</v>
      </c>
      <c r="AU33" s="280">
        <v>16231.66</v>
      </c>
      <c r="AV33" s="280">
        <v>41322.17</v>
      </c>
      <c r="AW33" s="280">
        <v>17327.78</v>
      </c>
      <c r="AX33" s="280">
        <v>27390.400000000001</v>
      </c>
      <c r="AY33" s="280">
        <v>23756.98</v>
      </c>
      <c r="AZ33" s="280">
        <v>4184.2700000000004</v>
      </c>
      <c r="BA33" s="280">
        <v>7423.6</v>
      </c>
      <c r="BB33" s="280">
        <v>41495</v>
      </c>
      <c r="BC33" s="280">
        <v>2329.41</v>
      </c>
      <c r="BD33" s="280">
        <v>142246.47</v>
      </c>
      <c r="BE33" s="280">
        <v>1477558.03</v>
      </c>
      <c r="BF33" s="280">
        <v>58059</v>
      </c>
      <c r="BG33" s="280">
        <v>40123.83</v>
      </c>
      <c r="BH33" s="280">
        <v>43869.24</v>
      </c>
      <c r="BI33" s="280">
        <v>18905.78</v>
      </c>
      <c r="BJ33" s="280">
        <v>16140.9</v>
      </c>
      <c r="BK33" s="280">
        <v>28286.18</v>
      </c>
      <c r="BL33" s="280">
        <v>22205.5</v>
      </c>
      <c r="BM33" s="280">
        <v>26781</v>
      </c>
      <c r="BN33" s="280">
        <v>131658.62</v>
      </c>
      <c r="BO33" s="280">
        <v>14495.06</v>
      </c>
      <c r="BP33" s="280">
        <v>28563.21</v>
      </c>
      <c r="BQ33" s="280">
        <v>21353.5</v>
      </c>
      <c r="BR33" s="280">
        <v>49777.36</v>
      </c>
      <c r="BS33" s="280">
        <v>40639.879999999997</v>
      </c>
      <c r="BT33" s="280">
        <v>18882.22</v>
      </c>
      <c r="BU33" s="280">
        <v>8816.4500000000007</v>
      </c>
      <c r="BV33" s="280">
        <v>5271</v>
      </c>
      <c r="BW33" s="280">
        <v>21213.98</v>
      </c>
      <c r="BX33" s="280">
        <v>7387</v>
      </c>
      <c r="BY33" s="280">
        <v>27091.66</v>
      </c>
      <c r="BZ33" s="280">
        <v>12184.42</v>
      </c>
      <c r="CA33" s="280">
        <v>25498.43</v>
      </c>
      <c r="CB33" s="280">
        <v>21499.25</v>
      </c>
      <c r="CC33" s="280">
        <v>10119.34</v>
      </c>
      <c r="CD33" s="280">
        <v>8805.9</v>
      </c>
      <c r="CE33" s="280">
        <v>8887.7999999999993</v>
      </c>
      <c r="CF33" s="280">
        <v>7247.33</v>
      </c>
      <c r="CG33" s="280">
        <v>14890.84</v>
      </c>
      <c r="CH33" s="280">
        <v>19740.93</v>
      </c>
      <c r="CI33" s="280">
        <v>80201.960000000006</v>
      </c>
      <c r="CJ33" s="280">
        <v>8690.32</v>
      </c>
      <c r="CK33" s="280">
        <v>4227</v>
      </c>
      <c r="CL33" s="280">
        <v>7680</v>
      </c>
      <c r="CM33" s="280">
        <v>12055</v>
      </c>
      <c r="CN33" s="280">
        <v>6688.9</v>
      </c>
      <c r="CO33" s="280">
        <v>24331.040000000001</v>
      </c>
      <c r="CP33" s="280">
        <v>48950.62</v>
      </c>
      <c r="CQ33" s="280">
        <v>10767.4</v>
      </c>
      <c r="CR33" s="280">
        <v>11754.63</v>
      </c>
      <c r="CS33" s="280">
        <v>18579.3</v>
      </c>
      <c r="CT33" s="280">
        <v>15043</v>
      </c>
      <c r="CU33" s="280">
        <v>2580.1999999999998</v>
      </c>
      <c r="CV33" s="280">
        <v>13283.29</v>
      </c>
      <c r="CW33" s="280">
        <v>36772.199999999997</v>
      </c>
      <c r="CX33" s="280">
        <v>33383.040000000001</v>
      </c>
      <c r="CY33" s="280">
        <v>15088.91</v>
      </c>
      <c r="CZ33" s="280">
        <v>16413.78</v>
      </c>
      <c r="DA33" s="280">
        <v>57251.11</v>
      </c>
      <c r="DB33" s="280">
        <v>18843.650000000001</v>
      </c>
      <c r="DC33" s="280">
        <v>15276.4</v>
      </c>
      <c r="DD33" s="280">
        <v>19289.400000000001</v>
      </c>
      <c r="DE33" s="280">
        <v>28668</v>
      </c>
      <c r="DF33" s="280">
        <v>9944.2000000000007</v>
      </c>
      <c r="DG33" s="280">
        <v>8771</v>
      </c>
      <c r="DH33" s="280">
        <v>9929</v>
      </c>
      <c r="DI33" s="280">
        <v>0</v>
      </c>
      <c r="DJ33" s="280">
        <v>5972.1</v>
      </c>
      <c r="DK33" s="280">
        <v>8233.9</v>
      </c>
      <c r="DL33" s="280">
        <v>34055.53</v>
      </c>
      <c r="DM33" s="280">
        <v>9725</v>
      </c>
      <c r="DN33" s="280">
        <v>30676.75</v>
      </c>
      <c r="DO33" s="280">
        <v>6092.3</v>
      </c>
      <c r="DP33" s="280">
        <v>12067.74</v>
      </c>
      <c r="DQ33" s="280">
        <v>10283</v>
      </c>
      <c r="DR33" s="280">
        <v>55289.75</v>
      </c>
      <c r="DS33" s="280">
        <v>12303</v>
      </c>
      <c r="DT33" s="280">
        <v>0</v>
      </c>
      <c r="DU33" s="280">
        <v>0</v>
      </c>
      <c r="DV33" s="282">
        <v>0</v>
      </c>
      <c r="DW33" s="282">
        <v>0</v>
      </c>
      <c r="DX33" s="282"/>
      <c r="DY33" s="282"/>
      <c r="DZ33" s="282"/>
      <c r="EA33" s="283">
        <v>-1671052.5099999998</v>
      </c>
      <c r="EB33" s="283">
        <v>1655227.1</v>
      </c>
      <c r="EC33" s="283">
        <v>0</v>
      </c>
      <c r="ED33" s="283">
        <v>1802386.79</v>
      </c>
      <c r="EE33" s="283">
        <v>-150741.24</v>
      </c>
      <c r="EF33" s="54">
        <v>930558.33000000007</v>
      </c>
      <c r="EG33" s="54">
        <v>-987011.00000000012</v>
      </c>
    </row>
    <row r="34" spans="1:137">
      <c r="A34" s="279" t="s">
        <v>120</v>
      </c>
      <c r="B34" s="280">
        <v>253316.12</v>
      </c>
      <c r="C34" s="280">
        <v>0</v>
      </c>
      <c r="D34" s="280">
        <v>0</v>
      </c>
      <c r="E34" s="280">
        <v>0</v>
      </c>
      <c r="F34" s="280">
        <v>87478.7</v>
      </c>
      <c r="G34" s="280">
        <v>0</v>
      </c>
      <c r="H34" s="280">
        <v>0</v>
      </c>
      <c r="I34" s="280">
        <v>0</v>
      </c>
      <c r="J34" s="280">
        <v>0</v>
      </c>
      <c r="K34" s="280">
        <v>0</v>
      </c>
      <c r="L34" s="280">
        <v>0</v>
      </c>
      <c r="M34" s="280">
        <v>0</v>
      </c>
      <c r="N34" s="280">
        <v>0</v>
      </c>
      <c r="O34" s="280">
        <v>0</v>
      </c>
      <c r="P34" s="280">
        <v>0</v>
      </c>
      <c r="Q34" s="280">
        <v>16807</v>
      </c>
      <c r="R34" s="280">
        <v>0</v>
      </c>
      <c r="S34" s="280">
        <v>0</v>
      </c>
      <c r="T34" s="280">
        <v>0</v>
      </c>
      <c r="U34" s="280">
        <v>0</v>
      </c>
      <c r="V34" s="280">
        <v>0</v>
      </c>
      <c r="W34" s="280">
        <v>11957.64</v>
      </c>
      <c r="X34" s="280">
        <v>7361.84</v>
      </c>
      <c r="Y34" s="280">
        <v>2186.42</v>
      </c>
      <c r="Z34" s="280">
        <v>7451.78</v>
      </c>
      <c r="AA34" s="280">
        <v>2063.5700000000002</v>
      </c>
      <c r="AB34" s="280">
        <v>0</v>
      </c>
      <c r="AC34" s="280">
        <v>0</v>
      </c>
      <c r="AD34" s="280">
        <v>0</v>
      </c>
      <c r="AE34" s="280">
        <v>118009.17</v>
      </c>
      <c r="AF34" s="280">
        <v>5398.38</v>
      </c>
      <c r="AG34" s="280">
        <v>1093.21</v>
      </c>
      <c r="AH34" s="280">
        <v>1093.21</v>
      </c>
      <c r="AI34" s="280">
        <v>1093.21</v>
      </c>
      <c r="AJ34" s="280">
        <v>1093.21</v>
      </c>
      <c r="AK34" s="280">
        <v>1093.21</v>
      </c>
      <c r="AL34" s="280">
        <v>1093.21</v>
      </c>
      <c r="AM34" s="280">
        <v>0</v>
      </c>
      <c r="AN34" s="280">
        <v>4417.1000000000004</v>
      </c>
      <c r="AO34" s="280">
        <v>2944.74</v>
      </c>
      <c r="AP34" s="280">
        <v>0</v>
      </c>
      <c r="AQ34" s="280">
        <v>0</v>
      </c>
      <c r="AR34" s="280">
        <v>0</v>
      </c>
      <c r="AS34" s="280">
        <v>0</v>
      </c>
      <c r="AT34" s="280">
        <v>0</v>
      </c>
      <c r="AU34" s="280">
        <v>1093.21</v>
      </c>
      <c r="AV34" s="280">
        <v>0</v>
      </c>
      <c r="AW34" s="280">
        <v>0</v>
      </c>
      <c r="AX34" s="280">
        <v>1093.21</v>
      </c>
      <c r="AY34" s="280">
        <v>2063.5700000000002</v>
      </c>
      <c r="AZ34" s="280">
        <v>0</v>
      </c>
      <c r="BA34" s="280">
        <v>12773.86</v>
      </c>
      <c r="BB34" s="280">
        <v>0</v>
      </c>
      <c r="BC34" s="280">
        <v>0</v>
      </c>
      <c r="BD34" s="280">
        <v>0</v>
      </c>
      <c r="BE34" s="280">
        <v>105235.31</v>
      </c>
      <c r="BF34" s="280">
        <v>1478.97</v>
      </c>
      <c r="BG34" s="280">
        <v>10633.96</v>
      </c>
      <c r="BH34" s="280">
        <v>2298.29</v>
      </c>
      <c r="BI34" s="280">
        <v>0</v>
      </c>
      <c r="BJ34" s="280">
        <v>-4369</v>
      </c>
      <c r="BK34" s="280">
        <v>13990.41</v>
      </c>
      <c r="BL34" s="280">
        <v>3387.85</v>
      </c>
      <c r="BM34" s="280">
        <v>12402</v>
      </c>
      <c r="BN34" s="280">
        <v>0</v>
      </c>
      <c r="BO34" s="280">
        <v>0</v>
      </c>
      <c r="BP34" s="280">
        <v>12305.1</v>
      </c>
      <c r="BQ34" s="280">
        <v>0</v>
      </c>
      <c r="BR34" s="280">
        <v>10948.16</v>
      </c>
      <c r="BS34" s="280">
        <v>0</v>
      </c>
      <c r="BT34" s="280">
        <v>679.44</v>
      </c>
      <c r="BU34" s="280">
        <v>0</v>
      </c>
      <c r="BV34" s="280">
        <v>0</v>
      </c>
      <c r="BW34" s="280">
        <v>0</v>
      </c>
      <c r="BX34" s="280">
        <v>5547</v>
      </c>
      <c r="BY34" s="280">
        <v>0</v>
      </c>
      <c r="BZ34" s="280">
        <v>0</v>
      </c>
      <c r="CA34" s="280">
        <v>9433.9599999999991</v>
      </c>
      <c r="CB34" s="280">
        <v>0</v>
      </c>
      <c r="CC34" s="280">
        <v>0</v>
      </c>
      <c r="CD34" s="280">
        <v>1779.84</v>
      </c>
      <c r="CE34" s="280">
        <v>0</v>
      </c>
      <c r="CF34" s="280">
        <v>1676</v>
      </c>
      <c r="CG34" s="280">
        <v>2094.75</v>
      </c>
      <c r="CH34" s="280">
        <v>1381</v>
      </c>
      <c r="CI34" s="280">
        <v>2987.25</v>
      </c>
      <c r="CJ34" s="280">
        <v>1709.4</v>
      </c>
      <c r="CK34" s="280">
        <v>1941.75</v>
      </c>
      <c r="CL34" s="280">
        <v>0</v>
      </c>
      <c r="CM34" s="280">
        <v>119</v>
      </c>
      <c r="CN34" s="280">
        <v>0</v>
      </c>
      <c r="CO34" s="280">
        <v>1853.33</v>
      </c>
      <c r="CP34" s="280">
        <v>1948.93</v>
      </c>
      <c r="CQ34" s="280">
        <v>1000</v>
      </c>
      <c r="CR34" s="280">
        <v>1194.79</v>
      </c>
      <c r="CS34" s="280">
        <v>0</v>
      </c>
      <c r="CT34" s="280">
        <v>800</v>
      </c>
      <c r="CU34" s="280">
        <v>0</v>
      </c>
      <c r="CV34" s="280">
        <v>0</v>
      </c>
      <c r="CW34" s="280">
        <v>0</v>
      </c>
      <c r="CX34" s="280">
        <v>0</v>
      </c>
      <c r="CY34" s="280">
        <v>37.86</v>
      </c>
      <c r="CZ34" s="280">
        <v>0</v>
      </c>
      <c r="DA34" s="280">
        <v>371.52</v>
      </c>
      <c r="DB34" s="280">
        <v>0</v>
      </c>
      <c r="DC34" s="280">
        <v>0</v>
      </c>
      <c r="DD34" s="280">
        <v>800</v>
      </c>
      <c r="DE34" s="280">
        <v>0</v>
      </c>
      <c r="DF34" s="280">
        <v>0</v>
      </c>
      <c r="DG34" s="280">
        <v>0</v>
      </c>
      <c r="DH34" s="280">
        <v>0</v>
      </c>
      <c r="DI34" s="280">
        <v>0</v>
      </c>
      <c r="DJ34" s="280">
        <v>1528</v>
      </c>
      <c r="DK34" s="280">
        <v>1170.96</v>
      </c>
      <c r="DL34" s="280">
        <v>0</v>
      </c>
      <c r="DM34" s="280">
        <v>427.12</v>
      </c>
      <c r="DN34" s="280">
        <v>969.96</v>
      </c>
      <c r="DO34" s="280">
        <v>707.71</v>
      </c>
      <c r="DP34" s="280">
        <v>0</v>
      </c>
      <c r="DQ34" s="280">
        <v>0</v>
      </c>
      <c r="DR34" s="280">
        <v>0</v>
      </c>
      <c r="DS34" s="280">
        <v>0</v>
      </c>
      <c r="DT34" s="280">
        <v>0</v>
      </c>
      <c r="DU34" s="280">
        <v>0</v>
      </c>
      <c r="DV34" s="280">
        <v>0</v>
      </c>
      <c r="DW34" s="280">
        <v>0</v>
      </c>
      <c r="DX34" s="280"/>
      <c r="DY34" s="280"/>
      <c r="DZ34" s="280"/>
      <c r="EA34" s="54">
        <v>-118009.16999999998</v>
      </c>
      <c r="EB34" s="54">
        <v>118009.17</v>
      </c>
      <c r="EC34" s="54">
        <v>0</v>
      </c>
      <c r="ED34" s="54">
        <v>128873.60000000003</v>
      </c>
      <c r="EE34" s="54">
        <v>-4295</v>
      </c>
      <c r="EF34" s="54">
        <v>-3502.59</v>
      </c>
      <c r="EG34" s="54">
        <v>-6268.63</v>
      </c>
    </row>
    <row r="35" spans="1:137">
      <c r="A35" s="279" t="s">
        <v>121</v>
      </c>
      <c r="B35" s="280">
        <v>177504.33</v>
      </c>
      <c r="C35" s="280">
        <v>1169.3599999999999</v>
      </c>
      <c r="D35" s="280">
        <v>0</v>
      </c>
      <c r="E35" s="280">
        <v>375.66</v>
      </c>
      <c r="F35" s="280">
        <v>33898.9</v>
      </c>
      <c r="G35" s="280">
        <v>2162.17</v>
      </c>
      <c r="H35" s="280">
        <v>962.02</v>
      </c>
      <c r="I35" s="280">
        <v>459.61</v>
      </c>
      <c r="J35" s="280">
        <v>1244.8</v>
      </c>
      <c r="K35" s="280">
        <v>338.82</v>
      </c>
      <c r="L35" s="280">
        <v>16.13</v>
      </c>
      <c r="M35" s="280">
        <v>0</v>
      </c>
      <c r="N35" s="280">
        <v>96.79</v>
      </c>
      <c r="O35" s="280">
        <v>1071.6400000000001</v>
      </c>
      <c r="P35" s="280">
        <v>120.99</v>
      </c>
      <c r="Q35" s="280">
        <v>1974.09</v>
      </c>
      <c r="R35" s="280">
        <v>167.59</v>
      </c>
      <c r="S35" s="280">
        <v>30.47</v>
      </c>
      <c r="T35" s="280">
        <v>0</v>
      </c>
      <c r="U35" s="280">
        <v>0</v>
      </c>
      <c r="V35" s="280">
        <v>0</v>
      </c>
      <c r="W35" s="280">
        <v>29785.19</v>
      </c>
      <c r="X35" s="280">
        <v>7384.01</v>
      </c>
      <c r="Y35" s="280">
        <v>5014.29</v>
      </c>
      <c r="Z35" s="280">
        <v>1896.77</v>
      </c>
      <c r="AA35" s="280">
        <v>-2420.79</v>
      </c>
      <c r="AB35" s="280">
        <v>550.80999999999995</v>
      </c>
      <c r="AC35" s="280">
        <v>0</v>
      </c>
      <c r="AD35" s="280">
        <v>7446.26</v>
      </c>
      <c r="AE35" s="280">
        <v>83758.75</v>
      </c>
      <c r="AF35" s="280">
        <v>20291.21</v>
      </c>
      <c r="AG35" s="280">
        <v>929.41</v>
      </c>
      <c r="AH35" s="280">
        <v>2499.81</v>
      </c>
      <c r="AI35" s="280">
        <v>1497.2</v>
      </c>
      <c r="AJ35" s="280">
        <v>2304.86</v>
      </c>
      <c r="AK35" s="280">
        <v>391.29</v>
      </c>
      <c r="AL35" s="280">
        <v>1871.41</v>
      </c>
      <c r="AM35" s="280">
        <v>1093.24</v>
      </c>
      <c r="AN35" s="280">
        <v>852.79</v>
      </c>
      <c r="AO35" s="280">
        <v>872.15</v>
      </c>
      <c r="AP35" s="280">
        <v>1527.82</v>
      </c>
      <c r="AQ35" s="280">
        <v>1015.7</v>
      </c>
      <c r="AR35" s="280">
        <v>1331.95</v>
      </c>
      <c r="AS35" s="280">
        <v>690.36</v>
      </c>
      <c r="AT35" s="280">
        <v>0</v>
      </c>
      <c r="AU35" s="280">
        <v>2621.52</v>
      </c>
      <c r="AV35" s="280">
        <v>877.81</v>
      </c>
      <c r="AW35" s="280">
        <v>300.24</v>
      </c>
      <c r="AX35" s="280">
        <v>1214.72</v>
      </c>
      <c r="AY35" s="280">
        <v>-2420.79</v>
      </c>
      <c r="AZ35" s="280">
        <v>0</v>
      </c>
      <c r="BA35" s="280">
        <v>2259.06</v>
      </c>
      <c r="BB35" s="280">
        <v>823.25</v>
      </c>
      <c r="BC35" s="280">
        <v>507.26</v>
      </c>
      <c r="BD35" s="280">
        <v>500.85</v>
      </c>
      <c r="BE35" s="280">
        <v>79668.33</v>
      </c>
      <c r="BF35" s="280">
        <v>1509.83</v>
      </c>
      <c r="BG35" s="280">
        <v>3360.97</v>
      </c>
      <c r="BH35" s="280">
        <v>5822.97</v>
      </c>
      <c r="BI35" s="280">
        <v>5082.1499999999996</v>
      </c>
      <c r="BJ35" s="280">
        <v>3750.5</v>
      </c>
      <c r="BK35" s="280">
        <v>5393.33</v>
      </c>
      <c r="BL35" s="280">
        <v>327.41000000000003</v>
      </c>
      <c r="BM35" s="280">
        <v>1377</v>
      </c>
      <c r="BN35" s="280">
        <v>2482.5300000000002</v>
      </c>
      <c r="BO35" s="280">
        <v>4002.94</v>
      </c>
      <c r="BP35" s="280">
        <v>3165.18</v>
      </c>
      <c r="BQ35" s="280">
        <v>4309.99</v>
      </c>
      <c r="BR35" s="280">
        <v>7043.34</v>
      </c>
      <c r="BS35" s="280">
        <v>5541.81</v>
      </c>
      <c r="BT35" s="280">
        <v>1075.6600000000001</v>
      </c>
      <c r="BU35" s="280">
        <v>1429.27</v>
      </c>
      <c r="BV35" s="280">
        <v>519.89</v>
      </c>
      <c r="BW35" s="280">
        <v>252.48</v>
      </c>
      <c r="BX35" s="280">
        <v>0</v>
      </c>
      <c r="BY35" s="280">
        <v>150</v>
      </c>
      <c r="BZ35" s="280">
        <v>1570.63</v>
      </c>
      <c r="CA35" s="280">
        <v>1133.21</v>
      </c>
      <c r="CB35" s="280">
        <v>535.74</v>
      </c>
      <c r="CC35" s="280">
        <v>0</v>
      </c>
      <c r="CD35" s="280">
        <v>676.7</v>
      </c>
      <c r="CE35" s="280">
        <v>0</v>
      </c>
      <c r="CF35" s="280">
        <v>0</v>
      </c>
      <c r="CG35" s="280">
        <v>141.71</v>
      </c>
      <c r="CH35" s="280">
        <v>0</v>
      </c>
      <c r="CI35" s="280">
        <v>227.64</v>
      </c>
      <c r="CJ35" s="280">
        <v>444.67</v>
      </c>
      <c r="CK35" s="280">
        <v>1200</v>
      </c>
      <c r="CL35" s="280">
        <v>530</v>
      </c>
      <c r="CM35" s="280">
        <v>0</v>
      </c>
      <c r="CN35" s="280">
        <v>409.9</v>
      </c>
      <c r="CO35" s="280">
        <v>426.48</v>
      </c>
      <c r="CP35" s="280">
        <v>1136.27</v>
      </c>
      <c r="CQ35" s="280">
        <v>110</v>
      </c>
      <c r="CR35" s="280">
        <v>563.44000000000005</v>
      </c>
      <c r="CS35" s="280">
        <v>549.73</v>
      </c>
      <c r="CT35" s="280">
        <v>0</v>
      </c>
      <c r="CU35" s="280">
        <v>362.87</v>
      </c>
      <c r="CV35" s="280">
        <v>280.7</v>
      </c>
      <c r="CW35" s="280">
        <v>1377.92</v>
      </c>
      <c r="CX35" s="280">
        <v>246</v>
      </c>
      <c r="CY35" s="280">
        <v>503.16</v>
      </c>
      <c r="CZ35" s="280">
        <v>610.6</v>
      </c>
      <c r="DA35" s="280">
        <v>344</v>
      </c>
      <c r="DB35" s="280">
        <v>427</v>
      </c>
      <c r="DC35" s="280">
        <v>244</v>
      </c>
      <c r="DD35" s="280">
        <v>0</v>
      </c>
      <c r="DE35" s="280">
        <v>419</v>
      </c>
      <c r="DF35" s="280">
        <v>351.77</v>
      </c>
      <c r="DG35" s="280">
        <v>0</v>
      </c>
      <c r="DH35" s="280">
        <v>130.15</v>
      </c>
      <c r="DI35" s="280">
        <v>0</v>
      </c>
      <c r="DJ35" s="280">
        <v>874</v>
      </c>
      <c r="DK35" s="280">
        <v>560</v>
      </c>
      <c r="DL35" s="280">
        <v>649</v>
      </c>
      <c r="DM35" s="280">
        <v>453.16</v>
      </c>
      <c r="DN35" s="280">
        <v>901</v>
      </c>
      <c r="DO35" s="280">
        <v>2660.26</v>
      </c>
      <c r="DP35" s="280">
        <v>1469</v>
      </c>
      <c r="DQ35" s="280">
        <v>0</v>
      </c>
      <c r="DR35" s="280">
        <v>358.82</v>
      </c>
      <c r="DS35" s="280">
        <v>192.55</v>
      </c>
      <c r="DT35" s="280">
        <v>0</v>
      </c>
      <c r="DU35" s="280">
        <v>0</v>
      </c>
      <c r="DV35" s="280">
        <v>0</v>
      </c>
      <c r="DW35" s="280">
        <v>0</v>
      </c>
      <c r="DX35" s="280"/>
      <c r="DY35" s="280"/>
      <c r="DZ35" s="280"/>
      <c r="EA35" s="54">
        <v>-83758.750000000015</v>
      </c>
      <c r="EB35" s="54">
        <v>76312.490000000005</v>
      </c>
      <c r="EC35" s="54">
        <v>0</v>
      </c>
      <c r="ED35" s="54">
        <v>111672.52999999998</v>
      </c>
      <c r="EE35" s="54">
        <v>-3102.84</v>
      </c>
      <c r="EF35" s="54">
        <v>-20529.769999999997</v>
      </c>
      <c r="EG35" s="54">
        <v>-3584.4400000000005</v>
      </c>
    </row>
    <row r="36" spans="1:137">
      <c r="A36" s="279" t="s">
        <v>122</v>
      </c>
      <c r="B36" s="280">
        <v>33050.230000000003</v>
      </c>
      <c r="C36" s="280">
        <v>0</v>
      </c>
      <c r="D36" s="280">
        <v>0</v>
      </c>
      <c r="E36" s="280">
        <v>0</v>
      </c>
      <c r="F36" s="280">
        <v>0</v>
      </c>
      <c r="G36" s="280">
        <v>29056.6</v>
      </c>
      <c r="H36" s="280">
        <v>0</v>
      </c>
      <c r="I36" s="280">
        <v>0</v>
      </c>
      <c r="J36" s="280">
        <v>0</v>
      </c>
      <c r="K36" s="280">
        <v>0</v>
      </c>
      <c r="L36" s="280">
        <v>0</v>
      </c>
      <c r="M36" s="280">
        <v>0</v>
      </c>
      <c r="N36" s="280">
        <v>0</v>
      </c>
      <c r="O36" s="280">
        <v>0</v>
      </c>
      <c r="P36" s="280">
        <v>0</v>
      </c>
      <c r="Q36" s="280">
        <v>0</v>
      </c>
      <c r="R36" s="280">
        <v>0</v>
      </c>
      <c r="S36" s="280">
        <v>0</v>
      </c>
      <c r="T36" s="280">
        <v>0</v>
      </c>
      <c r="U36" s="280">
        <v>0</v>
      </c>
      <c r="V36" s="280">
        <v>0</v>
      </c>
      <c r="W36" s="280">
        <v>0</v>
      </c>
      <c r="X36" s="280">
        <v>0</v>
      </c>
      <c r="Y36" s="280">
        <v>0</v>
      </c>
      <c r="Z36" s="280">
        <v>0</v>
      </c>
      <c r="AA36" s="280">
        <v>0</v>
      </c>
      <c r="AB36" s="280">
        <v>0</v>
      </c>
      <c r="AC36" s="280">
        <v>0</v>
      </c>
      <c r="AD36" s="280">
        <v>0</v>
      </c>
      <c r="AE36" s="280">
        <v>3993.63</v>
      </c>
      <c r="AF36" s="280">
        <v>0</v>
      </c>
      <c r="AG36" s="280">
        <v>0</v>
      </c>
      <c r="AH36" s="280">
        <v>0</v>
      </c>
      <c r="AI36" s="280">
        <v>0</v>
      </c>
      <c r="AJ36" s="280">
        <v>0</v>
      </c>
      <c r="AK36" s="280">
        <v>0</v>
      </c>
      <c r="AL36" s="280">
        <v>0</v>
      </c>
      <c r="AM36" s="280">
        <v>0</v>
      </c>
      <c r="AN36" s="280">
        <v>0</v>
      </c>
      <c r="AO36" s="280">
        <v>0</v>
      </c>
      <c r="AP36" s="280">
        <v>0</v>
      </c>
      <c r="AQ36" s="280">
        <v>0</v>
      </c>
      <c r="AR36" s="280">
        <v>0</v>
      </c>
      <c r="AS36" s="280">
        <v>0</v>
      </c>
      <c r="AT36" s="280">
        <v>0</v>
      </c>
      <c r="AU36" s="280">
        <v>0</v>
      </c>
      <c r="AV36" s="280">
        <v>0</v>
      </c>
      <c r="AW36" s="280">
        <v>0</v>
      </c>
      <c r="AX36" s="280">
        <v>0</v>
      </c>
      <c r="AY36" s="280">
        <v>0</v>
      </c>
      <c r="AZ36" s="280">
        <v>0</v>
      </c>
      <c r="BA36" s="280">
        <v>0</v>
      </c>
      <c r="BB36" s="280">
        <v>0</v>
      </c>
      <c r="BC36" s="280">
        <v>0</v>
      </c>
      <c r="BD36" s="280">
        <v>0</v>
      </c>
      <c r="BE36" s="280">
        <v>3993.63</v>
      </c>
      <c r="BF36" s="280">
        <v>0</v>
      </c>
      <c r="BG36" s="280">
        <v>0</v>
      </c>
      <c r="BH36" s="280">
        <v>0</v>
      </c>
      <c r="BI36" s="280">
        <v>0</v>
      </c>
      <c r="BJ36" s="280">
        <v>0</v>
      </c>
      <c r="BK36" s="280">
        <v>0</v>
      </c>
      <c r="BL36" s="280">
        <v>0</v>
      </c>
      <c r="BM36" s="280">
        <v>0</v>
      </c>
      <c r="BN36" s="280">
        <v>0</v>
      </c>
      <c r="BO36" s="280">
        <v>0</v>
      </c>
      <c r="BP36" s="280">
        <v>0</v>
      </c>
      <c r="BQ36" s="280">
        <v>0</v>
      </c>
      <c r="BR36" s="280">
        <v>3993.63</v>
      </c>
      <c r="BS36" s="280">
        <v>0</v>
      </c>
      <c r="BT36" s="280">
        <v>0</v>
      </c>
      <c r="BU36" s="280">
        <v>0</v>
      </c>
      <c r="BV36" s="280">
        <v>0</v>
      </c>
      <c r="BW36" s="280">
        <v>0</v>
      </c>
      <c r="BX36" s="280">
        <v>0</v>
      </c>
      <c r="BY36" s="280">
        <v>0</v>
      </c>
      <c r="BZ36" s="280">
        <v>0</v>
      </c>
      <c r="CA36" s="280">
        <v>0</v>
      </c>
      <c r="CB36" s="280">
        <v>0</v>
      </c>
      <c r="CC36" s="280">
        <v>0</v>
      </c>
      <c r="CD36" s="280">
        <v>0</v>
      </c>
      <c r="CE36" s="280">
        <v>0</v>
      </c>
      <c r="CF36" s="280">
        <v>0</v>
      </c>
      <c r="CG36" s="280">
        <v>0</v>
      </c>
      <c r="CH36" s="280">
        <v>0</v>
      </c>
      <c r="CI36" s="280">
        <v>0</v>
      </c>
      <c r="CJ36" s="280">
        <v>0</v>
      </c>
      <c r="CK36" s="280">
        <v>0</v>
      </c>
      <c r="CL36" s="280">
        <v>0</v>
      </c>
      <c r="CM36" s="280">
        <v>0</v>
      </c>
      <c r="CN36" s="280">
        <v>0</v>
      </c>
      <c r="CO36" s="280">
        <v>0</v>
      </c>
      <c r="CP36" s="280">
        <v>0</v>
      </c>
      <c r="CQ36" s="280">
        <v>0</v>
      </c>
      <c r="CR36" s="280">
        <v>0</v>
      </c>
      <c r="CS36" s="280">
        <v>0</v>
      </c>
      <c r="CT36" s="280">
        <v>0</v>
      </c>
      <c r="CU36" s="280">
        <v>0</v>
      </c>
      <c r="CV36" s="280">
        <v>0</v>
      </c>
      <c r="CW36" s="280">
        <v>0</v>
      </c>
      <c r="CX36" s="280">
        <v>0</v>
      </c>
      <c r="CY36" s="280">
        <v>0</v>
      </c>
      <c r="CZ36" s="280">
        <v>0</v>
      </c>
      <c r="DA36" s="280">
        <v>0</v>
      </c>
      <c r="DB36" s="280">
        <v>0</v>
      </c>
      <c r="DC36" s="280">
        <v>0</v>
      </c>
      <c r="DD36" s="280">
        <v>0</v>
      </c>
      <c r="DE36" s="280">
        <v>0</v>
      </c>
      <c r="DF36" s="280">
        <v>0</v>
      </c>
      <c r="DG36" s="280">
        <v>0</v>
      </c>
      <c r="DH36" s="280">
        <v>0</v>
      </c>
      <c r="DI36" s="280">
        <v>0</v>
      </c>
      <c r="DJ36" s="280">
        <v>0</v>
      </c>
      <c r="DK36" s="280">
        <v>0</v>
      </c>
      <c r="DL36" s="280">
        <v>0</v>
      </c>
      <c r="DM36" s="280">
        <v>0</v>
      </c>
      <c r="DN36" s="280">
        <v>0</v>
      </c>
      <c r="DO36" s="280">
        <v>0</v>
      </c>
      <c r="DP36" s="280">
        <v>0</v>
      </c>
      <c r="DQ36" s="280">
        <v>0</v>
      </c>
      <c r="DR36" s="280">
        <v>0</v>
      </c>
      <c r="DS36" s="280">
        <v>0</v>
      </c>
      <c r="DT36" s="280">
        <v>0</v>
      </c>
      <c r="DU36" s="280">
        <v>0</v>
      </c>
      <c r="DV36" s="280">
        <v>0</v>
      </c>
      <c r="DW36" s="280">
        <v>0</v>
      </c>
      <c r="DX36" s="280"/>
      <c r="DY36" s="280"/>
      <c r="DZ36" s="280"/>
      <c r="EA36" s="54">
        <v>-3993.6300000000047</v>
      </c>
      <c r="EB36" s="54">
        <v>3993.63</v>
      </c>
      <c r="EC36" s="54">
        <v>0</v>
      </c>
      <c r="ED36" s="54">
        <v>3993.63</v>
      </c>
      <c r="EE36" s="54">
        <v>0</v>
      </c>
      <c r="EF36" s="54">
        <v>0</v>
      </c>
      <c r="EG36" s="54">
        <v>0</v>
      </c>
    </row>
    <row r="37" spans="1:137">
      <c r="A37" s="279" t="s">
        <v>123</v>
      </c>
      <c r="B37" s="280">
        <v>194991.99</v>
      </c>
      <c r="C37" s="280">
        <v>0</v>
      </c>
      <c r="D37" s="280">
        <v>0</v>
      </c>
      <c r="E37" s="280">
        <v>0</v>
      </c>
      <c r="F37" s="280">
        <v>34626.949999999997</v>
      </c>
      <c r="G37" s="280">
        <v>0</v>
      </c>
      <c r="H37" s="280">
        <v>0</v>
      </c>
      <c r="I37" s="280">
        <v>0</v>
      </c>
      <c r="J37" s="280">
        <v>0</v>
      </c>
      <c r="K37" s="280">
        <v>0</v>
      </c>
      <c r="L37" s="280">
        <v>0</v>
      </c>
      <c r="M37" s="280">
        <v>0</v>
      </c>
      <c r="N37" s="280">
        <v>0</v>
      </c>
      <c r="O37" s="280">
        <v>0</v>
      </c>
      <c r="P37" s="280">
        <v>0</v>
      </c>
      <c r="Q37" s="280">
        <v>0</v>
      </c>
      <c r="R37" s="280">
        <v>0</v>
      </c>
      <c r="S37" s="280">
        <v>0</v>
      </c>
      <c r="T37" s="280">
        <v>0</v>
      </c>
      <c r="U37" s="280">
        <v>0</v>
      </c>
      <c r="V37" s="280">
        <v>0</v>
      </c>
      <c r="W37" s="280">
        <v>6795.44</v>
      </c>
      <c r="X37" s="280">
        <v>0</v>
      </c>
      <c r="Y37" s="280">
        <v>2211.64</v>
      </c>
      <c r="Z37" s="280">
        <v>0</v>
      </c>
      <c r="AA37" s="280">
        <v>0</v>
      </c>
      <c r="AB37" s="280">
        <v>0</v>
      </c>
      <c r="AC37" s="280">
        <v>0</v>
      </c>
      <c r="AD37" s="280">
        <v>2738</v>
      </c>
      <c r="AE37" s="280">
        <v>148619.96</v>
      </c>
      <c r="AF37" s="280">
        <v>1105.82</v>
      </c>
      <c r="AG37" s="280">
        <v>1105.82</v>
      </c>
      <c r="AH37" s="280">
        <v>1105.82</v>
      </c>
      <c r="AI37" s="280">
        <v>160.52000000000001</v>
      </c>
      <c r="AJ37" s="280">
        <v>1105.82</v>
      </c>
      <c r="AK37" s="280">
        <v>1105.82</v>
      </c>
      <c r="AL37" s="280">
        <v>1105.82</v>
      </c>
      <c r="AM37" s="280">
        <v>0</v>
      </c>
      <c r="AN37" s="280">
        <v>0</v>
      </c>
      <c r="AO37" s="280">
        <v>0</v>
      </c>
      <c r="AP37" s="280">
        <v>0</v>
      </c>
      <c r="AQ37" s="280">
        <v>0</v>
      </c>
      <c r="AR37" s="280">
        <v>0</v>
      </c>
      <c r="AS37" s="280">
        <v>0</v>
      </c>
      <c r="AT37" s="280">
        <v>0</v>
      </c>
      <c r="AU37" s="280">
        <v>1105.82</v>
      </c>
      <c r="AV37" s="280">
        <v>0</v>
      </c>
      <c r="AW37" s="280">
        <v>0</v>
      </c>
      <c r="AX37" s="280">
        <v>1105.82</v>
      </c>
      <c r="AY37" s="280">
        <v>0</v>
      </c>
      <c r="AZ37" s="280">
        <v>0</v>
      </c>
      <c r="BA37" s="280">
        <v>0</v>
      </c>
      <c r="BB37" s="280">
        <v>0</v>
      </c>
      <c r="BC37" s="280">
        <v>0</v>
      </c>
      <c r="BD37" s="280">
        <v>0</v>
      </c>
      <c r="BE37" s="280">
        <v>148619.96</v>
      </c>
      <c r="BF37" s="280">
        <v>6817.36</v>
      </c>
      <c r="BG37" s="280">
        <v>29586.86</v>
      </c>
      <c r="BH37" s="280">
        <v>3185.71</v>
      </c>
      <c r="BI37" s="280">
        <v>0</v>
      </c>
      <c r="BJ37" s="280">
        <v>16157.14</v>
      </c>
      <c r="BK37" s="280">
        <v>6864.8</v>
      </c>
      <c r="BL37" s="280">
        <v>2883.5</v>
      </c>
      <c r="BM37" s="280">
        <v>0</v>
      </c>
      <c r="BN37" s="280">
        <v>0</v>
      </c>
      <c r="BO37" s="280">
        <v>3398.06</v>
      </c>
      <c r="BP37" s="280">
        <v>15288.1</v>
      </c>
      <c r="BQ37" s="280">
        <v>6413.33</v>
      </c>
      <c r="BR37" s="280">
        <v>0</v>
      </c>
      <c r="BS37" s="280">
        <v>10000</v>
      </c>
      <c r="BT37" s="280">
        <v>0</v>
      </c>
      <c r="BU37" s="280">
        <v>0</v>
      </c>
      <c r="BV37" s="280">
        <v>15728.16</v>
      </c>
      <c r="BW37" s="280">
        <v>0</v>
      </c>
      <c r="BX37" s="280">
        <v>0</v>
      </c>
      <c r="BY37" s="280">
        <v>0</v>
      </c>
      <c r="BZ37" s="280">
        <v>0</v>
      </c>
      <c r="CA37" s="280">
        <v>23770</v>
      </c>
      <c r="CB37" s="280">
        <v>0</v>
      </c>
      <c r="CC37" s="280">
        <v>0</v>
      </c>
      <c r="CD37" s="280">
        <v>0</v>
      </c>
      <c r="CE37" s="280">
        <v>0</v>
      </c>
      <c r="CF37" s="280">
        <v>0</v>
      </c>
      <c r="CG37" s="280">
        <v>0</v>
      </c>
      <c r="CH37" s="280">
        <v>0</v>
      </c>
      <c r="CI37" s="280">
        <v>0</v>
      </c>
      <c r="CJ37" s="280">
        <v>0</v>
      </c>
      <c r="CK37" s="280">
        <v>0</v>
      </c>
      <c r="CL37" s="280">
        <v>0</v>
      </c>
      <c r="CM37" s="280">
        <v>0</v>
      </c>
      <c r="CN37" s="280">
        <v>0</v>
      </c>
      <c r="CO37" s="280">
        <v>8352</v>
      </c>
      <c r="CP37" s="280">
        <v>0</v>
      </c>
      <c r="CQ37" s="280">
        <v>0</v>
      </c>
      <c r="CR37" s="280">
        <v>0</v>
      </c>
      <c r="CS37" s="280">
        <v>0</v>
      </c>
      <c r="CT37" s="280">
        <v>0</v>
      </c>
      <c r="CU37" s="280">
        <v>0</v>
      </c>
      <c r="CV37" s="280">
        <v>0</v>
      </c>
      <c r="CW37" s="280">
        <v>0</v>
      </c>
      <c r="CX37" s="280">
        <v>0</v>
      </c>
      <c r="CY37" s="280">
        <v>0</v>
      </c>
      <c r="CZ37" s="280">
        <v>0</v>
      </c>
      <c r="DA37" s="280">
        <v>0</v>
      </c>
      <c r="DB37" s="280">
        <v>0</v>
      </c>
      <c r="DC37" s="280">
        <v>0</v>
      </c>
      <c r="DD37" s="280">
        <v>174.94</v>
      </c>
      <c r="DE37" s="280">
        <v>0</v>
      </c>
      <c r="DF37" s="280">
        <v>0</v>
      </c>
      <c r="DG37" s="280">
        <v>0</v>
      </c>
      <c r="DH37" s="280">
        <v>0</v>
      </c>
      <c r="DI37" s="280">
        <v>0</v>
      </c>
      <c r="DJ37" s="280">
        <v>0</v>
      </c>
      <c r="DK37" s="280">
        <v>0</v>
      </c>
      <c r="DL37" s="280">
        <v>0</v>
      </c>
      <c r="DM37" s="280">
        <v>0</v>
      </c>
      <c r="DN37" s="280">
        <v>0</v>
      </c>
      <c r="DO37" s="280">
        <v>0</v>
      </c>
      <c r="DP37" s="280">
        <v>0</v>
      </c>
      <c r="DQ37" s="280">
        <v>0</v>
      </c>
      <c r="DR37" s="280">
        <v>0</v>
      </c>
      <c r="DS37" s="280">
        <v>0</v>
      </c>
      <c r="DT37" s="280">
        <v>0</v>
      </c>
      <c r="DU37" s="280">
        <v>0</v>
      </c>
      <c r="DV37" s="280">
        <v>0</v>
      </c>
      <c r="DW37" s="280">
        <v>0</v>
      </c>
      <c r="DX37" s="280"/>
      <c r="DY37" s="280"/>
      <c r="DZ37" s="280"/>
      <c r="EA37" s="54">
        <v>-148619.96</v>
      </c>
      <c r="EB37" s="54">
        <v>145881.96</v>
      </c>
      <c r="EC37" s="54">
        <v>0</v>
      </c>
      <c r="ED37" s="54">
        <v>154309.58000000002</v>
      </c>
      <c r="EE37" s="54">
        <v>1105.82</v>
      </c>
      <c r="EF37" s="54">
        <v>-5689.62</v>
      </c>
      <c r="EG37" s="54">
        <v>1105.82</v>
      </c>
    </row>
    <row r="38" spans="1:137">
      <c r="A38" s="279" t="s">
        <v>124</v>
      </c>
      <c r="B38" s="280">
        <v>47500</v>
      </c>
      <c r="C38" s="280">
        <v>0</v>
      </c>
      <c r="D38" s="280">
        <v>0</v>
      </c>
      <c r="E38" s="280">
        <v>47500</v>
      </c>
      <c r="F38" s="280">
        <v>0</v>
      </c>
      <c r="G38" s="280">
        <v>0</v>
      </c>
      <c r="H38" s="280">
        <v>0</v>
      </c>
      <c r="I38" s="280">
        <v>0</v>
      </c>
      <c r="J38" s="280">
        <v>0</v>
      </c>
      <c r="K38" s="280">
        <v>0</v>
      </c>
      <c r="L38" s="280">
        <v>0</v>
      </c>
      <c r="M38" s="280">
        <v>0</v>
      </c>
      <c r="N38" s="280">
        <v>0</v>
      </c>
      <c r="O38" s="280">
        <v>0</v>
      </c>
      <c r="P38" s="280">
        <v>0</v>
      </c>
      <c r="Q38" s="280">
        <v>0</v>
      </c>
      <c r="R38" s="280">
        <v>0</v>
      </c>
      <c r="S38" s="280">
        <v>0</v>
      </c>
      <c r="T38" s="280">
        <v>0</v>
      </c>
      <c r="U38" s="280">
        <v>0</v>
      </c>
      <c r="V38" s="280">
        <v>0</v>
      </c>
      <c r="W38" s="280">
        <v>0</v>
      </c>
      <c r="X38" s="280">
        <v>0</v>
      </c>
      <c r="Y38" s="280">
        <v>0</v>
      </c>
      <c r="Z38" s="280">
        <v>0</v>
      </c>
      <c r="AA38" s="280">
        <v>0</v>
      </c>
      <c r="AB38" s="280">
        <v>0</v>
      </c>
      <c r="AC38" s="280">
        <v>0</v>
      </c>
      <c r="AD38" s="280">
        <v>0</v>
      </c>
      <c r="AE38" s="280">
        <v>0</v>
      </c>
      <c r="AF38" s="280">
        <v>0</v>
      </c>
      <c r="AG38" s="280">
        <v>0</v>
      </c>
      <c r="AH38" s="280">
        <v>0</v>
      </c>
      <c r="AI38" s="280">
        <v>0</v>
      </c>
      <c r="AJ38" s="280">
        <v>0</v>
      </c>
      <c r="AK38" s="280">
        <v>0</v>
      </c>
      <c r="AL38" s="280">
        <v>0</v>
      </c>
      <c r="AM38" s="280">
        <v>0</v>
      </c>
      <c r="AN38" s="280">
        <v>0</v>
      </c>
      <c r="AO38" s="280">
        <v>0</v>
      </c>
      <c r="AP38" s="280">
        <v>0</v>
      </c>
      <c r="AQ38" s="280">
        <v>0</v>
      </c>
      <c r="AR38" s="280">
        <v>0</v>
      </c>
      <c r="AS38" s="280">
        <v>0</v>
      </c>
      <c r="AT38" s="280">
        <v>0</v>
      </c>
      <c r="AU38" s="280">
        <v>0</v>
      </c>
      <c r="AV38" s="280">
        <v>0</v>
      </c>
      <c r="AW38" s="280">
        <v>0</v>
      </c>
      <c r="AX38" s="280">
        <v>0</v>
      </c>
      <c r="AY38" s="280">
        <v>0</v>
      </c>
      <c r="AZ38" s="280">
        <v>0</v>
      </c>
      <c r="BA38" s="280">
        <v>0</v>
      </c>
      <c r="BB38" s="280">
        <v>0</v>
      </c>
      <c r="BC38" s="280">
        <v>0</v>
      </c>
      <c r="BD38" s="280">
        <v>0</v>
      </c>
      <c r="BE38" s="280">
        <v>0</v>
      </c>
      <c r="BF38" s="280">
        <v>0</v>
      </c>
      <c r="BG38" s="280">
        <v>0</v>
      </c>
      <c r="BH38" s="280">
        <v>0</v>
      </c>
      <c r="BI38" s="280">
        <v>0</v>
      </c>
      <c r="BJ38" s="280">
        <v>0</v>
      </c>
      <c r="BK38" s="280">
        <v>0</v>
      </c>
      <c r="BL38" s="280">
        <v>0</v>
      </c>
      <c r="BM38" s="280">
        <v>0</v>
      </c>
      <c r="BN38" s="280">
        <v>0</v>
      </c>
      <c r="BO38" s="280">
        <v>0</v>
      </c>
      <c r="BP38" s="280">
        <v>0</v>
      </c>
      <c r="BQ38" s="280">
        <v>0</v>
      </c>
      <c r="BR38" s="280">
        <v>0</v>
      </c>
      <c r="BS38" s="280">
        <v>0</v>
      </c>
      <c r="BT38" s="280">
        <v>0</v>
      </c>
      <c r="BU38" s="280">
        <v>0</v>
      </c>
      <c r="BV38" s="280">
        <v>0</v>
      </c>
      <c r="BW38" s="280">
        <v>0</v>
      </c>
      <c r="BX38" s="280">
        <v>0</v>
      </c>
      <c r="BY38" s="280">
        <v>0</v>
      </c>
      <c r="BZ38" s="280">
        <v>0</v>
      </c>
      <c r="CA38" s="280">
        <v>0</v>
      </c>
      <c r="CB38" s="280">
        <v>0</v>
      </c>
      <c r="CC38" s="280">
        <v>0</v>
      </c>
      <c r="CD38" s="280">
        <v>0</v>
      </c>
      <c r="CE38" s="280">
        <v>0</v>
      </c>
      <c r="CF38" s="280">
        <v>0</v>
      </c>
      <c r="CG38" s="280">
        <v>0</v>
      </c>
      <c r="CH38" s="280">
        <v>0</v>
      </c>
      <c r="CI38" s="280">
        <v>0</v>
      </c>
      <c r="CJ38" s="280">
        <v>0</v>
      </c>
      <c r="CK38" s="280">
        <v>0</v>
      </c>
      <c r="CL38" s="280">
        <v>0</v>
      </c>
      <c r="CM38" s="280">
        <v>0</v>
      </c>
      <c r="CN38" s="280">
        <v>0</v>
      </c>
      <c r="CO38" s="280">
        <v>0</v>
      </c>
      <c r="CP38" s="280">
        <v>0</v>
      </c>
      <c r="CQ38" s="280">
        <v>0</v>
      </c>
      <c r="CR38" s="280">
        <v>0</v>
      </c>
      <c r="CS38" s="280">
        <v>0</v>
      </c>
      <c r="CT38" s="280">
        <v>0</v>
      </c>
      <c r="CU38" s="280">
        <v>0</v>
      </c>
      <c r="CV38" s="280">
        <v>0</v>
      </c>
      <c r="CW38" s="280">
        <v>0</v>
      </c>
      <c r="CX38" s="280">
        <v>0</v>
      </c>
      <c r="CY38" s="280">
        <v>0</v>
      </c>
      <c r="CZ38" s="280">
        <v>0</v>
      </c>
      <c r="DA38" s="280">
        <v>0</v>
      </c>
      <c r="DB38" s="280">
        <v>0</v>
      </c>
      <c r="DC38" s="280">
        <v>0</v>
      </c>
      <c r="DD38" s="280">
        <v>0</v>
      </c>
      <c r="DE38" s="280">
        <v>0</v>
      </c>
      <c r="DF38" s="280">
        <v>0</v>
      </c>
      <c r="DG38" s="280">
        <v>0</v>
      </c>
      <c r="DH38" s="280">
        <v>0</v>
      </c>
      <c r="DI38" s="280">
        <v>0</v>
      </c>
      <c r="DJ38" s="280">
        <v>0</v>
      </c>
      <c r="DK38" s="280">
        <v>0</v>
      </c>
      <c r="DL38" s="280">
        <v>0</v>
      </c>
      <c r="DM38" s="280">
        <v>0</v>
      </c>
      <c r="DN38" s="280">
        <v>0</v>
      </c>
      <c r="DO38" s="280">
        <v>0</v>
      </c>
      <c r="DP38" s="280">
        <v>0</v>
      </c>
      <c r="DQ38" s="280">
        <v>0</v>
      </c>
      <c r="DR38" s="280">
        <v>0</v>
      </c>
      <c r="DS38" s="280">
        <v>0</v>
      </c>
      <c r="DT38" s="280">
        <v>0</v>
      </c>
      <c r="DU38" s="280">
        <v>0</v>
      </c>
      <c r="DV38" s="280">
        <v>0</v>
      </c>
      <c r="DW38" s="280">
        <v>0</v>
      </c>
      <c r="DX38" s="280"/>
      <c r="DY38" s="280"/>
      <c r="DZ38" s="280"/>
      <c r="EA38" s="54">
        <v>0</v>
      </c>
      <c r="EB38" s="54">
        <v>0</v>
      </c>
      <c r="EC38" s="54">
        <v>0</v>
      </c>
      <c r="ED38" s="54">
        <v>0</v>
      </c>
      <c r="EE38" s="54">
        <v>0</v>
      </c>
      <c r="EF38" s="54">
        <v>0</v>
      </c>
      <c r="EG38" s="54">
        <v>0</v>
      </c>
    </row>
    <row r="39" spans="1:137">
      <c r="A39" s="279" t="s">
        <v>125</v>
      </c>
      <c r="B39" s="280">
        <v>42004.15</v>
      </c>
      <c r="C39" s="280">
        <v>0</v>
      </c>
      <c r="D39" s="280">
        <v>0</v>
      </c>
      <c r="E39" s="280">
        <v>0</v>
      </c>
      <c r="F39" s="280">
        <v>17034</v>
      </c>
      <c r="G39" s="280">
        <v>0</v>
      </c>
      <c r="H39" s="280">
        <v>0</v>
      </c>
      <c r="I39" s="280">
        <v>0</v>
      </c>
      <c r="J39" s="280">
        <v>5660.38</v>
      </c>
      <c r="K39" s="280">
        <v>0</v>
      </c>
      <c r="L39" s="280">
        <v>0</v>
      </c>
      <c r="M39" s="280">
        <v>0</v>
      </c>
      <c r="N39" s="280">
        <v>0</v>
      </c>
      <c r="O39" s="280">
        <v>0</v>
      </c>
      <c r="P39" s="280">
        <v>0</v>
      </c>
      <c r="Q39" s="280">
        <v>0</v>
      </c>
      <c r="R39" s="280">
        <v>0</v>
      </c>
      <c r="S39" s="280">
        <v>0</v>
      </c>
      <c r="T39" s="280">
        <v>0</v>
      </c>
      <c r="U39" s="280">
        <v>0</v>
      </c>
      <c r="V39" s="280">
        <v>0</v>
      </c>
      <c r="W39" s="280">
        <v>0</v>
      </c>
      <c r="X39" s="280">
        <v>1520</v>
      </c>
      <c r="Y39" s="280">
        <v>0</v>
      </c>
      <c r="Z39" s="280">
        <v>500</v>
      </c>
      <c r="AA39" s="280">
        <v>0</v>
      </c>
      <c r="AB39" s="280">
        <v>0</v>
      </c>
      <c r="AC39" s="280">
        <v>0</v>
      </c>
      <c r="AD39" s="280">
        <v>0</v>
      </c>
      <c r="AE39" s="280">
        <v>17289.77</v>
      </c>
      <c r="AF39" s="280">
        <v>0</v>
      </c>
      <c r="AG39" s="280">
        <v>0</v>
      </c>
      <c r="AH39" s="280">
        <v>0</v>
      </c>
      <c r="AI39" s="280">
        <v>0</v>
      </c>
      <c r="AJ39" s="280">
        <v>0</v>
      </c>
      <c r="AK39" s="280">
        <v>0</v>
      </c>
      <c r="AL39" s="280">
        <v>0</v>
      </c>
      <c r="AM39" s="280">
        <v>0</v>
      </c>
      <c r="AN39" s="280">
        <v>0</v>
      </c>
      <c r="AO39" s="280">
        <v>0</v>
      </c>
      <c r="AP39" s="280">
        <v>1040</v>
      </c>
      <c r="AQ39" s="280">
        <v>480</v>
      </c>
      <c r="AR39" s="280">
        <v>0</v>
      </c>
      <c r="AS39" s="280">
        <v>0</v>
      </c>
      <c r="AT39" s="280">
        <v>0</v>
      </c>
      <c r="AU39" s="280">
        <v>0</v>
      </c>
      <c r="AV39" s="280">
        <v>0</v>
      </c>
      <c r="AW39" s="280">
        <v>0</v>
      </c>
      <c r="AX39" s="280">
        <v>0</v>
      </c>
      <c r="AY39" s="280">
        <v>0</v>
      </c>
      <c r="AZ39" s="280">
        <v>0</v>
      </c>
      <c r="BA39" s="280">
        <v>7708</v>
      </c>
      <c r="BB39" s="280">
        <v>0</v>
      </c>
      <c r="BC39" s="280">
        <v>0</v>
      </c>
      <c r="BD39" s="280">
        <v>0</v>
      </c>
      <c r="BE39" s="280">
        <v>9581.77</v>
      </c>
      <c r="BF39" s="280">
        <v>0</v>
      </c>
      <c r="BG39" s="280">
        <v>2000</v>
      </c>
      <c r="BH39" s="280">
        <v>0</v>
      </c>
      <c r="BI39" s="280">
        <v>0</v>
      </c>
      <c r="BJ39" s="280">
        <v>0</v>
      </c>
      <c r="BK39" s="280">
        <v>6076.92</v>
      </c>
      <c r="BL39" s="280">
        <v>0</v>
      </c>
      <c r="BM39" s="280">
        <v>0</v>
      </c>
      <c r="BN39" s="280">
        <v>0</v>
      </c>
      <c r="BO39" s="280">
        <v>0</v>
      </c>
      <c r="BP39" s="280">
        <v>0</v>
      </c>
      <c r="BQ39" s="280">
        <v>0</v>
      </c>
      <c r="BR39" s="280">
        <v>0</v>
      </c>
      <c r="BS39" s="280">
        <v>0</v>
      </c>
      <c r="BT39" s="280">
        <v>1000</v>
      </c>
      <c r="BU39" s="280">
        <v>0</v>
      </c>
      <c r="BV39" s="280">
        <v>0</v>
      </c>
      <c r="BW39" s="280">
        <v>0</v>
      </c>
      <c r="BX39" s="280">
        <v>0</v>
      </c>
      <c r="BY39" s="280">
        <v>504.85</v>
      </c>
      <c r="BZ39" s="280">
        <v>0</v>
      </c>
      <c r="CA39" s="280">
        <v>0</v>
      </c>
      <c r="CB39" s="280">
        <v>0</v>
      </c>
      <c r="CC39" s="280">
        <v>0</v>
      </c>
      <c r="CD39" s="280">
        <v>0</v>
      </c>
      <c r="CE39" s="280">
        <v>0</v>
      </c>
      <c r="CF39" s="280">
        <v>0</v>
      </c>
      <c r="CG39" s="280">
        <v>0</v>
      </c>
      <c r="CH39" s="280">
        <v>0</v>
      </c>
      <c r="CI39" s="280">
        <v>0</v>
      </c>
      <c r="CJ39" s="280">
        <v>0</v>
      </c>
      <c r="CK39" s="280">
        <v>0</v>
      </c>
      <c r="CL39" s="280">
        <v>0</v>
      </c>
      <c r="CM39" s="280">
        <v>0</v>
      </c>
      <c r="CN39" s="280">
        <v>0</v>
      </c>
      <c r="CO39" s="280">
        <v>0</v>
      </c>
      <c r="CP39" s="280">
        <v>0</v>
      </c>
      <c r="CQ39" s="280">
        <v>0</v>
      </c>
      <c r="CR39" s="280">
        <v>0</v>
      </c>
      <c r="CS39" s="280">
        <v>0</v>
      </c>
      <c r="CT39" s="280">
        <v>0</v>
      </c>
      <c r="CU39" s="280">
        <v>0</v>
      </c>
      <c r="CV39" s="280">
        <v>0</v>
      </c>
      <c r="CW39" s="280">
        <v>0</v>
      </c>
      <c r="CX39" s="280">
        <v>0</v>
      </c>
      <c r="CY39" s="280">
        <v>0</v>
      </c>
      <c r="CZ39" s="280">
        <v>0</v>
      </c>
      <c r="DA39" s="280">
        <v>0</v>
      </c>
      <c r="DB39" s="280">
        <v>0</v>
      </c>
      <c r="DC39" s="280">
        <v>0</v>
      </c>
      <c r="DD39" s="280">
        <v>0</v>
      </c>
      <c r="DE39" s="280">
        <v>0</v>
      </c>
      <c r="DF39" s="280">
        <v>0</v>
      </c>
      <c r="DG39" s="280">
        <v>0</v>
      </c>
      <c r="DH39" s="280">
        <v>0</v>
      </c>
      <c r="DI39" s="280">
        <v>0</v>
      </c>
      <c r="DJ39" s="280">
        <v>0</v>
      </c>
      <c r="DK39" s="280">
        <v>0</v>
      </c>
      <c r="DL39" s="280">
        <v>0</v>
      </c>
      <c r="DM39" s="280">
        <v>0</v>
      </c>
      <c r="DN39" s="280">
        <v>0</v>
      </c>
      <c r="DO39" s="280">
        <v>0</v>
      </c>
      <c r="DP39" s="280">
        <v>0</v>
      </c>
      <c r="DQ39" s="280">
        <v>0</v>
      </c>
      <c r="DR39" s="280">
        <v>0</v>
      </c>
      <c r="DS39" s="280">
        <v>0</v>
      </c>
      <c r="DT39" s="280">
        <v>0</v>
      </c>
      <c r="DU39" s="280">
        <v>0</v>
      </c>
      <c r="DV39" s="280">
        <v>0</v>
      </c>
      <c r="DW39" s="280">
        <v>0</v>
      </c>
      <c r="DX39" s="280"/>
      <c r="DY39" s="280"/>
      <c r="DZ39" s="280"/>
      <c r="EA39" s="54">
        <v>-17289.77</v>
      </c>
      <c r="EB39" s="54">
        <v>17289.77</v>
      </c>
      <c r="EC39" s="54">
        <v>0</v>
      </c>
      <c r="ED39" s="54">
        <v>17289.77</v>
      </c>
      <c r="EE39" s="54">
        <v>-500</v>
      </c>
      <c r="EF39" s="54">
        <v>1520</v>
      </c>
      <c r="EG39" s="54">
        <v>-1520</v>
      </c>
    </row>
    <row r="40" spans="1:137">
      <c r="A40" s="279" t="s">
        <v>126</v>
      </c>
      <c r="B40" s="280">
        <v>40000</v>
      </c>
      <c r="C40" s="280">
        <v>0</v>
      </c>
      <c r="D40" s="280">
        <v>0</v>
      </c>
      <c r="E40" s="280">
        <v>0</v>
      </c>
      <c r="F40" s="280">
        <v>0</v>
      </c>
      <c r="G40" s="280">
        <v>0</v>
      </c>
      <c r="H40" s="280">
        <v>0</v>
      </c>
      <c r="I40" s="280">
        <v>0</v>
      </c>
      <c r="J40" s="280">
        <v>0</v>
      </c>
      <c r="K40" s="280">
        <v>0</v>
      </c>
      <c r="L40" s="280">
        <v>0</v>
      </c>
      <c r="M40" s="280">
        <v>0</v>
      </c>
      <c r="N40" s="280">
        <v>0</v>
      </c>
      <c r="O40" s="280">
        <v>0</v>
      </c>
      <c r="P40" s="280">
        <v>0</v>
      </c>
      <c r="Q40" s="280">
        <v>0</v>
      </c>
      <c r="R40" s="280">
        <v>0</v>
      </c>
      <c r="S40" s="280">
        <v>0</v>
      </c>
      <c r="T40" s="280">
        <v>0</v>
      </c>
      <c r="U40" s="280">
        <v>0</v>
      </c>
      <c r="V40" s="280">
        <v>0</v>
      </c>
      <c r="W40" s="280">
        <v>0</v>
      </c>
      <c r="X40" s="280">
        <v>0</v>
      </c>
      <c r="Y40" s="280">
        <v>0</v>
      </c>
      <c r="Z40" s="280">
        <v>0</v>
      </c>
      <c r="AA40" s="280">
        <v>0</v>
      </c>
      <c r="AB40" s="280">
        <v>0</v>
      </c>
      <c r="AC40" s="280">
        <v>0</v>
      </c>
      <c r="AD40" s="280">
        <v>0</v>
      </c>
      <c r="AE40" s="280">
        <v>40000</v>
      </c>
      <c r="AF40" s="280">
        <v>0</v>
      </c>
      <c r="AG40" s="280">
        <v>0</v>
      </c>
      <c r="AH40" s="280">
        <v>0</v>
      </c>
      <c r="AI40" s="280">
        <v>0</v>
      </c>
      <c r="AJ40" s="280">
        <v>0</v>
      </c>
      <c r="AK40" s="280">
        <v>0</v>
      </c>
      <c r="AL40" s="280">
        <v>0</v>
      </c>
      <c r="AM40" s="280">
        <v>0</v>
      </c>
      <c r="AN40" s="280">
        <v>0</v>
      </c>
      <c r="AO40" s="280">
        <v>0</v>
      </c>
      <c r="AP40" s="280">
        <v>0</v>
      </c>
      <c r="AQ40" s="280">
        <v>0</v>
      </c>
      <c r="AR40" s="280">
        <v>0</v>
      </c>
      <c r="AS40" s="280">
        <v>0</v>
      </c>
      <c r="AT40" s="280">
        <v>0</v>
      </c>
      <c r="AU40" s="280">
        <v>0</v>
      </c>
      <c r="AV40" s="280">
        <v>0</v>
      </c>
      <c r="AW40" s="280">
        <v>0</v>
      </c>
      <c r="AX40" s="280">
        <v>0</v>
      </c>
      <c r="AY40" s="280">
        <v>0</v>
      </c>
      <c r="AZ40" s="280">
        <v>0</v>
      </c>
      <c r="BA40" s="280">
        <v>0</v>
      </c>
      <c r="BB40" s="280">
        <v>0</v>
      </c>
      <c r="BC40" s="280">
        <v>0</v>
      </c>
      <c r="BD40" s="280">
        <v>0</v>
      </c>
      <c r="BE40" s="280">
        <v>40000</v>
      </c>
      <c r="BF40" s="280">
        <v>0</v>
      </c>
      <c r="BG40" s="280">
        <v>0</v>
      </c>
      <c r="BH40" s="280">
        <v>0</v>
      </c>
      <c r="BI40" s="280">
        <v>0</v>
      </c>
      <c r="BJ40" s="280">
        <v>0</v>
      </c>
      <c r="BK40" s="280">
        <v>0</v>
      </c>
      <c r="BL40" s="280">
        <v>0</v>
      </c>
      <c r="BM40" s="280">
        <v>0</v>
      </c>
      <c r="BN40" s="280">
        <v>0</v>
      </c>
      <c r="BO40" s="280">
        <v>0</v>
      </c>
      <c r="BP40" s="280">
        <v>35000</v>
      </c>
      <c r="BQ40" s="280">
        <v>0</v>
      </c>
      <c r="BR40" s="280">
        <v>0</v>
      </c>
      <c r="BS40" s="280">
        <v>0</v>
      </c>
      <c r="BT40" s="280">
        <v>0</v>
      </c>
      <c r="BU40" s="280">
        <v>0</v>
      </c>
      <c r="BV40" s="280">
        <v>0</v>
      </c>
      <c r="BW40" s="280">
        <v>0</v>
      </c>
      <c r="BX40" s="280">
        <v>0</v>
      </c>
      <c r="BY40" s="280">
        <v>0</v>
      </c>
      <c r="BZ40" s="280">
        <v>0</v>
      </c>
      <c r="CA40" s="280">
        <v>0</v>
      </c>
      <c r="CB40" s="280">
        <v>0</v>
      </c>
      <c r="CC40" s="280">
        <v>0</v>
      </c>
      <c r="CD40" s="280">
        <v>0</v>
      </c>
      <c r="CE40" s="280">
        <v>0</v>
      </c>
      <c r="CF40" s="280">
        <v>0</v>
      </c>
      <c r="CG40" s="280">
        <v>0</v>
      </c>
      <c r="CH40" s="280">
        <v>0</v>
      </c>
      <c r="CI40" s="280">
        <v>0</v>
      </c>
      <c r="CJ40" s="280">
        <v>0</v>
      </c>
      <c r="CK40" s="280">
        <v>0</v>
      </c>
      <c r="CL40" s="280">
        <v>0</v>
      </c>
      <c r="CM40" s="280">
        <v>0</v>
      </c>
      <c r="CN40" s="280">
        <v>0</v>
      </c>
      <c r="CO40" s="280">
        <v>0</v>
      </c>
      <c r="CP40" s="280">
        <v>0</v>
      </c>
      <c r="CQ40" s="280">
        <v>0</v>
      </c>
      <c r="CR40" s="280">
        <v>0</v>
      </c>
      <c r="CS40" s="280">
        <v>5000</v>
      </c>
      <c r="CT40" s="280">
        <v>0</v>
      </c>
      <c r="CU40" s="280">
        <v>0</v>
      </c>
      <c r="CV40" s="280">
        <v>0</v>
      </c>
      <c r="CW40" s="280">
        <v>0</v>
      </c>
      <c r="CX40" s="280">
        <v>0</v>
      </c>
      <c r="CY40" s="280">
        <v>0</v>
      </c>
      <c r="CZ40" s="280">
        <v>0</v>
      </c>
      <c r="DA40" s="280">
        <v>0</v>
      </c>
      <c r="DB40" s="280">
        <v>0</v>
      </c>
      <c r="DC40" s="280">
        <v>0</v>
      </c>
      <c r="DD40" s="280">
        <v>0</v>
      </c>
      <c r="DE40" s="280">
        <v>0</v>
      </c>
      <c r="DF40" s="280">
        <v>0</v>
      </c>
      <c r="DG40" s="280">
        <v>0</v>
      </c>
      <c r="DH40" s="280">
        <v>0</v>
      </c>
      <c r="DI40" s="280">
        <v>0</v>
      </c>
      <c r="DJ40" s="280">
        <v>0</v>
      </c>
      <c r="DK40" s="280">
        <v>0</v>
      </c>
      <c r="DL40" s="280">
        <v>0</v>
      </c>
      <c r="DM40" s="280">
        <v>0</v>
      </c>
      <c r="DN40" s="280">
        <v>0</v>
      </c>
      <c r="DO40" s="280">
        <v>0</v>
      </c>
      <c r="DP40" s="280">
        <v>0</v>
      </c>
      <c r="DQ40" s="280">
        <v>0</v>
      </c>
      <c r="DR40" s="280">
        <v>0</v>
      </c>
      <c r="DS40" s="280">
        <v>0</v>
      </c>
      <c r="DT40" s="280">
        <v>0</v>
      </c>
      <c r="DU40" s="280">
        <v>0</v>
      </c>
      <c r="DV40" s="280">
        <v>0</v>
      </c>
      <c r="DW40" s="280">
        <v>0</v>
      </c>
      <c r="DX40" s="280"/>
      <c r="DY40" s="280"/>
      <c r="DZ40" s="280"/>
      <c r="EA40" s="54">
        <v>-40000</v>
      </c>
      <c r="EB40" s="54">
        <v>40000</v>
      </c>
      <c r="EC40" s="54">
        <v>0</v>
      </c>
      <c r="ED40" s="54">
        <v>40000</v>
      </c>
      <c r="EE40" s="54">
        <v>0</v>
      </c>
      <c r="EF40" s="54">
        <v>0</v>
      </c>
      <c r="EG40" s="54">
        <v>0</v>
      </c>
    </row>
    <row r="41" spans="1:137">
      <c r="A41" s="279" t="s">
        <v>127</v>
      </c>
      <c r="B41" s="280">
        <v>872521.69</v>
      </c>
      <c r="C41" s="280">
        <v>0</v>
      </c>
      <c r="D41" s="280">
        <v>0</v>
      </c>
      <c r="E41" s="280">
        <v>42452.83</v>
      </c>
      <c r="F41" s="280">
        <v>0</v>
      </c>
      <c r="G41" s="280">
        <v>0</v>
      </c>
      <c r="H41" s="280">
        <v>0</v>
      </c>
      <c r="I41" s="280">
        <v>0</v>
      </c>
      <c r="J41" s="280">
        <v>0</v>
      </c>
      <c r="K41" s="280">
        <v>0</v>
      </c>
      <c r="L41" s="280">
        <v>141509.43</v>
      </c>
      <c r="M41" s="280">
        <v>0</v>
      </c>
      <c r="N41" s="280">
        <v>0</v>
      </c>
      <c r="O41" s="280">
        <v>0</v>
      </c>
      <c r="P41" s="280">
        <v>0</v>
      </c>
      <c r="Q41" s="280">
        <v>0</v>
      </c>
      <c r="R41" s="280">
        <v>0</v>
      </c>
      <c r="S41" s="280">
        <v>0</v>
      </c>
      <c r="T41" s="280">
        <v>0</v>
      </c>
      <c r="U41" s="280">
        <v>0</v>
      </c>
      <c r="V41" s="280">
        <v>0</v>
      </c>
      <c r="W41" s="280">
        <v>597050</v>
      </c>
      <c r="X41" s="280">
        <v>0</v>
      </c>
      <c r="Y41" s="280">
        <v>0</v>
      </c>
      <c r="Z41" s="280">
        <v>0</v>
      </c>
      <c r="AA41" s="280">
        <v>0</v>
      </c>
      <c r="AB41" s="280">
        <v>0</v>
      </c>
      <c r="AC41" s="280">
        <v>0</v>
      </c>
      <c r="AD41" s="280">
        <v>0</v>
      </c>
      <c r="AE41" s="280">
        <v>91509.43</v>
      </c>
      <c r="AF41" s="280">
        <v>0</v>
      </c>
      <c r="AG41" s="280">
        <v>0</v>
      </c>
      <c r="AH41" s="280">
        <v>597050</v>
      </c>
      <c r="AI41" s="280">
        <v>0</v>
      </c>
      <c r="AJ41" s="280">
        <v>0</v>
      </c>
      <c r="AK41" s="280">
        <v>0</v>
      </c>
      <c r="AL41" s="280">
        <v>0</v>
      </c>
      <c r="AM41" s="280">
        <v>0</v>
      </c>
      <c r="AN41" s="280">
        <v>0</v>
      </c>
      <c r="AO41" s="280">
        <v>0</v>
      </c>
      <c r="AP41" s="280">
        <v>0</v>
      </c>
      <c r="AQ41" s="280">
        <v>0</v>
      </c>
      <c r="AR41" s="280">
        <v>0</v>
      </c>
      <c r="AS41" s="280">
        <v>0</v>
      </c>
      <c r="AT41" s="280">
        <v>0</v>
      </c>
      <c r="AU41" s="280">
        <v>0</v>
      </c>
      <c r="AV41" s="280">
        <v>0</v>
      </c>
      <c r="AW41" s="280">
        <v>0</v>
      </c>
      <c r="AX41" s="280">
        <v>0</v>
      </c>
      <c r="AY41" s="280">
        <v>0</v>
      </c>
      <c r="AZ41" s="280">
        <v>0</v>
      </c>
      <c r="BA41" s="280">
        <v>0</v>
      </c>
      <c r="BB41" s="280">
        <v>0</v>
      </c>
      <c r="BC41" s="280">
        <v>0</v>
      </c>
      <c r="BD41" s="280">
        <v>0</v>
      </c>
      <c r="BE41" s="280">
        <v>91509.43</v>
      </c>
      <c r="BF41" s="280">
        <v>0</v>
      </c>
      <c r="BG41" s="280">
        <v>0</v>
      </c>
      <c r="BH41" s="280">
        <v>0</v>
      </c>
      <c r="BI41" s="280">
        <v>0</v>
      </c>
      <c r="BJ41" s="280">
        <v>0</v>
      </c>
      <c r="BK41" s="280">
        <v>0</v>
      </c>
      <c r="BL41" s="280">
        <v>0</v>
      </c>
      <c r="BM41" s="280">
        <v>0</v>
      </c>
      <c r="BN41" s="280">
        <v>0</v>
      </c>
      <c r="BO41" s="280">
        <v>0</v>
      </c>
      <c r="BP41" s="280">
        <v>0</v>
      </c>
      <c r="BQ41" s="280">
        <v>0</v>
      </c>
      <c r="BR41" s="280">
        <v>0</v>
      </c>
      <c r="BS41" s="280">
        <v>0</v>
      </c>
      <c r="BT41" s="280">
        <v>0</v>
      </c>
      <c r="BU41" s="280">
        <v>0</v>
      </c>
      <c r="BV41" s="280">
        <v>0</v>
      </c>
      <c r="BW41" s="280">
        <v>0</v>
      </c>
      <c r="BX41" s="280">
        <v>0</v>
      </c>
      <c r="BY41" s="280">
        <v>0</v>
      </c>
      <c r="BZ41" s="280">
        <v>0</v>
      </c>
      <c r="CA41" s="280">
        <v>0</v>
      </c>
      <c r="CB41" s="280">
        <v>0</v>
      </c>
      <c r="CC41" s="280">
        <v>0</v>
      </c>
      <c r="CD41" s="280">
        <v>0</v>
      </c>
      <c r="CE41" s="280">
        <v>0</v>
      </c>
      <c r="CF41" s="280">
        <v>0</v>
      </c>
      <c r="CG41" s="280">
        <v>0</v>
      </c>
      <c r="CH41" s="280">
        <v>0</v>
      </c>
      <c r="CI41" s="280">
        <v>91509.43</v>
      </c>
      <c r="CJ41" s="280">
        <v>0</v>
      </c>
      <c r="CK41" s="280">
        <v>0</v>
      </c>
      <c r="CL41" s="280">
        <v>0</v>
      </c>
      <c r="CM41" s="280">
        <v>0</v>
      </c>
      <c r="CN41" s="280">
        <v>0</v>
      </c>
      <c r="CO41" s="280">
        <v>0</v>
      </c>
      <c r="CP41" s="280">
        <v>0</v>
      </c>
      <c r="CQ41" s="280">
        <v>0</v>
      </c>
      <c r="CR41" s="280">
        <v>0</v>
      </c>
      <c r="CS41" s="280">
        <v>0</v>
      </c>
      <c r="CT41" s="280">
        <v>0</v>
      </c>
      <c r="CU41" s="280">
        <v>0</v>
      </c>
      <c r="CV41" s="280">
        <v>0</v>
      </c>
      <c r="CW41" s="280">
        <v>0</v>
      </c>
      <c r="CX41" s="280">
        <v>0</v>
      </c>
      <c r="CY41" s="280">
        <v>0</v>
      </c>
      <c r="CZ41" s="280">
        <v>0</v>
      </c>
      <c r="DA41" s="280">
        <v>0</v>
      </c>
      <c r="DB41" s="280">
        <v>0</v>
      </c>
      <c r="DC41" s="280">
        <v>0</v>
      </c>
      <c r="DD41" s="280">
        <v>0</v>
      </c>
      <c r="DE41" s="280">
        <v>0</v>
      </c>
      <c r="DF41" s="280">
        <v>0</v>
      </c>
      <c r="DG41" s="280">
        <v>0</v>
      </c>
      <c r="DH41" s="280">
        <v>0</v>
      </c>
      <c r="DI41" s="280">
        <v>0</v>
      </c>
      <c r="DJ41" s="280">
        <v>0</v>
      </c>
      <c r="DK41" s="280">
        <v>0</v>
      </c>
      <c r="DL41" s="280">
        <v>0</v>
      </c>
      <c r="DM41" s="280">
        <v>0</v>
      </c>
      <c r="DN41" s="280">
        <v>0</v>
      </c>
      <c r="DO41" s="280">
        <v>0</v>
      </c>
      <c r="DP41" s="280">
        <v>0</v>
      </c>
      <c r="DQ41" s="280">
        <v>0</v>
      </c>
      <c r="DR41" s="280">
        <v>0</v>
      </c>
      <c r="DS41" s="280">
        <v>0</v>
      </c>
      <c r="DT41" s="280">
        <v>0</v>
      </c>
      <c r="DU41" s="280">
        <v>0</v>
      </c>
      <c r="DV41" s="280">
        <v>0</v>
      </c>
      <c r="DW41" s="280">
        <v>0</v>
      </c>
      <c r="DX41" s="280"/>
      <c r="DY41" s="280"/>
      <c r="DZ41" s="280"/>
      <c r="EA41" s="54">
        <v>-91509.429999999935</v>
      </c>
      <c r="EB41" s="54">
        <v>91509.43</v>
      </c>
      <c r="EC41" s="54">
        <v>0</v>
      </c>
      <c r="ED41" s="54">
        <v>688559.42999999993</v>
      </c>
      <c r="EE41" s="54">
        <v>0</v>
      </c>
      <c r="EF41" s="54">
        <v>-597050</v>
      </c>
      <c r="EG41" s="54">
        <v>0</v>
      </c>
    </row>
    <row r="42" spans="1:137">
      <c r="A42" s="279" t="s">
        <v>128</v>
      </c>
      <c r="B42" s="280">
        <v>0</v>
      </c>
      <c r="C42" s="280">
        <v>0</v>
      </c>
      <c r="D42" s="280">
        <v>0</v>
      </c>
      <c r="E42" s="280">
        <v>0</v>
      </c>
      <c r="F42" s="280">
        <v>0</v>
      </c>
      <c r="G42" s="280">
        <v>0</v>
      </c>
      <c r="H42" s="280">
        <v>0</v>
      </c>
      <c r="I42" s="280">
        <v>0</v>
      </c>
      <c r="J42" s="280">
        <v>0</v>
      </c>
      <c r="K42" s="280">
        <v>0</v>
      </c>
      <c r="L42" s="280">
        <v>0</v>
      </c>
      <c r="M42" s="280">
        <v>0</v>
      </c>
      <c r="N42" s="280">
        <v>0</v>
      </c>
      <c r="O42" s="280">
        <v>0</v>
      </c>
      <c r="P42" s="280">
        <v>0</v>
      </c>
      <c r="Q42" s="280">
        <v>0</v>
      </c>
      <c r="R42" s="280">
        <v>0</v>
      </c>
      <c r="S42" s="280">
        <v>0</v>
      </c>
      <c r="T42" s="280">
        <v>0</v>
      </c>
      <c r="U42" s="280">
        <v>0</v>
      </c>
      <c r="V42" s="280">
        <v>0</v>
      </c>
      <c r="W42" s="280">
        <v>0</v>
      </c>
      <c r="X42" s="280">
        <v>0</v>
      </c>
      <c r="Y42" s="280">
        <v>0</v>
      </c>
      <c r="Z42" s="280">
        <v>0</v>
      </c>
      <c r="AA42" s="280">
        <v>0</v>
      </c>
      <c r="AB42" s="280">
        <v>0</v>
      </c>
      <c r="AC42" s="280">
        <v>0</v>
      </c>
      <c r="AD42" s="280">
        <v>0</v>
      </c>
      <c r="AE42" s="280">
        <v>0</v>
      </c>
      <c r="AF42" s="280">
        <v>0</v>
      </c>
      <c r="AG42" s="280">
        <v>0</v>
      </c>
      <c r="AH42" s="280">
        <v>0</v>
      </c>
      <c r="AI42" s="280">
        <v>0</v>
      </c>
      <c r="AJ42" s="280">
        <v>0</v>
      </c>
      <c r="AK42" s="280">
        <v>0</v>
      </c>
      <c r="AL42" s="280">
        <v>0</v>
      </c>
      <c r="AM42" s="280">
        <v>0</v>
      </c>
      <c r="AN42" s="280">
        <v>0</v>
      </c>
      <c r="AO42" s="280">
        <v>0</v>
      </c>
      <c r="AP42" s="280">
        <v>0</v>
      </c>
      <c r="AQ42" s="280">
        <v>0</v>
      </c>
      <c r="AR42" s="280">
        <v>0</v>
      </c>
      <c r="AS42" s="280">
        <v>0</v>
      </c>
      <c r="AT42" s="280">
        <v>0</v>
      </c>
      <c r="AU42" s="280">
        <v>0</v>
      </c>
      <c r="AV42" s="280">
        <v>0</v>
      </c>
      <c r="AW42" s="280">
        <v>0</v>
      </c>
      <c r="AX42" s="280">
        <v>0</v>
      </c>
      <c r="AY42" s="280">
        <v>0</v>
      </c>
      <c r="AZ42" s="280">
        <v>0</v>
      </c>
      <c r="BA42" s="280">
        <v>0</v>
      </c>
      <c r="BB42" s="280">
        <v>0</v>
      </c>
      <c r="BC42" s="280">
        <v>0</v>
      </c>
      <c r="BD42" s="280">
        <v>0</v>
      </c>
      <c r="BE42" s="280">
        <v>0</v>
      </c>
      <c r="BF42" s="280">
        <v>0</v>
      </c>
      <c r="BG42" s="280">
        <v>0</v>
      </c>
      <c r="BH42" s="280">
        <v>0</v>
      </c>
      <c r="BI42" s="280">
        <v>0</v>
      </c>
      <c r="BJ42" s="280">
        <v>0</v>
      </c>
      <c r="BK42" s="280">
        <v>0</v>
      </c>
      <c r="BL42" s="280">
        <v>0</v>
      </c>
      <c r="BM42" s="280">
        <v>0</v>
      </c>
      <c r="BN42" s="280">
        <v>0</v>
      </c>
      <c r="BO42" s="280">
        <v>0</v>
      </c>
      <c r="BP42" s="280">
        <v>0</v>
      </c>
      <c r="BQ42" s="280">
        <v>0</v>
      </c>
      <c r="BR42" s="280">
        <v>0</v>
      </c>
      <c r="BS42" s="280">
        <v>0</v>
      </c>
      <c r="BT42" s="280">
        <v>0</v>
      </c>
      <c r="BU42" s="280">
        <v>0</v>
      </c>
      <c r="BV42" s="280">
        <v>0</v>
      </c>
      <c r="BW42" s="280">
        <v>0</v>
      </c>
      <c r="BX42" s="280">
        <v>0</v>
      </c>
      <c r="BY42" s="280">
        <v>0</v>
      </c>
      <c r="BZ42" s="280">
        <v>0</v>
      </c>
      <c r="CA42" s="280">
        <v>0</v>
      </c>
      <c r="CB42" s="280">
        <v>0</v>
      </c>
      <c r="CC42" s="280">
        <v>0</v>
      </c>
      <c r="CD42" s="280">
        <v>0</v>
      </c>
      <c r="CE42" s="280">
        <v>0</v>
      </c>
      <c r="CF42" s="280">
        <v>0</v>
      </c>
      <c r="CG42" s="280">
        <v>0</v>
      </c>
      <c r="CH42" s="280">
        <v>0</v>
      </c>
      <c r="CI42" s="280">
        <v>0</v>
      </c>
      <c r="CJ42" s="280">
        <v>0</v>
      </c>
      <c r="CK42" s="280">
        <v>0</v>
      </c>
      <c r="CL42" s="280">
        <v>0</v>
      </c>
      <c r="CM42" s="280">
        <v>0</v>
      </c>
      <c r="CN42" s="280">
        <v>0</v>
      </c>
      <c r="CO42" s="280">
        <v>0</v>
      </c>
      <c r="CP42" s="280">
        <v>0</v>
      </c>
      <c r="CQ42" s="280">
        <v>0</v>
      </c>
      <c r="CR42" s="280">
        <v>0</v>
      </c>
      <c r="CS42" s="280">
        <v>0</v>
      </c>
      <c r="CT42" s="280">
        <v>0</v>
      </c>
      <c r="CU42" s="280">
        <v>0</v>
      </c>
      <c r="CV42" s="280">
        <v>0</v>
      </c>
      <c r="CW42" s="280">
        <v>0</v>
      </c>
      <c r="CX42" s="280">
        <v>0</v>
      </c>
      <c r="CY42" s="280">
        <v>0</v>
      </c>
      <c r="CZ42" s="280">
        <v>0</v>
      </c>
      <c r="DA42" s="280">
        <v>0</v>
      </c>
      <c r="DB42" s="280">
        <v>0</v>
      </c>
      <c r="DC42" s="280">
        <v>0</v>
      </c>
      <c r="DD42" s="280">
        <v>0</v>
      </c>
      <c r="DE42" s="280">
        <v>0</v>
      </c>
      <c r="DF42" s="280">
        <v>0</v>
      </c>
      <c r="DG42" s="280">
        <v>0</v>
      </c>
      <c r="DH42" s="280">
        <v>0</v>
      </c>
      <c r="DI42" s="280">
        <v>0</v>
      </c>
      <c r="DJ42" s="280">
        <v>0</v>
      </c>
      <c r="DK42" s="280">
        <v>0</v>
      </c>
      <c r="DL42" s="280">
        <v>0</v>
      </c>
      <c r="DM42" s="280">
        <v>0</v>
      </c>
      <c r="DN42" s="280">
        <v>0</v>
      </c>
      <c r="DO42" s="280">
        <v>0</v>
      </c>
      <c r="DP42" s="280">
        <v>0</v>
      </c>
      <c r="DQ42" s="280">
        <v>0</v>
      </c>
      <c r="DR42" s="280">
        <v>0</v>
      </c>
      <c r="DS42" s="280">
        <v>0</v>
      </c>
      <c r="DT42" s="280">
        <v>0</v>
      </c>
      <c r="DU42" s="280">
        <v>0</v>
      </c>
      <c r="DV42" s="280">
        <v>0</v>
      </c>
      <c r="DW42" s="280">
        <v>0</v>
      </c>
      <c r="DX42" s="280"/>
      <c r="DY42" s="280"/>
      <c r="DZ42" s="280"/>
      <c r="EA42" s="54">
        <v>0</v>
      </c>
      <c r="EB42" s="54">
        <v>0</v>
      </c>
      <c r="EC42" s="54">
        <v>0</v>
      </c>
      <c r="ED42" s="54">
        <v>0</v>
      </c>
      <c r="EE42" s="54">
        <v>0</v>
      </c>
      <c r="EF42" s="54">
        <v>0</v>
      </c>
      <c r="EG42" s="54">
        <v>0</v>
      </c>
    </row>
    <row r="43" spans="1:137">
      <c r="A43" s="279" t="s">
        <v>129</v>
      </c>
      <c r="B43" s="280">
        <v>88071.65</v>
      </c>
      <c r="C43" s="280">
        <v>0</v>
      </c>
      <c r="D43" s="280">
        <v>0</v>
      </c>
      <c r="E43" s="280">
        <v>0</v>
      </c>
      <c r="F43" s="280">
        <v>0</v>
      </c>
      <c r="G43" s="280">
        <v>0</v>
      </c>
      <c r="H43" s="280">
        <v>0</v>
      </c>
      <c r="I43" s="280">
        <v>0</v>
      </c>
      <c r="J43" s="280">
        <v>0</v>
      </c>
      <c r="K43" s="280">
        <v>0</v>
      </c>
      <c r="L43" s="280">
        <v>0</v>
      </c>
      <c r="M43" s="280">
        <v>0</v>
      </c>
      <c r="N43" s="280">
        <v>0</v>
      </c>
      <c r="O43" s="280">
        <v>0</v>
      </c>
      <c r="P43" s="280">
        <v>0</v>
      </c>
      <c r="Q43" s="280">
        <v>-373.58</v>
      </c>
      <c r="R43" s="280">
        <v>0</v>
      </c>
      <c r="S43" s="280">
        <v>0</v>
      </c>
      <c r="T43" s="280">
        <v>0</v>
      </c>
      <c r="U43" s="280">
        <v>0</v>
      </c>
      <c r="V43" s="280">
        <v>0</v>
      </c>
      <c r="W43" s="280">
        <v>9874.2800000000007</v>
      </c>
      <c r="X43" s="280">
        <v>0</v>
      </c>
      <c r="Y43" s="280">
        <v>0</v>
      </c>
      <c r="Z43" s="280">
        <v>3043.77</v>
      </c>
      <c r="AA43" s="280">
        <v>0</v>
      </c>
      <c r="AB43" s="280">
        <v>0</v>
      </c>
      <c r="AC43" s="280">
        <v>0</v>
      </c>
      <c r="AD43" s="280">
        <v>0</v>
      </c>
      <c r="AE43" s="280">
        <v>75527.179999999993</v>
      </c>
      <c r="AF43" s="280">
        <v>0</v>
      </c>
      <c r="AG43" s="280">
        <v>0</v>
      </c>
      <c r="AH43" s="280">
        <v>0</v>
      </c>
      <c r="AI43" s="280">
        <v>0</v>
      </c>
      <c r="AJ43" s="280">
        <v>9874.2800000000007</v>
      </c>
      <c r="AK43" s="280">
        <v>0</v>
      </c>
      <c r="AL43" s="280">
        <v>0</v>
      </c>
      <c r="AM43" s="280">
        <v>0</v>
      </c>
      <c r="AN43" s="280">
        <v>0</v>
      </c>
      <c r="AO43" s="280">
        <v>0</v>
      </c>
      <c r="AP43" s="280">
        <v>0</v>
      </c>
      <c r="AQ43" s="280">
        <v>0</v>
      </c>
      <c r="AR43" s="280">
        <v>0</v>
      </c>
      <c r="AS43" s="280">
        <v>0</v>
      </c>
      <c r="AT43" s="280">
        <v>0</v>
      </c>
      <c r="AU43" s="280">
        <v>0</v>
      </c>
      <c r="AV43" s="280">
        <v>0</v>
      </c>
      <c r="AW43" s="280">
        <v>0</v>
      </c>
      <c r="AX43" s="280">
        <v>0</v>
      </c>
      <c r="AY43" s="280">
        <v>0</v>
      </c>
      <c r="AZ43" s="280">
        <v>0</v>
      </c>
      <c r="BA43" s="280">
        <v>0</v>
      </c>
      <c r="BB43" s="280">
        <v>0</v>
      </c>
      <c r="BC43" s="280">
        <v>0</v>
      </c>
      <c r="BD43" s="280">
        <v>0</v>
      </c>
      <c r="BE43" s="280">
        <v>75527.179999999993</v>
      </c>
      <c r="BF43" s="280">
        <v>321</v>
      </c>
      <c r="BG43" s="280">
        <v>329</v>
      </c>
      <c r="BH43" s="280">
        <v>334</v>
      </c>
      <c r="BI43" s="280">
        <v>247</v>
      </c>
      <c r="BJ43" s="280">
        <v>345</v>
      </c>
      <c r="BK43" s="280">
        <v>288</v>
      </c>
      <c r="BL43" s="280">
        <v>17097.13</v>
      </c>
      <c r="BM43" s="280">
        <v>5084.6899999999996</v>
      </c>
      <c r="BN43" s="280">
        <v>6064.49</v>
      </c>
      <c r="BO43" s="280">
        <v>2449.4899999999998</v>
      </c>
      <c r="BP43" s="280">
        <v>6975</v>
      </c>
      <c r="BQ43" s="280">
        <v>218</v>
      </c>
      <c r="BR43" s="280">
        <v>2665</v>
      </c>
      <c r="BS43" s="280">
        <v>6170.24</v>
      </c>
      <c r="BT43" s="280">
        <v>8289</v>
      </c>
      <c r="BU43" s="280">
        <v>107</v>
      </c>
      <c r="BV43" s="280">
        <v>2790.81</v>
      </c>
      <c r="BW43" s="280">
        <v>2047.51</v>
      </c>
      <c r="BX43" s="280">
        <v>104</v>
      </c>
      <c r="BY43" s="280">
        <v>65</v>
      </c>
      <c r="BZ43" s="280">
        <v>90</v>
      </c>
      <c r="CA43" s="280">
        <v>110</v>
      </c>
      <c r="CB43" s="280">
        <v>36</v>
      </c>
      <c r="CC43" s="280">
        <v>41</v>
      </c>
      <c r="CD43" s="280">
        <v>30</v>
      </c>
      <c r="CE43" s="280">
        <v>3040</v>
      </c>
      <c r="CF43" s="280">
        <v>30</v>
      </c>
      <c r="CG43" s="280">
        <v>7907.77</v>
      </c>
      <c r="CH43" s="280">
        <v>42</v>
      </c>
      <c r="CI43" s="280">
        <v>99</v>
      </c>
      <c r="CJ43" s="280">
        <v>12</v>
      </c>
      <c r="CK43" s="280">
        <v>30</v>
      </c>
      <c r="CL43" s="280">
        <v>11</v>
      </c>
      <c r="CM43" s="280">
        <v>18</v>
      </c>
      <c r="CN43" s="280">
        <v>33</v>
      </c>
      <c r="CO43" s="280">
        <v>32</v>
      </c>
      <c r="CP43" s="280">
        <v>77</v>
      </c>
      <c r="CQ43" s="280">
        <v>16</v>
      </c>
      <c r="CR43" s="280">
        <v>2</v>
      </c>
      <c r="CS43" s="280">
        <v>5</v>
      </c>
      <c r="CT43" s="280">
        <v>6</v>
      </c>
      <c r="CU43" s="280">
        <v>13</v>
      </c>
      <c r="CV43" s="280">
        <v>10</v>
      </c>
      <c r="CW43" s="280">
        <v>5</v>
      </c>
      <c r="CX43" s="280">
        <v>4</v>
      </c>
      <c r="CY43" s="280">
        <v>10</v>
      </c>
      <c r="CZ43" s="280">
        <v>5</v>
      </c>
      <c r="DA43" s="280">
        <v>1</v>
      </c>
      <c r="DB43" s="280">
        <v>11</v>
      </c>
      <c r="DC43" s="280">
        <v>5</v>
      </c>
      <c r="DD43" s="280">
        <v>6</v>
      </c>
      <c r="DE43" s="280">
        <v>18</v>
      </c>
      <c r="DF43" s="280">
        <v>6</v>
      </c>
      <c r="DG43" s="280">
        <v>5</v>
      </c>
      <c r="DH43" s="280">
        <v>1</v>
      </c>
      <c r="DI43" s="280">
        <v>1</v>
      </c>
      <c r="DJ43" s="280">
        <v>3</v>
      </c>
      <c r="DK43" s="280">
        <v>2</v>
      </c>
      <c r="DL43" s="280">
        <v>4</v>
      </c>
      <c r="DM43" s="280">
        <v>21</v>
      </c>
      <c r="DN43" s="280">
        <v>1635.27</v>
      </c>
      <c r="DO43" s="280">
        <v>46</v>
      </c>
      <c r="DP43" s="280">
        <v>25.78</v>
      </c>
      <c r="DQ43" s="280">
        <v>4</v>
      </c>
      <c r="DR43" s="280">
        <v>16</v>
      </c>
      <c r="DS43" s="280">
        <v>10</v>
      </c>
      <c r="DT43" s="280">
        <v>0</v>
      </c>
      <c r="DU43" s="280">
        <v>0</v>
      </c>
      <c r="DV43" s="280">
        <v>0</v>
      </c>
      <c r="DW43" s="280">
        <v>0</v>
      </c>
      <c r="DX43" s="280"/>
      <c r="DY43" s="280"/>
      <c r="DZ43" s="280"/>
      <c r="EA43" s="54">
        <v>-75527.179999999993</v>
      </c>
      <c r="EB43" s="54">
        <v>75527.179999999993</v>
      </c>
      <c r="EC43" s="54">
        <v>0</v>
      </c>
      <c r="ED43" s="54">
        <v>85401.459999999992</v>
      </c>
      <c r="EE43" s="54">
        <v>-3043.77</v>
      </c>
      <c r="EF43" s="54">
        <v>-9874.2800000000007</v>
      </c>
      <c r="EG43" s="54">
        <v>0</v>
      </c>
    </row>
    <row r="44" spans="1:137">
      <c r="A44" s="279" t="s">
        <v>130</v>
      </c>
      <c r="B44" s="280">
        <v>194325.98</v>
      </c>
      <c r="C44" s="280">
        <v>0</v>
      </c>
      <c r="D44" s="280">
        <v>0</v>
      </c>
      <c r="E44" s="280">
        <v>0</v>
      </c>
      <c r="F44" s="280">
        <v>0</v>
      </c>
      <c r="G44" s="280">
        <v>0</v>
      </c>
      <c r="H44" s="280">
        <v>0</v>
      </c>
      <c r="I44" s="280">
        <v>0</v>
      </c>
      <c r="J44" s="280">
        <v>0</v>
      </c>
      <c r="K44" s="280">
        <v>0</v>
      </c>
      <c r="L44" s="280">
        <v>1250</v>
      </c>
      <c r="M44" s="280">
        <v>0</v>
      </c>
      <c r="N44" s="280">
        <v>0</v>
      </c>
      <c r="O44" s="280">
        <v>0</v>
      </c>
      <c r="P44" s="280">
        <v>0</v>
      </c>
      <c r="Q44" s="280">
        <v>136792.46</v>
      </c>
      <c r="R44" s="280">
        <v>1132.08</v>
      </c>
      <c r="S44" s="280">
        <v>0</v>
      </c>
      <c r="T44" s="280">
        <v>0</v>
      </c>
      <c r="U44" s="280">
        <v>0</v>
      </c>
      <c r="V44" s="280">
        <v>0</v>
      </c>
      <c r="W44" s="280">
        <v>0</v>
      </c>
      <c r="X44" s="280">
        <v>0</v>
      </c>
      <c r="Y44" s="280">
        <v>0</v>
      </c>
      <c r="Z44" s="280">
        <v>55031.44</v>
      </c>
      <c r="AA44" s="280">
        <v>0</v>
      </c>
      <c r="AB44" s="280">
        <v>0</v>
      </c>
      <c r="AC44" s="280">
        <v>0</v>
      </c>
      <c r="AD44" s="280">
        <v>0</v>
      </c>
      <c r="AE44" s="280">
        <v>120</v>
      </c>
      <c r="AF44" s="280">
        <v>0</v>
      </c>
      <c r="AG44" s="280">
        <v>0</v>
      </c>
      <c r="AH44" s="280">
        <v>0</v>
      </c>
      <c r="AI44" s="280">
        <v>0</v>
      </c>
      <c r="AJ44" s="280">
        <v>0</v>
      </c>
      <c r="AK44" s="280">
        <v>0</v>
      </c>
      <c r="AL44" s="280">
        <v>0</v>
      </c>
      <c r="AM44" s="280">
        <v>0</v>
      </c>
      <c r="AN44" s="280">
        <v>0</v>
      </c>
      <c r="AO44" s="280">
        <v>0</v>
      </c>
      <c r="AP44" s="280">
        <v>0</v>
      </c>
      <c r="AQ44" s="280">
        <v>0</v>
      </c>
      <c r="AR44" s="280">
        <v>0</v>
      </c>
      <c r="AS44" s="280">
        <v>0</v>
      </c>
      <c r="AT44" s="280">
        <v>0</v>
      </c>
      <c r="AU44" s="280">
        <v>0</v>
      </c>
      <c r="AV44" s="280">
        <v>0</v>
      </c>
      <c r="AW44" s="280">
        <v>0</v>
      </c>
      <c r="AX44" s="280">
        <v>0</v>
      </c>
      <c r="AY44" s="280">
        <v>0</v>
      </c>
      <c r="AZ44" s="280">
        <v>0</v>
      </c>
      <c r="BA44" s="280">
        <v>0</v>
      </c>
      <c r="BB44" s="280">
        <v>0</v>
      </c>
      <c r="BC44" s="280">
        <v>0</v>
      </c>
      <c r="BD44" s="280">
        <v>0</v>
      </c>
      <c r="BE44" s="280">
        <v>120</v>
      </c>
      <c r="BF44" s="280">
        <v>0</v>
      </c>
      <c r="BG44" s="280">
        <v>0</v>
      </c>
      <c r="BH44" s="280">
        <v>0</v>
      </c>
      <c r="BI44" s="280">
        <v>0</v>
      </c>
      <c r="BJ44" s="280">
        <v>0</v>
      </c>
      <c r="BK44" s="280">
        <v>0</v>
      </c>
      <c r="BL44" s="280">
        <v>0</v>
      </c>
      <c r="BM44" s="280">
        <v>0</v>
      </c>
      <c r="BN44" s="280">
        <v>0</v>
      </c>
      <c r="BO44" s="280">
        <v>0</v>
      </c>
      <c r="BP44" s="280">
        <v>0</v>
      </c>
      <c r="BQ44" s="280">
        <v>0</v>
      </c>
      <c r="BR44" s="280">
        <v>120</v>
      </c>
      <c r="BS44" s="280">
        <v>0</v>
      </c>
      <c r="BT44" s="280">
        <v>0</v>
      </c>
      <c r="BU44" s="280">
        <v>0</v>
      </c>
      <c r="BV44" s="280">
        <v>0</v>
      </c>
      <c r="BW44" s="280">
        <v>0</v>
      </c>
      <c r="BX44" s="280">
        <v>0</v>
      </c>
      <c r="BY44" s="280">
        <v>0</v>
      </c>
      <c r="BZ44" s="280">
        <v>0</v>
      </c>
      <c r="CA44" s="280">
        <v>0</v>
      </c>
      <c r="CB44" s="280">
        <v>0</v>
      </c>
      <c r="CC44" s="280">
        <v>0</v>
      </c>
      <c r="CD44" s="280">
        <v>0</v>
      </c>
      <c r="CE44" s="280">
        <v>0</v>
      </c>
      <c r="CF44" s="280">
        <v>0</v>
      </c>
      <c r="CG44" s="280">
        <v>0</v>
      </c>
      <c r="CH44" s="280">
        <v>0</v>
      </c>
      <c r="CI44" s="280">
        <v>0</v>
      </c>
      <c r="CJ44" s="280">
        <v>0</v>
      </c>
      <c r="CK44" s="280">
        <v>0</v>
      </c>
      <c r="CL44" s="280">
        <v>0</v>
      </c>
      <c r="CM44" s="280">
        <v>0</v>
      </c>
      <c r="CN44" s="280">
        <v>0</v>
      </c>
      <c r="CO44" s="280">
        <v>0</v>
      </c>
      <c r="CP44" s="280">
        <v>0</v>
      </c>
      <c r="CQ44" s="280">
        <v>0</v>
      </c>
      <c r="CR44" s="280">
        <v>0</v>
      </c>
      <c r="CS44" s="280">
        <v>0</v>
      </c>
      <c r="CT44" s="280">
        <v>0</v>
      </c>
      <c r="CU44" s="280">
        <v>0</v>
      </c>
      <c r="CV44" s="280">
        <v>0</v>
      </c>
      <c r="CW44" s="280">
        <v>0</v>
      </c>
      <c r="CX44" s="280">
        <v>0</v>
      </c>
      <c r="CY44" s="280">
        <v>0</v>
      </c>
      <c r="CZ44" s="280">
        <v>0</v>
      </c>
      <c r="DA44" s="280">
        <v>0</v>
      </c>
      <c r="DB44" s="280">
        <v>0</v>
      </c>
      <c r="DC44" s="280">
        <v>0</v>
      </c>
      <c r="DD44" s="280">
        <v>0</v>
      </c>
      <c r="DE44" s="280">
        <v>0</v>
      </c>
      <c r="DF44" s="280">
        <v>0</v>
      </c>
      <c r="DG44" s="280">
        <v>0</v>
      </c>
      <c r="DH44" s="280">
        <v>0</v>
      </c>
      <c r="DI44" s="280">
        <v>0</v>
      </c>
      <c r="DJ44" s="280">
        <v>0</v>
      </c>
      <c r="DK44" s="280">
        <v>0</v>
      </c>
      <c r="DL44" s="280">
        <v>0</v>
      </c>
      <c r="DM44" s="280">
        <v>0</v>
      </c>
      <c r="DN44" s="280">
        <v>0</v>
      </c>
      <c r="DO44" s="280">
        <v>0</v>
      </c>
      <c r="DP44" s="280">
        <v>0</v>
      </c>
      <c r="DQ44" s="280">
        <v>0</v>
      </c>
      <c r="DR44" s="280">
        <v>0</v>
      </c>
      <c r="DS44" s="280">
        <v>0</v>
      </c>
      <c r="DT44" s="280">
        <v>0</v>
      </c>
      <c r="DU44" s="280">
        <v>0</v>
      </c>
      <c r="DV44" s="280">
        <v>0</v>
      </c>
      <c r="DW44" s="280">
        <v>0</v>
      </c>
      <c r="DX44" s="280"/>
      <c r="DY44" s="280"/>
      <c r="DZ44" s="280"/>
      <c r="EA44" s="54">
        <v>-120.0000000000291</v>
      </c>
      <c r="EB44" s="54">
        <v>120</v>
      </c>
      <c r="EC44" s="54">
        <v>0</v>
      </c>
      <c r="ED44" s="54">
        <v>120</v>
      </c>
      <c r="EE44" s="54">
        <v>-55031.44</v>
      </c>
      <c r="EF44" s="54">
        <v>0</v>
      </c>
      <c r="EG44" s="54">
        <v>0</v>
      </c>
    </row>
    <row r="45" spans="1:137">
      <c r="A45" s="279" t="s">
        <v>131</v>
      </c>
      <c r="B45" s="280">
        <v>4064790.09</v>
      </c>
      <c r="C45" s="280">
        <v>0</v>
      </c>
      <c r="D45" s="280">
        <v>0</v>
      </c>
      <c r="E45" s="280">
        <v>0</v>
      </c>
      <c r="F45" s="280">
        <v>561292.94999999995</v>
      </c>
      <c r="G45" s="280">
        <v>0</v>
      </c>
      <c r="H45" s="280">
        <v>0</v>
      </c>
      <c r="I45" s="280">
        <v>0</v>
      </c>
      <c r="J45" s="280">
        <v>0</v>
      </c>
      <c r="K45" s="280">
        <v>0</v>
      </c>
      <c r="L45" s="280">
        <v>0</v>
      </c>
      <c r="M45" s="280">
        <v>0</v>
      </c>
      <c r="N45" s="280">
        <v>0</v>
      </c>
      <c r="O45" s="280">
        <v>0</v>
      </c>
      <c r="P45" s="280">
        <v>0</v>
      </c>
      <c r="Q45" s="280">
        <v>0</v>
      </c>
      <c r="R45" s="280">
        <v>0</v>
      </c>
      <c r="S45" s="280">
        <v>0</v>
      </c>
      <c r="T45" s="280">
        <v>0</v>
      </c>
      <c r="U45" s="280">
        <v>0</v>
      </c>
      <c r="V45" s="280">
        <v>0</v>
      </c>
      <c r="W45" s="280">
        <v>1574008.32</v>
      </c>
      <c r="X45" s="280">
        <v>6771.17</v>
      </c>
      <c r="Y45" s="280">
        <v>2086.6</v>
      </c>
      <c r="Z45" s="280">
        <v>12677.05</v>
      </c>
      <c r="AA45" s="280">
        <v>8529.98</v>
      </c>
      <c r="AB45" s="280">
        <v>0</v>
      </c>
      <c r="AC45" s="280">
        <v>0</v>
      </c>
      <c r="AD45" s="280">
        <v>24008</v>
      </c>
      <c r="AE45" s="280">
        <v>1875416.02</v>
      </c>
      <c r="AF45" s="280">
        <v>1567748.52</v>
      </c>
      <c r="AG45" s="280">
        <v>1043.3</v>
      </c>
      <c r="AH45" s="280">
        <v>1043.3</v>
      </c>
      <c r="AI45" s="280">
        <v>1043.3</v>
      </c>
      <c r="AJ45" s="280">
        <v>1043.3</v>
      </c>
      <c r="AK45" s="280">
        <v>1043.3</v>
      </c>
      <c r="AL45" s="280">
        <v>1043.3</v>
      </c>
      <c r="AM45" s="280">
        <v>0</v>
      </c>
      <c r="AN45" s="280">
        <v>4062.7</v>
      </c>
      <c r="AO45" s="280">
        <v>2708.47</v>
      </c>
      <c r="AP45" s="280">
        <v>0</v>
      </c>
      <c r="AQ45" s="280">
        <v>0</v>
      </c>
      <c r="AR45" s="280">
        <v>0</v>
      </c>
      <c r="AS45" s="280">
        <v>0</v>
      </c>
      <c r="AT45" s="280">
        <v>0</v>
      </c>
      <c r="AU45" s="280">
        <v>1043.3</v>
      </c>
      <c r="AV45" s="280">
        <v>0</v>
      </c>
      <c r="AW45" s="280">
        <v>0</v>
      </c>
      <c r="AX45" s="280">
        <v>1043.3</v>
      </c>
      <c r="AY45" s="280">
        <v>8529.98</v>
      </c>
      <c r="AZ45" s="280">
        <v>0</v>
      </c>
      <c r="BA45" s="280">
        <v>66582.39</v>
      </c>
      <c r="BB45" s="280">
        <v>0</v>
      </c>
      <c r="BC45" s="280">
        <v>0</v>
      </c>
      <c r="BD45" s="280">
        <v>0</v>
      </c>
      <c r="BE45" s="280">
        <v>1808833.63</v>
      </c>
      <c r="BF45" s="280">
        <v>56656.15</v>
      </c>
      <c r="BG45" s="280">
        <v>0</v>
      </c>
      <c r="BH45" s="280">
        <v>69653.33</v>
      </c>
      <c r="BI45" s="280">
        <v>52380.95</v>
      </c>
      <c r="BJ45" s="280">
        <v>85204.81</v>
      </c>
      <c r="BK45" s="280">
        <v>27674.41</v>
      </c>
      <c r="BL45" s="280">
        <v>17046.740000000002</v>
      </c>
      <c r="BM45" s="280">
        <v>44028.57</v>
      </c>
      <c r="BN45" s="280">
        <v>88809.52</v>
      </c>
      <c r="BO45" s="280">
        <v>104712.52</v>
      </c>
      <c r="BP45" s="280">
        <v>142247.62</v>
      </c>
      <c r="BQ45" s="280">
        <v>74535.61</v>
      </c>
      <c r="BR45" s="280">
        <v>123819.04</v>
      </c>
      <c r="BS45" s="280">
        <v>7500</v>
      </c>
      <c r="BT45" s="280">
        <v>26193.84</v>
      </c>
      <c r="BU45" s="280">
        <v>10500</v>
      </c>
      <c r="BV45" s="280">
        <v>21095.54</v>
      </c>
      <c r="BW45" s="280">
        <v>26126.98</v>
      </c>
      <c r="BX45" s="280">
        <v>26640</v>
      </c>
      <c r="BY45" s="280">
        <v>18437.830000000002</v>
      </c>
      <c r="BZ45" s="280">
        <v>18150.25</v>
      </c>
      <c r="CA45" s="280">
        <v>33576</v>
      </c>
      <c r="CB45" s="280">
        <v>35420.18</v>
      </c>
      <c r="CC45" s="280">
        <v>16449.759999999998</v>
      </c>
      <c r="CD45" s="280">
        <v>12754.14</v>
      </c>
      <c r="CE45" s="280">
        <v>16685.599999999999</v>
      </c>
      <c r="CF45" s="280">
        <v>9487.5</v>
      </c>
      <c r="CG45" s="280">
        <v>14580</v>
      </c>
      <c r="CH45" s="280">
        <v>12218.52</v>
      </c>
      <c r="CI45" s="280">
        <v>2148.9299999999998</v>
      </c>
      <c r="CJ45" s="280">
        <v>6431.37</v>
      </c>
      <c r="CK45" s="280">
        <v>8297.14</v>
      </c>
      <c r="CL45" s="280">
        <v>3207.58</v>
      </c>
      <c r="CM45" s="280">
        <v>5984</v>
      </c>
      <c r="CN45" s="280">
        <v>11438.68</v>
      </c>
      <c r="CO45" s="280">
        <v>94008.639999999999</v>
      </c>
      <c r="CP45" s="280">
        <v>3315.54</v>
      </c>
      <c r="CQ45" s="280">
        <v>26666.67</v>
      </c>
      <c r="CR45" s="280">
        <v>18425.810000000001</v>
      </c>
      <c r="CS45" s="280">
        <v>0</v>
      </c>
      <c r="CT45" s="280">
        <v>21303.200000000001</v>
      </c>
      <c r="CU45" s="280">
        <v>270</v>
      </c>
      <c r="CV45" s="280">
        <v>13723.95</v>
      </c>
      <c r="CW45" s="280">
        <v>5458.55</v>
      </c>
      <c r="CX45" s="280">
        <v>9008.11</v>
      </c>
      <c r="CY45" s="280">
        <v>9893.18</v>
      </c>
      <c r="CZ45" s="280">
        <v>13333.33</v>
      </c>
      <c r="DA45" s="280">
        <v>13609.42</v>
      </c>
      <c r="DB45" s="280">
        <v>11402.5</v>
      </c>
      <c r="DC45" s="280">
        <v>9240</v>
      </c>
      <c r="DD45" s="280">
        <v>8444.74</v>
      </c>
      <c r="DE45" s="280">
        <v>0</v>
      </c>
      <c r="DF45" s="280">
        <v>7236.04</v>
      </c>
      <c r="DG45" s="280">
        <v>11465.13</v>
      </c>
      <c r="DH45" s="280">
        <v>14253.27</v>
      </c>
      <c r="DI45" s="280">
        <v>16338.24</v>
      </c>
      <c r="DJ45" s="280">
        <v>6000</v>
      </c>
      <c r="DK45" s="280">
        <v>12262.52</v>
      </c>
      <c r="DL45" s="280">
        <v>11039.35</v>
      </c>
      <c r="DM45" s="280">
        <v>38301.65</v>
      </c>
      <c r="DN45" s="280">
        <v>92641.9</v>
      </c>
      <c r="DO45" s="280">
        <v>15086.25</v>
      </c>
      <c r="DP45" s="280">
        <v>38095.24</v>
      </c>
      <c r="DQ45" s="280">
        <v>7267.85</v>
      </c>
      <c r="DR45" s="280">
        <v>41482.78</v>
      </c>
      <c r="DS45" s="280">
        <v>9166.66</v>
      </c>
      <c r="DT45" s="280">
        <v>0</v>
      </c>
      <c r="DU45" s="280">
        <v>0</v>
      </c>
      <c r="DV45" s="280">
        <v>0</v>
      </c>
      <c r="DW45" s="280">
        <v>0</v>
      </c>
      <c r="DX45" s="280"/>
      <c r="DY45" s="280"/>
      <c r="DZ45" s="280"/>
      <c r="EA45" s="54">
        <v>-1875416.02</v>
      </c>
      <c r="EB45" s="54">
        <v>1851408.0199999998</v>
      </c>
      <c r="EC45" s="54">
        <v>0</v>
      </c>
      <c r="ED45" s="54">
        <v>3448381.0399999991</v>
      </c>
      <c r="EE45" s="54">
        <v>-3103.7700000000004</v>
      </c>
      <c r="EF45" s="54">
        <v>-1566193.85</v>
      </c>
      <c r="EG45" s="54">
        <v>-5727.87</v>
      </c>
    </row>
    <row r="46" spans="1:137">
      <c r="A46" s="279" t="s">
        <v>132</v>
      </c>
      <c r="B46" s="280">
        <v>1529331.13</v>
      </c>
      <c r="C46" s="280">
        <v>0</v>
      </c>
      <c r="D46" s="280">
        <v>1113172.99</v>
      </c>
      <c r="E46" s="280">
        <v>0</v>
      </c>
      <c r="F46" s="280">
        <v>0</v>
      </c>
      <c r="G46" s="280">
        <v>0</v>
      </c>
      <c r="H46" s="280">
        <v>0</v>
      </c>
      <c r="I46" s="280">
        <v>0</v>
      </c>
      <c r="J46" s="280">
        <v>0</v>
      </c>
      <c r="K46" s="280">
        <v>0</v>
      </c>
      <c r="L46" s="280">
        <v>0</v>
      </c>
      <c r="M46" s="280">
        <v>0</v>
      </c>
      <c r="N46" s="280">
        <v>0</v>
      </c>
      <c r="O46" s="280">
        <v>0</v>
      </c>
      <c r="P46" s="280">
        <v>0</v>
      </c>
      <c r="Q46" s="280">
        <v>0</v>
      </c>
      <c r="R46" s="280">
        <v>0</v>
      </c>
      <c r="S46" s="280">
        <v>0</v>
      </c>
      <c r="T46" s="280">
        <v>0</v>
      </c>
      <c r="U46" s="280">
        <v>0</v>
      </c>
      <c r="V46" s="280">
        <v>0</v>
      </c>
      <c r="W46" s="280">
        <v>62127.38</v>
      </c>
      <c r="X46" s="280">
        <v>0</v>
      </c>
      <c r="Y46" s="280">
        <v>0</v>
      </c>
      <c r="Z46" s="280">
        <v>44453.71</v>
      </c>
      <c r="AA46" s="280">
        <v>18298.490000000002</v>
      </c>
      <c r="AB46" s="280">
        <v>2375.44</v>
      </c>
      <c r="AC46" s="280">
        <v>0</v>
      </c>
      <c r="AD46" s="280">
        <v>0</v>
      </c>
      <c r="AE46" s="280">
        <v>288903.12</v>
      </c>
      <c r="AF46" s="280">
        <v>45187.64</v>
      </c>
      <c r="AG46" s="280">
        <v>7184.81</v>
      </c>
      <c r="AH46" s="280">
        <v>641.65</v>
      </c>
      <c r="AI46" s="280">
        <v>5449.98</v>
      </c>
      <c r="AJ46" s="280">
        <v>2594.11</v>
      </c>
      <c r="AK46" s="280">
        <v>785.93</v>
      </c>
      <c r="AL46" s="280">
        <v>283.26</v>
      </c>
      <c r="AM46" s="280">
        <v>0</v>
      </c>
      <c r="AN46" s="280">
        <v>0</v>
      </c>
      <c r="AO46" s="280">
        <v>0</v>
      </c>
      <c r="AP46" s="280">
        <v>0</v>
      </c>
      <c r="AQ46" s="280">
        <v>0</v>
      </c>
      <c r="AR46" s="280">
        <v>0</v>
      </c>
      <c r="AS46" s="280">
        <v>0</v>
      </c>
      <c r="AT46" s="280">
        <v>0</v>
      </c>
      <c r="AU46" s="280">
        <v>0</v>
      </c>
      <c r="AV46" s="280">
        <v>0</v>
      </c>
      <c r="AW46" s="280">
        <v>0</v>
      </c>
      <c r="AX46" s="280">
        <v>0</v>
      </c>
      <c r="AY46" s="280">
        <v>18060.990000000002</v>
      </c>
      <c r="AZ46" s="280">
        <v>237.5</v>
      </c>
      <c r="BA46" s="280">
        <v>0</v>
      </c>
      <c r="BB46" s="280">
        <v>0</v>
      </c>
      <c r="BC46" s="280">
        <v>0</v>
      </c>
      <c r="BD46" s="280">
        <v>0</v>
      </c>
      <c r="BE46" s="280">
        <v>288903.12</v>
      </c>
      <c r="BF46" s="280">
        <v>8371.35</v>
      </c>
      <c r="BG46" s="280">
        <v>8720.64</v>
      </c>
      <c r="BH46" s="280">
        <v>9702.4500000000007</v>
      </c>
      <c r="BI46" s="280">
        <v>6056.87</v>
      </c>
      <c r="BJ46" s="280">
        <v>8388.24</v>
      </c>
      <c r="BK46" s="280">
        <v>30165.69</v>
      </c>
      <c r="BL46" s="280">
        <v>3274.82</v>
      </c>
      <c r="BM46" s="280">
        <v>11340.92</v>
      </c>
      <c r="BN46" s="280">
        <v>5318.12</v>
      </c>
      <c r="BO46" s="280">
        <v>5199.9399999999996</v>
      </c>
      <c r="BP46" s="280">
        <v>4381.8100000000004</v>
      </c>
      <c r="BQ46" s="280">
        <v>5656.37</v>
      </c>
      <c r="BR46" s="280">
        <v>10452.33</v>
      </c>
      <c r="BS46" s="280">
        <v>3674.52</v>
      </c>
      <c r="BT46" s="280">
        <v>3935.47</v>
      </c>
      <c r="BU46" s="280">
        <v>4293.76</v>
      </c>
      <c r="BV46" s="280">
        <v>1866.07</v>
      </c>
      <c r="BW46" s="280">
        <v>7601.51</v>
      </c>
      <c r="BX46" s="280">
        <v>3768.07</v>
      </c>
      <c r="BY46" s="280">
        <v>2355.87</v>
      </c>
      <c r="BZ46" s="280">
        <v>3485.54</v>
      </c>
      <c r="CA46" s="280">
        <v>3181.3</v>
      </c>
      <c r="CB46" s="280">
        <v>2989.37</v>
      </c>
      <c r="CC46" s="280">
        <v>2006.84</v>
      </c>
      <c r="CD46" s="280">
        <v>3717.24</v>
      </c>
      <c r="CE46" s="280">
        <v>8750.59</v>
      </c>
      <c r="CF46" s="280">
        <v>2029.54</v>
      </c>
      <c r="CG46" s="280">
        <v>3011.75</v>
      </c>
      <c r="CH46" s="280">
        <v>2028.79</v>
      </c>
      <c r="CI46" s="280">
        <v>2875.85</v>
      </c>
      <c r="CJ46" s="280">
        <v>1011.3</v>
      </c>
      <c r="CK46" s="280">
        <v>4195.8</v>
      </c>
      <c r="CL46" s="280">
        <v>835.49</v>
      </c>
      <c r="CM46" s="280">
        <v>1463.39</v>
      </c>
      <c r="CN46" s="280">
        <v>1793.65</v>
      </c>
      <c r="CO46" s="280">
        <v>13237.95</v>
      </c>
      <c r="CP46" s="280">
        <v>19386.150000000001</v>
      </c>
      <c r="CQ46" s="280">
        <v>1268.58</v>
      </c>
      <c r="CR46" s="280">
        <v>1483.1</v>
      </c>
      <c r="CS46" s="280">
        <v>1319.79</v>
      </c>
      <c r="CT46" s="280">
        <v>2211.7399999999998</v>
      </c>
      <c r="CU46" s="280">
        <v>2004.79</v>
      </c>
      <c r="CV46" s="280">
        <v>1851.09</v>
      </c>
      <c r="CW46" s="280">
        <v>1961.35</v>
      </c>
      <c r="CX46" s="280">
        <v>2547.31</v>
      </c>
      <c r="CY46" s="280">
        <v>2102.0300000000002</v>
      </c>
      <c r="CZ46" s="280">
        <v>3054.23</v>
      </c>
      <c r="DA46" s="280">
        <v>1916.43</v>
      </c>
      <c r="DB46" s="280">
        <v>2844.58</v>
      </c>
      <c r="DC46" s="280">
        <v>1524.99</v>
      </c>
      <c r="DD46" s="280">
        <v>2197.7199999999998</v>
      </c>
      <c r="DE46" s="280">
        <v>1991.17</v>
      </c>
      <c r="DF46" s="280">
        <v>2074.37</v>
      </c>
      <c r="DG46" s="280">
        <v>2363.3000000000002</v>
      </c>
      <c r="DH46" s="280">
        <v>1333.29</v>
      </c>
      <c r="DI46" s="280">
        <v>2463.8000000000002</v>
      </c>
      <c r="DJ46" s="280">
        <v>2170.9499999999998</v>
      </c>
      <c r="DK46" s="280">
        <v>1738.22</v>
      </c>
      <c r="DL46" s="280">
        <v>1697.95</v>
      </c>
      <c r="DM46" s="280">
        <v>4746.1499999999996</v>
      </c>
      <c r="DN46" s="280">
        <v>4673.08</v>
      </c>
      <c r="DO46" s="280">
        <v>4107.3999999999996</v>
      </c>
      <c r="DP46" s="280">
        <v>3350.69</v>
      </c>
      <c r="DQ46" s="280">
        <v>2426.73</v>
      </c>
      <c r="DR46" s="280">
        <v>1476.64</v>
      </c>
      <c r="DS46" s="280">
        <v>3476.29</v>
      </c>
      <c r="DT46" s="280">
        <v>0</v>
      </c>
      <c r="DU46" s="280">
        <v>0</v>
      </c>
      <c r="DV46" s="280">
        <v>0</v>
      </c>
      <c r="DW46" s="280">
        <v>0</v>
      </c>
      <c r="DX46" s="280"/>
      <c r="DY46" s="280"/>
      <c r="DZ46" s="280"/>
      <c r="EA46" s="54">
        <v>-288903.12000000011</v>
      </c>
      <c r="EB46" s="54">
        <v>289140.62</v>
      </c>
      <c r="EC46" s="54">
        <v>0</v>
      </c>
      <c r="ED46" s="54">
        <v>350747.24</v>
      </c>
      <c r="EE46" s="54">
        <v>-26392.719999999998</v>
      </c>
      <c r="EF46" s="54">
        <v>-61844.119999999995</v>
      </c>
      <c r="EG46" s="54">
        <v>0</v>
      </c>
    </row>
    <row r="47" spans="1:137">
      <c r="A47" s="279" t="s">
        <v>133</v>
      </c>
      <c r="B47" s="280">
        <v>774613.34</v>
      </c>
      <c r="C47" s="280">
        <v>0</v>
      </c>
      <c r="D47" s="280">
        <v>711379.87</v>
      </c>
      <c r="E47" s="280">
        <v>0</v>
      </c>
      <c r="F47" s="280">
        <v>0</v>
      </c>
      <c r="G47" s="280">
        <v>0</v>
      </c>
      <c r="H47" s="280">
        <v>0</v>
      </c>
      <c r="I47" s="280">
        <v>0</v>
      </c>
      <c r="J47" s="280">
        <v>0</v>
      </c>
      <c r="K47" s="280">
        <v>0</v>
      </c>
      <c r="L47" s="280">
        <v>0</v>
      </c>
      <c r="M47" s="280">
        <v>0</v>
      </c>
      <c r="N47" s="280">
        <v>0</v>
      </c>
      <c r="O47" s="280">
        <v>0</v>
      </c>
      <c r="P47" s="280">
        <v>0</v>
      </c>
      <c r="Q47" s="280">
        <v>0</v>
      </c>
      <c r="R47" s="280">
        <v>0</v>
      </c>
      <c r="S47" s="280">
        <v>0</v>
      </c>
      <c r="T47" s="280">
        <v>0</v>
      </c>
      <c r="U47" s="280">
        <v>0</v>
      </c>
      <c r="V47" s="280">
        <v>0</v>
      </c>
      <c r="W47" s="280">
        <v>11161.91</v>
      </c>
      <c r="X47" s="280">
        <v>0</v>
      </c>
      <c r="Y47" s="280">
        <v>0</v>
      </c>
      <c r="Z47" s="280">
        <v>44775.9</v>
      </c>
      <c r="AA47" s="280">
        <v>0</v>
      </c>
      <c r="AB47" s="280">
        <v>0</v>
      </c>
      <c r="AC47" s="280">
        <v>0</v>
      </c>
      <c r="AD47" s="280">
        <v>628.94000000000005</v>
      </c>
      <c r="AE47" s="280">
        <v>6666.72</v>
      </c>
      <c r="AF47" s="280">
        <v>0</v>
      </c>
      <c r="AG47" s="280">
        <v>11161.91</v>
      </c>
      <c r="AH47" s="280">
        <v>0</v>
      </c>
      <c r="AI47" s="280">
        <v>0</v>
      </c>
      <c r="AJ47" s="280">
        <v>0</v>
      </c>
      <c r="AK47" s="280">
        <v>0</v>
      </c>
      <c r="AL47" s="280">
        <v>0</v>
      </c>
      <c r="AM47" s="280">
        <v>0</v>
      </c>
      <c r="AN47" s="280">
        <v>0</v>
      </c>
      <c r="AO47" s="280">
        <v>0</v>
      </c>
      <c r="AP47" s="280">
        <v>0</v>
      </c>
      <c r="AQ47" s="280">
        <v>0</v>
      </c>
      <c r="AR47" s="280">
        <v>0</v>
      </c>
      <c r="AS47" s="280">
        <v>0</v>
      </c>
      <c r="AT47" s="280">
        <v>0</v>
      </c>
      <c r="AU47" s="280">
        <v>0</v>
      </c>
      <c r="AV47" s="280">
        <v>0</v>
      </c>
      <c r="AW47" s="280">
        <v>0</v>
      </c>
      <c r="AX47" s="280">
        <v>0</v>
      </c>
      <c r="AY47" s="280">
        <v>0</v>
      </c>
      <c r="AZ47" s="280">
        <v>0</v>
      </c>
      <c r="BA47" s="280">
        <v>0</v>
      </c>
      <c r="BB47" s="280">
        <v>1666.68</v>
      </c>
      <c r="BC47" s="280">
        <v>0</v>
      </c>
      <c r="BD47" s="280">
        <v>0</v>
      </c>
      <c r="BE47" s="280">
        <v>5000.04</v>
      </c>
      <c r="BF47" s="280">
        <v>0</v>
      </c>
      <c r="BG47" s="280">
        <v>0</v>
      </c>
      <c r="BH47" s="280">
        <v>0</v>
      </c>
      <c r="BI47" s="280">
        <v>0</v>
      </c>
      <c r="BJ47" s="280">
        <v>0</v>
      </c>
      <c r="BK47" s="280">
        <v>0</v>
      </c>
      <c r="BL47" s="280">
        <v>0</v>
      </c>
      <c r="BM47" s="280">
        <v>0</v>
      </c>
      <c r="BN47" s="280">
        <v>0</v>
      </c>
      <c r="BO47" s="280">
        <v>0</v>
      </c>
      <c r="BP47" s="280">
        <v>0</v>
      </c>
      <c r="BQ47" s="280">
        <v>0</v>
      </c>
      <c r="BR47" s="280">
        <v>0</v>
      </c>
      <c r="BS47" s="280">
        <v>0</v>
      </c>
      <c r="BT47" s="280">
        <v>0</v>
      </c>
      <c r="BU47" s="280">
        <v>0</v>
      </c>
      <c r="BV47" s="280">
        <v>0</v>
      </c>
      <c r="BW47" s="280">
        <v>0</v>
      </c>
      <c r="BX47" s="280">
        <v>0</v>
      </c>
      <c r="BY47" s="280">
        <v>0</v>
      </c>
      <c r="BZ47" s="280">
        <v>0</v>
      </c>
      <c r="CA47" s="280">
        <v>0</v>
      </c>
      <c r="CB47" s="280">
        <v>0</v>
      </c>
      <c r="CC47" s="280">
        <v>0</v>
      </c>
      <c r="CD47" s="280">
        <v>0</v>
      </c>
      <c r="CE47" s="280">
        <v>0</v>
      </c>
      <c r="CF47" s="280">
        <v>0</v>
      </c>
      <c r="CG47" s="280">
        <v>0</v>
      </c>
      <c r="CH47" s="280">
        <v>0</v>
      </c>
      <c r="CI47" s="280">
        <v>5000.04</v>
      </c>
      <c r="CJ47" s="280">
        <v>0</v>
      </c>
      <c r="CK47" s="280">
        <v>0</v>
      </c>
      <c r="CL47" s="280">
        <v>0</v>
      </c>
      <c r="CM47" s="280">
        <v>0</v>
      </c>
      <c r="CN47" s="280">
        <v>0</v>
      </c>
      <c r="CO47" s="280">
        <v>0</v>
      </c>
      <c r="CP47" s="280">
        <v>0</v>
      </c>
      <c r="CQ47" s="280">
        <v>0</v>
      </c>
      <c r="CR47" s="280">
        <v>0</v>
      </c>
      <c r="CS47" s="280">
        <v>0</v>
      </c>
      <c r="CT47" s="280">
        <v>0</v>
      </c>
      <c r="CU47" s="280">
        <v>0</v>
      </c>
      <c r="CV47" s="280">
        <v>0</v>
      </c>
      <c r="CW47" s="280">
        <v>0</v>
      </c>
      <c r="CX47" s="280">
        <v>0</v>
      </c>
      <c r="CY47" s="280">
        <v>0</v>
      </c>
      <c r="CZ47" s="280">
        <v>0</v>
      </c>
      <c r="DA47" s="280">
        <v>0</v>
      </c>
      <c r="DB47" s="280">
        <v>0</v>
      </c>
      <c r="DC47" s="280">
        <v>0</v>
      </c>
      <c r="DD47" s="280">
        <v>0</v>
      </c>
      <c r="DE47" s="280">
        <v>0</v>
      </c>
      <c r="DF47" s="280">
        <v>0</v>
      </c>
      <c r="DG47" s="280">
        <v>0</v>
      </c>
      <c r="DH47" s="280">
        <v>0</v>
      </c>
      <c r="DI47" s="280">
        <v>0</v>
      </c>
      <c r="DJ47" s="280">
        <v>0</v>
      </c>
      <c r="DK47" s="280">
        <v>0</v>
      </c>
      <c r="DL47" s="280">
        <v>0</v>
      </c>
      <c r="DM47" s="280">
        <v>0</v>
      </c>
      <c r="DN47" s="280">
        <v>0</v>
      </c>
      <c r="DO47" s="280">
        <v>0</v>
      </c>
      <c r="DP47" s="280">
        <v>0</v>
      </c>
      <c r="DQ47" s="280">
        <v>0</v>
      </c>
      <c r="DR47" s="280">
        <v>0</v>
      </c>
      <c r="DS47" s="280">
        <v>0</v>
      </c>
      <c r="DT47" s="280">
        <v>0</v>
      </c>
      <c r="DU47" s="280">
        <v>0</v>
      </c>
      <c r="DV47" s="280">
        <v>0</v>
      </c>
      <c r="DW47" s="280">
        <v>0</v>
      </c>
      <c r="DX47" s="280"/>
      <c r="DY47" s="280"/>
      <c r="DZ47" s="280"/>
      <c r="EA47" s="54">
        <v>-6666.7199999999721</v>
      </c>
      <c r="EB47" s="54">
        <v>6037.7800000000007</v>
      </c>
      <c r="EC47" s="54">
        <v>0</v>
      </c>
      <c r="ED47" s="54">
        <v>17828.63</v>
      </c>
      <c r="EE47" s="54">
        <v>-44775.9</v>
      </c>
      <c r="EF47" s="54">
        <v>-11161.91</v>
      </c>
      <c r="EG47" s="54">
        <v>0</v>
      </c>
    </row>
    <row r="48" spans="1:137">
      <c r="A48" s="279" t="s">
        <v>134</v>
      </c>
      <c r="B48" s="280">
        <v>595644.35</v>
      </c>
      <c r="C48" s="280">
        <v>0</v>
      </c>
      <c r="D48" s="280">
        <v>182350.94</v>
      </c>
      <c r="E48" s="280">
        <v>0</v>
      </c>
      <c r="F48" s="280">
        <v>0</v>
      </c>
      <c r="G48" s="280">
        <v>0</v>
      </c>
      <c r="H48" s="280">
        <v>0</v>
      </c>
      <c r="I48" s="280">
        <v>0</v>
      </c>
      <c r="J48" s="280">
        <v>0</v>
      </c>
      <c r="K48" s="280">
        <v>0</v>
      </c>
      <c r="L48" s="280">
        <v>0</v>
      </c>
      <c r="M48" s="280">
        <v>0</v>
      </c>
      <c r="N48" s="280">
        <v>0</v>
      </c>
      <c r="O48" s="280">
        <v>0</v>
      </c>
      <c r="P48" s="280">
        <v>0</v>
      </c>
      <c r="Q48" s="280">
        <v>0</v>
      </c>
      <c r="R48" s="280">
        <v>0</v>
      </c>
      <c r="S48" s="280">
        <v>0</v>
      </c>
      <c r="T48" s="280">
        <v>0</v>
      </c>
      <c r="U48" s="280">
        <v>0</v>
      </c>
      <c r="V48" s="280">
        <v>0</v>
      </c>
      <c r="W48" s="280">
        <v>16560.97</v>
      </c>
      <c r="X48" s="280">
        <v>1568.2</v>
      </c>
      <c r="Y48" s="280">
        <v>8839.6200000000008</v>
      </c>
      <c r="Z48" s="280">
        <v>3334.54</v>
      </c>
      <c r="AA48" s="280">
        <v>152.88</v>
      </c>
      <c r="AB48" s="280">
        <v>3289.24</v>
      </c>
      <c r="AC48" s="280">
        <v>0</v>
      </c>
      <c r="AD48" s="280">
        <v>0</v>
      </c>
      <c r="AE48" s="280">
        <v>379547.96</v>
      </c>
      <c r="AF48" s="280">
        <v>3295.9</v>
      </c>
      <c r="AG48" s="280">
        <v>2303.0700000000002</v>
      </c>
      <c r="AH48" s="280">
        <v>2192.4</v>
      </c>
      <c r="AI48" s="280">
        <v>2192.4</v>
      </c>
      <c r="AJ48" s="280">
        <v>2192.4</v>
      </c>
      <c r="AK48" s="280">
        <v>2192.4</v>
      </c>
      <c r="AL48" s="280">
        <v>2192.4</v>
      </c>
      <c r="AM48" s="280">
        <v>0</v>
      </c>
      <c r="AN48" s="280">
        <v>156.66999999999999</v>
      </c>
      <c r="AO48" s="280">
        <v>1411.53</v>
      </c>
      <c r="AP48" s="280">
        <v>0</v>
      </c>
      <c r="AQ48" s="280">
        <v>0</v>
      </c>
      <c r="AR48" s="280">
        <v>0</v>
      </c>
      <c r="AS48" s="280">
        <v>0</v>
      </c>
      <c r="AT48" s="280">
        <v>0</v>
      </c>
      <c r="AU48" s="280">
        <v>4459.68</v>
      </c>
      <c r="AV48" s="280">
        <v>1027.8499999999999</v>
      </c>
      <c r="AW48" s="280">
        <v>0</v>
      </c>
      <c r="AX48" s="280">
        <v>3352.09</v>
      </c>
      <c r="AY48" s="280">
        <v>152.88</v>
      </c>
      <c r="AZ48" s="280">
        <v>0</v>
      </c>
      <c r="BA48" s="280">
        <v>7969.91</v>
      </c>
      <c r="BB48" s="280">
        <v>0</v>
      </c>
      <c r="BC48" s="280">
        <v>0</v>
      </c>
      <c r="BD48" s="280">
        <v>0</v>
      </c>
      <c r="BE48" s="280">
        <v>371578.05</v>
      </c>
      <c r="BF48" s="280">
        <v>3635.9</v>
      </c>
      <c r="BG48" s="280">
        <v>0</v>
      </c>
      <c r="BH48" s="280">
        <v>0</v>
      </c>
      <c r="BI48" s="280">
        <v>3195.84</v>
      </c>
      <c r="BJ48" s="280">
        <v>4332.8999999999996</v>
      </c>
      <c r="BK48" s="280">
        <v>47912.47</v>
      </c>
      <c r="BL48" s="280">
        <v>13283.75</v>
      </c>
      <c r="BM48" s="280">
        <v>16169.68</v>
      </c>
      <c r="BN48" s="280">
        <v>12685.36</v>
      </c>
      <c r="BO48" s="280">
        <v>13188</v>
      </c>
      <c r="BP48" s="280">
        <v>0</v>
      </c>
      <c r="BQ48" s="280">
        <v>0</v>
      </c>
      <c r="BR48" s="280">
        <v>48715.99</v>
      </c>
      <c r="BS48" s="280">
        <v>8325.92</v>
      </c>
      <c r="BT48" s="280">
        <v>6698.5</v>
      </c>
      <c r="BU48" s="280">
        <v>12219.14</v>
      </c>
      <c r="BV48" s="280">
        <v>1610.64</v>
      </c>
      <c r="BW48" s="280">
        <v>7204.79</v>
      </c>
      <c r="BX48" s="280">
        <v>0</v>
      </c>
      <c r="BY48" s="280">
        <v>4938.5600000000004</v>
      </c>
      <c r="BZ48" s="280">
        <v>10511.88</v>
      </c>
      <c r="CA48" s="280">
        <v>6906.44</v>
      </c>
      <c r="CB48" s="280">
        <v>1857.34</v>
      </c>
      <c r="CC48" s="280">
        <v>6200.08</v>
      </c>
      <c r="CD48" s="280">
        <v>0</v>
      </c>
      <c r="CE48" s="280">
        <v>0</v>
      </c>
      <c r="CF48" s="280">
        <v>774.84</v>
      </c>
      <c r="CG48" s="280">
        <v>13190.55</v>
      </c>
      <c r="CH48" s="280">
        <v>5939.46</v>
      </c>
      <c r="CI48" s="280">
        <v>13563.55</v>
      </c>
      <c r="CJ48" s="280">
        <v>3191.2</v>
      </c>
      <c r="CK48" s="280">
        <v>9944.1200000000008</v>
      </c>
      <c r="CL48" s="280">
        <v>4046.51</v>
      </c>
      <c r="CM48" s="280">
        <v>0</v>
      </c>
      <c r="CN48" s="280">
        <v>3969.26</v>
      </c>
      <c r="CO48" s="280">
        <v>0</v>
      </c>
      <c r="CP48" s="280">
        <v>144.38999999999999</v>
      </c>
      <c r="CQ48" s="280">
        <v>6996.2</v>
      </c>
      <c r="CR48" s="280">
        <v>2380.7199999999998</v>
      </c>
      <c r="CS48" s="280">
        <v>0</v>
      </c>
      <c r="CT48" s="280">
        <v>3293.91</v>
      </c>
      <c r="CU48" s="280">
        <v>866.68</v>
      </c>
      <c r="CV48" s="280">
        <v>1436.12</v>
      </c>
      <c r="CW48" s="280">
        <v>2948.02</v>
      </c>
      <c r="CX48" s="280">
        <v>1845.68</v>
      </c>
      <c r="CY48" s="280">
        <v>1356.4</v>
      </c>
      <c r="CZ48" s="280">
        <v>0</v>
      </c>
      <c r="DA48" s="280">
        <v>2571.1799999999998</v>
      </c>
      <c r="DB48" s="280">
        <v>1498.29</v>
      </c>
      <c r="DC48" s="280">
        <v>0</v>
      </c>
      <c r="DD48" s="280">
        <v>5447.29</v>
      </c>
      <c r="DE48" s="280">
        <v>0</v>
      </c>
      <c r="DF48" s="280">
        <v>2772.63</v>
      </c>
      <c r="DG48" s="280">
        <v>874.49</v>
      </c>
      <c r="DH48" s="280">
        <v>0</v>
      </c>
      <c r="DI48" s="280">
        <v>2457.11</v>
      </c>
      <c r="DJ48" s="280">
        <v>4658.17</v>
      </c>
      <c r="DK48" s="280">
        <v>0</v>
      </c>
      <c r="DL48" s="280">
        <v>1707.19</v>
      </c>
      <c r="DM48" s="280">
        <v>10478.290000000001</v>
      </c>
      <c r="DN48" s="280">
        <v>1793.55</v>
      </c>
      <c r="DO48" s="280">
        <v>5468.86</v>
      </c>
      <c r="DP48" s="280">
        <v>18841.240000000002</v>
      </c>
      <c r="DQ48" s="280">
        <v>1937.1</v>
      </c>
      <c r="DR48" s="280">
        <v>1138.9000000000001</v>
      </c>
      <c r="DS48" s="280">
        <v>4452.97</v>
      </c>
      <c r="DT48" s="280">
        <v>0</v>
      </c>
      <c r="DU48" s="280">
        <v>0</v>
      </c>
      <c r="DV48" s="280">
        <v>0</v>
      </c>
      <c r="DW48" s="280">
        <v>0</v>
      </c>
      <c r="DX48" s="280"/>
      <c r="DY48" s="280"/>
      <c r="DZ48" s="280"/>
      <c r="EA48" s="54">
        <v>-379547.95999999996</v>
      </c>
      <c r="EB48" s="54">
        <v>379547.95999999996</v>
      </c>
      <c r="EC48" s="54">
        <v>0</v>
      </c>
      <c r="ED48" s="54">
        <v>393916.53000000014</v>
      </c>
      <c r="EE48" s="54">
        <v>170.43000000000029</v>
      </c>
      <c r="EF48" s="54">
        <v>-12800.37</v>
      </c>
      <c r="EG48" s="54">
        <v>3919.3300000000008</v>
      </c>
    </row>
    <row r="49" spans="1:137">
      <c r="A49" s="279" t="s">
        <v>135</v>
      </c>
      <c r="B49" s="280">
        <v>61728.34</v>
      </c>
      <c r="C49" s="280">
        <v>0</v>
      </c>
      <c r="D49" s="280">
        <v>0</v>
      </c>
      <c r="E49" s="280">
        <v>0</v>
      </c>
      <c r="F49" s="280">
        <v>0</v>
      </c>
      <c r="G49" s="280">
        <v>0</v>
      </c>
      <c r="H49" s="280">
        <v>0</v>
      </c>
      <c r="I49" s="280">
        <v>0</v>
      </c>
      <c r="J49" s="280">
        <v>0</v>
      </c>
      <c r="K49" s="280">
        <v>0</v>
      </c>
      <c r="L49" s="280">
        <v>0</v>
      </c>
      <c r="M49" s="280">
        <v>0</v>
      </c>
      <c r="N49" s="280">
        <v>0</v>
      </c>
      <c r="O49" s="280">
        <v>0</v>
      </c>
      <c r="P49" s="280">
        <v>0</v>
      </c>
      <c r="Q49" s="280">
        <v>30660.38</v>
      </c>
      <c r="R49" s="280">
        <v>0</v>
      </c>
      <c r="S49" s="280">
        <v>0</v>
      </c>
      <c r="T49" s="280">
        <v>0</v>
      </c>
      <c r="U49" s="280">
        <v>0</v>
      </c>
      <c r="V49" s="280">
        <v>0</v>
      </c>
      <c r="W49" s="280">
        <v>31067.96</v>
      </c>
      <c r="X49" s="280">
        <v>0</v>
      </c>
      <c r="Y49" s="280">
        <v>0</v>
      </c>
      <c r="Z49" s="280">
        <v>0</v>
      </c>
      <c r="AA49" s="280">
        <v>0</v>
      </c>
      <c r="AB49" s="280">
        <v>0</v>
      </c>
      <c r="AC49" s="280">
        <v>0</v>
      </c>
      <c r="AD49" s="280">
        <v>0</v>
      </c>
      <c r="AE49" s="280">
        <v>0</v>
      </c>
      <c r="AF49" s="280">
        <v>0</v>
      </c>
      <c r="AG49" s="280">
        <v>0</v>
      </c>
      <c r="AH49" s="280">
        <v>0</v>
      </c>
      <c r="AI49" s="280">
        <v>0</v>
      </c>
      <c r="AJ49" s="280">
        <v>31067.96</v>
      </c>
      <c r="AK49" s="280">
        <v>0</v>
      </c>
      <c r="AL49" s="280">
        <v>0</v>
      </c>
      <c r="AM49" s="280">
        <v>0</v>
      </c>
      <c r="AN49" s="280">
        <v>0</v>
      </c>
      <c r="AO49" s="280">
        <v>0</v>
      </c>
      <c r="AP49" s="280">
        <v>0</v>
      </c>
      <c r="AQ49" s="280">
        <v>0</v>
      </c>
      <c r="AR49" s="280">
        <v>0</v>
      </c>
      <c r="AS49" s="280">
        <v>0</v>
      </c>
      <c r="AT49" s="280">
        <v>0</v>
      </c>
      <c r="AU49" s="280">
        <v>0</v>
      </c>
      <c r="AV49" s="280">
        <v>0</v>
      </c>
      <c r="AW49" s="280">
        <v>0</v>
      </c>
      <c r="AX49" s="280">
        <v>0</v>
      </c>
      <c r="AY49" s="280">
        <v>0</v>
      </c>
      <c r="AZ49" s="280">
        <v>0</v>
      </c>
      <c r="BA49" s="280">
        <v>0</v>
      </c>
      <c r="BB49" s="280">
        <v>0</v>
      </c>
      <c r="BC49" s="280">
        <v>0</v>
      </c>
      <c r="BD49" s="280">
        <v>0</v>
      </c>
      <c r="BE49" s="280">
        <v>0</v>
      </c>
      <c r="BF49" s="280">
        <v>0</v>
      </c>
      <c r="BG49" s="280">
        <v>0</v>
      </c>
      <c r="BH49" s="280">
        <v>0</v>
      </c>
      <c r="BI49" s="280">
        <v>0</v>
      </c>
      <c r="BJ49" s="280">
        <v>0</v>
      </c>
      <c r="BK49" s="280">
        <v>0</v>
      </c>
      <c r="BL49" s="280">
        <v>0</v>
      </c>
      <c r="BM49" s="280">
        <v>0</v>
      </c>
      <c r="BN49" s="280">
        <v>0</v>
      </c>
      <c r="BO49" s="280">
        <v>0</v>
      </c>
      <c r="BP49" s="280">
        <v>0</v>
      </c>
      <c r="BQ49" s="280">
        <v>0</v>
      </c>
      <c r="BR49" s="280">
        <v>0</v>
      </c>
      <c r="BS49" s="280">
        <v>0</v>
      </c>
      <c r="BT49" s="280">
        <v>0</v>
      </c>
      <c r="BU49" s="280">
        <v>0</v>
      </c>
      <c r="BV49" s="280">
        <v>0</v>
      </c>
      <c r="BW49" s="280">
        <v>0</v>
      </c>
      <c r="BX49" s="280">
        <v>0</v>
      </c>
      <c r="BY49" s="280">
        <v>0</v>
      </c>
      <c r="BZ49" s="280">
        <v>0</v>
      </c>
      <c r="CA49" s="280">
        <v>0</v>
      </c>
      <c r="CB49" s="280">
        <v>0</v>
      </c>
      <c r="CC49" s="280">
        <v>0</v>
      </c>
      <c r="CD49" s="280">
        <v>0</v>
      </c>
      <c r="CE49" s="280">
        <v>0</v>
      </c>
      <c r="CF49" s="280">
        <v>0</v>
      </c>
      <c r="CG49" s="280">
        <v>0</v>
      </c>
      <c r="CH49" s="280">
        <v>0</v>
      </c>
      <c r="CI49" s="280">
        <v>0</v>
      </c>
      <c r="CJ49" s="280">
        <v>0</v>
      </c>
      <c r="CK49" s="280">
        <v>0</v>
      </c>
      <c r="CL49" s="280">
        <v>0</v>
      </c>
      <c r="CM49" s="280">
        <v>0</v>
      </c>
      <c r="CN49" s="280">
        <v>0</v>
      </c>
      <c r="CO49" s="280">
        <v>0</v>
      </c>
      <c r="CP49" s="280">
        <v>0</v>
      </c>
      <c r="CQ49" s="280">
        <v>0</v>
      </c>
      <c r="CR49" s="280">
        <v>0</v>
      </c>
      <c r="CS49" s="280">
        <v>0</v>
      </c>
      <c r="CT49" s="280">
        <v>0</v>
      </c>
      <c r="CU49" s="280">
        <v>0</v>
      </c>
      <c r="CV49" s="280">
        <v>0</v>
      </c>
      <c r="CW49" s="280">
        <v>0</v>
      </c>
      <c r="CX49" s="280">
        <v>0</v>
      </c>
      <c r="CY49" s="280">
        <v>0</v>
      </c>
      <c r="CZ49" s="280">
        <v>0</v>
      </c>
      <c r="DA49" s="280">
        <v>0</v>
      </c>
      <c r="DB49" s="280">
        <v>0</v>
      </c>
      <c r="DC49" s="280">
        <v>0</v>
      </c>
      <c r="DD49" s="280">
        <v>0</v>
      </c>
      <c r="DE49" s="280">
        <v>0</v>
      </c>
      <c r="DF49" s="280">
        <v>0</v>
      </c>
      <c r="DG49" s="280">
        <v>0</v>
      </c>
      <c r="DH49" s="280">
        <v>0</v>
      </c>
      <c r="DI49" s="280">
        <v>0</v>
      </c>
      <c r="DJ49" s="280">
        <v>0</v>
      </c>
      <c r="DK49" s="280">
        <v>0</v>
      </c>
      <c r="DL49" s="280">
        <v>0</v>
      </c>
      <c r="DM49" s="280">
        <v>0</v>
      </c>
      <c r="DN49" s="280">
        <v>0</v>
      </c>
      <c r="DO49" s="280">
        <v>0</v>
      </c>
      <c r="DP49" s="280">
        <v>0</v>
      </c>
      <c r="DQ49" s="280">
        <v>0</v>
      </c>
      <c r="DR49" s="280">
        <v>0</v>
      </c>
      <c r="DS49" s="280">
        <v>0</v>
      </c>
      <c r="DT49" s="280">
        <v>0</v>
      </c>
      <c r="DU49" s="280">
        <v>0</v>
      </c>
      <c r="DV49" s="280">
        <v>0</v>
      </c>
      <c r="DW49" s="280">
        <v>0</v>
      </c>
      <c r="DX49" s="280"/>
      <c r="DY49" s="280"/>
      <c r="DZ49" s="280"/>
      <c r="EA49" s="54">
        <v>0</v>
      </c>
      <c r="EB49" s="54">
        <v>0</v>
      </c>
      <c r="EC49" s="54">
        <v>0</v>
      </c>
      <c r="ED49" s="54">
        <v>31067.96</v>
      </c>
      <c r="EE49" s="54">
        <v>0</v>
      </c>
      <c r="EF49" s="54">
        <v>-31067.96</v>
      </c>
      <c r="EG49" s="54">
        <v>0</v>
      </c>
    </row>
    <row r="50" spans="1:137" s="283" customFormat="1">
      <c r="A50" s="281" t="s">
        <v>98</v>
      </c>
      <c r="B50" s="280">
        <v>8969393.3900000006</v>
      </c>
      <c r="C50" s="280">
        <v>1169.3599999999999</v>
      </c>
      <c r="D50" s="280">
        <v>2006903.8</v>
      </c>
      <c r="E50" s="280">
        <v>90328.49</v>
      </c>
      <c r="F50" s="280">
        <v>734331.5</v>
      </c>
      <c r="G50" s="280">
        <v>31218.77</v>
      </c>
      <c r="H50" s="280">
        <v>962.02</v>
      </c>
      <c r="I50" s="280">
        <v>459.61</v>
      </c>
      <c r="J50" s="280">
        <v>6905.18</v>
      </c>
      <c r="K50" s="280">
        <v>338.82</v>
      </c>
      <c r="L50" s="280">
        <v>142775.56</v>
      </c>
      <c r="M50" s="280">
        <v>0</v>
      </c>
      <c r="N50" s="280">
        <v>96.79</v>
      </c>
      <c r="O50" s="280">
        <v>1071.6400000000001</v>
      </c>
      <c r="P50" s="280">
        <v>120.99</v>
      </c>
      <c r="Q50" s="280">
        <v>185860.35</v>
      </c>
      <c r="R50" s="280">
        <v>1299.67</v>
      </c>
      <c r="S50" s="280">
        <v>30.47</v>
      </c>
      <c r="T50" s="280">
        <v>0</v>
      </c>
      <c r="U50" s="280">
        <v>0</v>
      </c>
      <c r="V50" s="280">
        <v>0</v>
      </c>
      <c r="W50" s="280">
        <v>2350389.09</v>
      </c>
      <c r="X50" s="280">
        <v>24605.22</v>
      </c>
      <c r="Y50" s="280">
        <v>20338.57</v>
      </c>
      <c r="Z50" s="280">
        <v>173164.96</v>
      </c>
      <c r="AA50" s="280">
        <v>26624.13</v>
      </c>
      <c r="AB50" s="280">
        <v>6215.49</v>
      </c>
      <c r="AC50" s="280">
        <v>0</v>
      </c>
      <c r="AD50" s="280">
        <v>34821.199999999997</v>
      </c>
      <c r="AE50" s="280">
        <v>3129361.71</v>
      </c>
      <c r="AF50" s="280">
        <v>1643027.47</v>
      </c>
      <c r="AG50" s="280">
        <v>24821.53</v>
      </c>
      <c r="AH50" s="280">
        <v>605626.18999999994</v>
      </c>
      <c r="AI50" s="280">
        <v>11436.61</v>
      </c>
      <c r="AJ50" s="280">
        <v>51275.94</v>
      </c>
      <c r="AK50" s="280">
        <v>6611.95</v>
      </c>
      <c r="AL50" s="280">
        <v>7589.4</v>
      </c>
      <c r="AM50" s="280">
        <v>1093.24</v>
      </c>
      <c r="AN50" s="280">
        <v>9489.26</v>
      </c>
      <c r="AO50" s="280">
        <v>7936.89</v>
      </c>
      <c r="AP50" s="280">
        <v>2567.8200000000002</v>
      </c>
      <c r="AQ50" s="280">
        <v>1495.7</v>
      </c>
      <c r="AR50" s="280">
        <v>1331.95</v>
      </c>
      <c r="AS50" s="280">
        <v>690.36</v>
      </c>
      <c r="AT50" s="280">
        <v>0</v>
      </c>
      <c r="AU50" s="280">
        <v>10323.530000000001</v>
      </c>
      <c r="AV50" s="280">
        <v>1905.66</v>
      </c>
      <c r="AW50" s="280">
        <v>300.24</v>
      </c>
      <c r="AX50" s="280">
        <v>7809.14</v>
      </c>
      <c r="AY50" s="280">
        <v>26386.63</v>
      </c>
      <c r="AZ50" s="280">
        <v>237.5</v>
      </c>
      <c r="BA50" s="280">
        <v>97293.22</v>
      </c>
      <c r="BB50" s="280">
        <v>2489.9299999999998</v>
      </c>
      <c r="BC50" s="280">
        <v>507.26</v>
      </c>
      <c r="BD50" s="280">
        <v>500.85</v>
      </c>
      <c r="BE50" s="280">
        <v>3028570.45</v>
      </c>
      <c r="BF50" s="280">
        <v>78790.559999999998</v>
      </c>
      <c r="BG50" s="280">
        <v>54631.43</v>
      </c>
      <c r="BH50" s="280">
        <v>90996.75</v>
      </c>
      <c r="BI50" s="280">
        <v>66962.81</v>
      </c>
      <c r="BJ50" s="280">
        <v>113809.59</v>
      </c>
      <c r="BK50" s="280">
        <v>138366.03</v>
      </c>
      <c r="BL50" s="280">
        <v>57301.2</v>
      </c>
      <c r="BM50" s="280">
        <v>90402.86</v>
      </c>
      <c r="BN50" s="280">
        <v>115360.02</v>
      </c>
      <c r="BO50" s="280">
        <v>132950.95000000001</v>
      </c>
      <c r="BP50" s="280">
        <v>219362.81</v>
      </c>
      <c r="BQ50" s="280">
        <v>91133.3</v>
      </c>
      <c r="BR50" s="280">
        <v>207757.49</v>
      </c>
      <c r="BS50" s="280">
        <v>41212.49</v>
      </c>
      <c r="BT50" s="280">
        <v>47871.91</v>
      </c>
      <c r="BU50" s="280">
        <v>28549.17</v>
      </c>
      <c r="BV50" s="280">
        <v>43611.11</v>
      </c>
      <c r="BW50" s="280">
        <v>43233.27</v>
      </c>
      <c r="BX50" s="280">
        <v>36059.07</v>
      </c>
      <c r="BY50" s="280">
        <v>26452.11</v>
      </c>
      <c r="BZ50" s="280">
        <v>33808.300000000003</v>
      </c>
      <c r="CA50" s="280">
        <v>78110.91</v>
      </c>
      <c r="CB50" s="280">
        <v>40838.629999999997</v>
      </c>
      <c r="CC50" s="280">
        <v>24697.68</v>
      </c>
      <c r="CD50" s="280">
        <v>18957.919999999998</v>
      </c>
      <c r="CE50" s="280">
        <v>28476.19</v>
      </c>
      <c r="CF50" s="280">
        <v>13997.88</v>
      </c>
      <c r="CG50" s="280">
        <v>40926.53</v>
      </c>
      <c r="CH50" s="280">
        <v>21609.77</v>
      </c>
      <c r="CI50" s="280">
        <v>118411.69</v>
      </c>
      <c r="CJ50" s="280">
        <v>12799.94</v>
      </c>
      <c r="CK50" s="280">
        <v>25608.81</v>
      </c>
      <c r="CL50" s="280">
        <v>8630.58</v>
      </c>
      <c r="CM50" s="280">
        <v>7584.39</v>
      </c>
      <c r="CN50" s="280">
        <v>17644.490000000002</v>
      </c>
      <c r="CO50" s="280">
        <v>117910.39999999999</v>
      </c>
      <c r="CP50" s="280">
        <v>26008.28</v>
      </c>
      <c r="CQ50" s="280">
        <v>36057.449999999997</v>
      </c>
      <c r="CR50" s="280">
        <v>24049.86</v>
      </c>
      <c r="CS50" s="280">
        <v>6874.52</v>
      </c>
      <c r="CT50" s="280">
        <v>27614.85</v>
      </c>
      <c r="CU50" s="280">
        <v>3517.34</v>
      </c>
      <c r="CV50" s="280">
        <v>17301.86</v>
      </c>
      <c r="CW50" s="280">
        <v>11750.84</v>
      </c>
      <c r="CX50" s="280">
        <v>13651.1</v>
      </c>
      <c r="CY50" s="280">
        <v>13902.63</v>
      </c>
      <c r="CZ50" s="280">
        <v>17003.16</v>
      </c>
      <c r="DA50" s="280">
        <v>18813.55</v>
      </c>
      <c r="DB50" s="280">
        <v>16183.37</v>
      </c>
      <c r="DC50" s="280">
        <v>11013.99</v>
      </c>
      <c r="DD50" s="280">
        <v>17070.689999999999</v>
      </c>
      <c r="DE50" s="280">
        <v>2428.17</v>
      </c>
      <c r="DF50" s="280">
        <v>12440.81</v>
      </c>
      <c r="DG50" s="280">
        <v>14707.92</v>
      </c>
      <c r="DH50" s="280">
        <v>15717.71</v>
      </c>
      <c r="DI50" s="280">
        <v>21260.15</v>
      </c>
      <c r="DJ50" s="280">
        <v>15234.12</v>
      </c>
      <c r="DK50" s="280">
        <v>15733.7</v>
      </c>
      <c r="DL50" s="280">
        <v>15097.49</v>
      </c>
      <c r="DM50" s="280">
        <v>54427.37</v>
      </c>
      <c r="DN50" s="280">
        <v>102614.76</v>
      </c>
      <c r="DO50" s="280">
        <v>28076.48</v>
      </c>
      <c r="DP50" s="280">
        <v>61781.95</v>
      </c>
      <c r="DQ50" s="280">
        <v>11635.68</v>
      </c>
      <c r="DR50" s="280">
        <v>44473.14</v>
      </c>
      <c r="DS50" s="280">
        <v>17298.47</v>
      </c>
      <c r="DT50" s="280">
        <v>0</v>
      </c>
      <c r="DU50" s="280">
        <v>0</v>
      </c>
      <c r="DV50" s="282">
        <v>0</v>
      </c>
      <c r="DW50" s="282">
        <v>0</v>
      </c>
      <c r="DX50" s="282"/>
      <c r="DY50" s="282"/>
      <c r="DZ50" s="282"/>
      <c r="EA50" s="283">
        <v>-3129361.709999999</v>
      </c>
      <c r="EB50" s="283">
        <v>3094778.01</v>
      </c>
      <c r="EC50" s="283">
        <v>0</v>
      </c>
      <c r="ED50" s="283">
        <v>5472161.4000000013</v>
      </c>
      <c r="EE50" s="283">
        <v>-138969.19</v>
      </c>
      <c r="EF50" s="54">
        <v>-2318194.4699999997</v>
      </c>
      <c r="EG50" s="54">
        <v>-12075.79</v>
      </c>
    </row>
    <row r="51" spans="1:137" s="286" customFormat="1" ht="12.75" thickBot="1">
      <c r="A51" s="284" t="s">
        <v>549</v>
      </c>
      <c r="B51" s="280">
        <v>0</v>
      </c>
      <c r="C51" s="280">
        <v>0</v>
      </c>
      <c r="D51" s="280">
        <v>0</v>
      </c>
      <c r="E51" s="280">
        <v>0</v>
      </c>
      <c r="F51" s="280">
        <v>0</v>
      </c>
      <c r="G51" s="280">
        <v>0</v>
      </c>
      <c r="H51" s="280">
        <v>0</v>
      </c>
      <c r="I51" s="280">
        <v>0</v>
      </c>
      <c r="J51" s="280">
        <v>0</v>
      </c>
      <c r="K51" s="280">
        <v>0</v>
      </c>
      <c r="L51" s="280">
        <v>0</v>
      </c>
      <c r="M51" s="280">
        <v>0</v>
      </c>
      <c r="N51" s="280">
        <v>0</v>
      </c>
      <c r="O51" s="280">
        <v>0</v>
      </c>
      <c r="P51" s="280">
        <v>0</v>
      </c>
      <c r="Q51" s="280">
        <v>0</v>
      </c>
      <c r="R51" s="280">
        <v>0</v>
      </c>
      <c r="S51" s="280">
        <v>0</v>
      </c>
      <c r="T51" s="280">
        <v>0</v>
      </c>
      <c r="U51" s="280">
        <v>0</v>
      </c>
      <c r="V51" s="280">
        <v>0</v>
      </c>
      <c r="W51" s="280">
        <v>0</v>
      </c>
      <c r="X51" s="280">
        <v>0</v>
      </c>
      <c r="Y51" s="280">
        <v>0</v>
      </c>
      <c r="Z51" s="280">
        <v>0</v>
      </c>
      <c r="AA51" s="280">
        <v>0</v>
      </c>
      <c r="AB51" s="280">
        <v>0</v>
      </c>
      <c r="AC51" s="280">
        <v>0</v>
      </c>
      <c r="AD51" s="280">
        <v>0</v>
      </c>
      <c r="AE51" s="280">
        <v>0</v>
      </c>
      <c r="AF51" s="280">
        <v>0</v>
      </c>
      <c r="AG51" s="280">
        <v>0</v>
      </c>
      <c r="AH51" s="280">
        <v>0</v>
      </c>
      <c r="AI51" s="280">
        <v>0</v>
      </c>
      <c r="AJ51" s="280">
        <v>0</v>
      </c>
      <c r="AK51" s="280">
        <v>0</v>
      </c>
      <c r="AL51" s="280">
        <v>0</v>
      </c>
      <c r="AM51" s="280">
        <v>0</v>
      </c>
      <c r="AN51" s="280">
        <v>0</v>
      </c>
      <c r="AO51" s="280">
        <v>0</v>
      </c>
      <c r="AP51" s="280">
        <v>0</v>
      </c>
      <c r="AQ51" s="280">
        <v>0</v>
      </c>
      <c r="AR51" s="280">
        <v>0</v>
      </c>
      <c r="AS51" s="280">
        <v>0</v>
      </c>
      <c r="AT51" s="280">
        <v>0</v>
      </c>
      <c r="AU51" s="280">
        <v>0</v>
      </c>
      <c r="AV51" s="280">
        <v>0</v>
      </c>
      <c r="AW51" s="280">
        <v>0</v>
      </c>
      <c r="AX51" s="280">
        <v>0</v>
      </c>
      <c r="AY51" s="280">
        <v>0</v>
      </c>
      <c r="AZ51" s="280">
        <v>0</v>
      </c>
      <c r="BA51" s="280">
        <v>0</v>
      </c>
      <c r="BB51" s="280">
        <v>0</v>
      </c>
      <c r="BC51" s="280">
        <v>0</v>
      </c>
      <c r="BD51" s="280">
        <v>0</v>
      </c>
      <c r="BE51" s="280">
        <v>0</v>
      </c>
      <c r="BF51" s="280">
        <v>0</v>
      </c>
      <c r="BG51" s="280">
        <v>0</v>
      </c>
      <c r="BH51" s="280">
        <v>0</v>
      </c>
      <c r="BI51" s="280">
        <v>0</v>
      </c>
      <c r="BJ51" s="280">
        <v>0</v>
      </c>
      <c r="BK51" s="280">
        <v>0</v>
      </c>
      <c r="BL51" s="280">
        <v>0</v>
      </c>
      <c r="BM51" s="280">
        <v>0</v>
      </c>
      <c r="BN51" s="280">
        <v>0</v>
      </c>
      <c r="BO51" s="280">
        <v>0</v>
      </c>
      <c r="BP51" s="280">
        <v>0</v>
      </c>
      <c r="BQ51" s="280">
        <v>0</v>
      </c>
      <c r="BR51" s="280">
        <v>0</v>
      </c>
      <c r="BS51" s="280">
        <v>0</v>
      </c>
      <c r="BT51" s="280">
        <v>0</v>
      </c>
      <c r="BU51" s="280">
        <v>0</v>
      </c>
      <c r="BV51" s="280">
        <v>0</v>
      </c>
      <c r="BW51" s="280">
        <v>0</v>
      </c>
      <c r="BX51" s="280">
        <v>0</v>
      </c>
      <c r="BY51" s="280">
        <v>0</v>
      </c>
      <c r="BZ51" s="280">
        <v>0</v>
      </c>
      <c r="CA51" s="280">
        <v>0</v>
      </c>
      <c r="CB51" s="280">
        <v>0</v>
      </c>
      <c r="CC51" s="280">
        <v>0</v>
      </c>
      <c r="CD51" s="280">
        <v>0</v>
      </c>
      <c r="CE51" s="280">
        <v>0</v>
      </c>
      <c r="CF51" s="280">
        <v>0</v>
      </c>
      <c r="CG51" s="280">
        <v>0</v>
      </c>
      <c r="CH51" s="280">
        <v>0</v>
      </c>
      <c r="CI51" s="280">
        <v>0</v>
      </c>
      <c r="CJ51" s="280">
        <v>0</v>
      </c>
      <c r="CK51" s="280">
        <v>0</v>
      </c>
      <c r="CL51" s="280">
        <v>0</v>
      </c>
      <c r="CM51" s="280">
        <v>0</v>
      </c>
      <c r="CN51" s="280">
        <v>0</v>
      </c>
      <c r="CO51" s="280">
        <v>0</v>
      </c>
      <c r="CP51" s="280">
        <v>0</v>
      </c>
      <c r="CQ51" s="280">
        <v>0</v>
      </c>
      <c r="CR51" s="280">
        <v>0</v>
      </c>
      <c r="CS51" s="280">
        <v>0</v>
      </c>
      <c r="CT51" s="280">
        <v>0</v>
      </c>
      <c r="CU51" s="280">
        <v>0</v>
      </c>
      <c r="CV51" s="280">
        <v>0</v>
      </c>
      <c r="CW51" s="280">
        <v>0</v>
      </c>
      <c r="CX51" s="280">
        <v>0</v>
      </c>
      <c r="CY51" s="280">
        <v>0</v>
      </c>
      <c r="CZ51" s="280">
        <v>0</v>
      </c>
      <c r="DA51" s="280">
        <v>0</v>
      </c>
      <c r="DB51" s="280">
        <v>0</v>
      </c>
      <c r="DC51" s="280">
        <v>0</v>
      </c>
      <c r="DD51" s="280">
        <v>0</v>
      </c>
      <c r="DE51" s="280">
        <v>0</v>
      </c>
      <c r="DF51" s="280">
        <v>0</v>
      </c>
      <c r="DG51" s="280">
        <v>0</v>
      </c>
      <c r="DH51" s="280">
        <v>0</v>
      </c>
      <c r="DI51" s="280">
        <v>0</v>
      </c>
      <c r="DJ51" s="280">
        <v>0</v>
      </c>
      <c r="DK51" s="280">
        <v>0</v>
      </c>
      <c r="DL51" s="280">
        <v>0</v>
      </c>
      <c r="DM51" s="280">
        <v>0</v>
      </c>
      <c r="DN51" s="280">
        <v>0</v>
      </c>
      <c r="DO51" s="280">
        <v>0</v>
      </c>
      <c r="DP51" s="280">
        <v>0</v>
      </c>
      <c r="DQ51" s="280">
        <v>0</v>
      </c>
      <c r="DR51" s="280">
        <v>0</v>
      </c>
      <c r="DS51" s="280">
        <v>0</v>
      </c>
      <c r="DT51" s="280">
        <v>0</v>
      </c>
      <c r="DU51" s="280">
        <v>0</v>
      </c>
      <c r="DV51" s="280">
        <v>0</v>
      </c>
      <c r="DW51" s="280">
        <v>0</v>
      </c>
      <c r="DX51" s="280"/>
      <c r="DY51" s="285"/>
      <c r="DZ51" s="285"/>
      <c r="EA51" s="54">
        <v>0</v>
      </c>
      <c r="EB51" s="54">
        <v>0</v>
      </c>
      <c r="EC51" s="54">
        <v>0</v>
      </c>
      <c r="ED51" s="54">
        <v>0</v>
      </c>
      <c r="EE51" s="54">
        <v>0</v>
      </c>
      <c r="EF51" s="54">
        <v>0</v>
      </c>
      <c r="EG51" s="54">
        <v>0</v>
      </c>
    </row>
    <row r="52" spans="1:137" s="289" customFormat="1" ht="12.75" thickBot="1">
      <c r="A52" s="287" t="s">
        <v>4</v>
      </c>
      <c r="B52" s="280">
        <v>43031182.840000004</v>
      </c>
      <c r="C52" s="280">
        <v>1162615.81</v>
      </c>
      <c r="D52" s="280">
        <v>1543769.05</v>
      </c>
      <c r="E52" s="280">
        <v>323671.82</v>
      </c>
      <c r="F52" s="280">
        <v>1352771.33</v>
      </c>
      <c r="G52" s="280">
        <v>532540.36</v>
      </c>
      <c r="H52" s="280">
        <v>142497.32</v>
      </c>
      <c r="I52" s="280">
        <v>276716.73</v>
      </c>
      <c r="J52" s="280">
        <v>8936.68</v>
      </c>
      <c r="K52" s="280">
        <v>86648.44</v>
      </c>
      <c r="L52" s="280">
        <v>384971.84</v>
      </c>
      <c r="M52" s="280">
        <v>292523.2</v>
      </c>
      <c r="N52" s="280">
        <v>277906.3</v>
      </c>
      <c r="O52" s="280">
        <v>513847.91</v>
      </c>
      <c r="P52" s="280">
        <v>372739.51</v>
      </c>
      <c r="Q52" s="280">
        <v>1149651.55</v>
      </c>
      <c r="R52" s="280">
        <v>253936.62</v>
      </c>
      <c r="S52" s="280">
        <v>94518.720000000001</v>
      </c>
      <c r="T52" s="280">
        <v>-400.77</v>
      </c>
      <c r="U52" s="280">
        <v>0</v>
      </c>
      <c r="V52" s="280">
        <v>0</v>
      </c>
      <c r="W52" s="280">
        <v>3714425.32</v>
      </c>
      <c r="X52" s="280">
        <v>4174502.31</v>
      </c>
      <c r="Y52" s="280">
        <v>1269334.1200000001</v>
      </c>
      <c r="Z52" s="280">
        <v>1054435.2</v>
      </c>
      <c r="AA52" s="280">
        <v>345288.74</v>
      </c>
      <c r="AB52" s="280">
        <v>341090.14</v>
      </c>
      <c r="AC52" s="280">
        <v>0</v>
      </c>
      <c r="AD52" s="280">
        <v>888574.26</v>
      </c>
      <c r="AE52" s="280">
        <v>22473670.329999998</v>
      </c>
      <c r="AF52" s="280">
        <v>1889404.73</v>
      </c>
      <c r="AG52" s="280">
        <v>259256.37</v>
      </c>
      <c r="AH52" s="280">
        <v>974281.33</v>
      </c>
      <c r="AI52" s="280">
        <v>1084435.99</v>
      </c>
      <c r="AJ52" s="280">
        <v>333607.7</v>
      </c>
      <c r="AK52" s="280">
        <v>-918023.04</v>
      </c>
      <c r="AL52" s="280">
        <v>91462.24</v>
      </c>
      <c r="AM52" s="280">
        <v>599590.26</v>
      </c>
      <c r="AN52" s="280">
        <v>1198557.25</v>
      </c>
      <c r="AO52" s="280">
        <v>1032143.96</v>
      </c>
      <c r="AP52" s="280">
        <v>615632.13</v>
      </c>
      <c r="AQ52" s="280">
        <v>267755.05</v>
      </c>
      <c r="AR52" s="280">
        <v>297480.71000000002</v>
      </c>
      <c r="AS52" s="280">
        <v>163342.95000000001</v>
      </c>
      <c r="AT52" s="280">
        <v>0</v>
      </c>
      <c r="AU52" s="280">
        <v>271831.83</v>
      </c>
      <c r="AV52" s="280">
        <v>339920.69</v>
      </c>
      <c r="AW52" s="280">
        <v>374743.77</v>
      </c>
      <c r="AX52" s="280">
        <v>282837.83</v>
      </c>
      <c r="AY52" s="280">
        <v>273102.88</v>
      </c>
      <c r="AZ52" s="280">
        <v>72185.86</v>
      </c>
      <c r="BA52" s="280">
        <v>5504979.54</v>
      </c>
      <c r="BB52" s="280">
        <v>362632.33</v>
      </c>
      <c r="BC52" s="280">
        <v>901730.71</v>
      </c>
      <c r="BD52" s="280">
        <v>430290.97</v>
      </c>
      <c r="BE52" s="280">
        <v>15274036.779999999</v>
      </c>
      <c r="BF52" s="280">
        <v>657879.96</v>
      </c>
      <c r="BG52" s="280">
        <v>591289.65</v>
      </c>
      <c r="BH52" s="280">
        <v>709516.89</v>
      </c>
      <c r="BI52" s="280">
        <v>648328.79</v>
      </c>
      <c r="BJ52" s="280">
        <v>643002.31000000006</v>
      </c>
      <c r="BK52" s="280">
        <v>601280.46</v>
      </c>
      <c r="BL52" s="280">
        <v>239187.83</v>
      </c>
      <c r="BM52" s="280">
        <v>621578.32999999996</v>
      </c>
      <c r="BN52" s="280">
        <v>455217.11</v>
      </c>
      <c r="BO52" s="280">
        <v>353619.32</v>
      </c>
      <c r="BP52" s="280">
        <v>892678.24</v>
      </c>
      <c r="BQ52" s="280">
        <v>467673.94</v>
      </c>
      <c r="BR52" s="280">
        <v>619499.68000000005</v>
      </c>
      <c r="BS52" s="280">
        <v>266149.83</v>
      </c>
      <c r="BT52" s="280">
        <v>225086.64</v>
      </c>
      <c r="BU52" s="280">
        <v>207184.63</v>
      </c>
      <c r="BV52" s="280">
        <v>255089.2</v>
      </c>
      <c r="BW52" s="280">
        <v>292219.5</v>
      </c>
      <c r="BX52" s="280">
        <v>173234.8</v>
      </c>
      <c r="BY52" s="280">
        <v>203076.89</v>
      </c>
      <c r="BZ52" s="280">
        <v>254535.81</v>
      </c>
      <c r="CA52" s="280">
        <v>340149.28</v>
      </c>
      <c r="CB52" s="280">
        <v>163152.56</v>
      </c>
      <c r="CC52" s="280">
        <v>127689.36</v>
      </c>
      <c r="CD52" s="280">
        <v>123897.91</v>
      </c>
      <c r="CE52" s="280">
        <v>177414.9</v>
      </c>
      <c r="CF52" s="280">
        <v>127811.59</v>
      </c>
      <c r="CG52" s="280">
        <v>187256.54</v>
      </c>
      <c r="CH52" s="280">
        <v>128931.07</v>
      </c>
      <c r="CI52" s="280">
        <v>347900.01</v>
      </c>
      <c r="CJ52" s="280">
        <v>76280.289999999994</v>
      </c>
      <c r="CK52" s="280">
        <v>112709.13</v>
      </c>
      <c r="CL52" s="280">
        <v>56236.01</v>
      </c>
      <c r="CM52" s="280">
        <v>85246.92</v>
      </c>
      <c r="CN52" s="280">
        <v>95209.04</v>
      </c>
      <c r="CO52" s="280">
        <v>299304.75</v>
      </c>
      <c r="CP52" s="280">
        <v>359054.38</v>
      </c>
      <c r="CQ52" s="280">
        <v>87806.54</v>
      </c>
      <c r="CR52" s="280">
        <v>83013.039999999994</v>
      </c>
      <c r="CS52" s="280">
        <v>49093.26</v>
      </c>
      <c r="CT52" s="280">
        <v>113192</v>
      </c>
      <c r="CU52" s="280">
        <v>46388.959999999999</v>
      </c>
      <c r="CV52" s="280">
        <v>85904.92</v>
      </c>
      <c r="CW52" s="280">
        <v>103784.01</v>
      </c>
      <c r="CX52" s="280">
        <v>113509.46</v>
      </c>
      <c r="CY52" s="280">
        <v>84993.01</v>
      </c>
      <c r="CZ52" s="280">
        <v>109553.77</v>
      </c>
      <c r="DA52" s="280">
        <v>154938.59</v>
      </c>
      <c r="DB52" s="280">
        <v>122722.05</v>
      </c>
      <c r="DC52" s="280">
        <v>71679.42</v>
      </c>
      <c r="DD52" s="280">
        <v>101539.67</v>
      </c>
      <c r="DE52" s="280">
        <v>85091.839999999997</v>
      </c>
      <c r="DF52" s="280">
        <v>84814.720000000001</v>
      </c>
      <c r="DG52" s="280">
        <v>102944.23</v>
      </c>
      <c r="DH52" s="280">
        <v>58101</v>
      </c>
      <c r="DI52" s="280">
        <v>76494.850000000006</v>
      </c>
      <c r="DJ52" s="280">
        <v>129454.42</v>
      </c>
      <c r="DK52" s="280">
        <v>74342.17</v>
      </c>
      <c r="DL52" s="280">
        <v>111942.97</v>
      </c>
      <c r="DM52" s="280">
        <v>145712.5</v>
      </c>
      <c r="DN52" s="280">
        <v>270762.89</v>
      </c>
      <c r="DO52" s="280">
        <v>136713.66</v>
      </c>
      <c r="DP52" s="280">
        <v>136964.01</v>
      </c>
      <c r="DQ52" s="280">
        <v>69417.14</v>
      </c>
      <c r="DR52" s="280">
        <v>201546.68</v>
      </c>
      <c r="DS52" s="280">
        <v>76041.45</v>
      </c>
      <c r="DT52" s="280">
        <v>0</v>
      </c>
      <c r="DU52" s="280">
        <v>0</v>
      </c>
      <c r="DV52" s="282">
        <v>0</v>
      </c>
      <c r="DW52" s="282">
        <v>0</v>
      </c>
      <c r="DX52" s="282"/>
      <c r="DY52" s="288"/>
      <c r="DZ52" s="288"/>
      <c r="EA52" s="283">
        <v>-22473670.330000002</v>
      </c>
      <c r="EB52" s="283">
        <v>21657281.929999996</v>
      </c>
      <c r="EC52" s="283">
        <v>0</v>
      </c>
      <c r="ED52" s="283">
        <v>26096633.409999996</v>
      </c>
      <c r="EE52" s="283">
        <v>-498494.49</v>
      </c>
      <c r="EF52" s="54">
        <v>551539.23</v>
      </c>
      <c r="EG52" s="54">
        <v>-3188006.02</v>
      </c>
    </row>
    <row r="53" spans="1:137">
      <c r="AE53" s="290"/>
      <c r="AF53" s="290"/>
      <c r="AG53" s="290"/>
      <c r="AH53" s="290"/>
      <c r="AI53" s="290"/>
      <c r="AJ53" s="290"/>
      <c r="AK53" s="291"/>
      <c r="DQ53" s="280"/>
      <c r="DR53" s="280"/>
    </row>
    <row r="54" spans="1:137">
      <c r="AE54" s="280"/>
      <c r="AF54" s="280"/>
      <c r="AG54" s="280"/>
      <c r="AH54" s="280"/>
      <c r="AI54" s="280"/>
      <c r="AJ54" s="280"/>
      <c r="AK54" s="291"/>
      <c r="EF54" s="54">
        <f>SUM(AL54:AS54)-W54</f>
        <v>0</v>
      </c>
      <c r="EG54" s="54">
        <f t="shared" ref="EG54:EG67" si="0">AU54+AV54+AW54+AT54-X54</f>
        <v>0</v>
      </c>
    </row>
    <row r="55" spans="1:137" ht="10.5" customHeight="1" thickBot="1">
      <c r="B55" s="53" t="s">
        <v>550</v>
      </c>
      <c r="AE55" s="54" t="s">
        <v>329</v>
      </c>
      <c r="EF55" s="54">
        <f t="shared" ref="EF55:EF67" si="1">SUM(AL55:AS55)-W55</f>
        <v>0</v>
      </c>
      <c r="EG55" s="54">
        <f t="shared" si="0"/>
        <v>0</v>
      </c>
    </row>
    <row r="56" spans="1:137">
      <c r="A56" s="55"/>
      <c r="B56" s="56" t="s">
        <v>328</v>
      </c>
      <c r="C56" s="58" t="s">
        <v>333</v>
      </c>
      <c r="D56" s="58" t="s">
        <v>241</v>
      </c>
      <c r="E56" s="64" t="s">
        <v>334</v>
      </c>
      <c r="F56" s="64" t="s">
        <v>335</v>
      </c>
      <c r="G56" s="64" t="s">
        <v>336</v>
      </c>
      <c r="H56" s="64" t="s">
        <v>337</v>
      </c>
      <c r="I56" s="64" t="s">
        <v>338</v>
      </c>
      <c r="J56" s="64" t="s">
        <v>339</v>
      </c>
      <c r="K56" s="64" t="s">
        <v>340</v>
      </c>
      <c r="L56" s="64" t="s">
        <v>341</v>
      </c>
      <c r="M56" s="64" t="s">
        <v>76</v>
      </c>
      <c r="N56" s="64" t="s">
        <v>342</v>
      </c>
      <c r="O56" s="64" t="s">
        <v>343</v>
      </c>
      <c r="P56" s="64" t="s">
        <v>344</v>
      </c>
      <c r="Q56" s="64" t="s">
        <v>345</v>
      </c>
      <c r="R56" s="64" t="s">
        <v>542</v>
      </c>
      <c r="S56" s="64" t="s">
        <v>543</v>
      </c>
      <c r="T56" s="64" t="s">
        <v>346</v>
      </c>
      <c r="U56" s="64" t="s">
        <v>544</v>
      </c>
      <c r="V56" s="292" t="s">
        <v>347</v>
      </c>
      <c r="W56" s="292" t="s">
        <v>331</v>
      </c>
      <c r="X56" s="64" t="s">
        <v>218</v>
      </c>
      <c r="Y56" s="292" t="s">
        <v>8</v>
      </c>
      <c r="Z56" s="292" t="s">
        <v>141</v>
      </c>
      <c r="AA56" s="292" t="s">
        <v>472</v>
      </c>
      <c r="AB56" s="292" t="s">
        <v>142</v>
      </c>
      <c r="AC56" s="64" t="s">
        <v>546</v>
      </c>
      <c r="AD56" s="292" t="s">
        <v>30</v>
      </c>
      <c r="AE56" s="64" t="s">
        <v>329</v>
      </c>
      <c r="AF56" s="64" t="s">
        <v>20</v>
      </c>
      <c r="AG56" s="64" t="s">
        <v>14</v>
      </c>
      <c r="AH56" s="64" t="s">
        <v>15</v>
      </c>
      <c r="AI56" s="64" t="s">
        <v>17</v>
      </c>
      <c r="AJ56" s="64" t="s">
        <v>19</v>
      </c>
      <c r="AK56" s="64" t="s">
        <v>18</v>
      </c>
      <c r="AL56" s="64" t="s">
        <v>16</v>
      </c>
      <c r="AM56" s="64" t="s">
        <v>29</v>
      </c>
      <c r="AN56" s="64" t="s">
        <v>23</v>
      </c>
      <c r="AO56" s="64" t="s">
        <v>24</v>
      </c>
      <c r="AP56" s="64" t="s">
        <v>22</v>
      </c>
      <c r="AQ56" s="64" t="s">
        <v>25</v>
      </c>
      <c r="AR56" s="64" t="s">
        <v>26</v>
      </c>
      <c r="AS56" s="64" t="s">
        <v>27</v>
      </c>
      <c r="AT56" s="64" t="s">
        <v>481</v>
      </c>
      <c r="AU56" s="64" t="s">
        <v>12</v>
      </c>
      <c r="AV56" s="64" t="s">
        <v>9</v>
      </c>
      <c r="AW56" s="64" t="s">
        <v>10</v>
      </c>
      <c r="AX56" s="64" t="s">
        <v>11</v>
      </c>
      <c r="AY56" s="64" t="s">
        <v>352</v>
      </c>
      <c r="AZ56" s="64" t="s">
        <v>140</v>
      </c>
      <c r="BA56" s="64" t="s">
        <v>353</v>
      </c>
      <c r="BB56" s="64" t="s">
        <v>354</v>
      </c>
      <c r="BC56" s="64" t="s">
        <v>547</v>
      </c>
      <c r="BD56" s="64" t="s">
        <v>356</v>
      </c>
      <c r="BE56" s="64"/>
      <c r="BF56" s="64" t="s">
        <v>483</v>
      </c>
      <c r="BG56" s="64" t="s">
        <v>357</v>
      </c>
      <c r="BH56" s="64" t="s">
        <v>358</v>
      </c>
      <c r="BI56" s="64" t="s">
        <v>359</v>
      </c>
      <c r="BJ56" s="64" t="s">
        <v>360</v>
      </c>
      <c r="BK56" s="64" t="s">
        <v>361</v>
      </c>
      <c r="BL56" s="64" t="s">
        <v>362</v>
      </c>
      <c r="BM56" s="64" t="s">
        <v>363</v>
      </c>
      <c r="BN56" s="64" t="s">
        <v>364</v>
      </c>
      <c r="BO56" s="64" t="s">
        <v>365</v>
      </c>
      <c r="BP56" s="64" t="s">
        <v>366</v>
      </c>
      <c r="BQ56" s="64" t="s">
        <v>367</v>
      </c>
      <c r="BR56" s="64" t="s">
        <v>368</v>
      </c>
      <c r="BS56" s="64" t="s">
        <v>484</v>
      </c>
      <c r="BT56" s="64" t="s">
        <v>370</v>
      </c>
      <c r="BU56" s="64" t="s">
        <v>371</v>
      </c>
      <c r="BV56" s="64" t="s">
        <v>372</v>
      </c>
      <c r="BW56" s="64" t="s">
        <v>374</v>
      </c>
      <c r="BX56" s="64" t="s">
        <v>373</v>
      </c>
      <c r="BY56" s="64" t="s">
        <v>375</v>
      </c>
      <c r="BZ56" s="64" t="s">
        <v>376</v>
      </c>
      <c r="CA56" s="64" t="s">
        <v>377</v>
      </c>
      <c r="CB56" s="64" t="s">
        <v>378</v>
      </c>
      <c r="CC56" s="64" t="s">
        <v>379</v>
      </c>
      <c r="CD56" s="64" t="s">
        <v>380</v>
      </c>
      <c r="CE56" s="64" t="s">
        <v>381</v>
      </c>
      <c r="CF56" s="64" t="s">
        <v>382</v>
      </c>
      <c r="CG56" s="64" t="s">
        <v>383</v>
      </c>
      <c r="CH56" s="64" t="s">
        <v>384</v>
      </c>
      <c r="CI56" s="64" t="s">
        <v>385</v>
      </c>
      <c r="CJ56" s="64" t="s">
        <v>386</v>
      </c>
      <c r="CK56" s="64" t="s">
        <v>387</v>
      </c>
      <c r="CL56" s="64" t="s">
        <v>388</v>
      </c>
      <c r="CM56" s="64" t="s">
        <v>389</v>
      </c>
      <c r="CN56" s="64" t="s">
        <v>390</v>
      </c>
      <c r="CO56" s="64" t="s">
        <v>391</v>
      </c>
      <c r="CP56" s="64" t="s">
        <v>392</v>
      </c>
      <c r="CQ56" s="64" t="s">
        <v>393</v>
      </c>
      <c r="CR56" s="64" t="s">
        <v>394</v>
      </c>
      <c r="CS56" s="64" t="s">
        <v>395</v>
      </c>
      <c r="CT56" s="64" t="s">
        <v>396</v>
      </c>
      <c r="CU56" s="64" t="s">
        <v>398</v>
      </c>
      <c r="CV56" s="64" t="s">
        <v>397</v>
      </c>
      <c r="CW56" s="64" t="s">
        <v>399</v>
      </c>
      <c r="CX56" s="64" t="s">
        <v>400</v>
      </c>
      <c r="CY56" s="64" t="s">
        <v>401</v>
      </c>
      <c r="CZ56" s="64" t="s">
        <v>402</v>
      </c>
      <c r="DA56" s="64" t="s">
        <v>403</v>
      </c>
      <c r="DB56" s="64" t="s">
        <v>404</v>
      </c>
      <c r="DC56" s="64" t="s">
        <v>405</v>
      </c>
      <c r="DD56" s="64" t="s">
        <v>406</v>
      </c>
      <c r="DE56" s="64" t="s">
        <v>407</v>
      </c>
      <c r="DF56" s="64" t="s">
        <v>408</v>
      </c>
      <c r="DG56" s="64" t="s">
        <v>409</v>
      </c>
      <c r="DH56" s="64" t="s">
        <v>410</v>
      </c>
      <c r="DI56" s="64" t="s">
        <v>411</v>
      </c>
      <c r="DJ56" s="64" t="s">
        <v>412</v>
      </c>
      <c r="DK56" s="64" t="s">
        <v>413</v>
      </c>
      <c r="DL56" s="64" t="s">
        <v>414</v>
      </c>
      <c r="DM56" s="64" t="s">
        <v>415</v>
      </c>
      <c r="DN56" s="64" t="s">
        <v>416</v>
      </c>
      <c r="DO56" s="65" t="s">
        <v>417</v>
      </c>
      <c r="DP56" s="54" t="s">
        <v>418</v>
      </c>
      <c r="DQ56" s="54" t="s">
        <v>486</v>
      </c>
      <c r="DR56" s="54" t="s">
        <v>487</v>
      </c>
      <c r="DS56" s="54" t="s">
        <v>488</v>
      </c>
      <c r="DT56" s="54" t="s">
        <v>489</v>
      </c>
      <c r="EF56" s="54" t="e">
        <f t="shared" si="1"/>
        <v>#VALUE!</v>
      </c>
      <c r="EG56" s="54" t="e">
        <f t="shared" si="0"/>
        <v>#VALUE!</v>
      </c>
    </row>
    <row r="57" spans="1:137">
      <c r="A57" s="279" t="s">
        <v>88</v>
      </c>
      <c r="B57" s="280">
        <v>23845267.190000001</v>
      </c>
      <c r="C57" s="280">
        <v>984020.02</v>
      </c>
      <c r="D57" s="280">
        <v>8000000</v>
      </c>
      <c r="E57" s="280">
        <v>121702</v>
      </c>
      <c r="F57" s="280">
        <v>281956</v>
      </c>
      <c r="G57" s="280">
        <v>330538.83</v>
      </c>
      <c r="H57" s="280">
        <v>93477</v>
      </c>
      <c r="I57" s="280">
        <v>181655.12</v>
      </c>
      <c r="J57" s="280">
        <v>0</v>
      </c>
      <c r="K57" s="280">
        <v>45253</v>
      </c>
      <c r="L57" s="280">
        <v>120814.15</v>
      </c>
      <c r="M57" s="280">
        <v>201623.07</v>
      </c>
      <c r="N57" s="280">
        <v>174886</v>
      </c>
      <c r="O57" s="280">
        <v>337521.37</v>
      </c>
      <c r="P57" s="280">
        <v>258702</v>
      </c>
      <c r="Q57" s="280">
        <v>587164</v>
      </c>
      <c r="R57" s="280">
        <v>174648.52</v>
      </c>
      <c r="S57" s="280">
        <v>65688.33</v>
      </c>
      <c r="T57" s="280">
        <v>0</v>
      </c>
      <c r="U57" s="280"/>
      <c r="V57" s="280">
        <v>0</v>
      </c>
      <c r="W57" s="280">
        <v>1095647.9099999999</v>
      </c>
      <c r="X57" s="280">
        <v>2178436.4</v>
      </c>
      <c r="Y57" s="280">
        <v>756068.7</v>
      </c>
      <c r="Z57" s="280">
        <v>486657.62</v>
      </c>
      <c r="AA57" s="280">
        <v>229154</v>
      </c>
      <c r="AB57" s="280">
        <v>-100459.92</v>
      </c>
      <c r="AC57" s="280">
        <v>0</v>
      </c>
      <c r="AD57" s="280">
        <v>447640.52</v>
      </c>
      <c r="AE57" s="280">
        <v>6792472.5499999998</v>
      </c>
      <c r="AF57" s="280">
        <v>164571.72</v>
      </c>
      <c r="AG57" s="280">
        <v>117504.97</v>
      </c>
      <c r="AH57" s="280">
        <v>141920.93</v>
      </c>
      <c r="AI57" s="280">
        <v>276966.28999999998</v>
      </c>
      <c r="AJ57" s="280">
        <v>186874</v>
      </c>
      <c r="AK57" s="280">
        <v>152064</v>
      </c>
      <c r="AL57" s="280">
        <v>55746</v>
      </c>
      <c r="AM57" s="280">
        <v>318275.40000000002</v>
      </c>
      <c r="AN57" s="280">
        <v>371247.22</v>
      </c>
      <c r="AO57" s="280">
        <v>682190.03</v>
      </c>
      <c r="AP57" s="280">
        <v>290678.78999999998</v>
      </c>
      <c r="AQ57" s="280">
        <v>119148</v>
      </c>
      <c r="AR57" s="280">
        <v>270431.78000000003</v>
      </c>
      <c r="AS57" s="280">
        <v>126465.18</v>
      </c>
      <c r="AT57" s="280">
        <v>0</v>
      </c>
      <c r="AU57" s="280">
        <v>204723.57</v>
      </c>
      <c r="AV57" s="280">
        <v>184783.45</v>
      </c>
      <c r="AW57" s="280">
        <v>298508.65000000002</v>
      </c>
      <c r="AX57" s="280">
        <v>68053.03</v>
      </c>
      <c r="AY57" s="280">
        <v>186822</v>
      </c>
      <c r="AZ57" s="280">
        <v>42332</v>
      </c>
      <c r="BA57" s="280">
        <v>209529.66</v>
      </c>
      <c r="BB57" s="280">
        <v>198105.09</v>
      </c>
      <c r="BC57" s="280">
        <v>174701.97</v>
      </c>
      <c r="BD57" s="280">
        <v>204745</v>
      </c>
      <c r="BE57" s="280">
        <v>0</v>
      </c>
      <c r="BF57" s="280">
        <v>6005390.8300000001</v>
      </c>
      <c r="BG57" s="280">
        <v>259192.1</v>
      </c>
      <c r="BH57" s="280">
        <v>257599.87</v>
      </c>
      <c r="BI57" s="280">
        <v>290919.15000000002</v>
      </c>
      <c r="BJ57" s="280">
        <v>220266.75</v>
      </c>
      <c r="BK57" s="280">
        <v>224077.32</v>
      </c>
      <c r="BL57" s="280">
        <v>262865.25</v>
      </c>
      <c r="BM57" s="280">
        <v>94422.2</v>
      </c>
      <c r="BN57" s="280">
        <v>242888.2</v>
      </c>
      <c r="BO57" s="280">
        <v>124583.59</v>
      </c>
      <c r="BP57" s="280">
        <v>117588.4</v>
      </c>
      <c r="BQ57" s="280">
        <v>261391.56</v>
      </c>
      <c r="BR57" s="280">
        <v>157005.1</v>
      </c>
      <c r="BS57" s="280">
        <v>209120.45</v>
      </c>
      <c r="BT57" s="280">
        <v>414397.48</v>
      </c>
      <c r="BU57" s="280">
        <v>109696.6</v>
      </c>
      <c r="BV57" s="280">
        <v>109929.60000000001</v>
      </c>
      <c r="BW57" s="280">
        <v>122581.5</v>
      </c>
      <c r="BX57" s="280">
        <v>125759.17</v>
      </c>
      <c r="BY57" s="280">
        <v>91461.5</v>
      </c>
      <c r="BZ57" s="280">
        <v>90569.2</v>
      </c>
      <c r="CA57" s="280">
        <v>111630.6</v>
      </c>
      <c r="CB57" s="280">
        <v>120116.6</v>
      </c>
      <c r="CC57" s="280">
        <v>29231.279999999999</v>
      </c>
      <c r="CD57" s="280">
        <v>58290</v>
      </c>
      <c r="CE57" s="280">
        <v>57391</v>
      </c>
      <c r="CF57" s="280">
        <v>58399.7</v>
      </c>
      <c r="CG57" s="280">
        <v>55880.6</v>
      </c>
      <c r="CH57" s="280">
        <v>72962.13</v>
      </c>
      <c r="CI57" s="280">
        <v>52620.4</v>
      </c>
      <c r="CJ57" s="280">
        <v>80470.009999999995</v>
      </c>
      <c r="CK57" s="280">
        <v>29237.4</v>
      </c>
      <c r="CL57" s="280">
        <v>52031.4</v>
      </c>
      <c r="CM57" s="280">
        <v>21052.400000000001</v>
      </c>
      <c r="CN57" s="280">
        <v>36280.300000000003</v>
      </c>
      <c r="CO57" s="280">
        <v>43792.6</v>
      </c>
      <c r="CP57" s="280">
        <v>89384.34</v>
      </c>
      <c r="CQ57" s="280">
        <v>56554.83</v>
      </c>
      <c r="CR57" s="280">
        <v>35266</v>
      </c>
      <c r="CS57" s="280">
        <v>31985.5</v>
      </c>
      <c r="CT57" s="280">
        <v>17339.43</v>
      </c>
      <c r="CU57" s="280">
        <v>41211.72</v>
      </c>
      <c r="CV57" s="280">
        <v>24365</v>
      </c>
      <c r="CW57" s="280">
        <v>39673.160000000003</v>
      </c>
      <c r="CX57" s="280">
        <v>39230.94</v>
      </c>
      <c r="CY57" s="280">
        <v>44960</v>
      </c>
      <c r="CZ57" s="280">
        <v>33072.9</v>
      </c>
      <c r="DA57" s="280">
        <v>46417</v>
      </c>
      <c r="DB57" s="280">
        <v>58013.14</v>
      </c>
      <c r="DC57" s="280">
        <v>60941.8</v>
      </c>
      <c r="DD57" s="280">
        <v>35354.93</v>
      </c>
      <c r="DE57" s="280">
        <v>43984.82</v>
      </c>
      <c r="DF57" s="280">
        <v>32377.3</v>
      </c>
      <c r="DG57" s="280">
        <v>33402</v>
      </c>
      <c r="DH57" s="280">
        <v>31016.400000000001</v>
      </c>
      <c r="DI57" s="280">
        <v>19470</v>
      </c>
      <c r="DJ57" s="280">
        <v>31622.79</v>
      </c>
      <c r="DK57" s="280">
        <v>39717</v>
      </c>
      <c r="DL57" s="280">
        <v>31380</v>
      </c>
      <c r="DM57" s="280">
        <v>45109.71</v>
      </c>
      <c r="DN57" s="280">
        <v>54374.2</v>
      </c>
      <c r="DO57" s="293">
        <v>85841.600000000006</v>
      </c>
      <c r="DP57" s="54">
        <v>72103.509999999995</v>
      </c>
      <c r="DQ57" s="54">
        <v>38436.870000000003</v>
      </c>
      <c r="DR57" s="54">
        <v>29835.5</v>
      </c>
      <c r="DS57" s="54">
        <v>62922.879999999997</v>
      </c>
      <c r="DT57" s="54">
        <v>34324.15</v>
      </c>
      <c r="EA57" s="54">
        <f t="shared" ref="EA57:EA88" si="2">SUM(C57:AD57)-B57</f>
        <v>-6792472.5500000045</v>
      </c>
      <c r="EB57" s="54">
        <f t="shared" ref="EB57:EB88" si="3">SUM(AZ57:BE57)-AD57</f>
        <v>381773.19999999995</v>
      </c>
      <c r="EC57" s="54">
        <f t="shared" ref="EC57:EC67" si="4">SUM(BF57:DS57)-BE57</f>
        <v>11976457.51</v>
      </c>
      <c r="ED57" s="54">
        <f t="shared" ref="ED57:ED106" si="5">SUM(AE57:AK57)-V57</f>
        <v>7832374.459999999</v>
      </c>
      <c r="EE57" s="54">
        <f t="shared" ref="EE57:EE106" si="6">AX57+AY57-Z57</f>
        <v>-231782.59</v>
      </c>
      <c r="EF57" s="54">
        <f t="shared" si="1"/>
        <v>1138534.49</v>
      </c>
      <c r="EG57" s="54">
        <f t="shared" si="0"/>
        <v>-1490420.73</v>
      </c>
    </row>
    <row r="58" spans="1:137" s="286" customFormat="1">
      <c r="A58" s="294" t="s">
        <v>89</v>
      </c>
      <c r="B58" s="295">
        <v>609346.68999999994</v>
      </c>
      <c r="C58" s="295">
        <v>19040</v>
      </c>
      <c r="D58" s="295">
        <v>0</v>
      </c>
      <c r="E58" s="295">
        <v>5225</v>
      </c>
      <c r="F58" s="295">
        <v>10665</v>
      </c>
      <c r="G58" s="295">
        <v>28053.67</v>
      </c>
      <c r="H58" s="295">
        <v>6835</v>
      </c>
      <c r="I58" s="295">
        <v>9505</v>
      </c>
      <c r="J58" s="295">
        <v>0</v>
      </c>
      <c r="K58" s="295">
        <v>3250</v>
      </c>
      <c r="L58" s="295">
        <v>12025</v>
      </c>
      <c r="M58" s="295">
        <v>10817.38</v>
      </c>
      <c r="N58" s="295">
        <v>7425</v>
      </c>
      <c r="O58" s="295">
        <v>23705</v>
      </c>
      <c r="P58" s="295">
        <v>20425</v>
      </c>
      <c r="Q58" s="295">
        <v>26036.19</v>
      </c>
      <c r="R58" s="295">
        <v>7100</v>
      </c>
      <c r="S58" s="295">
        <v>3701</v>
      </c>
      <c r="T58" s="295">
        <v>0</v>
      </c>
      <c r="U58" s="295"/>
      <c r="V58" s="295">
        <v>0</v>
      </c>
      <c r="W58" s="280">
        <v>5918.67</v>
      </c>
      <c r="X58" s="295">
        <v>120107.24</v>
      </c>
      <c r="Y58" s="295">
        <v>27805</v>
      </c>
      <c r="Z58" s="295">
        <v>0</v>
      </c>
      <c r="AA58" s="295">
        <v>0</v>
      </c>
      <c r="AB58" s="295">
        <v>0</v>
      </c>
      <c r="AC58" s="295">
        <v>0</v>
      </c>
      <c r="AD58" s="295">
        <v>44840</v>
      </c>
      <c r="AE58" s="295">
        <v>216867.54</v>
      </c>
      <c r="AF58" s="295">
        <v>70</v>
      </c>
      <c r="AG58" s="295">
        <v>0</v>
      </c>
      <c r="AH58" s="295">
        <v>0</v>
      </c>
      <c r="AI58" s="295">
        <v>3865</v>
      </c>
      <c r="AJ58" s="295">
        <v>0</v>
      </c>
      <c r="AK58" s="295">
        <v>1983.67</v>
      </c>
      <c r="AL58" s="295">
        <v>0</v>
      </c>
      <c r="AM58" s="295">
        <v>28697.06</v>
      </c>
      <c r="AN58" s="295">
        <v>39414.449999999997</v>
      </c>
      <c r="AO58" s="295">
        <v>22725</v>
      </c>
      <c r="AP58" s="295">
        <v>27259.54</v>
      </c>
      <c r="AQ58" s="295">
        <v>1855</v>
      </c>
      <c r="AR58" s="295">
        <v>0</v>
      </c>
      <c r="AS58" s="295">
        <v>156.19</v>
      </c>
      <c r="AT58" s="295">
        <v>0</v>
      </c>
      <c r="AU58" s="295">
        <v>0</v>
      </c>
      <c r="AV58" s="295">
        <v>16865</v>
      </c>
      <c r="AW58" s="295">
        <v>10940</v>
      </c>
      <c r="AX58" s="295">
        <v>0</v>
      </c>
      <c r="AY58" s="295">
        <v>0</v>
      </c>
      <c r="AZ58" s="295">
        <v>0</v>
      </c>
      <c r="BA58" s="295">
        <v>9085</v>
      </c>
      <c r="BB58" s="295">
        <v>15040</v>
      </c>
      <c r="BC58" s="295">
        <v>8135</v>
      </c>
      <c r="BD58" s="295">
        <v>13940.42</v>
      </c>
      <c r="BE58" s="295">
        <v>0</v>
      </c>
      <c r="BF58" s="295">
        <v>170667.12</v>
      </c>
      <c r="BG58" s="295">
        <v>24671</v>
      </c>
      <c r="BH58" s="295">
        <v>210.42</v>
      </c>
      <c r="BI58" s="295">
        <v>0</v>
      </c>
      <c r="BJ58" s="295">
        <v>0</v>
      </c>
      <c r="BK58" s="295">
        <v>24853</v>
      </c>
      <c r="BL58" s="295">
        <v>366.61</v>
      </c>
      <c r="BM58" s="295">
        <v>9594</v>
      </c>
      <c r="BN58" s="295">
        <v>212.06</v>
      </c>
      <c r="BO58" s="295">
        <v>17600</v>
      </c>
      <c r="BP58" s="295">
        <v>10319.200000000001</v>
      </c>
      <c r="BQ58" s="295">
        <v>25416.23</v>
      </c>
      <c r="BR58" s="295">
        <v>0</v>
      </c>
      <c r="BS58" s="295">
        <v>0</v>
      </c>
      <c r="BT58" s="295">
        <v>0</v>
      </c>
      <c r="BU58" s="295">
        <v>0</v>
      </c>
      <c r="BV58" s="295">
        <v>11400</v>
      </c>
      <c r="BW58" s="295">
        <v>0</v>
      </c>
      <c r="BX58" s="295">
        <v>14480.59</v>
      </c>
      <c r="BY58" s="295">
        <v>0</v>
      </c>
      <c r="BZ58" s="295">
        <v>-225.55</v>
      </c>
      <c r="CA58" s="295">
        <v>0</v>
      </c>
      <c r="CB58" s="295">
        <v>0</v>
      </c>
      <c r="CC58" s="295">
        <v>892.69</v>
      </c>
      <c r="CD58" s="295">
        <v>5375</v>
      </c>
      <c r="CE58" s="295">
        <v>0</v>
      </c>
      <c r="CF58" s="295">
        <v>-118.1</v>
      </c>
      <c r="CG58" s="295">
        <v>5400</v>
      </c>
      <c r="CH58" s="295">
        <v>0</v>
      </c>
      <c r="CI58" s="295">
        <v>0</v>
      </c>
      <c r="CJ58" s="295">
        <v>4060</v>
      </c>
      <c r="CK58" s="295">
        <v>0</v>
      </c>
      <c r="CL58" s="295">
        <v>4513.53</v>
      </c>
      <c r="CM58" s="295">
        <v>0</v>
      </c>
      <c r="CN58" s="295">
        <v>0</v>
      </c>
      <c r="CO58" s="295">
        <v>-118.08</v>
      </c>
      <c r="CP58" s="295">
        <v>0</v>
      </c>
      <c r="CQ58" s="295">
        <v>0</v>
      </c>
      <c r="CR58" s="295">
        <v>956.19</v>
      </c>
      <c r="CS58" s="295">
        <v>0</v>
      </c>
      <c r="CT58" s="295">
        <v>0</v>
      </c>
      <c r="CU58" s="295">
        <v>0</v>
      </c>
      <c r="CV58" s="295">
        <v>-278.45999999999998</v>
      </c>
      <c r="CW58" s="295">
        <v>75.569999999999993</v>
      </c>
      <c r="CX58" s="295">
        <v>368.25</v>
      </c>
      <c r="CY58" s="295">
        <v>0</v>
      </c>
      <c r="CZ58" s="295">
        <v>0</v>
      </c>
      <c r="DA58" s="295">
        <v>0</v>
      </c>
      <c r="DB58" s="295">
        <v>312.38</v>
      </c>
      <c r="DC58" s="295">
        <v>0</v>
      </c>
      <c r="DD58" s="295">
        <v>0</v>
      </c>
      <c r="DE58" s="295">
        <v>364.35</v>
      </c>
      <c r="DF58" s="295">
        <v>1800</v>
      </c>
      <c r="DG58" s="295">
        <v>3493</v>
      </c>
      <c r="DH58" s="295">
        <v>0</v>
      </c>
      <c r="DI58" s="295">
        <v>-95.66</v>
      </c>
      <c r="DJ58" s="295">
        <v>0</v>
      </c>
      <c r="DK58" s="295">
        <v>-278.47000000000003</v>
      </c>
      <c r="DL58" s="295">
        <v>0</v>
      </c>
      <c r="DM58" s="295">
        <v>-191.34</v>
      </c>
      <c r="DN58" s="295">
        <v>0</v>
      </c>
      <c r="DO58" s="296">
        <v>0</v>
      </c>
      <c r="DP58" s="286">
        <v>-503.97</v>
      </c>
      <c r="DQ58" s="286">
        <v>-716.05</v>
      </c>
      <c r="DR58" s="286">
        <v>0</v>
      </c>
      <c r="DS58" s="286">
        <v>6554.4</v>
      </c>
      <c r="DT58" s="286">
        <v>-95.67</v>
      </c>
      <c r="EA58" s="54">
        <f t="shared" si="2"/>
        <v>-216867.53999999992</v>
      </c>
      <c r="EB58" s="54">
        <f t="shared" si="3"/>
        <v>1360.4199999999983</v>
      </c>
      <c r="EC58" s="54">
        <f t="shared" si="4"/>
        <v>341429.91000000015</v>
      </c>
      <c r="ED58" s="54">
        <f t="shared" si="5"/>
        <v>222786.21000000002</v>
      </c>
      <c r="EE58" s="54">
        <f t="shared" si="6"/>
        <v>0</v>
      </c>
      <c r="EF58" s="54">
        <f t="shared" si="1"/>
        <v>114188.56999999999</v>
      </c>
      <c r="EG58" s="54">
        <f t="shared" si="0"/>
        <v>-92302.24</v>
      </c>
    </row>
    <row r="59" spans="1:137">
      <c r="A59" s="279" t="s">
        <v>90</v>
      </c>
      <c r="B59" s="280">
        <v>658476.11</v>
      </c>
      <c r="C59" s="280">
        <v>19697.2</v>
      </c>
      <c r="D59" s="280">
        <v>160015.39000000001</v>
      </c>
      <c r="E59" s="280">
        <v>2450.84</v>
      </c>
      <c r="F59" s="280">
        <v>5719.52</v>
      </c>
      <c r="G59" s="280">
        <v>6610.78</v>
      </c>
      <c r="H59" s="280">
        <v>1869.54</v>
      </c>
      <c r="I59" s="280">
        <v>3633.11</v>
      </c>
      <c r="J59" s="280">
        <v>0</v>
      </c>
      <c r="K59" s="280">
        <v>905.06</v>
      </c>
      <c r="L59" s="280">
        <v>2416.2800000000002</v>
      </c>
      <c r="M59" s="280">
        <v>4032.47</v>
      </c>
      <c r="N59" s="280">
        <v>3497.72</v>
      </c>
      <c r="O59" s="280">
        <v>6783.24</v>
      </c>
      <c r="P59" s="280">
        <v>5174.04</v>
      </c>
      <c r="Q59" s="280">
        <v>12121.28</v>
      </c>
      <c r="R59" s="280">
        <v>3518.17</v>
      </c>
      <c r="S59" s="280">
        <v>1313.77</v>
      </c>
      <c r="T59" s="280">
        <v>0</v>
      </c>
      <c r="U59" s="280"/>
      <c r="V59" s="280">
        <v>0</v>
      </c>
      <c r="W59" s="280">
        <v>22173.37</v>
      </c>
      <c r="X59" s="280">
        <v>105269.92</v>
      </c>
      <c r="Y59" s="280">
        <v>29155</v>
      </c>
      <c r="Z59" s="280">
        <v>10903.16</v>
      </c>
      <c r="AA59" s="280">
        <v>4683.88</v>
      </c>
      <c r="AB59" s="280">
        <v>-1933.59</v>
      </c>
      <c r="AC59" s="280">
        <v>0</v>
      </c>
      <c r="AD59" s="280">
        <v>9230.02</v>
      </c>
      <c r="AE59" s="280">
        <v>239235.94</v>
      </c>
      <c r="AF59" s="280">
        <v>3291.44</v>
      </c>
      <c r="AG59" s="280">
        <v>2350.1</v>
      </c>
      <c r="AH59" s="280">
        <v>2838.42</v>
      </c>
      <c r="AI59" s="280">
        <v>5656.93</v>
      </c>
      <c r="AJ59" s="280">
        <v>3813.08</v>
      </c>
      <c r="AK59" s="280">
        <v>3108.48</v>
      </c>
      <c r="AL59" s="280">
        <v>1114.92</v>
      </c>
      <c r="AM59" s="280">
        <v>6365.51</v>
      </c>
      <c r="AN59" s="280">
        <v>49407.42</v>
      </c>
      <c r="AO59" s="280">
        <v>26069.45</v>
      </c>
      <c r="AP59" s="280">
        <v>9451.99</v>
      </c>
      <c r="AQ59" s="280">
        <v>6037.61</v>
      </c>
      <c r="AR59" s="280">
        <v>5408.64</v>
      </c>
      <c r="AS59" s="280">
        <v>2529.3000000000002</v>
      </c>
      <c r="AT59" s="280">
        <v>0</v>
      </c>
      <c r="AU59" s="280">
        <v>-6263.08</v>
      </c>
      <c r="AV59" s="280">
        <v>28044.85</v>
      </c>
      <c r="AW59" s="280">
        <v>5970.17</v>
      </c>
      <c r="AX59" s="280">
        <v>1403.06</v>
      </c>
      <c r="AY59" s="280">
        <v>3812.04</v>
      </c>
      <c r="AZ59" s="280">
        <v>871.84</v>
      </c>
      <c r="BA59" s="280">
        <v>4502.84</v>
      </c>
      <c r="BB59" s="280">
        <v>11402.86</v>
      </c>
      <c r="BC59" s="280">
        <v>14897.63</v>
      </c>
      <c r="BD59" s="280">
        <v>4094.9</v>
      </c>
      <c r="BE59" s="280">
        <v>0</v>
      </c>
      <c r="BF59" s="280">
        <v>204337.71</v>
      </c>
      <c r="BG59" s="280">
        <v>9400.19</v>
      </c>
      <c r="BH59" s="280">
        <v>11018.07</v>
      </c>
      <c r="BI59" s="280">
        <v>9122.42</v>
      </c>
      <c r="BJ59" s="280">
        <v>7137.41</v>
      </c>
      <c r="BK59" s="280">
        <v>7262.6</v>
      </c>
      <c r="BL59" s="280">
        <v>7998.95</v>
      </c>
      <c r="BM59" s="280">
        <v>2861.93</v>
      </c>
      <c r="BN59" s="280">
        <v>9024.1200000000008</v>
      </c>
      <c r="BO59" s="280">
        <v>3942.1</v>
      </c>
      <c r="BP59" s="280">
        <v>3173.53</v>
      </c>
      <c r="BQ59" s="280">
        <v>8753.18</v>
      </c>
      <c r="BR59" s="280">
        <v>5219.84</v>
      </c>
      <c r="BS59" s="280">
        <v>7086.2</v>
      </c>
      <c r="BT59" s="280">
        <v>9126.86</v>
      </c>
      <c r="BU59" s="280">
        <v>2827.92</v>
      </c>
      <c r="BV59" s="280">
        <v>3074.89</v>
      </c>
      <c r="BW59" s="280">
        <v>3501.69</v>
      </c>
      <c r="BX59" s="280">
        <v>3884.39</v>
      </c>
      <c r="BY59" s="280">
        <v>2784.26</v>
      </c>
      <c r="BZ59" s="280">
        <v>2484.5700000000002</v>
      </c>
      <c r="CA59" s="280">
        <v>3402.63</v>
      </c>
      <c r="CB59" s="280">
        <v>4051.3</v>
      </c>
      <c r="CC59" s="280">
        <v>1206.69</v>
      </c>
      <c r="CD59" s="280">
        <v>1892.67</v>
      </c>
      <c r="CE59" s="280">
        <v>1881.93</v>
      </c>
      <c r="CF59" s="280">
        <v>2822.47</v>
      </c>
      <c r="CG59" s="280">
        <v>2209.8000000000002</v>
      </c>
      <c r="CH59" s="280">
        <v>2551.6999999999998</v>
      </c>
      <c r="CI59" s="280">
        <v>1778.28</v>
      </c>
      <c r="CJ59" s="280">
        <v>3327.6</v>
      </c>
      <c r="CK59" s="280">
        <v>1030.8900000000001</v>
      </c>
      <c r="CL59" s="280">
        <v>1537.75</v>
      </c>
      <c r="CM59" s="280">
        <v>1074.98</v>
      </c>
      <c r="CN59" s="280">
        <v>1534.25</v>
      </c>
      <c r="CO59" s="280">
        <v>1691.46</v>
      </c>
      <c r="CP59" s="280">
        <v>2434.15</v>
      </c>
      <c r="CQ59" s="280">
        <v>2589.5100000000002</v>
      </c>
      <c r="CR59" s="280">
        <v>1315.05</v>
      </c>
      <c r="CS59" s="280">
        <v>1463.73</v>
      </c>
      <c r="CT59" s="280">
        <v>1458.09</v>
      </c>
      <c r="CU59" s="280">
        <v>1468.32</v>
      </c>
      <c r="CV59" s="280">
        <v>1243.1500000000001</v>
      </c>
      <c r="CW59" s="280">
        <v>828.12</v>
      </c>
      <c r="CX59" s="280">
        <v>2256.37</v>
      </c>
      <c r="CY59" s="280">
        <v>1385.46</v>
      </c>
      <c r="CZ59" s="280">
        <v>1347.83</v>
      </c>
      <c r="DA59" s="280">
        <v>1643.63</v>
      </c>
      <c r="DB59" s="280">
        <v>2109.21</v>
      </c>
      <c r="DC59" s="280">
        <v>1823.44</v>
      </c>
      <c r="DD59" s="280">
        <v>1401.37</v>
      </c>
      <c r="DE59" s="280">
        <v>1746.65</v>
      </c>
      <c r="DF59" s="280">
        <v>2020.86</v>
      </c>
      <c r="DG59" s="280">
        <v>1284.24</v>
      </c>
      <c r="DH59" s="280">
        <v>2335.1799999999998</v>
      </c>
      <c r="DI59" s="280">
        <v>1297.69</v>
      </c>
      <c r="DJ59" s="280">
        <v>1207.3399999999999</v>
      </c>
      <c r="DK59" s="280">
        <v>1209.94</v>
      </c>
      <c r="DL59" s="280">
        <v>1374.2</v>
      </c>
      <c r="DM59" s="280">
        <v>1634.64</v>
      </c>
      <c r="DN59" s="280">
        <v>1930.24</v>
      </c>
      <c r="DO59" s="293">
        <v>2891.27</v>
      </c>
      <c r="DP59" s="54">
        <v>2162.61</v>
      </c>
      <c r="DQ59" s="54">
        <v>1436.92</v>
      </c>
      <c r="DR59" s="54">
        <v>1128.0899999999999</v>
      </c>
      <c r="DS59" s="54">
        <v>2686.93</v>
      </c>
      <c r="DT59" s="54">
        <v>1543.96</v>
      </c>
      <c r="EA59" s="54">
        <f t="shared" si="2"/>
        <v>-239235.94</v>
      </c>
      <c r="EB59" s="54">
        <f t="shared" si="3"/>
        <v>26540.05</v>
      </c>
      <c r="EC59" s="54">
        <f t="shared" si="4"/>
        <v>407131.4600000002</v>
      </c>
      <c r="ED59" s="54">
        <f t="shared" si="5"/>
        <v>260294.39</v>
      </c>
      <c r="EE59" s="54">
        <f t="shared" si="6"/>
        <v>-5688.0599999999995</v>
      </c>
      <c r="EF59" s="54">
        <f t="shared" si="1"/>
        <v>84211.470000000016</v>
      </c>
      <c r="EG59" s="54">
        <f t="shared" si="0"/>
        <v>-77517.98000000001</v>
      </c>
    </row>
    <row r="60" spans="1:137">
      <c r="A60" s="279" t="s">
        <v>91</v>
      </c>
      <c r="B60" s="280">
        <v>463641</v>
      </c>
      <c r="C60" s="280">
        <v>0</v>
      </c>
      <c r="D60" s="280">
        <v>-1234320.02</v>
      </c>
      <c r="E60" s="280">
        <v>0</v>
      </c>
      <c r="F60" s="280">
        <v>0</v>
      </c>
      <c r="G60" s="280">
        <v>0</v>
      </c>
      <c r="H60" s="280">
        <v>0</v>
      </c>
      <c r="I60" s="280">
        <v>0</v>
      </c>
      <c r="J60" s="280">
        <v>0</v>
      </c>
      <c r="K60" s="280">
        <v>0</v>
      </c>
      <c r="L60" s="280">
        <v>0</v>
      </c>
      <c r="M60" s="280">
        <v>0</v>
      </c>
      <c r="N60" s="280">
        <v>0</v>
      </c>
      <c r="O60" s="280">
        <v>0</v>
      </c>
      <c r="P60" s="280">
        <v>0</v>
      </c>
      <c r="Q60" s="280">
        <v>0</v>
      </c>
      <c r="R60" s="280">
        <v>0</v>
      </c>
      <c r="S60" s="280">
        <v>0</v>
      </c>
      <c r="T60" s="280">
        <v>0</v>
      </c>
      <c r="U60" s="280"/>
      <c r="V60" s="280">
        <v>0</v>
      </c>
      <c r="W60" s="280">
        <v>76270.33</v>
      </c>
      <c r="X60" s="280">
        <v>874503.85</v>
      </c>
      <c r="Y60" s="280">
        <v>56457.9</v>
      </c>
      <c r="Z60" s="280">
        <v>39798.29</v>
      </c>
      <c r="AA60" s="280">
        <v>13449.21</v>
      </c>
      <c r="AB60" s="280">
        <v>13622.7</v>
      </c>
      <c r="AC60" s="280">
        <v>0</v>
      </c>
      <c r="AD60" s="280">
        <v>33401.46</v>
      </c>
      <c r="AE60" s="280">
        <v>590457.28</v>
      </c>
      <c r="AF60" s="280">
        <v>11332.54</v>
      </c>
      <c r="AG60" s="280">
        <v>822.5</v>
      </c>
      <c r="AH60" s="280">
        <v>13343.86</v>
      </c>
      <c r="AI60" s="280">
        <v>29712.73</v>
      </c>
      <c r="AJ60" s="280">
        <v>8473.82</v>
      </c>
      <c r="AK60" s="280">
        <v>12584.88</v>
      </c>
      <c r="AL60" s="280">
        <v>0</v>
      </c>
      <c r="AM60" s="280">
        <v>8589.81</v>
      </c>
      <c r="AN60" s="280">
        <v>756288.02</v>
      </c>
      <c r="AO60" s="280">
        <v>54373.120000000003</v>
      </c>
      <c r="AP60" s="280">
        <v>26674.83</v>
      </c>
      <c r="AQ60" s="280">
        <v>13193.52</v>
      </c>
      <c r="AR60" s="280">
        <v>10589.31</v>
      </c>
      <c r="AS60" s="280">
        <v>4795.24</v>
      </c>
      <c r="AT60" s="280">
        <v>0</v>
      </c>
      <c r="AU60" s="280">
        <v>15022.47</v>
      </c>
      <c r="AV60" s="280">
        <v>19258.95</v>
      </c>
      <c r="AW60" s="280">
        <v>20995.98</v>
      </c>
      <c r="AX60" s="280">
        <v>1180.5</v>
      </c>
      <c r="AY60" s="280">
        <v>10769.07</v>
      </c>
      <c r="AZ60" s="280">
        <v>2680.14</v>
      </c>
      <c r="BA60" s="280">
        <v>2273.98</v>
      </c>
      <c r="BB60" s="280">
        <v>22606.57</v>
      </c>
      <c r="BC60" s="280">
        <v>16587.169999999998</v>
      </c>
      <c r="BD60" s="280">
        <v>9629.76</v>
      </c>
      <c r="BE60" s="280">
        <v>0</v>
      </c>
      <c r="BF60" s="280">
        <v>539359.80000000005</v>
      </c>
      <c r="BG60" s="280">
        <v>33211.120000000003</v>
      </c>
      <c r="BH60" s="280">
        <v>40360.379999999997</v>
      </c>
      <c r="BI60" s="280">
        <v>28488.73</v>
      </c>
      <c r="BJ60" s="280">
        <v>27474.19</v>
      </c>
      <c r="BK60" s="280">
        <v>41122.65</v>
      </c>
      <c r="BL60" s="280">
        <v>15512.1</v>
      </c>
      <c r="BM60" s="280">
        <v>1390.24</v>
      </c>
      <c r="BN60" s="280">
        <v>42100.71</v>
      </c>
      <c r="BO60" s="280">
        <v>7070</v>
      </c>
      <c r="BP60" s="280">
        <v>2237</v>
      </c>
      <c r="BQ60" s="280">
        <v>2854.4</v>
      </c>
      <c r="BR60" s="280">
        <v>14092.89</v>
      </c>
      <c r="BS60" s="280">
        <v>21600.35</v>
      </c>
      <c r="BT60" s="280">
        <v>7643.53</v>
      </c>
      <c r="BU60" s="280">
        <v>7523.71</v>
      </c>
      <c r="BV60" s="280">
        <v>11957.79</v>
      </c>
      <c r="BW60" s="280">
        <v>16658.04</v>
      </c>
      <c r="BX60" s="280">
        <v>22581.21</v>
      </c>
      <c r="BY60" s="280">
        <v>9955.98</v>
      </c>
      <c r="BZ60" s="280">
        <v>9589.7900000000009</v>
      </c>
      <c r="CA60" s="280">
        <v>15622.59</v>
      </c>
      <c r="CB60" s="280">
        <v>9172.94</v>
      </c>
      <c r="CC60" s="280">
        <v>2160.16</v>
      </c>
      <c r="CD60" s="280">
        <v>3877.23</v>
      </c>
      <c r="CE60" s="280">
        <v>3484.27</v>
      </c>
      <c r="CF60" s="280">
        <v>10544.44</v>
      </c>
      <c r="CG60" s="280">
        <v>5639.86</v>
      </c>
      <c r="CH60" s="280">
        <v>9220.4500000000007</v>
      </c>
      <c r="CI60" s="280">
        <v>6982.37</v>
      </c>
      <c r="CJ60" s="280">
        <v>7300.32</v>
      </c>
      <c r="CK60" s="280">
        <v>0</v>
      </c>
      <c r="CL60" s="280">
        <v>5987.64</v>
      </c>
      <c r="CM60" s="280">
        <v>957.02</v>
      </c>
      <c r="CN60" s="280">
        <v>3515.29</v>
      </c>
      <c r="CO60" s="280">
        <v>4972.08</v>
      </c>
      <c r="CP60" s="280">
        <v>6461.24</v>
      </c>
      <c r="CQ60" s="280">
        <v>1126.82</v>
      </c>
      <c r="CR60" s="280">
        <v>5448</v>
      </c>
      <c r="CS60" s="280">
        <v>1941.95</v>
      </c>
      <c r="CT60" s="280">
        <v>1419</v>
      </c>
      <c r="CU60" s="280">
        <v>1600</v>
      </c>
      <c r="CV60" s="280">
        <v>2864.3</v>
      </c>
      <c r="CW60" s="280">
        <v>581.83000000000004</v>
      </c>
      <c r="CX60" s="280">
        <v>2948.53</v>
      </c>
      <c r="CY60" s="280">
        <v>1114.1400000000001</v>
      </c>
      <c r="CZ60" s="280">
        <v>937</v>
      </c>
      <c r="DA60" s="280">
        <v>1677.65</v>
      </c>
      <c r="DB60" s="280">
        <v>3533.8</v>
      </c>
      <c r="DC60" s="280">
        <v>2868</v>
      </c>
      <c r="DD60" s="280">
        <v>2148.17</v>
      </c>
      <c r="DE60" s="280">
        <v>2184.5</v>
      </c>
      <c r="DF60" s="280">
        <v>2475.83</v>
      </c>
      <c r="DG60" s="280">
        <v>2596.9</v>
      </c>
      <c r="DH60" s="280">
        <v>2780.36</v>
      </c>
      <c r="DI60" s="280">
        <v>1400</v>
      </c>
      <c r="DJ60" s="280">
        <v>2290.09</v>
      </c>
      <c r="DK60" s="280">
        <v>7215.27</v>
      </c>
      <c r="DL60" s="280">
        <v>1275</v>
      </c>
      <c r="DM60" s="280">
        <v>2452</v>
      </c>
      <c r="DN60" s="280">
        <v>1963</v>
      </c>
      <c r="DO60" s="293">
        <v>7250.05</v>
      </c>
      <c r="DP60" s="54">
        <v>4952.3</v>
      </c>
      <c r="DQ60" s="54">
        <v>902</v>
      </c>
      <c r="DR60" s="54">
        <v>2798</v>
      </c>
      <c r="DS60" s="54">
        <v>4657</v>
      </c>
      <c r="DT60" s="54">
        <v>2635.6</v>
      </c>
      <c r="EA60" s="54">
        <f t="shared" si="2"/>
        <v>-590457.28</v>
      </c>
      <c r="EB60" s="54">
        <f t="shared" si="3"/>
        <v>20376.160000000003</v>
      </c>
      <c r="EC60" s="54">
        <f t="shared" si="4"/>
        <v>1076083.9999999998</v>
      </c>
      <c r="ED60" s="54">
        <f t="shared" si="5"/>
        <v>666727.61</v>
      </c>
      <c r="EE60" s="54">
        <f t="shared" si="6"/>
        <v>-27848.720000000001</v>
      </c>
      <c r="EF60" s="54">
        <f t="shared" si="1"/>
        <v>798233.52000000014</v>
      </c>
      <c r="EG60" s="54">
        <f t="shared" si="0"/>
        <v>-819226.45</v>
      </c>
    </row>
    <row r="61" spans="1:137">
      <c r="A61" s="279" t="s">
        <v>92</v>
      </c>
      <c r="B61" s="280">
        <v>6573166.1799999997</v>
      </c>
      <c r="C61" s="280">
        <v>228414.38</v>
      </c>
      <c r="D61" s="280">
        <v>0</v>
      </c>
      <c r="E61" s="280">
        <v>44171.95</v>
      </c>
      <c r="F61" s="280">
        <v>121856.6</v>
      </c>
      <c r="G61" s="280">
        <v>137673.16</v>
      </c>
      <c r="H61" s="280">
        <v>40162.410000000003</v>
      </c>
      <c r="I61" s="280">
        <v>68670.539999999994</v>
      </c>
      <c r="J61" s="280">
        <v>0</v>
      </c>
      <c r="K61" s="280">
        <v>19226.41</v>
      </c>
      <c r="L61" s="280">
        <v>51617.760000000002</v>
      </c>
      <c r="M61" s="280">
        <v>83752.710000000006</v>
      </c>
      <c r="N61" s="280">
        <v>72029.59</v>
      </c>
      <c r="O61" s="280">
        <v>136978.45000000001</v>
      </c>
      <c r="P61" s="280">
        <v>105898.45</v>
      </c>
      <c r="Q61" s="280">
        <v>257265.35</v>
      </c>
      <c r="R61" s="280">
        <v>67678.350000000006</v>
      </c>
      <c r="S61" s="280">
        <v>27609.24</v>
      </c>
      <c r="T61" s="280">
        <v>595</v>
      </c>
      <c r="U61" s="280"/>
      <c r="V61" s="280">
        <v>0</v>
      </c>
      <c r="W61" s="280">
        <v>347102.52</v>
      </c>
      <c r="X61" s="280">
        <v>884222.34</v>
      </c>
      <c r="Y61" s="280">
        <v>274795.26</v>
      </c>
      <c r="Z61" s="280">
        <v>191263.82</v>
      </c>
      <c r="AA61" s="280">
        <v>27645.73</v>
      </c>
      <c r="AB61" s="280">
        <v>-2594.5</v>
      </c>
      <c r="AC61" s="280">
        <v>0</v>
      </c>
      <c r="AD61" s="280">
        <v>222383.66</v>
      </c>
      <c r="AE61" s="280">
        <v>3164747</v>
      </c>
      <c r="AF61" s="280">
        <v>56192.41</v>
      </c>
      <c r="AG61" s="280">
        <v>30096.959999999999</v>
      </c>
      <c r="AH61" s="280">
        <v>49655.71</v>
      </c>
      <c r="AI61" s="280">
        <v>91869.66</v>
      </c>
      <c r="AJ61" s="280">
        <v>48539.02</v>
      </c>
      <c r="AK61" s="280">
        <v>51863.06</v>
      </c>
      <c r="AL61" s="280">
        <v>18885.7</v>
      </c>
      <c r="AM61" s="280">
        <v>114955.02</v>
      </c>
      <c r="AN61" s="280">
        <v>227947.08</v>
      </c>
      <c r="AO61" s="280">
        <v>240283.02</v>
      </c>
      <c r="AP61" s="280">
        <v>181020.5</v>
      </c>
      <c r="AQ61" s="280">
        <v>20857.36</v>
      </c>
      <c r="AR61" s="280">
        <v>57340.68</v>
      </c>
      <c r="AS61" s="280">
        <v>41818.68</v>
      </c>
      <c r="AT61" s="280">
        <v>0</v>
      </c>
      <c r="AU61" s="280">
        <v>63577.75</v>
      </c>
      <c r="AV61" s="280">
        <v>86922.57</v>
      </c>
      <c r="AW61" s="280">
        <v>91223.14</v>
      </c>
      <c r="AX61" s="280">
        <v>33071.800000000003</v>
      </c>
      <c r="AY61" s="280">
        <v>47846.03</v>
      </c>
      <c r="AZ61" s="280">
        <v>-20200.3</v>
      </c>
      <c r="BA61" s="280">
        <v>140379.65</v>
      </c>
      <c r="BB61" s="280">
        <v>90022.17</v>
      </c>
      <c r="BC61" s="280">
        <v>69143.259999999995</v>
      </c>
      <c r="BD61" s="280">
        <v>79787.759999999995</v>
      </c>
      <c r="BE61" s="280">
        <v>0</v>
      </c>
      <c r="BF61" s="280">
        <v>2785414.16</v>
      </c>
      <c r="BG61" s="280">
        <v>117858.65</v>
      </c>
      <c r="BH61" s="280">
        <v>108394.34</v>
      </c>
      <c r="BI61" s="280">
        <v>132556</v>
      </c>
      <c r="BJ61" s="280">
        <v>96179.9</v>
      </c>
      <c r="BK61" s="280">
        <v>107601.37</v>
      </c>
      <c r="BL61" s="280">
        <v>104633.85</v>
      </c>
      <c r="BM61" s="280">
        <v>64848</v>
      </c>
      <c r="BN61" s="280">
        <v>126717.08</v>
      </c>
      <c r="BO61" s="280">
        <v>67533.25</v>
      </c>
      <c r="BP61" s="280">
        <v>59606.78</v>
      </c>
      <c r="BQ61" s="280">
        <v>140325.10999999999</v>
      </c>
      <c r="BR61" s="280">
        <v>54007.12</v>
      </c>
      <c r="BS61" s="280">
        <v>85883.75</v>
      </c>
      <c r="BT61" s="280">
        <v>108677.03</v>
      </c>
      <c r="BU61" s="280">
        <v>54643.98</v>
      </c>
      <c r="BV61" s="280">
        <v>13568.41</v>
      </c>
      <c r="BW61" s="280">
        <v>51869.72</v>
      </c>
      <c r="BX61" s="280">
        <v>55438.94</v>
      </c>
      <c r="BY61" s="280">
        <v>55934</v>
      </c>
      <c r="BZ61" s="280">
        <v>39139.08</v>
      </c>
      <c r="CA61" s="280">
        <v>50511.61</v>
      </c>
      <c r="CB61" s="280">
        <v>59488.69</v>
      </c>
      <c r="CC61" s="280">
        <v>22721.68</v>
      </c>
      <c r="CD61" s="280">
        <v>29620.11</v>
      </c>
      <c r="CE61" s="280">
        <v>47196.7</v>
      </c>
      <c r="CF61" s="280">
        <v>26898.28</v>
      </c>
      <c r="CG61" s="280">
        <v>25124.14</v>
      </c>
      <c r="CH61" s="280">
        <v>33618</v>
      </c>
      <c r="CI61" s="280">
        <v>81917.22</v>
      </c>
      <c r="CJ61" s="280">
        <v>43866.42</v>
      </c>
      <c r="CK61" s="280">
        <v>13606.55</v>
      </c>
      <c r="CL61" s="280">
        <v>20307.11</v>
      </c>
      <c r="CM61" s="280">
        <v>10410.75</v>
      </c>
      <c r="CN61" s="280">
        <v>19232.11</v>
      </c>
      <c r="CO61" s="280">
        <v>18230.72</v>
      </c>
      <c r="CP61" s="280">
        <v>65246</v>
      </c>
      <c r="CQ61" s="280">
        <v>23519.88</v>
      </c>
      <c r="CR61" s="280">
        <v>21817.98</v>
      </c>
      <c r="CS61" s="280">
        <v>19041.77</v>
      </c>
      <c r="CT61" s="280">
        <v>7812.6</v>
      </c>
      <c r="CU61" s="280">
        <v>15920.8</v>
      </c>
      <c r="CV61" s="280">
        <v>10580.67</v>
      </c>
      <c r="CW61" s="280">
        <v>19174</v>
      </c>
      <c r="CX61" s="280">
        <v>9470.48</v>
      </c>
      <c r="CY61" s="280">
        <v>19658.7</v>
      </c>
      <c r="CZ61" s="280">
        <v>14477.86</v>
      </c>
      <c r="DA61" s="280">
        <v>30436.959999999999</v>
      </c>
      <c r="DB61" s="280">
        <v>32261.95</v>
      </c>
      <c r="DC61" s="280">
        <v>20754.13</v>
      </c>
      <c r="DD61" s="280">
        <v>17216.38</v>
      </c>
      <c r="DE61" s="280">
        <v>24739.43</v>
      </c>
      <c r="DF61" s="280">
        <v>15428.92</v>
      </c>
      <c r="DG61" s="280">
        <v>17190.14</v>
      </c>
      <c r="DH61" s="280">
        <v>21739.82</v>
      </c>
      <c r="DI61" s="280">
        <v>10094.959999999999</v>
      </c>
      <c r="DJ61" s="280">
        <v>6908</v>
      </c>
      <c r="DK61" s="280">
        <v>19725.330000000002</v>
      </c>
      <c r="DL61" s="280">
        <v>16583.93</v>
      </c>
      <c r="DM61" s="280">
        <v>20643</v>
      </c>
      <c r="DN61" s="280">
        <v>28324.52</v>
      </c>
      <c r="DO61" s="293">
        <v>34567.879999999997</v>
      </c>
      <c r="DP61" s="54">
        <v>30314.18</v>
      </c>
      <c r="DQ61" s="54">
        <v>11742.67</v>
      </c>
      <c r="DR61" s="54">
        <v>13705.63</v>
      </c>
      <c r="DS61" s="54">
        <v>24544.28</v>
      </c>
      <c r="DT61" s="54">
        <v>13604.86</v>
      </c>
      <c r="EA61" s="54">
        <f t="shared" si="2"/>
        <v>-3164746.9999999991</v>
      </c>
      <c r="EB61" s="54">
        <f t="shared" si="3"/>
        <v>136748.87999999998</v>
      </c>
      <c r="EC61" s="54">
        <f t="shared" si="4"/>
        <v>5557223.46</v>
      </c>
      <c r="ED61" s="54">
        <f t="shared" si="5"/>
        <v>3492963.8200000003</v>
      </c>
      <c r="EE61" s="54">
        <f t="shared" si="6"/>
        <v>-110345.99</v>
      </c>
      <c r="EF61" s="54">
        <f t="shared" si="1"/>
        <v>556005.52</v>
      </c>
      <c r="EG61" s="54">
        <f t="shared" si="0"/>
        <v>-642498.87999999989</v>
      </c>
    </row>
    <row r="62" spans="1:137">
      <c r="A62" s="279" t="s">
        <v>93</v>
      </c>
      <c r="B62" s="280">
        <v>0</v>
      </c>
      <c r="C62" s="280">
        <v>0</v>
      </c>
      <c r="D62" s="280">
        <v>0</v>
      </c>
      <c r="E62" s="280">
        <v>0</v>
      </c>
      <c r="F62" s="280">
        <v>0</v>
      </c>
      <c r="G62" s="280">
        <v>0</v>
      </c>
      <c r="H62" s="280">
        <v>0</v>
      </c>
      <c r="I62" s="280">
        <v>0</v>
      </c>
      <c r="J62" s="280">
        <v>0</v>
      </c>
      <c r="K62" s="280">
        <v>0</v>
      </c>
      <c r="L62" s="280">
        <v>0</v>
      </c>
      <c r="M62" s="280">
        <v>0</v>
      </c>
      <c r="N62" s="280">
        <v>0</v>
      </c>
      <c r="O62" s="280">
        <v>0</v>
      </c>
      <c r="P62" s="280">
        <v>0</v>
      </c>
      <c r="Q62" s="280">
        <v>0</v>
      </c>
      <c r="R62" s="280">
        <v>0</v>
      </c>
      <c r="S62" s="280">
        <v>0</v>
      </c>
      <c r="T62" s="280">
        <v>0</v>
      </c>
      <c r="U62" s="280"/>
      <c r="V62" s="280">
        <v>0</v>
      </c>
      <c r="W62" s="280">
        <v>0</v>
      </c>
      <c r="X62" s="280">
        <v>0</v>
      </c>
      <c r="Y62" s="280">
        <v>0</v>
      </c>
      <c r="Z62" s="280">
        <v>0</v>
      </c>
      <c r="AA62" s="280">
        <v>0</v>
      </c>
      <c r="AB62" s="280">
        <v>0</v>
      </c>
      <c r="AC62" s="280">
        <v>0</v>
      </c>
      <c r="AD62" s="280">
        <v>0</v>
      </c>
      <c r="AE62" s="280">
        <v>0</v>
      </c>
      <c r="AF62" s="280">
        <v>0</v>
      </c>
      <c r="AG62" s="280">
        <v>0</v>
      </c>
      <c r="AH62" s="280">
        <v>0</v>
      </c>
      <c r="AI62" s="280">
        <v>0</v>
      </c>
      <c r="AJ62" s="280">
        <v>0</v>
      </c>
      <c r="AK62" s="280">
        <v>0</v>
      </c>
      <c r="AL62" s="280">
        <v>0</v>
      </c>
      <c r="AM62" s="280">
        <v>0</v>
      </c>
      <c r="AN62" s="280">
        <v>0</v>
      </c>
      <c r="AO62" s="280">
        <v>0</v>
      </c>
      <c r="AP62" s="280">
        <v>0</v>
      </c>
      <c r="AQ62" s="280">
        <v>0</v>
      </c>
      <c r="AR62" s="280">
        <v>0</v>
      </c>
      <c r="AS62" s="280">
        <v>0</v>
      </c>
      <c r="AT62" s="280">
        <v>0</v>
      </c>
      <c r="AU62" s="280">
        <v>0</v>
      </c>
      <c r="AV62" s="280">
        <v>0</v>
      </c>
      <c r="AW62" s="280">
        <v>0</v>
      </c>
      <c r="AX62" s="280">
        <v>0</v>
      </c>
      <c r="AY62" s="280">
        <v>0</v>
      </c>
      <c r="AZ62" s="280">
        <v>0</v>
      </c>
      <c r="BA62" s="280">
        <v>0</v>
      </c>
      <c r="BB62" s="280">
        <v>0</v>
      </c>
      <c r="BC62" s="280">
        <v>0</v>
      </c>
      <c r="BD62" s="280">
        <v>0</v>
      </c>
      <c r="BE62" s="280">
        <v>0</v>
      </c>
      <c r="BF62" s="280">
        <v>0</v>
      </c>
      <c r="BG62" s="280">
        <v>0</v>
      </c>
      <c r="BH62" s="280">
        <v>0</v>
      </c>
      <c r="BI62" s="280">
        <v>0</v>
      </c>
      <c r="BJ62" s="280">
        <v>0</v>
      </c>
      <c r="BK62" s="280">
        <v>0</v>
      </c>
      <c r="BL62" s="280">
        <v>0</v>
      </c>
      <c r="BM62" s="280">
        <v>0</v>
      </c>
      <c r="BN62" s="280">
        <v>0</v>
      </c>
      <c r="BO62" s="280">
        <v>0</v>
      </c>
      <c r="BP62" s="280">
        <v>0</v>
      </c>
      <c r="BQ62" s="280">
        <v>0</v>
      </c>
      <c r="BR62" s="280">
        <v>0</v>
      </c>
      <c r="BS62" s="280">
        <v>0</v>
      </c>
      <c r="BT62" s="280">
        <v>0</v>
      </c>
      <c r="BU62" s="280">
        <v>0</v>
      </c>
      <c r="BV62" s="280">
        <v>0</v>
      </c>
      <c r="BW62" s="280">
        <v>0</v>
      </c>
      <c r="BX62" s="280">
        <v>0</v>
      </c>
      <c r="BY62" s="280">
        <v>0</v>
      </c>
      <c r="BZ62" s="280">
        <v>0</v>
      </c>
      <c r="CA62" s="280">
        <v>0</v>
      </c>
      <c r="CB62" s="280">
        <v>0</v>
      </c>
      <c r="CC62" s="280">
        <v>0</v>
      </c>
      <c r="CD62" s="280">
        <v>0</v>
      </c>
      <c r="CE62" s="280">
        <v>0</v>
      </c>
      <c r="CF62" s="280">
        <v>0</v>
      </c>
      <c r="CG62" s="280">
        <v>0</v>
      </c>
      <c r="CH62" s="280">
        <v>0</v>
      </c>
      <c r="CI62" s="280">
        <v>0</v>
      </c>
      <c r="CJ62" s="280">
        <v>0</v>
      </c>
      <c r="CK62" s="280">
        <v>0</v>
      </c>
      <c r="CL62" s="280">
        <v>0</v>
      </c>
      <c r="CM62" s="280">
        <v>0</v>
      </c>
      <c r="CN62" s="280">
        <v>0</v>
      </c>
      <c r="CO62" s="280">
        <v>0</v>
      </c>
      <c r="CP62" s="280">
        <v>0</v>
      </c>
      <c r="CQ62" s="280">
        <v>0</v>
      </c>
      <c r="CR62" s="280">
        <v>0</v>
      </c>
      <c r="CS62" s="280">
        <v>0</v>
      </c>
      <c r="CT62" s="280">
        <v>0</v>
      </c>
      <c r="CU62" s="280">
        <v>0</v>
      </c>
      <c r="CV62" s="280">
        <v>0</v>
      </c>
      <c r="CW62" s="280">
        <v>0</v>
      </c>
      <c r="CX62" s="280">
        <v>0</v>
      </c>
      <c r="CY62" s="280">
        <v>0</v>
      </c>
      <c r="CZ62" s="280">
        <v>0</v>
      </c>
      <c r="DA62" s="280">
        <v>0</v>
      </c>
      <c r="DB62" s="280">
        <v>0</v>
      </c>
      <c r="DC62" s="280">
        <v>0</v>
      </c>
      <c r="DD62" s="280">
        <v>0</v>
      </c>
      <c r="DE62" s="280">
        <v>0</v>
      </c>
      <c r="DF62" s="280">
        <v>0</v>
      </c>
      <c r="DG62" s="280">
        <v>0</v>
      </c>
      <c r="DH62" s="280">
        <v>0</v>
      </c>
      <c r="DI62" s="280">
        <v>0</v>
      </c>
      <c r="DJ62" s="280">
        <v>0</v>
      </c>
      <c r="DK62" s="280">
        <v>0</v>
      </c>
      <c r="DL62" s="280">
        <v>0</v>
      </c>
      <c r="DM62" s="280">
        <v>0</v>
      </c>
      <c r="DN62" s="280">
        <v>0</v>
      </c>
      <c r="DO62" s="293">
        <v>0</v>
      </c>
      <c r="DP62" s="54">
        <v>0</v>
      </c>
      <c r="DQ62" s="54">
        <v>0</v>
      </c>
      <c r="DR62" s="54">
        <v>0</v>
      </c>
      <c r="DS62" s="54">
        <v>0</v>
      </c>
      <c r="DT62" s="54">
        <v>0</v>
      </c>
      <c r="EA62" s="54">
        <f t="shared" si="2"/>
        <v>0</v>
      </c>
      <c r="EB62" s="54">
        <f t="shared" si="3"/>
        <v>0</v>
      </c>
      <c r="EC62" s="54">
        <f t="shared" si="4"/>
        <v>0</v>
      </c>
      <c r="ED62" s="54">
        <f t="shared" si="5"/>
        <v>0</v>
      </c>
      <c r="EE62" s="54">
        <f t="shared" si="6"/>
        <v>0</v>
      </c>
      <c r="EF62" s="54">
        <f t="shared" si="1"/>
        <v>0</v>
      </c>
      <c r="EG62" s="54">
        <f t="shared" si="0"/>
        <v>0</v>
      </c>
    </row>
    <row r="63" spans="1:137">
      <c r="A63" s="279" t="s">
        <v>94</v>
      </c>
      <c r="B63" s="280">
        <v>1586933.39</v>
      </c>
      <c r="C63" s="280">
        <v>40397.440000000002</v>
      </c>
      <c r="D63" s="280">
        <v>-1022553.76</v>
      </c>
      <c r="E63" s="280">
        <v>16158.97</v>
      </c>
      <c r="F63" s="280">
        <v>-1232988.06</v>
      </c>
      <c r="G63" s="280">
        <v>67329.06</v>
      </c>
      <c r="H63" s="280">
        <v>16158.97</v>
      </c>
      <c r="I63" s="280">
        <v>21545.3</v>
      </c>
      <c r="J63" s="280">
        <v>0</v>
      </c>
      <c r="K63" s="280">
        <v>8079.49</v>
      </c>
      <c r="L63" s="280">
        <v>18852.14</v>
      </c>
      <c r="M63" s="280">
        <v>26931.62</v>
      </c>
      <c r="N63" s="280">
        <v>29624.79</v>
      </c>
      <c r="O63" s="280">
        <v>52917.95</v>
      </c>
      <c r="P63" s="280">
        <v>59249.57</v>
      </c>
      <c r="Q63" s="280">
        <v>110419.66</v>
      </c>
      <c r="R63" s="280">
        <v>16158.97</v>
      </c>
      <c r="S63" s="280">
        <v>5386.32</v>
      </c>
      <c r="T63" s="280">
        <v>0</v>
      </c>
      <c r="U63" s="280"/>
      <c r="V63" s="280">
        <v>0</v>
      </c>
      <c r="W63" s="280">
        <v>147662.38</v>
      </c>
      <c r="X63" s="280">
        <v>327323.93</v>
      </c>
      <c r="Y63" s="280">
        <v>120247</v>
      </c>
      <c r="Z63" s="280">
        <v>102340.17</v>
      </c>
      <c r="AA63" s="280">
        <v>26931.62</v>
      </c>
      <c r="AB63" s="280">
        <v>22029.06</v>
      </c>
      <c r="AC63" s="280">
        <v>0</v>
      </c>
      <c r="AD63" s="280">
        <v>166967.51999999999</v>
      </c>
      <c r="AE63" s="280">
        <v>2439763.2799999998</v>
      </c>
      <c r="AF63" s="280">
        <v>39452.129999999997</v>
      </c>
      <c r="AG63" s="280">
        <v>13465.81</v>
      </c>
      <c r="AH63" s="280">
        <v>24722.22</v>
      </c>
      <c r="AI63" s="280">
        <v>32317.95</v>
      </c>
      <c r="AJ63" s="280">
        <v>16158.97</v>
      </c>
      <c r="AK63" s="280">
        <v>10772.65</v>
      </c>
      <c r="AL63" s="280">
        <v>10772.65</v>
      </c>
      <c r="AM63" s="280">
        <v>59249.57</v>
      </c>
      <c r="AN63" s="280">
        <v>118499.15</v>
      </c>
      <c r="AO63" s="280">
        <v>48476.92</v>
      </c>
      <c r="AP63" s="280">
        <v>79552.990000000005</v>
      </c>
      <c r="AQ63" s="280">
        <v>21545.3</v>
      </c>
      <c r="AR63" s="280">
        <v>0</v>
      </c>
      <c r="AS63" s="280">
        <v>0</v>
      </c>
      <c r="AT63" s="280">
        <v>0</v>
      </c>
      <c r="AU63" s="280">
        <v>23293.16</v>
      </c>
      <c r="AV63" s="280">
        <v>48476.92</v>
      </c>
      <c r="AW63" s="280">
        <v>37704.269999999997</v>
      </c>
      <c r="AX63" s="280">
        <v>10772.65</v>
      </c>
      <c r="AY63" s="280">
        <v>26931.62</v>
      </c>
      <c r="AZ63" s="280">
        <v>0</v>
      </c>
      <c r="BA63" s="280">
        <v>24238.46</v>
      </c>
      <c r="BB63" s="280">
        <v>40881.199999999997</v>
      </c>
      <c r="BC63" s="280">
        <v>24238.46</v>
      </c>
      <c r="BD63" s="280">
        <v>45783.76</v>
      </c>
      <c r="BE63" s="280">
        <v>0</v>
      </c>
      <c r="BF63" s="280">
        <v>2304621.4</v>
      </c>
      <c r="BG63" s="280">
        <v>136592.31</v>
      </c>
      <c r="BH63" s="280">
        <v>133430.76999999999</v>
      </c>
      <c r="BI63" s="280">
        <v>145015.38</v>
      </c>
      <c r="BJ63" s="280">
        <v>123907.69</v>
      </c>
      <c r="BK63" s="280">
        <v>101607.69</v>
      </c>
      <c r="BL63" s="280">
        <v>110992.31</v>
      </c>
      <c r="BM63" s="280">
        <v>54007.69</v>
      </c>
      <c r="BN63" s="280">
        <v>142961.54</v>
      </c>
      <c r="BO63" s="280">
        <v>0</v>
      </c>
      <c r="BP63" s="280">
        <v>0</v>
      </c>
      <c r="BQ63" s="280">
        <v>117546.15</v>
      </c>
      <c r="BR63" s="280">
        <v>60361.54</v>
      </c>
      <c r="BS63" s="280">
        <v>82600</v>
      </c>
      <c r="BT63" s="280">
        <v>44476.92</v>
      </c>
      <c r="BU63" s="280">
        <v>0</v>
      </c>
      <c r="BV63" s="280">
        <v>63492.31</v>
      </c>
      <c r="BW63" s="280">
        <v>66638.460000000006</v>
      </c>
      <c r="BX63" s="280">
        <v>73069.23</v>
      </c>
      <c r="BY63" s="280">
        <v>38123.08</v>
      </c>
      <c r="BZ63" s="280">
        <v>44476.92</v>
      </c>
      <c r="CA63" s="280">
        <v>63507.69</v>
      </c>
      <c r="CB63" s="280">
        <v>76246.149999999994</v>
      </c>
      <c r="CC63" s="280">
        <v>31769.23</v>
      </c>
      <c r="CD63" s="280">
        <v>15876.92</v>
      </c>
      <c r="CE63" s="280">
        <v>12707.69</v>
      </c>
      <c r="CF63" s="280">
        <v>34946.15</v>
      </c>
      <c r="CG63" s="280">
        <v>22246.15</v>
      </c>
      <c r="CH63" s="280">
        <v>50830.77</v>
      </c>
      <c r="CI63" s="280">
        <v>28592.31</v>
      </c>
      <c r="CJ63" s="280">
        <v>41269.230000000003</v>
      </c>
      <c r="CK63" s="280">
        <v>9530.77</v>
      </c>
      <c r="CL63" s="280">
        <v>22238.46</v>
      </c>
      <c r="CM63" s="280">
        <v>12707.69</v>
      </c>
      <c r="CN63" s="280">
        <v>12707.69</v>
      </c>
      <c r="CO63" s="280">
        <v>3176.92</v>
      </c>
      <c r="CP63" s="280">
        <v>0</v>
      </c>
      <c r="CQ63" s="280">
        <v>31769.23</v>
      </c>
      <c r="CR63" s="280">
        <v>6353.85</v>
      </c>
      <c r="CS63" s="280">
        <v>12707.69</v>
      </c>
      <c r="CT63" s="280">
        <v>9538.4599999999991</v>
      </c>
      <c r="CU63" s="280">
        <v>0</v>
      </c>
      <c r="CV63" s="280">
        <v>9523.08</v>
      </c>
      <c r="CW63" s="280">
        <v>24307.98</v>
      </c>
      <c r="CX63" s="280">
        <v>19061.54</v>
      </c>
      <c r="CY63" s="280">
        <v>22797.84</v>
      </c>
      <c r="CZ63" s="280">
        <v>9530.77</v>
      </c>
      <c r="DA63" s="280">
        <v>6353.85</v>
      </c>
      <c r="DB63" s="280">
        <v>12707.69</v>
      </c>
      <c r="DC63" s="280">
        <v>0</v>
      </c>
      <c r="DD63" s="280">
        <v>12707.69</v>
      </c>
      <c r="DE63" s="280">
        <v>0</v>
      </c>
      <c r="DF63" s="280">
        <v>0</v>
      </c>
      <c r="DG63" s="280">
        <v>3531</v>
      </c>
      <c r="DH63" s="280">
        <v>9530.77</v>
      </c>
      <c r="DI63" s="280">
        <v>6353.85</v>
      </c>
      <c r="DJ63" s="280">
        <v>0</v>
      </c>
      <c r="DK63" s="280">
        <v>12707.69</v>
      </c>
      <c r="DL63" s="280">
        <v>9530.77</v>
      </c>
      <c r="DM63" s="280">
        <v>15884.62</v>
      </c>
      <c r="DN63" s="280">
        <v>0</v>
      </c>
      <c r="DO63" s="293">
        <v>25415.38</v>
      </c>
      <c r="DP63" s="54">
        <v>0</v>
      </c>
      <c r="DQ63" s="54">
        <v>0</v>
      </c>
      <c r="DR63" s="54">
        <v>12707.69</v>
      </c>
      <c r="DS63" s="54">
        <v>31707.69</v>
      </c>
      <c r="DT63" s="54">
        <v>22238.46</v>
      </c>
      <c r="EA63" s="54">
        <f t="shared" si="2"/>
        <v>-2439763.2799999998</v>
      </c>
      <c r="EB63" s="54">
        <f t="shared" si="3"/>
        <v>-31825.639999999985</v>
      </c>
      <c r="EC63" s="54">
        <f t="shared" si="4"/>
        <v>4587004.3400000008</v>
      </c>
      <c r="ED63" s="54">
        <f t="shared" si="5"/>
        <v>2576653.0100000002</v>
      </c>
      <c r="EE63" s="54">
        <f t="shared" si="6"/>
        <v>-64635.9</v>
      </c>
      <c r="EF63" s="54">
        <f t="shared" si="1"/>
        <v>190434.19999999995</v>
      </c>
      <c r="EG63" s="54">
        <f t="shared" si="0"/>
        <v>-217849.58</v>
      </c>
    </row>
    <row r="64" spans="1:137">
      <c r="A64" s="279" t="s">
        <v>95</v>
      </c>
      <c r="B64" s="280">
        <v>194203.1</v>
      </c>
      <c r="C64" s="280">
        <v>840</v>
      </c>
      <c r="D64" s="280">
        <v>0</v>
      </c>
      <c r="E64" s="280">
        <v>840</v>
      </c>
      <c r="F64" s="280">
        <v>2750</v>
      </c>
      <c r="G64" s="280">
        <v>0</v>
      </c>
      <c r="H64" s="280">
        <v>0</v>
      </c>
      <c r="I64" s="280">
        <v>0</v>
      </c>
      <c r="J64" s="280">
        <v>0</v>
      </c>
      <c r="K64" s="280">
        <v>0</v>
      </c>
      <c r="L64" s="280">
        <v>0</v>
      </c>
      <c r="M64" s="280">
        <v>0</v>
      </c>
      <c r="N64" s="280">
        <v>0</v>
      </c>
      <c r="O64" s="280">
        <v>1640</v>
      </c>
      <c r="P64" s="280">
        <v>0</v>
      </c>
      <c r="Q64" s="280">
        <v>18900</v>
      </c>
      <c r="R64" s="280">
        <v>1260</v>
      </c>
      <c r="S64" s="280">
        <v>0</v>
      </c>
      <c r="T64" s="280">
        <v>0</v>
      </c>
      <c r="U64" s="280"/>
      <c r="V64" s="280">
        <v>0</v>
      </c>
      <c r="W64" s="280">
        <v>13020</v>
      </c>
      <c r="X64" s="280">
        <v>0</v>
      </c>
      <c r="Y64" s="280">
        <v>6913.1</v>
      </c>
      <c r="Z64" s="280">
        <v>0</v>
      </c>
      <c r="AA64" s="280">
        <v>5040</v>
      </c>
      <c r="AB64" s="280">
        <v>3780</v>
      </c>
      <c r="AC64" s="280">
        <v>0</v>
      </c>
      <c r="AD64" s="280">
        <v>13860</v>
      </c>
      <c r="AE64" s="280">
        <v>125360</v>
      </c>
      <c r="AF64" s="280">
        <v>0</v>
      </c>
      <c r="AG64" s="280">
        <v>0</v>
      </c>
      <c r="AH64" s="280">
        <v>0</v>
      </c>
      <c r="AI64" s="280">
        <v>5880</v>
      </c>
      <c r="AJ64" s="280">
        <v>3780</v>
      </c>
      <c r="AK64" s="280">
        <v>3360</v>
      </c>
      <c r="AL64" s="280">
        <v>0</v>
      </c>
      <c r="AM64" s="280">
        <v>0</v>
      </c>
      <c r="AN64" s="280">
        <v>0</v>
      </c>
      <c r="AO64" s="280">
        <v>0</v>
      </c>
      <c r="AP64" s="280">
        <v>0</v>
      </c>
      <c r="AQ64" s="280">
        <v>0</v>
      </c>
      <c r="AR64" s="280">
        <v>0</v>
      </c>
      <c r="AS64" s="280">
        <v>0</v>
      </c>
      <c r="AT64" s="280">
        <v>0</v>
      </c>
      <c r="AU64" s="280">
        <v>4813.1000000000004</v>
      </c>
      <c r="AV64" s="280">
        <v>0</v>
      </c>
      <c r="AW64" s="280">
        <v>0</v>
      </c>
      <c r="AX64" s="280">
        <v>2100</v>
      </c>
      <c r="AY64" s="280">
        <v>3780</v>
      </c>
      <c r="AZ64" s="280">
        <v>1260</v>
      </c>
      <c r="BA64" s="280">
        <v>8820</v>
      </c>
      <c r="BB64" s="280">
        <v>0</v>
      </c>
      <c r="BC64" s="280">
        <v>0</v>
      </c>
      <c r="BD64" s="280">
        <v>0</v>
      </c>
      <c r="BE64" s="280">
        <v>0</v>
      </c>
      <c r="BF64" s="280">
        <v>116540</v>
      </c>
      <c r="BG64" s="280">
        <v>3780</v>
      </c>
      <c r="BH64" s="280">
        <v>2940</v>
      </c>
      <c r="BI64" s="280">
        <v>3780</v>
      </c>
      <c r="BJ64" s="280">
        <v>3360</v>
      </c>
      <c r="BK64" s="280">
        <v>3360</v>
      </c>
      <c r="BL64" s="280">
        <v>2940</v>
      </c>
      <c r="BM64" s="280">
        <v>1680</v>
      </c>
      <c r="BN64" s="280">
        <v>2940</v>
      </c>
      <c r="BO64" s="280">
        <v>2100</v>
      </c>
      <c r="BP64" s="280">
        <v>2520</v>
      </c>
      <c r="BQ64" s="280">
        <v>2940</v>
      </c>
      <c r="BR64" s="280">
        <v>3360</v>
      </c>
      <c r="BS64" s="280">
        <v>3360</v>
      </c>
      <c r="BT64" s="280">
        <v>2100</v>
      </c>
      <c r="BU64" s="280">
        <v>2100</v>
      </c>
      <c r="BV64" s="280">
        <v>1680</v>
      </c>
      <c r="BW64" s="280">
        <v>2520</v>
      </c>
      <c r="BX64" s="280">
        <v>2520</v>
      </c>
      <c r="BY64" s="280">
        <v>1260</v>
      </c>
      <c r="BZ64" s="280">
        <v>1680</v>
      </c>
      <c r="CA64" s="280">
        <v>2520</v>
      </c>
      <c r="CB64" s="280">
        <v>2940</v>
      </c>
      <c r="CC64" s="280">
        <v>1260</v>
      </c>
      <c r="CD64" s="280">
        <v>1260</v>
      </c>
      <c r="CE64" s="280">
        <v>1260</v>
      </c>
      <c r="CF64" s="280">
        <v>1260</v>
      </c>
      <c r="CG64" s="280">
        <v>1260</v>
      </c>
      <c r="CH64" s="280">
        <v>1260</v>
      </c>
      <c r="CI64" s="280">
        <v>1260</v>
      </c>
      <c r="CJ64" s="280">
        <v>0</v>
      </c>
      <c r="CK64" s="280">
        <v>840</v>
      </c>
      <c r="CL64" s="280">
        <v>1260</v>
      </c>
      <c r="CM64" s="280">
        <v>840</v>
      </c>
      <c r="CN64" s="280">
        <v>1260</v>
      </c>
      <c r="CO64" s="280">
        <v>1260</v>
      </c>
      <c r="CP64" s="280">
        <v>2520</v>
      </c>
      <c r="CQ64" s="280">
        <v>1680</v>
      </c>
      <c r="CR64" s="280">
        <v>1260</v>
      </c>
      <c r="CS64" s="280">
        <v>1260</v>
      </c>
      <c r="CT64" s="280">
        <v>1260</v>
      </c>
      <c r="CU64" s="280">
        <v>1680</v>
      </c>
      <c r="CV64" s="280">
        <v>1260</v>
      </c>
      <c r="CW64" s="280">
        <v>1460</v>
      </c>
      <c r="CX64" s="280">
        <v>1260</v>
      </c>
      <c r="CY64" s="280">
        <v>1260</v>
      </c>
      <c r="CZ64" s="280">
        <v>1260</v>
      </c>
      <c r="DA64" s="280">
        <v>1260</v>
      </c>
      <c r="DB64" s="280">
        <v>1260</v>
      </c>
      <c r="DC64" s="280">
        <v>1680</v>
      </c>
      <c r="DD64" s="280">
        <v>1260</v>
      </c>
      <c r="DE64" s="280">
        <v>1260</v>
      </c>
      <c r="DF64" s="280">
        <v>1260</v>
      </c>
      <c r="DG64" s="280">
        <v>1260</v>
      </c>
      <c r="DH64" s="280">
        <v>1260</v>
      </c>
      <c r="DI64" s="280">
        <v>840</v>
      </c>
      <c r="DJ64" s="280">
        <v>1260</v>
      </c>
      <c r="DK64" s="280">
        <v>1680</v>
      </c>
      <c r="DL64" s="280">
        <v>1260</v>
      </c>
      <c r="DM64" s="280">
        <v>1680</v>
      </c>
      <c r="DN64" s="280">
        <v>1260</v>
      </c>
      <c r="DO64" s="293">
        <v>2520</v>
      </c>
      <c r="DP64" s="54">
        <v>2100</v>
      </c>
      <c r="DQ64" s="54">
        <v>1260</v>
      </c>
      <c r="DR64" s="54">
        <v>840</v>
      </c>
      <c r="DS64" s="54">
        <v>1260</v>
      </c>
      <c r="DT64" s="54">
        <v>1260</v>
      </c>
      <c r="EA64" s="54">
        <f t="shared" si="2"/>
        <v>-125360</v>
      </c>
      <c r="EB64" s="54">
        <f t="shared" si="3"/>
        <v>-3780</v>
      </c>
      <c r="EC64" s="54">
        <f t="shared" si="4"/>
        <v>231820</v>
      </c>
      <c r="ED64" s="54">
        <f t="shared" si="5"/>
        <v>138380</v>
      </c>
      <c r="EE64" s="54">
        <f t="shared" si="6"/>
        <v>5880</v>
      </c>
      <c r="EF64" s="54">
        <f t="shared" si="1"/>
        <v>-13020</v>
      </c>
      <c r="EG64" s="54">
        <f t="shared" si="0"/>
        <v>4813.1000000000004</v>
      </c>
    </row>
    <row r="65" spans="1:137">
      <c r="A65" s="279" t="s">
        <v>96</v>
      </c>
      <c r="B65" s="280">
        <v>413708.12</v>
      </c>
      <c r="C65" s="280">
        <v>0</v>
      </c>
      <c r="D65" s="280">
        <v>0</v>
      </c>
      <c r="E65" s="280">
        <v>0</v>
      </c>
      <c r="F65" s="280">
        <v>35518.050000000003</v>
      </c>
      <c r="G65" s="280">
        <v>0</v>
      </c>
      <c r="H65" s="280">
        <v>0</v>
      </c>
      <c r="I65" s="280">
        <v>5781.71</v>
      </c>
      <c r="J65" s="280">
        <v>0</v>
      </c>
      <c r="K65" s="280">
        <v>0</v>
      </c>
      <c r="L65" s="280">
        <v>0</v>
      </c>
      <c r="M65" s="280">
        <v>0</v>
      </c>
      <c r="N65" s="280">
        <v>0</v>
      </c>
      <c r="O65" s="280">
        <v>0</v>
      </c>
      <c r="P65" s="280">
        <v>0</v>
      </c>
      <c r="Q65" s="280">
        <v>110887.03</v>
      </c>
      <c r="R65" s="280">
        <v>0</v>
      </c>
      <c r="S65" s="280">
        <v>0</v>
      </c>
      <c r="T65" s="280">
        <v>0</v>
      </c>
      <c r="U65" s="280"/>
      <c r="V65" s="280">
        <v>0</v>
      </c>
      <c r="W65" s="280">
        <v>34885.81</v>
      </c>
      <c r="X65" s="280">
        <v>11109.4</v>
      </c>
      <c r="Y65" s="280">
        <v>0</v>
      </c>
      <c r="Z65" s="280">
        <v>0</v>
      </c>
      <c r="AA65" s="280">
        <v>0</v>
      </c>
      <c r="AB65" s="280">
        <v>0</v>
      </c>
      <c r="AC65" s="280">
        <v>0</v>
      </c>
      <c r="AD65" s="280">
        <v>215526.12</v>
      </c>
      <c r="AE65" s="280">
        <v>0</v>
      </c>
      <c r="AF65" s="280">
        <v>34885.81</v>
      </c>
      <c r="AG65" s="280">
        <v>0</v>
      </c>
      <c r="AH65" s="280">
        <v>0</v>
      </c>
      <c r="AI65" s="280">
        <v>0</v>
      </c>
      <c r="AJ65" s="280">
        <v>0</v>
      </c>
      <c r="AK65" s="280">
        <v>0</v>
      </c>
      <c r="AL65" s="280">
        <v>0</v>
      </c>
      <c r="AM65" s="280">
        <v>11109.4</v>
      </c>
      <c r="AN65" s="280">
        <v>0</v>
      </c>
      <c r="AO65" s="280">
        <v>0</v>
      </c>
      <c r="AP65" s="280">
        <v>0</v>
      </c>
      <c r="AQ65" s="280">
        <v>0</v>
      </c>
      <c r="AR65" s="280">
        <v>0</v>
      </c>
      <c r="AS65" s="280">
        <v>0</v>
      </c>
      <c r="AT65" s="280">
        <v>0</v>
      </c>
      <c r="AU65" s="280">
        <v>0</v>
      </c>
      <c r="AV65" s="280">
        <v>0</v>
      </c>
      <c r="AW65" s="280">
        <v>0</v>
      </c>
      <c r="AX65" s="280">
        <v>0</v>
      </c>
      <c r="AY65" s="280">
        <v>0</v>
      </c>
      <c r="AZ65" s="280">
        <v>0</v>
      </c>
      <c r="BA65" s="280">
        <v>0</v>
      </c>
      <c r="BB65" s="280">
        <v>0</v>
      </c>
      <c r="BC65" s="280">
        <v>0</v>
      </c>
      <c r="BD65" s="280">
        <v>0</v>
      </c>
      <c r="BE65" s="280">
        <v>0</v>
      </c>
      <c r="BF65" s="280">
        <v>0</v>
      </c>
      <c r="BG65" s="280">
        <v>0</v>
      </c>
      <c r="BH65" s="280">
        <v>0</v>
      </c>
      <c r="BI65" s="280">
        <v>0</v>
      </c>
      <c r="BJ65" s="280">
        <v>0</v>
      </c>
      <c r="BK65" s="280">
        <v>0</v>
      </c>
      <c r="BL65" s="280">
        <v>0</v>
      </c>
      <c r="BM65" s="280">
        <v>0</v>
      </c>
      <c r="BN65" s="280">
        <v>0</v>
      </c>
      <c r="BO65" s="280">
        <v>0</v>
      </c>
      <c r="BP65" s="280">
        <v>0</v>
      </c>
      <c r="BQ65" s="280">
        <v>0</v>
      </c>
      <c r="BR65" s="280">
        <v>0</v>
      </c>
      <c r="BS65" s="280">
        <v>0</v>
      </c>
      <c r="BT65" s="280">
        <v>0</v>
      </c>
      <c r="BU65" s="280">
        <v>0</v>
      </c>
      <c r="BV65" s="280">
        <v>0</v>
      </c>
      <c r="BW65" s="280">
        <v>0</v>
      </c>
      <c r="BX65" s="280">
        <v>0</v>
      </c>
      <c r="BY65" s="280">
        <v>0</v>
      </c>
      <c r="BZ65" s="280">
        <v>0</v>
      </c>
      <c r="CA65" s="280">
        <v>0</v>
      </c>
      <c r="CB65" s="280">
        <v>0</v>
      </c>
      <c r="CC65" s="280">
        <v>0</v>
      </c>
      <c r="CD65" s="280">
        <v>0</v>
      </c>
      <c r="CE65" s="280">
        <v>0</v>
      </c>
      <c r="CF65" s="280">
        <v>0</v>
      </c>
      <c r="CG65" s="280">
        <v>0</v>
      </c>
      <c r="CH65" s="280">
        <v>0</v>
      </c>
      <c r="CI65" s="280">
        <v>0</v>
      </c>
      <c r="CJ65" s="280">
        <v>0</v>
      </c>
      <c r="CK65" s="280">
        <v>0</v>
      </c>
      <c r="CL65" s="280">
        <v>0</v>
      </c>
      <c r="CM65" s="280">
        <v>0</v>
      </c>
      <c r="CN65" s="280">
        <v>0</v>
      </c>
      <c r="CO65" s="280">
        <v>0</v>
      </c>
      <c r="CP65" s="280">
        <v>0</v>
      </c>
      <c r="CQ65" s="280">
        <v>0</v>
      </c>
      <c r="CR65" s="280">
        <v>0</v>
      </c>
      <c r="CS65" s="280">
        <v>0</v>
      </c>
      <c r="CT65" s="280">
        <v>0</v>
      </c>
      <c r="CU65" s="280">
        <v>0</v>
      </c>
      <c r="CV65" s="280">
        <v>0</v>
      </c>
      <c r="CW65" s="280">
        <v>0</v>
      </c>
      <c r="CX65" s="280">
        <v>0</v>
      </c>
      <c r="CY65" s="280">
        <v>0</v>
      </c>
      <c r="CZ65" s="280">
        <v>0</v>
      </c>
      <c r="DA65" s="280">
        <v>0</v>
      </c>
      <c r="DB65" s="280">
        <v>0</v>
      </c>
      <c r="DC65" s="280">
        <v>0</v>
      </c>
      <c r="DD65" s="280">
        <v>0</v>
      </c>
      <c r="DE65" s="280">
        <v>0</v>
      </c>
      <c r="DF65" s="280">
        <v>0</v>
      </c>
      <c r="DG65" s="280">
        <v>0</v>
      </c>
      <c r="DH65" s="280">
        <v>0</v>
      </c>
      <c r="DI65" s="280">
        <v>0</v>
      </c>
      <c r="DJ65" s="280">
        <v>0</v>
      </c>
      <c r="DK65" s="280">
        <v>0</v>
      </c>
      <c r="DL65" s="280">
        <v>0</v>
      </c>
      <c r="DM65" s="280">
        <v>0</v>
      </c>
      <c r="DN65" s="280">
        <v>0</v>
      </c>
      <c r="DO65" s="293">
        <v>0</v>
      </c>
      <c r="DP65" s="54">
        <v>0</v>
      </c>
      <c r="DQ65" s="54">
        <v>0</v>
      </c>
      <c r="DR65" s="54">
        <v>0</v>
      </c>
      <c r="DS65" s="54">
        <v>0</v>
      </c>
      <c r="DT65" s="54">
        <v>0</v>
      </c>
      <c r="EA65" s="54">
        <f t="shared" si="2"/>
        <v>0</v>
      </c>
      <c r="EB65" s="54">
        <f t="shared" si="3"/>
        <v>-215526.12</v>
      </c>
      <c r="EC65" s="54">
        <f t="shared" si="4"/>
        <v>0</v>
      </c>
      <c r="ED65" s="54">
        <f t="shared" si="5"/>
        <v>34885.81</v>
      </c>
      <c r="EE65" s="54">
        <f t="shared" si="6"/>
        <v>0</v>
      </c>
      <c r="EF65" s="54">
        <f>SUM(AL65:AS65)-W65</f>
        <v>-23776.409999999996</v>
      </c>
      <c r="EG65" s="54">
        <f t="shared" si="0"/>
        <v>-11109.4</v>
      </c>
    </row>
    <row r="66" spans="1:137">
      <c r="A66" s="279" t="s">
        <v>97</v>
      </c>
      <c r="B66" s="280">
        <v>1217459.08</v>
      </c>
      <c r="C66" s="280">
        <v>0</v>
      </c>
      <c r="D66" s="280">
        <v>0</v>
      </c>
      <c r="E66" s="280">
        <v>0</v>
      </c>
      <c r="F66" s="280">
        <v>0</v>
      </c>
      <c r="G66" s="280">
        <v>0</v>
      </c>
      <c r="H66" s="280">
        <v>0</v>
      </c>
      <c r="I66" s="280">
        <v>0</v>
      </c>
      <c r="J66" s="280">
        <v>0</v>
      </c>
      <c r="K66" s="280">
        <v>0</v>
      </c>
      <c r="L66" s="280">
        <v>0</v>
      </c>
      <c r="M66" s="280">
        <v>0</v>
      </c>
      <c r="N66" s="280">
        <v>0</v>
      </c>
      <c r="O66" s="280">
        <v>0</v>
      </c>
      <c r="P66" s="280">
        <v>0</v>
      </c>
      <c r="Q66" s="280">
        <v>0</v>
      </c>
      <c r="R66" s="280">
        <v>0</v>
      </c>
      <c r="S66" s="280">
        <v>0</v>
      </c>
      <c r="T66" s="280">
        <v>0</v>
      </c>
      <c r="U66" s="280"/>
      <c r="V66" s="280">
        <v>0</v>
      </c>
      <c r="W66" s="280">
        <v>0</v>
      </c>
      <c r="X66" s="280">
        <v>0</v>
      </c>
      <c r="Y66" s="280">
        <v>1217459.08</v>
      </c>
      <c r="Z66" s="280">
        <v>0</v>
      </c>
      <c r="AA66" s="280">
        <v>0</v>
      </c>
      <c r="AB66" s="280">
        <v>0</v>
      </c>
      <c r="AC66" s="280">
        <v>0</v>
      </c>
      <c r="AD66" s="280">
        <v>0</v>
      </c>
      <c r="AE66" s="280">
        <v>0</v>
      </c>
      <c r="AF66" s="280">
        <v>0</v>
      </c>
      <c r="AG66" s="280">
        <v>0</v>
      </c>
      <c r="AH66" s="280">
        <v>0</v>
      </c>
      <c r="AI66" s="280">
        <v>0</v>
      </c>
      <c r="AJ66" s="280">
        <v>0</v>
      </c>
      <c r="AK66" s="280">
        <v>0</v>
      </c>
      <c r="AL66" s="280">
        <v>0</v>
      </c>
      <c r="AM66" s="280">
        <v>0</v>
      </c>
      <c r="AN66" s="280">
        <v>0</v>
      </c>
      <c r="AO66" s="280">
        <v>0</v>
      </c>
      <c r="AP66" s="280">
        <v>0</v>
      </c>
      <c r="AQ66" s="280">
        <v>0</v>
      </c>
      <c r="AR66" s="280">
        <v>0</v>
      </c>
      <c r="AS66" s="280">
        <v>0</v>
      </c>
      <c r="AT66" s="280">
        <v>0</v>
      </c>
      <c r="AU66" s="280">
        <v>0</v>
      </c>
      <c r="AV66" s="280">
        <v>1217459.08</v>
      </c>
      <c r="AW66" s="280">
        <v>0</v>
      </c>
      <c r="AX66" s="280">
        <v>0</v>
      </c>
      <c r="AY66" s="280">
        <v>0</v>
      </c>
      <c r="AZ66" s="280">
        <v>0</v>
      </c>
      <c r="BA66" s="280">
        <v>0</v>
      </c>
      <c r="BB66" s="280">
        <v>0</v>
      </c>
      <c r="BC66" s="280">
        <v>0</v>
      </c>
      <c r="BD66" s="280">
        <v>0</v>
      </c>
      <c r="BE66" s="280">
        <v>0</v>
      </c>
      <c r="BF66" s="280">
        <v>0</v>
      </c>
      <c r="BG66" s="280">
        <v>0</v>
      </c>
      <c r="BH66" s="280">
        <v>0</v>
      </c>
      <c r="BI66" s="280">
        <v>0</v>
      </c>
      <c r="BJ66" s="280">
        <v>0</v>
      </c>
      <c r="BK66" s="280">
        <v>0</v>
      </c>
      <c r="BL66" s="280">
        <v>0</v>
      </c>
      <c r="BM66" s="280">
        <v>0</v>
      </c>
      <c r="BN66" s="280">
        <v>0</v>
      </c>
      <c r="BO66" s="280">
        <v>0</v>
      </c>
      <c r="BP66" s="280">
        <v>0</v>
      </c>
      <c r="BQ66" s="280">
        <v>0</v>
      </c>
      <c r="BR66" s="280">
        <v>0</v>
      </c>
      <c r="BS66" s="280">
        <v>0</v>
      </c>
      <c r="BT66" s="280">
        <v>0</v>
      </c>
      <c r="BU66" s="280">
        <v>0</v>
      </c>
      <c r="BV66" s="280">
        <v>0</v>
      </c>
      <c r="BW66" s="280">
        <v>0</v>
      </c>
      <c r="BX66" s="280">
        <v>0</v>
      </c>
      <c r="BY66" s="280">
        <v>0</v>
      </c>
      <c r="BZ66" s="280">
        <v>0</v>
      </c>
      <c r="CA66" s="280">
        <v>0</v>
      </c>
      <c r="CB66" s="280">
        <v>0</v>
      </c>
      <c r="CC66" s="280">
        <v>0</v>
      </c>
      <c r="CD66" s="280">
        <v>0</v>
      </c>
      <c r="CE66" s="280">
        <v>0</v>
      </c>
      <c r="CF66" s="280">
        <v>0</v>
      </c>
      <c r="CG66" s="280">
        <v>0</v>
      </c>
      <c r="CH66" s="280">
        <v>0</v>
      </c>
      <c r="CI66" s="280">
        <v>0</v>
      </c>
      <c r="CJ66" s="280">
        <v>0</v>
      </c>
      <c r="CK66" s="280">
        <v>0</v>
      </c>
      <c r="CL66" s="280">
        <v>0</v>
      </c>
      <c r="CM66" s="280">
        <v>0</v>
      </c>
      <c r="CN66" s="280">
        <v>0</v>
      </c>
      <c r="CO66" s="280">
        <v>0</v>
      </c>
      <c r="CP66" s="280">
        <v>0</v>
      </c>
      <c r="CQ66" s="280">
        <v>0</v>
      </c>
      <c r="CR66" s="280">
        <v>0</v>
      </c>
      <c r="CS66" s="280">
        <v>0</v>
      </c>
      <c r="CT66" s="280">
        <v>0</v>
      </c>
      <c r="CU66" s="280">
        <v>0</v>
      </c>
      <c r="CV66" s="280">
        <v>0</v>
      </c>
      <c r="CW66" s="280">
        <v>0</v>
      </c>
      <c r="CX66" s="280">
        <v>0</v>
      </c>
      <c r="CY66" s="280">
        <v>0</v>
      </c>
      <c r="CZ66" s="280">
        <v>0</v>
      </c>
      <c r="DA66" s="280">
        <v>0</v>
      </c>
      <c r="DB66" s="280">
        <v>0</v>
      </c>
      <c r="DC66" s="280">
        <v>0</v>
      </c>
      <c r="DD66" s="280">
        <v>0</v>
      </c>
      <c r="DE66" s="280">
        <v>0</v>
      </c>
      <c r="DF66" s="280">
        <v>0</v>
      </c>
      <c r="DG66" s="280">
        <v>0</v>
      </c>
      <c r="DH66" s="280">
        <v>0</v>
      </c>
      <c r="DI66" s="280">
        <v>0</v>
      </c>
      <c r="DJ66" s="280">
        <v>0</v>
      </c>
      <c r="DK66" s="280">
        <v>0</v>
      </c>
      <c r="DL66" s="280">
        <v>0</v>
      </c>
      <c r="DM66" s="280">
        <v>0</v>
      </c>
      <c r="DN66" s="280">
        <v>0</v>
      </c>
      <c r="DO66" s="293">
        <v>0</v>
      </c>
      <c r="DP66" s="54">
        <v>0</v>
      </c>
      <c r="DQ66" s="54">
        <v>0</v>
      </c>
      <c r="DR66" s="54">
        <v>0</v>
      </c>
      <c r="DS66" s="54">
        <v>0</v>
      </c>
      <c r="DT66" s="54">
        <v>0</v>
      </c>
      <c r="EA66" s="54">
        <f t="shared" si="2"/>
        <v>0</v>
      </c>
      <c r="EB66" s="54">
        <f t="shared" si="3"/>
        <v>0</v>
      </c>
      <c r="EC66" s="54">
        <f t="shared" si="4"/>
        <v>0</v>
      </c>
      <c r="ED66" s="54">
        <f t="shared" si="5"/>
        <v>0</v>
      </c>
      <c r="EE66" s="54">
        <f t="shared" si="6"/>
        <v>0</v>
      </c>
      <c r="EF66" s="54">
        <f t="shared" si="1"/>
        <v>0</v>
      </c>
      <c r="EG66" s="54">
        <f t="shared" si="0"/>
        <v>1217459.08</v>
      </c>
    </row>
    <row r="67" spans="1:137" s="52" customFormat="1">
      <c r="A67" s="297" t="s">
        <v>548</v>
      </c>
      <c r="B67" s="298">
        <v>35562200.859999999</v>
      </c>
      <c r="C67" s="298">
        <v>1292409.04</v>
      </c>
      <c r="D67" s="298">
        <v>5903141.6100000003</v>
      </c>
      <c r="E67" s="298">
        <v>190548.76</v>
      </c>
      <c r="F67" s="298">
        <v>-774522.89</v>
      </c>
      <c r="G67" s="298">
        <v>570205.5</v>
      </c>
      <c r="H67" s="298">
        <v>158502.92000000001</v>
      </c>
      <c r="I67" s="298">
        <v>290790.78000000003</v>
      </c>
      <c r="J67" s="298">
        <v>0</v>
      </c>
      <c r="K67" s="298">
        <v>76713.960000000006</v>
      </c>
      <c r="L67" s="298">
        <v>205725.33</v>
      </c>
      <c r="M67" s="298">
        <v>327157.25</v>
      </c>
      <c r="N67" s="298">
        <v>287463.09999999998</v>
      </c>
      <c r="O67" s="298">
        <v>559546.01</v>
      </c>
      <c r="P67" s="298">
        <v>449449.06</v>
      </c>
      <c r="Q67" s="298">
        <v>1122793.51</v>
      </c>
      <c r="R67" s="298">
        <v>270364.01</v>
      </c>
      <c r="S67" s="298">
        <v>103698.66</v>
      </c>
      <c r="T67" s="298">
        <v>595</v>
      </c>
      <c r="U67" s="298">
        <v>0</v>
      </c>
      <c r="V67" s="298">
        <v>0</v>
      </c>
      <c r="W67" s="298">
        <v>1742680.99</v>
      </c>
      <c r="X67" s="298">
        <v>4500973.08</v>
      </c>
      <c r="Y67" s="298">
        <v>2488901.04</v>
      </c>
      <c r="Z67" s="298">
        <v>830963.06</v>
      </c>
      <c r="AA67" s="298">
        <v>306904.44</v>
      </c>
      <c r="AB67" s="298">
        <v>-65556.25</v>
      </c>
      <c r="AC67" s="298">
        <v>0</v>
      </c>
      <c r="AD67" s="298">
        <v>1153849.3</v>
      </c>
      <c r="AE67" s="298">
        <v>13568903.59</v>
      </c>
      <c r="AF67" s="298">
        <v>309796.05</v>
      </c>
      <c r="AG67" s="298">
        <v>164240.34</v>
      </c>
      <c r="AH67" s="298">
        <v>232481.14</v>
      </c>
      <c r="AI67" s="298">
        <v>446268.56</v>
      </c>
      <c r="AJ67" s="298">
        <v>267638.89</v>
      </c>
      <c r="AK67" s="298">
        <v>235736.74</v>
      </c>
      <c r="AL67" s="298">
        <v>86519.27</v>
      </c>
      <c r="AM67" s="298">
        <v>547241.77</v>
      </c>
      <c r="AN67" s="298">
        <v>1562803.34</v>
      </c>
      <c r="AO67" s="298">
        <v>1074117.54</v>
      </c>
      <c r="AP67" s="298">
        <v>614638.64</v>
      </c>
      <c r="AQ67" s="298">
        <v>182636.79</v>
      </c>
      <c r="AR67" s="298">
        <v>343770.41</v>
      </c>
      <c r="AS67" s="298">
        <v>175764.59</v>
      </c>
      <c r="AT67" s="298">
        <v>0</v>
      </c>
      <c r="AU67" s="298">
        <v>305166.96999999997</v>
      </c>
      <c r="AV67" s="298">
        <v>1601810.82</v>
      </c>
      <c r="AW67" s="298">
        <v>465342.21</v>
      </c>
      <c r="AX67" s="298">
        <v>116581.04</v>
      </c>
      <c r="AY67" s="298">
        <v>279960.76</v>
      </c>
      <c r="AZ67" s="298">
        <v>26943.68</v>
      </c>
      <c r="BA67" s="298">
        <v>398829.59</v>
      </c>
      <c r="BB67" s="298">
        <v>378057.89</v>
      </c>
      <c r="BC67" s="298">
        <v>307703.49</v>
      </c>
      <c r="BD67" s="298">
        <v>357981.6</v>
      </c>
      <c r="BE67" s="298">
        <v>0</v>
      </c>
      <c r="BF67" s="298">
        <v>12126331.02</v>
      </c>
      <c r="BG67" s="298">
        <v>584705.37</v>
      </c>
      <c r="BH67" s="298">
        <v>553953.85</v>
      </c>
      <c r="BI67" s="298">
        <v>609881.68000000005</v>
      </c>
      <c r="BJ67" s="298">
        <v>478325.94</v>
      </c>
      <c r="BK67" s="298">
        <v>509884.63</v>
      </c>
      <c r="BL67" s="298">
        <v>505309.07</v>
      </c>
      <c r="BM67" s="298">
        <v>228804.06</v>
      </c>
      <c r="BN67" s="298">
        <v>566843.71</v>
      </c>
      <c r="BO67" s="298">
        <v>222828.94</v>
      </c>
      <c r="BP67" s="298">
        <v>195444.91</v>
      </c>
      <c r="BQ67" s="298">
        <v>559226.63</v>
      </c>
      <c r="BR67" s="298">
        <v>294046.49</v>
      </c>
      <c r="BS67" s="298">
        <v>409650.75</v>
      </c>
      <c r="BT67" s="298">
        <v>586421.81999999995</v>
      </c>
      <c r="BU67" s="298">
        <v>176792.21</v>
      </c>
      <c r="BV67" s="298">
        <v>215103</v>
      </c>
      <c r="BW67" s="298">
        <v>263769.40999999997</v>
      </c>
      <c r="BX67" s="298">
        <v>297733.53000000003</v>
      </c>
      <c r="BY67" s="298">
        <v>199518.82</v>
      </c>
      <c r="BZ67" s="298">
        <v>187714.01</v>
      </c>
      <c r="CA67" s="298">
        <v>247195.12</v>
      </c>
      <c r="CB67" s="298">
        <v>272015.68</v>
      </c>
      <c r="CC67" s="298">
        <v>89241.73</v>
      </c>
      <c r="CD67" s="298">
        <v>116191.93</v>
      </c>
      <c r="CE67" s="298">
        <v>123921.59</v>
      </c>
      <c r="CF67" s="298">
        <v>134752.94</v>
      </c>
      <c r="CG67" s="298">
        <v>117760.55</v>
      </c>
      <c r="CH67" s="298">
        <v>170443.05</v>
      </c>
      <c r="CI67" s="298">
        <v>173150.58</v>
      </c>
      <c r="CJ67" s="298">
        <v>180293.58</v>
      </c>
      <c r="CK67" s="298">
        <v>54245.61</v>
      </c>
      <c r="CL67" s="298">
        <v>107875.89</v>
      </c>
      <c r="CM67" s="298">
        <v>47042.84</v>
      </c>
      <c r="CN67" s="298">
        <v>74529.64</v>
      </c>
      <c r="CO67" s="298">
        <v>73005.7</v>
      </c>
      <c r="CP67" s="298">
        <v>166045.73000000001</v>
      </c>
      <c r="CQ67" s="298">
        <v>117240.27</v>
      </c>
      <c r="CR67" s="298">
        <v>72417.070000000007</v>
      </c>
      <c r="CS67" s="298">
        <v>68400.639999999999</v>
      </c>
      <c r="CT67" s="298">
        <v>38827.58</v>
      </c>
      <c r="CU67" s="298">
        <v>61880.84</v>
      </c>
      <c r="CV67" s="298">
        <v>49557.74</v>
      </c>
      <c r="CW67" s="298">
        <v>86100.66</v>
      </c>
      <c r="CX67" s="298">
        <v>74596.11</v>
      </c>
      <c r="CY67" s="298">
        <v>91176.14</v>
      </c>
      <c r="CZ67" s="298">
        <v>60626.36</v>
      </c>
      <c r="DA67" s="298">
        <v>87789.09</v>
      </c>
      <c r="DB67" s="298">
        <v>110198.17</v>
      </c>
      <c r="DC67" s="298">
        <v>88067.37</v>
      </c>
      <c r="DD67" s="298">
        <v>70088.539999999994</v>
      </c>
      <c r="DE67" s="298">
        <v>74279.75</v>
      </c>
      <c r="DF67" s="298">
        <v>55362.91</v>
      </c>
      <c r="DG67" s="298">
        <v>62757.279999999999</v>
      </c>
      <c r="DH67" s="298">
        <v>68662.53</v>
      </c>
      <c r="DI67" s="298">
        <v>39360.839999999997</v>
      </c>
      <c r="DJ67" s="298">
        <v>43288.22</v>
      </c>
      <c r="DK67" s="298">
        <v>81976.759999999995</v>
      </c>
      <c r="DL67" s="298">
        <v>61403.9</v>
      </c>
      <c r="DM67" s="298">
        <v>87212.63</v>
      </c>
      <c r="DN67" s="298">
        <v>87851.96</v>
      </c>
      <c r="DO67" s="298">
        <v>158486.18</v>
      </c>
      <c r="DP67" s="298">
        <v>111128.63</v>
      </c>
      <c r="DQ67" s="298">
        <v>53062.41</v>
      </c>
      <c r="DR67" s="298">
        <v>61014.91</v>
      </c>
      <c r="DS67" s="298">
        <v>134333.18</v>
      </c>
      <c r="DT67" s="298">
        <v>75511.360000000001</v>
      </c>
      <c r="DU67" s="298"/>
      <c r="DV67" s="298"/>
      <c r="DW67" s="298"/>
      <c r="DX67" s="54"/>
      <c r="DY67" s="54"/>
      <c r="DZ67" s="54"/>
      <c r="EA67" s="54">
        <f t="shared" si="2"/>
        <v>-13568903.59</v>
      </c>
      <c r="EB67" s="54">
        <f t="shared" si="3"/>
        <v>315666.94999999995</v>
      </c>
      <c r="EC67" s="54">
        <f t="shared" si="4"/>
        <v>24177150.68</v>
      </c>
      <c r="ED67" s="54">
        <f t="shared" si="5"/>
        <v>15225065.310000002</v>
      </c>
      <c r="EE67" s="54">
        <f t="shared" si="6"/>
        <v>-434421.26000000007</v>
      </c>
      <c r="EF67" s="54">
        <f t="shared" si="1"/>
        <v>2844811.3599999994</v>
      </c>
      <c r="EG67" s="54">
        <f t="shared" si="0"/>
        <v>-2128653.08</v>
      </c>
    </row>
    <row r="68" spans="1:137">
      <c r="A68" s="279" t="s">
        <v>100</v>
      </c>
      <c r="B68" s="280">
        <v>5421567.4500000002</v>
      </c>
      <c r="C68" s="280">
        <v>0</v>
      </c>
      <c r="D68" s="280">
        <v>0</v>
      </c>
      <c r="E68" s="280">
        <v>0</v>
      </c>
      <c r="F68" s="280">
        <v>0</v>
      </c>
      <c r="G68" s="280">
        <v>0</v>
      </c>
      <c r="H68" s="280">
        <v>0</v>
      </c>
      <c r="I68" s="280">
        <v>0</v>
      </c>
      <c r="J68" s="280">
        <v>0</v>
      </c>
      <c r="K68" s="280">
        <v>0</v>
      </c>
      <c r="L68" s="280">
        <v>0</v>
      </c>
      <c r="M68" s="280">
        <v>0</v>
      </c>
      <c r="N68" s="280">
        <v>0</v>
      </c>
      <c r="O68" s="280">
        <v>0</v>
      </c>
      <c r="P68" s="280">
        <v>0</v>
      </c>
      <c r="Q68" s="280">
        <v>0</v>
      </c>
      <c r="R68" s="280">
        <v>0</v>
      </c>
      <c r="S68" s="280">
        <v>0</v>
      </c>
      <c r="T68" s="280">
        <v>0</v>
      </c>
      <c r="U68" s="280"/>
      <c r="V68" s="280">
        <v>0</v>
      </c>
      <c r="W68" s="280">
        <v>0</v>
      </c>
      <c r="X68" s="280">
        <v>3094503.31</v>
      </c>
      <c r="Y68" s="280">
        <v>0</v>
      </c>
      <c r="Z68" s="280">
        <v>40000</v>
      </c>
      <c r="AA68" s="280">
        <v>0</v>
      </c>
      <c r="AB68" s="280">
        <v>0</v>
      </c>
      <c r="AC68" s="280">
        <v>0</v>
      </c>
      <c r="AD68" s="280">
        <v>0</v>
      </c>
      <c r="AE68" s="280">
        <v>2287064.14</v>
      </c>
      <c r="AF68" s="280">
        <v>0</v>
      </c>
      <c r="AG68" s="280">
        <v>0</v>
      </c>
      <c r="AH68" s="280">
        <v>0</v>
      </c>
      <c r="AI68" s="280">
        <v>0</v>
      </c>
      <c r="AJ68" s="280">
        <v>0</v>
      </c>
      <c r="AK68" s="280">
        <v>0</v>
      </c>
      <c r="AL68" s="280">
        <v>0</v>
      </c>
      <c r="AM68" s="280">
        <v>0</v>
      </c>
      <c r="AN68" s="280">
        <v>2099124.31</v>
      </c>
      <c r="AO68" s="280">
        <v>621284</v>
      </c>
      <c r="AP68" s="280">
        <v>191362</v>
      </c>
      <c r="AQ68" s="280">
        <v>182733</v>
      </c>
      <c r="AR68" s="280">
        <v>0</v>
      </c>
      <c r="AS68" s="280">
        <v>0</v>
      </c>
      <c r="AT68" s="280">
        <v>0</v>
      </c>
      <c r="AU68" s="280">
        <v>0</v>
      </c>
      <c r="AV68" s="280">
        <v>0</v>
      </c>
      <c r="AW68" s="280">
        <v>0</v>
      </c>
      <c r="AX68" s="280">
        <v>0</v>
      </c>
      <c r="AY68" s="280">
        <v>0</v>
      </c>
      <c r="AZ68" s="280">
        <v>0</v>
      </c>
      <c r="BA68" s="280">
        <v>6792.44</v>
      </c>
      <c r="BB68" s="280">
        <v>-2932.59</v>
      </c>
      <c r="BC68" s="280">
        <v>0</v>
      </c>
      <c r="BD68" s="280">
        <v>0</v>
      </c>
      <c r="BE68" s="280">
        <v>0</v>
      </c>
      <c r="BF68" s="280">
        <v>2283204.29</v>
      </c>
      <c r="BG68" s="280">
        <v>160449.48000000001</v>
      </c>
      <c r="BH68" s="280">
        <v>156588.14000000001</v>
      </c>
      <c r="BI68" s="280">
        <v>135559.32</v>
      </c>
      <c r="BJ68" s="280">
        <v>133243.79</v>
      </c>
      <c r="BK68" s="280">
        <v>130667.46</v>
      </c>
      <c r="BL68" s="280">
        <v>113038.24</v>
      </c>
      <c r="BM68" s="280">
        <v>46994.33</v>
      </c>
      <c r="BN68" s="280">
        <v>183630.13</v>
      </c>
      <c r="BO68" s="280">
        <v>32021.32</v>
      </c>
      <c r="BP68" s="280">
        <v>20505.82</v>
      </c>
      <c r="BQ68" s="280">
        <v>173327.53</v>
      </c>
      <c r="BR68" s="280">
        <v>78432.800000000003</v>
      </c>
      <c r="BS68" s="280">
        <v>71225.59</v>
      </c>
      <c r="BT68" s="280">
        <v>38891.46</v>
      </c>
      <c r="BU68" s="280">
        <v>29599.52</v>
      </c>
      <c r="BV68" s="280">
        <v>31834.720000000001</v>
      </c>
      <c r="BW68" s="280">
        <v>42660.88</v>
      </c>
      <c r="BX68" s="280">
        <v>58882.559999999998</v>
      </c>
      <c r="BY68" s="280">
        <v>28170.46</v>
      </c>
      <c r="BZ68" s="280">
        <v>25699.7</v>
      </c>
      <c r="CA68" s="280">
        <v>55420.94</v>
      </c>
      <c r="CB68" s="280">
        <v>45807.65</v>
      </c>
      <c r="CC68" s="280">
        <v>8714.56</v>
      </c>
      <c r="CD68" s="280">
        <v>14174.37</v>
      </c>
      <c r="CE68" s="280">
        <v>16080.59</v>
      </c>
      <c r="CF68" s="280">
        <v>53653.95</v>
      </c>
      <c r="CG68" s="280">
        <v>17083.13</v>
      </c>
      <c r="CH68" s="280">
        <v>25567.09</v>
      </c>
      <c r="CI68" s="280">
        <v>23129.21</v>
      </c>
      <c r="CJ68" s="280">
        <v>47269.66</v>
      </c>
      <c r="CK68" s="280">
        <v>4761.9799999999996</v>
      </c>
      <c r="CL68" s="280">
        <v>17221.88</v>
      </c>
      <c r="CM68" s="280">
        <v>13486.91</v>
      </c>
      <c r="CN68" s="280">
        <v>14878.1</v>
      </c>
      <c r="CO68" s="280">
        <v>5321.38</v>
      </c>
      <c r="CP68" s="280">
        <v>24835.81</v>
      </c>
      <c r="CQ68" s="280">
        <v>25342.18</v>
      </c>
      <c r="CR68" s="280">
        <v>1368.69</v>
      </c>
      <c r="CS68" s="280">
        <v>3273.01</v>
      </c>
      <c r="CT68" s="280">
        <v>30427.88</v>
      </c>
      <c r="CU68" s="280">
        <v>4429.38</v>
      </c>
      <c r="CV68" s="280">
        <v>5342.31</v>
      </c>
      <c r="CW68" s="280">
        <v>138.18</v>
      </c>
      <c r="CX68" s="280">
        <v>4305.25</v>
      </c>
      <c r="CY68" s="280">
        <v>2190.9299999999998</v>
      </c>
      <c r="CZ68" s="280">
        <v>5756.78</v>
      </c>
      <c r="DA68" s="280">
        <v>2250.37</v>
      </c>
      <c r="DB68" s="280">
        <v>398.73</v>
      </c>
      <c r="DC68" s="280">
        <v>5454.32</v>
      </c>
      <c r="DD68" s="280">
        <v>5116.51</v>
      </c>
      <c r="DE68" s="280">
        <v>8271.7900000000009</v>
      </c>
      <c r="DF68" s="280">
        <v>4812.1499999999996</v>
      </c>
      <c r="DG68" s="280">
        <v>3958.08</v>
      </c>
      <c r="DH68" s="280">
        <v>37324.379999999997</v>
      </c>
      <c r="DI68" s="280">
        <v>882.53</v>
      </c>
      <c r="DJ68" s="280">
        <v>794.99</v>
      </c>
      <c r="DK68" s="280">
        <v>626.9</v>
      </c>
      <c r="DL68" s="280">
        <v>2186.0300000000002</v>
      </c>
      <c r="DM68" s="280">
        <v>3023.19</v>
      </c>
      <c r="DN68" s="280">
        <v>7941.47</v>
      </c>
      <c r="DO68" s="293">
        <v>11402.77</v>
      </c>
      <c r="DP68" s="54">
        <v>9677.17</v>
      </c>
      <c r="DQ68" s="54">
        <v>37.61</v>
      </c>
      <c r="DR68" s="54">
        <v>1652.3</v>
      </c>
      <c r="DS68" s="54">
        <v>12323.98</v>
      </c>
      <c r="DT68" s="54">
        <v>3663.97</v>
      </c>
      <c r="EA68" s="54">
        <f t="shared" si="2"/>
        <v>-2287064.14</v>
      </c>
      <c r="EB68" s="54">
        <f t="shared" si="3"/>
        <v>3859.8499999999995</v>
      </c>
      <c r="EC68" s="54">
        <f t="shared" ref="EC68:EC106" si="7">SUM(BF68:DS68)-BE68</f>
        <v>4562744.6100000003</v>
      </c>
      <c r="ED68" s="54">
        <f t="shared" si="5"/>
        <v>2287064.14</v>
      </c>
      <c r="EE68" s="54">
        <f t="shared" si="6"/>
        <v>-40000</v>
      </c>
      <c r="EF68" s="54">
        <f t="shared" ref="EF68:EF106" si="8">SUM(AL68:AS68)-W68</f>
        <v>3094503.31</v>
      </c>
      <c r="EG68" s="54">
        <f t="shared" ref="EG68:EG106" si="9">AU68+AV68+AW68+AT68-X68</f>
        <v>-3094503.31</v>
      </c>
    </row>
    <row r="69" spans="1:137">
      <c r="A69" s="279" t="s">
        <v>101</v>
      </c>
      <c r="B69" s="280">
        <v>782996.03</v>
      </c>
      <c r="C69" s="280">
        <v>0</v>
      </c>
      <c r="D69" s="280">
        <v>0</v>
      </c>
      <c r="E69" s="280">
        <v>0</v>
      </c>
      <c r="F69" s="280">
        <v>0</v>
      </c>
      <c r="G69" s="280">
        <v>0</v>
      </c>
      <c r="H69" s="280">
        <v>0</v>
      </c>
      <c r="I69" s="280">
        <v>0</v>
      </c>
      <c r="J69" s="280">
        <v>0</v>
      </c>
      <c r="K69" s="280">
        <v>0</v>
      </c>
      <c r="L69" s="280">
        <v>0</v>
      </c>
      <c r="M69" s="280">
        <v>0</v>
      </c>
      <c r="N69" s="280">
        <v>0</v>
      </c>
      <c r="O69" s="280">
        <v>0</v>
      </c>
      <c r="P69" s="280">
        <v>0</v>
      </c>
      <c r="Q69" s="280">
        <v>0</v>
      </c>
      <c r="R69" s="280">
        <v>0</v>
      </c>
      <c r="S69" s="280">
        <v>0</v>
      </c>
      <c r="T69" s="280">
        <v>0</v>
      </c>
      <c r="U69" s="280"/>
      <c r="V69" s="280">
        <v>0</v>
      </c>
      <c r="W69" s="280">
        <v>0</v>
      </c>
      <c r="X69" s="280">
        <v>686628.57</v>
      </c>
      <c r="Y69" s="280">
        <v>0</v>
      </c>
      <c r="Z69" s="280">
        <v>0</v>
      </c>
      <c r="AA69" s="280">
        <v>0</v>
      </c>
      <c r="AB69" s="280">
        <v>0</v>
      </c>
      <c r="AC69" s="280">
        <v>0</v>
      </c>
      <c r="AD69" s="280">
        <v>0</v>
      </c>
      <c r="AE69" s="280">
        <v>96367.46</v>
      </c>
      <c r="AF69" s="280">
        <v>0</v>
      </c>
      <c r="AG69" s="280">
        <v>0</v>
      </c>
      <c r="AH69" s="280">
        <v>0</v>
      </c>
      <c r="AI69" s="280">
        <v>0</v>
      </c>
      <c r="AJ69" s="280">
        <v>0</v>
      </c>
      <c r="AK69" s="280">
        <v>0</v>
      </c>
      <c r="AL69" s="280">
        <v>0</v>
      </c>
      <c r="AM69" s="280">
        <v>0</v>
      </c>
      <c r="AN69" s="280">
        <v>52547.57</v>
      </c>
      <c r="AO69" s="280">
        <v>0</v>
      </c>
      <c r="AP69" s="280">
        <v>533228</v>
      </c>
      <c r="AQ69" s="280">
        <v>100853</v>
      </c>
      <c r="AR69" s="280">
        <v>0</v>
      </c>
      <c r="AS69" s="280">
        <v>0</v>
      </c>
      <c r="AT69" s="280">
        <v>0</v>
      </c>
      <c r="AU69" s="280">
        <v>0</v>
      </c>
      <c r="AV69" s="280">
        <v>0</v>
      </c>
      <c r="AW69" s="280">
        <v>0</v>
      </c>
      <c r="AX69" s="280">
        <v>0</v>
      </c>
      <c r="AY69" s="280">
        <v>0</v>
      </c>
      <c r="AZ69" s="280">
        <v>0</v>
      </c>
      <c r="BA69" s="280">
        <v>84716.97</v>
      </c>
      <c r="BB69" s="280">
        <v>0</v>
      </c>
      <c r="BC69" s="280">
        <v>0</v>
      </c>
      <c r="BD69" s="280">
        <v>0</v>
      </c>
      <c r="BE69" s="280">
        <v>0</v>
      </c>
      <c r="BF69" s="280">
        <v>11650.49</v>
      </c>
      <c r="BG69" s="280">
        <v>0</v>
      </c>
      <c r="BH69" s="280">
        <v>0</v>
      </c>
      <c r="BI69" s="280">
        <v>0</v>
      </c>
      <c r="BJ69" s="280">
        <v>0</v>
      </c>
      <c r="BK69" s="280">
        <v>0</v>
      </c>
      <c r="BL69" s="280">
        <v>0</v>
      </c>
      <c r="BM69" s="280">
        <v>0</v>
      </c>
      <c r="BN69" s="280">
        <v>0</v>
      </c>
      <c r="BO69" s="280">
        <v>0</v>
      </c>
      <c r="BP69" s="280">
        <v>0</v>
      </c>
      <c r="BQ69" s="280">
        <v>0</v>
      </c>
      <c r="BR69" s="280">
        <v>0</v>
      </c>
      <c r="BS69" s="280">
        <v>0</v>
      </c>
      <c r="BT69" s="280">
        <v>0</v>
      </c>
      <c r="BU69" s="280">
        <v>0</v>
      </c>
      <c r="BV69" s="280">
        <v>0</v>
      </c>
      <c r="BW69" s="280">
        <v>0</v>
      </c>
      <c r="BX69" s="280">
        <v>0</v>
      </c>
      <c r="BY69" s="280">
        <v>0</v>
      </c>
      <c r="BZ69" s="280">
        <v>0</v>
      </c>
      <c r="CA69" s="280">
        <v>0</v>
      </c>
      <c r="CB69" s="280">
        <v>0</v>
      </c>
      <c r="CC69" s="280">
        <v>0</v>
      </c>
      <c r="CD69" s="280">
        <v>0</v>
      </c>
      <c r="CE69" s="280">
        <v>0</v>
      </c>
      <c r="CF69" s="280">
        <v>0</v>
      </c>
      <c r="CG69" s="280">
        <v>0</v>
      </c>
      <c r="CH69" s="280">
        <v>0</v>
      </c>
      <c r="CI69" s="280">
        <v>0</v>
      </c>
      <c r="CJ69" s="280">
        <v>0</v>
      </c>
      <c r="CK69" s="280">
        <v>0</v>
      </c>
      <c r="CL69" s="280">
        <v>0</v>
      </c>
      <c r="CM69" s="280">
        <v>0</v>
      </c>
      <c r="CN69" s="280">
        <v>0</v>
      </c>
      <c r="CO69" s="280">
        <v>0</v>
      </c>
      <c r="CP69" s="280">
        <v>0</v>
      </c>
      <c r="CQ69" s="280">
        <v>0</v>
      </c>
      <c r="CR69" s="280">
        <v>0</v>
      </c>
      <c r="CS69" s="280">
        <v>0</v>
      </c>
      <c r="CT69" s="280">
        <v>0</v>
      </c>
      <c r="CU69" s="280">
        <v>0</v>
      </c>
      <c r="CV69" s="280">
        <v>0</v>
      </c>
      <c r="CW69" s="280">
        <v>11650.49</v>
      </c>
      <c r="CX69" s="280">
        <v>0</v>
      </c>
      <c r="CY69" s="280">
        <v>0</v>
      </c>
      <c r="CZ69" s="280">
        <v>0</v>
      </c>
      <c r="DA69" s="280">
        <v>0</v>
      </c>
      <c r="DB69" s="280">
        <v>0</v>
      </c>
      <c r="DC69" s="280">
        <v>0</v>
      </c>
      <c r="DD69" s="280">
        <v>0</v>
      </c>
      <c r="DE69" s="280">
        <v>0</v>
      </c>
      <c r="DF69" s="280">
        <v>0</v>
      </c>
      <c r="DG69" s="280">
        <v>0</v>
      </c>
      <c r="DH69" s="280">
        <v>0</v>
      </c>
      <c r="DI69" s="280">
        <v>0</v>
      </c>
      <c r="DJ69" s="280">
        <v>0</v>
      </c>
      <c r="DK69" s="280">
        <v>0</v>
      </c>
      <c r="DL69" s="280">
        <v>0</v>
      </c>
      <c r="DM69" s="280">
        <v>0</v>
      </c>
      <c r="DN69" s="280">
        <v>0</v>
      </c>
      <c r="DO69" s="293">
        <v>0</v>
      </c>
      <c r="DP69" s="54">
        <v>0</v>
      </c>
      <c r="DQ69" s="54">
        <v>0</v>
      </c>
      <c r="DR69" s="54">
        <v>0</v>
      </c>
      <c r="DS69" s="54">
        <v>0</v>
      </c>
      <c r="DT69" s="54">
        <v>0</v>
      </c>
      <c r="EA69" s="54">
        <f t="shared" si="2"/>
        <v>-96367.460000000079</v>
      </c>
      <c r="EB69" s="54">
        <f t="shared" si="3"/>
        <v>84716.97</v>
      </c>
      <c r="EC69" s="54">
        <f t="shared" si="7"/>
        <v>23300.98</v>
      </c>
      <c r="ED69" s="54">
        <f t="shared" si="5"/>
        <v>96367.46</v>
      </c>
      <c r="EE69" s="54">
        <f t="shared" si="6"/>
        <v>0</v>
      </c>
      <c r="EF69" s="54">
        <f t="shared" si="8"/>
        <v>686628.57</v>
      </c>
      <c r="EG69" s="54">
        <f t="shared" si="9"/>
        <v>-686628.57</v>
      </c>
    </row>
    <row r="70" spans="1:137">
      <c r="A70" s="279" t="s">
        <v>102</v>
      </c>
      <c r="B70" s="280">
        <v>3045447.14</v>
      </c>
      <c r="C70" s="280">
        <v>0</v>
      </c>
      <c r="D70" s="280">
        <v>-386750.59</v>
      </c>
      <c r="E70" s="280">
        <v>0</v>
      </c>
      <c r="F70" s="280">
        <v>0</v>
      </c>
      <c r="G70" s="280">
        <v>0</v>
      </c>
      <c r="H70" s="280">
        <v>0</v>
      </c>
      <c r="I70" s="280">
        <v>0</v>
      </c>
      <c r="J70" s="280">
        <v>0</v>
      </c>
      <c r="K70" s="280">
        <v>0</v>
      </c>
      <c r="L70" s="280">
        <v>0</v>
      </c>
      <c r="M70" s="280">
        <v>0</v>
      </c>
      <c r="N70" s="280">
        <v>0</v>
      </c>
      <c r="O70" s="280">
        <v>0</v>
      </c>
      <c r="P70" s="280">
        <v>0</v>
      </c>
      <c r="Q70" s="280">
        <v>0</v>
      </c>
      <c r="R70" s="280">
        <v>0</v>
      </c>
      <c r="S70" s="280">
        <v>0</v>
      </c>
      <c r="T70" s="280">
        <v>0</v>
      </c>
      <c r="U70" s="280"/>
      <c r="V70" s="280">
        <v>17300.7</v>
      </c>
      <c r="W70" s="280">
        <v>1324957.19</v>
      </c>
      <c r="X70" s="280">
        <v>234258.5</v>
      </c>
      <c r="Y70" s="280">
        <v>220229.49</v>
      </c>
      <c r="Z70" s="280">
        <v>0</v>
      </c>
      <c r="AA70" s="280">
        <v>7.57</v>
      </c>
      <c r="AB70" s="280">
        <v>2.83</v>
      </c>
      <c r="AC70" s="280">
        <v>0</v>
      </c>
      <c r="AD70" s="280">
        <v>2.99</v>
      </c>
      <c r="AE70" s="280">
        <v>1635438.46</v>
      </c>
      <c r="AF70" s="280">
        <v>42.77</v>
      </c>
      <c r="AG70" s="280">
        <v>70300.399999999994</v>
      </c>
      <c r="AH70" s="280">
        <v>182960.92</v>
      </c>
      <c r="AI70" s="280">
        <v>-219312.97</v>
      </c>
      <c r="AJ70" s="280">
        <v>-54301.25</v>
      </c>
      <c r="AK70" s="280">
        <v>1345267.32</v>
      </c>
      <c r="AL70" s="280">
        <v>0</v>
      </c>
      <c r="AM70" s="280">
        <v>0</v>
      </c>
      <c r="AN70" s="280">
        <v>145236.35999999999</v>
      </c>
      <c r="AO70" s="280">
        <v>14017.44</v>
      </c>
      <c r="AP70" s="280">
        <v>64662.95</v>
      </c>
      <c r="AQ70" s="280">
        <v>10341.75</v>
      </c>
      <c r="AR70" s="280">
        <v>0</v>
      </c>
      <c r="AS70" s="280">
        <v>0</v>
      </c>
      <c r="AT70" s="280">
        <v>0</v>
      </c>
      <c r="AU70" s="280">
        <v>13462.39</v>
      </c>
      <c r="AV70" s="280">
        <v>50670.21</v>
      </c>
      <c r="AW70" s="280">
        <v>36817.32</v>
      </c>
      <c r="AX70" s="280">
        <v>119279.57</v>
      </c>
      <c r="AY70" s="280">
        <v>7.57</v>
      </c>
      <c r="AZ70" s="280">
        <v>0</v>
      </c>
      <c r="BA70" s="280">
        <v>5293.88</v>
      </c>
      <c r="BB70" s="280">
        <v>1839.94</v>
      </c>
      <c r="BC70" s="280">
        <v>635889.26</v>
      </c>
      <c r="BD70" s="280">
        <v>0</v>
      </c>
      <c r="BE70" s="280">
        <v>0</v>
      </c>
      <c r="BF70" s="280">
        <v>992415.38</v>
      </c>
      <c r="BG70" s="280">
        <v>43927.56</v>
      </c>
      <c r="BH70" s="280">
        <v>37814.910000000003</v>
      </c>
      <c r="BI70" s="280">
        <v>42971.85</v>
      </c>
      <c r="BJ70" s="280">
        <v>68010.899999999994</v>
      </c>
      <c r="BK70" s="280">
        <v>40706.5</v>
      </c>
      <c r="BL70" s="280">
        <v>37079.449999999997</v>
      </c>
      <c r="BM70" s="280">
        <v>11429.42</v>
      </c>
      <c r="BN70" s="280">
        <v>41559.65</v>
      </c>
      <c r="BO70" s="280">
        <v>19745.689999999999</v>
      </c>
      <c r="BP70" s="280">
        <v>15681.52</v>
      </c>
      <c r="BQ70" s="280">
        <v>50150.18</v>
      </c>
      <c r="BR70" s="280">
        <v>138846.25</v>
      </c>
      <c r="BS70" s="280">
        <v>13838.88</v>
      </c>
      <c r="BT70" s="280">
        <v>17607.080000000002</v>
      </c>
      <c r="BU70" s="280">
        <v>11900.12</v>
      </c>
      <c r="BV70" s="280">
        <v>10993.78</v>
      </c>
      <c r="BW70" s="280">
        <v>12142.81</v>
      </c>
      <c r="BX70" s="280">
        <v>12463.45</v>
      </c>
      <c r="BY70" s="280">
        <v>10753.07</v>
      </c>
      <c r="BZ70" s="280">
        <v>7275.36</v>
      </c>
      <c r="CA70" s="280">
        <v>10254.52</v>
      </c>
      <c r="CB70" s="280">
        <v>13708.92</v>
      </c>
      <c r="CC70" s="280">
        <v>6032.31</v>
      </c>
      <c r="CD70" s="280">
        <v>6411.14</v>
      </c>
      <c r="CE70" s="280">
        <v>3911.32</v>
      </c>
      <c r="CF70" s="280">
        <v>5520.56</v>
      </c>
      <c r="CG70" s="280">
        <v>2824.21</v>
      </c>
      <c r="CH70" s="280">
        <v>7264.77</v>
      </c>
      <c r="CI70" s="280">
        <v>3716.39</v>
      </c>
      <c r="CJ70" s="280">
        <v>3778.47</v>
      </c>
      <c r="CK70" s="280">
        <v>1775.34</v>
      </c>
      <c r="CL70" s="280">
        <v>2619.42</v>
      </c>
      <c r="CM70" s="280">
        <v>1376.75</v>
      </c>
      <c r="CN70" s="280">
        <v>2541.15</v>
      </c>
      <c r="CO70" s="280">
        <v>5243.83</v>
      </c>
      <c r="CP70" s="280">
        <v>13909.53</v>
      </c>
      <c r="CQ70" s="280">
        <v>196065.59</v>
      </c>
      <c r="CR70" s="280">
        <v>2272.16</v>
      </c>
      <c r="CS70" s="280">
        <v>398.99</v>
      </c>
      <c r="CT70" s="280">
        <v>307.63</v>
      </c>
      <c r="CU70" s="280">
        <v>5236.9799999999996</v>
      </c>
      <c r="CV70" s="280">
        <v>1048.42</v>
      </c>
      <c r="CW70" s="280">
        <v>1187.6400000000001</v>
      </c>
      <c r="CX70" s="280">
        <v>4699.17</v>
      </c>
      <c r="CY70" s="280">
        <v>1442.02</v>
      </c>
      <c r="CZ70" s="280">
        <v>557.11</v>
      </c>
      <c r="DA70" s="280">
        <v>1995.76</v>
      </c>
      <c r="DB70" s="280">
        <v>1622.48</v>
      </c>
      <c r="DC70" s="280">
        <v>1375.7</v>
      </c>
      <c r="DD70" s="280">
        <v>686.32</v>
      </c>
      <c r="DE70" s="280">
        <v>2987.6</v>
      </c>
      <c r="DF70" s="280">
        <v>1165.94</v>
      </c>
      <c r="DG70" s="280">
        <v>1525.87</v>
      </c>
      <c r="DH70" s="280">
        <v>445.19</v>
      </c>
      <c r="DI70" s="280">
        <v>229.71</v>
      </c>
      <c r="DJ70" s="280">
        <v>92.56</v>
      </c>
      <c r="DK70" s="280">
        <v>426.49</v>
      </c>
      <c r="DL70" s="280">
        <v>303.08</v>
      </c>
      <c r="DM70" s="280">
        <v>624.58000000000004</v>
      </c>
      <c r="DN70" s="280">
        <v>3415.04</v>
      </c>
      <c r="DO70" s="293">
        <v>-330.44</v>
      </c>
      <c r="DP70" s="54">
        <v>2956.78</v>
      </c>
      <c r="DQ70" s="54">
        <v>726.88</v>
      </c>
      <c r="DR70" s="54">
        <v>860.02</v>
      </c>
      <c r="DS70" s="54">
        <v>19900.97</v>
      </c>
      <c r="DT70" s="54">
        <v>2402.08</v>
      </c>
      <c r="EA70" s="54">
        <f t="shared" si="2"/>
        <v>-1635438.4600000002</v>
      </c>
      <c r="EB70" s="54">
        <f t="shared" si="3"/>
        <v>643020.09</v>
      </c>
      <c r="EC70" s="54">
        <f t="shared" si="7"/>
        <v>1982428.6799999997</v>
      </c>
      <c r="ED70" s="54">
        <f t="shared" si="5"/>
        <v>2943094.9499999997</v>
      </c>
      <c r="EE70" s="54">
        <f t="shared" si="6"/>
        <v>119287.14000000001</v>
      </c>
      <c r="EF70" s="54">
        <f t="shared" si="8"/>
        <v>-1090698.69</v>
      </c>
      <c r="EG70" s="54">
        <f t="shared" si="9"/>
        <v>-133308.58000000002</v>
      </c>
    </row>
    <row r="71" spans="1:137">
      <c r="A71" s="279" t="s">
        <v>103</v>
      </c>
      <c r="B71" s="280">
        <v>49975.59</v>
      </c>
      <c r="C71" s="280">
        <v>0</v>
      </c>
      <c r="D71" s="280">
        <v>22200</v>
      </c>
      <c r="E71" s="280">
        <v>0</v>
      </c>
      <c r="F71" s="280">
        <v>0</v>
      </c>
      <c r="G71" s="280">
        <v>0</v>
      </c>
      <c r="H71" s="280">
        <v>0</v>
      </c>
      <c r="I71" s="280">
        <v>0</v>
      </c>
      <c r="J71" s="280">
        <v>0</v>
      </c>
      <c r="K71" s="280">
        <v>0</v>
      </c>
      <c r="L71" s="280">
        <v>0</v>
      </c>
      <c r="M71" s="280">
        <v>0</v>
      </c>
      <c r="N71" s="280">
        <v>0</v>
      </c>
      <c r="O71" s="280">
        <v>0</v>
      </c>
      <c r="P71" s="280">
        <v>0</v>
      </c>
      <c r="Q71" s="280">
        <v>0</v>
      </c>
      <c r="R71" s="280">
        <v>0</v>
      </c>
      <c r="S71" s="280">
        <v>0</v>
      </c>
      <c r="T71" s="280">
        <v>0</v>
      </c>
      <c r="U71" s="280"/>
      <c r="V71" s="280">
        <v>0</v>
      </c>
      <c r="W71" s="280">
        <v>-13687.17</v>
      </c>
      <c r="X71" s="280">
        <v>0</v>
      </c>
      <c r="Y71" s="280">
        <v>0</v>
      </c>
      <c r="Z71" s="280">
        <v>0</v>
      </c>
      <c r="AA71" s="280">
        <v>0</v>
      </c>
      <c r="AB71" s="280">
        <v>0</v>
      </c>
      <c r="AC71" s="280">
        <v>0</v>
      </c>
      <c r="AD71" s="280">
        <v>0</v>
      </c>
      <c r="AE71" s="280">
        <v>41462.76</v>
      </c>
      <c r="AF71" s="280">
        <v>-13687.17</v>
      </c>
      <c r="AG71" s="280">
        <v>0</v>
      </c>
      <c r="AH71" s="280">
        <v>0</v>
      </c>
      <c r="AI71" s="280">
        <v>0</v>
      </c>
      <c r="AJ71" s="280">
        <v>0</v>
      </c>
      <c r="AK71" s="280">
        <v>0</v>
      </c>
      <c r="AL71" s="280">
        <v>0</v>
      </c>
      <c r="AM71" s="280">
        <v>0</v>
      </c>
      <c r="AN71" s="280">
        <v>0</v>
      </c>
      <c r="AO71" s="280">
        <v>0</v>
      </c>
      <c r="AP71" s="280">
        <v>0</v>
      </c>
      <c r="AQ71" s="280">
        <v>0</v>
      </c>
      <c r="AR71" s="280">
        <v>0</v>
      </c>
      <c r="AS71" s="280">
        <v>0</v>
      </c>
      <c r="AT71" s="280">
        <v>0</v>
      </c>
      <c r="AU71" s="280">
        <v>0</v>
      </c>
      <c r="AV71" s="280">
        <v>0</v>
      </c>
      <c r="AW71" s="280">
        <v>0</v>
      </c>
      <c r="AX71" s="280">
        <v>0</v>
      </c>
      <c r="AY71" s="280">
        <v>0</v>
      </c>
      <c r="AZ71" s="280">
        <v>0</v>
      </c>
      <c r="BA71" s="280">
        <v>0</v>
      </c>
      <c r="BB71" s="280">
        <v>0</v>
      </c>
      <c r="BC71" s="280">
        <v>0</v>
      </c>
      <c r="BD71" s="280">
        <v>0</v>
      </c>
      <c r="BE71" s="280">
        <v>0</v>
      </c>
      <c r="BF71" s="280">
        <v>41462.76</v>
      </c>
      <c r="BG71" s="280">
        <v>0</v>
      </c>
      <c r="BH71" s="280">
        <v>0</v>
      </c>
      <c r="BI71" s="280">
        <v>0</v>
      </c>
      <c r="BJ71" s="280">
        <v>0</v>
      </c>
      <c r="BK71" s="280">
        <v>3247.28</v>
      </c>
      <c r="BL71" s="280">
        <v>3639.79</v>
      </c>
      <c r="BM71" s="280">
        <v>0</v>
      </c>
      <c r="BN71" s="280">
        <v>0</v>
      </c>
      <c r="BO71" s="280">
        <v>0</v>
      </c>
      <c r="BP71" s="280">
        <v>0</v>
      </c>
      <c r="BQ71" s="280">
        <v>1148.3</v>
      </c>
      <c r="BR71" s="280">
        <v>5265.35</v>
      </c>
      <c r="BS71" s="280">
        <v>0</v>
      </c>
      <c r="BT71" s="280">
        <v>0</v>
      </c>
      <c r="BU71" s="280">
        <v>320.49</v>
      </c>
      <c r="BV71" s="280">
        <v>306.54000000000002</v>
      </c>
      <c r="BW71" s="280">
        <v>0</v>
      </c>
      <c r="BX71" s="280">
        <v>431.99</v>
      </c>
      <c r="BY71" s="280">
        <v>21194.94</v>
      </c>
      <c r="BZ71" s="280">
        <v>306.16000000000003</v>
      </c>
      <c r="CA71" s="280">
        <v>445.51</v>
      </c>
      <c r="CB71" s="280">
        <v>1920.4</v>
      </c>
      <c r="CC71" s="280">
        <v>0</v>
      </c>
      <c r="CD71" s="280">
        <v>607.14</v>
      </c>
      <c r="CE71" s="280">
        <v>913.09</v>
      </c>
      <c r="CF71" s="280">
        <v>412.09</v>
      </c>
      <c r="CG71" s="280">
        <v>73.91</v>
      </c>
      <c r="CH71" s="280">
        <v>0</v>
      </c>
      <c r="CI71" s="280">
        <v>615.94000000000005</v>
      </c>
      <c r="CJ71" s="280">
        <v>0</v>
      </c>
      <c r="CK71" s="280">
        <v>198</v>
      </c>
      <c r="CL71" s="280">
        <v>0</v>
      </c>
      <c r="CM71" s="280">
        <v>0</v>
      </c>
      <c r="CN71" s="280">
        <v>415.84</v>
      </c>
      <c r="CO71" s="280">
        <v>0</v>
      </c>
      <c r="CP71" s="280">
        <v>0</v>
      </c>
      <c r="CQ71" s="280">
        <v>0</v>
      </c>
      <c r="CR71" s="280">
        <v>0</v>
      </c>
      <c r="CS71" s="280">
        <v>0</v>
      </c>
      <c r="CT71" s="280">
        <v>0</v>
      </c>
      <c r="CU71" s="280">
        <v>0</v>
      </c>
      <c r="CV71" s="280">
        <v>0</v>
      </c>
      <c r="CW71" s="280">
        <v>0</v>
      </c>
      <c r="CX71" s="280">
        <v>0</v>
      </c>
      <c r="CY71" s="280">
        <v>0</v>
      </c>
      <c r="CZ71" s="280">
        <v>0</v>
      </c>
      <c r="DA71" s="280">
        <v>0</v>
      </c>
      <c r="DB71" s="280">
        <v>0</v>
      </c>
      <c r="DC71" s="280">
        <v>0</v>
      </c>
      <c r="DD71" s="280">
        <v>0</v>
      </c>
      <c r="DE71" s="280">
        <v>0</v>
      </c>
      <c r="DF71" s="280">
        <v>0</v>
      </c>
      <c r="DG71" s="280">
        <v>0</v>
      </c>
      <c r="DH71" s="280">
        <v>0</v>
      </c>
      <c r="DI71" s="280">
        <v>0</v>
      </c>
      <c r="DJ71" s="280">
        <v>0</v>
      </c>
      <c r="DK71" s="280">
        <v>0</v>
      </c>
      <c r="DL71" s="280">
        <v>0</v>
      </c>
      <c r="DM71" s="280">
        <v>0</v>
      </c>
      <c r="DN71" s="280">
        <v>0</v>
      </c>
      <c r="DO71" s="293">
        <v>0</v>
      </c>
      <c r="DP71" s="54">
        <v>0</v>
      </c>
      <c r="DQ71" s="54">
        <v>0</v>
      </c>
      <c r="DR71" s="54">
        <v>0</v>
      </c>
      <c r="DS71" s="54">
        <v>0</v>
      </c>
      <c r="DT71" s="54">
        <v>0</v>
      </c>
      <c r="EA71" s="54">
        <f t="shared" si="2"/>
        <v>-41462.759999999995</v>
      </c>
      <c r="EB71" s="54">
        <f t="shared" si="3"/>
        <v>0</v>
      </c>
      <c r="EC71" s="54">
        <f t="shared" si="7"/>
        <v>82925.51999999999</v>
      </c>
      <c r="ED71" s="54">
        <f t="shared" si="5"/>
        <v>27775.590000000004</v>
      </c>
      <c r="EE71" s="54">
        <f t="shared" si="6"/>
        <v>0</v>
      </c>
      <c r="EF71" s="54">
        <f t="shared" si="8"/>
        <v>13687.17</v>
      </c>
      <c r="EG71" s="54">
        <f t="shared" si="9"/>
        <v>0</v>
      </c>
    </row>
    <row r="72" spans="1:137">
      <c r="A72" s="279" t="s">
        <v>104</v>
      </c>
      <c r="B72" s="280">
        <v>13957940.09</v>
      </c>
      <c r="C72" s="280">
        <v>0</v>
      </c>
      <c r="D72" s="280">
        <v>0</v>
      </c>
      <c r="E72" s="280">
        <v>0</v>
      </c>
      <c r="F72" s="280">
        <v>0</v>
      </c>
      <c r="G72" s="280">
        <v>0</v>
      </c>
      <c r="H72" s="280">
        <v>0</v>
      </c>
      <c r="I72" s="280">
        <v>0</v>
      </c>
      <c r="J72" s="280">
        <v>0</v>
      </c>
      <c r="K72" s="280">
        <v>0</v>
      </c>
      <c r="L72" s="280">
        <v>0</v>
      </c>
      <c r="M72" s="280">
        <v>0</v>
      </c>
      <c r="N72" s="280">
        <v>0</v>
      </c>
      <c r="O72" s="280">
        <v>0</v>
      </c>
      <c r="P72" s="280">
        <v>0</v>
      </c>
      <c r="Q72" s="280">
        <v>0</v>
      </c>
      <c r="R72" s="280">
        <v>0</v>
      </c>
      <c r="S72" s="280">
        <v>0</v>
      </c>
      <c r="T72" s="280">
        <v>0</v>
      </c>
      <c r="U72" s="280"/>
      <c r="V72" s="280">
        <v>0</v>
      </c>
      <c r="W72" s="280">
        <v>299067.25</v>
      </c>
      <c r="X72" s="280">
        <v>0</v>
      </c>
      <c r="Y72" s="280">
        <v>766245.8</v>
      </c>
      <c r="Z72" s="280">
        <v>0</v>
      </c>
      <c r="AA72" s="280">
        <v>0</v>
      </c>
      <c r="AB72" s="280">
        <v>0</v>
      </c>
      <c r="AC72" s="280">
        <v>0</v>
      </c>
      <c r="AD72" s="280">
        <v>0</v>
      </c>
      <c r="AE72" s="280">
        <v>12892627.039999999</v>
      </c>
      <c r="AF72" s="280">
        <v>0</v>
      </c>
      <c r="AG72" s="280">
        <v>0</v>
      </c>
      <c r="AH72" s="280">
        <v>0</v>
      </c>
      <c r="AI72" s="280">
        <v>163102.45000000001</v>
      </c>
      <c r="AJ72" s="280">
        <v>75661.58</v>
      </c>
      <c r="AK72" s="280">
        <v>60303.22</v>
      </c>
      <c r="AL72" s="280">
        <v>0</v>
      </c>
      <c r="AM72" s="280">
        <v>0</v>
      </c>
      <c r="AN72" s="280">
        <v>0</v>
      </c>
      <c r="AO72" s="280">
        <v>0</v>
      </c>
      <c r="AP72" s="280">
        <v>0</v>
      </c>
      <c r="AQ72" s="280">
        <v>0</v>
      </c>
      <c r="AR72" s="280">
        <v>0</v>
      </c>
      <c r="AS72" s="280">
        <v>0</v>
      </c>
      <c r="AT72" s="280">
        <v>0</v>
      </c>
      <c r="AU72" s="280">
        <v>99757.74</v>
      </c>
      <c r="AV72" s="280">
        <v>666488.06000000006</v>
      </c>
      <c r="AW72" s="280">
        <v>0</v>
      </c>
      <c r="AX72" s="280">
        <v>0</v>
      </c>
      <c r="AY72" s="280">
        <v>0</v>
      </c>
      <c r="AZ72" s="280">
        <v>0</v>
      </c>
      <c r="BA72" s="280">
        <v>417722.23</v>
      </c>
      <c r="BB72" s="280">
        <v>0</v>
      </c>
      <c r="BC72" s="280">
        <v>122853.96</v>
      </c>
      <c r="BD72" s="280">
        <v>28667.919999999998</v>
      </c>
      <c r="BE72" s="280">
        <v>0</v>
      </c>
      <c r="BF72" s="280">
        <v>12323382.93</v>
      </c>
      <c r="BG72" s="280">
        <v>409356.81</v>
      </c>
      <c r="BH72" s="280">
        <v>308423.21999999997</v>
      </c>
      <c r="BI72" s="280">
        <v>358204.63</v>
      </c>
      <c r="BJ72" s="280">
        <v>340731.29</v>
      </c>
      <c r="BK72" s="280">
        <v>384984.42</v>
      </c>
      <c r="BL72" s="280">
        <v>385954.06</v>
      </c>
      <c r="BM72" s="280">
        <v>128805.67</v>
      </c>
      <c r="BN72" s="280">
        <v>355596.18</v>
      </c>
      <c r="BO72" s="280">
        <v>126650.84</v>
      </c>
      <c r="BP72" s="280">
        <v>82980.81</v>
      </c>
      <c r="BQ72" s="280">
        <v>181442.01</v>
      </c>
      <c r="BR72" s="280">
        <v>2082814.64</v>
      </c>
      <c r="BS72" s="280">
        <v>273986.37</v>
      </c>
      <c r="BT72" s="280">
        <v>151419.84</v>
      </c>
      <c r="BU72" s="280">
        <v>112612.26</v>
      </c>
      <c r="BV72" s="280">
        <v>94630.84</v>
      </c>
      <c r="BW72" s="280">
        <v>176711.3</v>
      </c>
      <c r="BX72" s="280">
        <v>117008.77</v>
      </c>
      <c r="BY72" s="280">
        <v>118480.33</v>
      </c>
      <c r="BZ72" s="280">
        <v>103784.98</v>
      </c>
      <c r="CA72" s="280">
        <v>101089.48</v>
      </c>
      <c r="CB72" s="280">
        <v>138330.84</v>
      </c>
      <c r="CC72" s="280">
        <v>71345.77</v>
      </c>
      <c r="CD72" s="280">
        <v>215022.83</v>
      </c>
      <c r="CE72" s="280">
        <v>19777.91</v>
      </c>
      <c r="CF72" s="280">
        <v>54914.09</v>
      </c>
      <c r="CG72" s="280">
        <v>46012.37</v>
      </c>
      <c r="CH72" s="280">
        <v>93739.29</v>
      </c>
      <c r="CI72" s="280">
        <v>42243.43</v>
      </c>
      <c r="CJ72" s="280">
        <v>35478.49</v>
      </c>
      <c r="CK72" s="280">
        <v>17849.919999999998</v>
      </c>
      <c r="CL72" s="280">
        <v>23111.89</v>
      </c>
      <c r="CM72" s="280">
        <v>18311.04</v>
      </c>
      <c r="CN72" s="280">
        <v>23895.1</v>
      </c>
      <c r="CO72" s="280">
        <v>44913.45</v>
      </c>
      <c r="CP72" s="280">
        <v>452738.43</v>
      </c>
      <c r="CQ72" s="280">
        <v>3345281.47</v>
      </c>
      <c r="CR72" s="280">
        <v>20165.57</v>
      </c>
      <c r="CS72" s="280">
        <v>28517.19</v>
      </c>
      <c r="CT72" s="280">
        <v>29093.63</v>
      </c>
      <c r="CU72" s="280">
        <v>4147.17</v>
      </c>
      <c r="CV72" s="280">
        <v>546465</v>
      </c>
      <c r="CW72" s="280">
        <v>224738.08</v>
      </c>
      <c r="CX72" s="280">
        <v>5711.19</v>
      </c>
      <c r="CY72" s="280">
        <v>4445.66</v>
      </c>
      <c r="CZ72" s="280">
        <v>4237.8599999999997</v>
      </c>
      <c r="DA72" s="280">
        <v>20691.7</v>
      </c>
      <c r="DB72" s="280">
        <v>966.45</v>
      </c>
      <c r="DC72" s="280">
        <v>6698.61</v>
      </c>
      <c r="DD72" s="280">
        <v>8028.98</v>
      </c>
      <c r="DE72" s="280">
        <v>6329.45</v>
      </c>
      <c r="DF72" s="280">
        <v>4007.69</v>
      </c>
      <c r="DG72" s="280">
        <v>3355.61</v>
      </c>
      <c r="DH72" s="280">
        <v>24679</v>
      </c>
      <c r="DI72" s="280">
        <v>1780.95</v>
      </c>
      <c r="DJ72" s="280">
        <v>987.41</v>
      </c>
      <c r="DK72" s="280">
        <v>2822.24</v>
      </c>
      <c r="DL72" s="280">
        <v>2301.59</v>
      </c>
      <c r="DM72" s="280">
        <v>3639.27</v>
      </c>
      <c r="DN72" s="280">
        <v>16898.830000000002</v>
      </c>
      <c r="DO72" s="293">
        <v>96842.96</v>
      </c>
      <c r="DP72" s="54">
        <v>19757.439999999999</v>
      </c>
      <c r="DQ72" s="54">
        <v>736.26</v>
      </c>
      <c r="DR72" s="54">
        <v>5082.8999999999996</v>
      </c>
      <c r="DS72" s="54">
        <v>183357.12</v>
      </c>
      <c r="DT72" s="54">
        <v>8262.0499999999993</v>
      </c>
      <c r="EA72" s="54">
        <f t="shared" si="2"/>
        <v>-12892627.039999999</v>
      </c>
      <c r="EB72" s="54">
        <f t="shared" si="3"/>
        <v>569244.11</v>
      </c>
      <c r="EC72" s="54">
        <f t="shared" si="7"/>
        <v>24638503.809999999</v>
      </c>
      <c r="ED72" s="54">
        <f t="shared" si="5"/>
        <v>13191694.289999999</v>
      </c>
      <c r="EE72" s="54">
        <f t="shared" si="6"/>
        <v>0</v>
      </c>
      <c r="EF72" s="54">
        <f t="shared" si="8"/>
        <v>-299067.25</v>
      </c>
      <c r="EG72" s="54">
        <f t="shared" si="9"/>
        <v>766245.8</v>
      </c>
    </row>
    <row r="73" spans="1:137" s="52" customFormat="1">
      <c r="A73" s="297" t="s">
        <v>98</v>
      </c>
      <c r="B73" s="298">
        <v>23257926.300000001</v>
      </c>
      <c r="C73" s="298">
        <v>0</v>
      </c>
      <c r="D73" s="298">
        <v>-364550.59</v>
      </c>
      <c r="E73" s="298">
        <v>0</v>
      </c>
      <c r="F73" s="298">
        <v>0</v>
      </c>
      <c r="G73" s="298">
        <v>0</v>
      </c>
      <c r="H73" s="298">
        <v>0</v>
      </c>
      <c r="I73" s="298">
        <v>0</v>
      </c>
      <c r="J73" s="298">
        <v>0</v>
      </c>
      <c r="K73" s="298">
        <v>0</v>
      </c>
      <c r="L73" s="298">
        <v>0</v>
      </c>
      <c r="M73" s="298">
        <v>0</v>
      </c>
      <c r="N73" s="298">
        <v>0</v>
      </c>
      <c r="O73" s="298">
        <v>0</v>
      </c>
      <c r="P73" s="298">
        <v>0</v>
      </c>
      <c r="Q73" s="298">
        <v>0</v>
      </c>
      <c r="R73" s="298">
        <v>0</v>
      </c>
      <c r="S73" s="298">
        <v>0</v>
      </c>
      <c r="T73" s="298">
        <v>0</v>
      </c>
      <c r="U73" s="298">
        <v>0</v>
      </c>
      <c r="V73" s="298">
        <v>17300.7</v>
      </c>
      <c r="W73" s="298">
        <v>1610337.27</v>
      </c>
      <c r="X73" s="298">
        <v>4015390.38</v>
      </c>
      <c r="Y73" s="298">
        <v>986475.29</v>
      </c>
      <c r="Z73" s="298">
        <v>40000</v>
      </c>
      <c r="AA73" s="298">
        <v>7.57</v>
      </c>
      <c r="AB73" s="298">
        <v>2.83</v>
      </c>
      <c r="AC73" s="298">
        <v>0</v>
      </c>
      <c r="AD73" s="298">
        <v>2.99</v>
      </c>
      <c r="AE73" s="298">
        <v>16952959.859999999</v>
      </c>
      <c r="AF73" s="298">
        <v>-13644.4</v>
      </c>
      <c r="AG73" s="298">
        <v>70300.399999999994</v>
      </c>
      <c r="AH73" s="298">
        <v>182960.92</v>
      </c>
      <c r="AI73" s="298">
        <v>-56210.52</v>
      </c>
      <c r="AJ73" s="298">
        <v>21360.33</v>
      </c>
      <c r="AK73" s="298">
        <v>1405570.54</v>
      </c>
      <c r="AL73" s="298">
        <v>0</v>
      </c>
      <c r="AM73" s="298">
        <v>0</v>
      </c>
      <c r="AN73" s="298">
        <v>2296908.2400000002</v>
      </c>
      <c r="AO73" s="298">
        <v>635301.43999999994</v>
      </c>
      <c r="AP73" s="298">
        <v>789252.95</v>
      </c>
      <c r="AQ73" s="298">
        <v>293927.75</v>
      </c>
      <c r="AR73" s="298">
        <v>0</v>
      </c>
      <c r="AS73" s="298">
        <v>0</v>
      </c>
      <c r="AT73" s="298">
        <v>0</v>
      </c>
      <c r="AU73" s="298">
        <v>113220.13</v>
      </c>
      <c r="AV73" s="298">
        <v>717158.27</v>
      </c>
      <c r="AW73" s="298">
        <v>36817.32</v>
      </c>
      <c r="AX73" s="298">
        <v>119279.57</v>
      </c>
      <c r="AY73" s="298">
        <v>7.57</v>
      </c>
      <c r="AZ73" s="298">
        <v>0</v>
      </c>
      <c r="BA73" s="298">
        <v>514525.52</v>
      </c>
      <c r="BB73" s="298">
        <v>-1092.6500000000001</v>
      </c>
      <c r="BC73" s="298">
        <v>758743.22</v>
      </c>
      <c r="BD73" s="298">
        <v>28667.919999999998</v>
      </c>
      <c r="BE73" s="298">
        <v>0</v>
      </c>
      <c r="BF73" s="298">
        <v>15652115.85</v>
      </c>
      <c r="BG73" s="298">
        <v>613733.85</v>
      </c>
      <c r="BH73" s="298">
        <v>502826.27</v>
      </c>
      <c r="BI73" s="298">
        <v>536735.80000000005</v>
      </c>
      <c r="BJ73" s="298">
        <v>541985.98</v>
      </c>
      <c r="BK73" s="298">
        <v>559605.66</v>
      </c>
      <c r="BL73" s="298">
        <v>539711.54</v>
      </c>
      <c r="BM73" s="298">
        <v>187229.42</v>
      </c>
      <c r="BN73" s="298">
        <v>580785.96</v>
      </c>
      <c r="BO73" s="298">
        <v>178417.85</v>
      </c>
      <c r="BP73" s="298">
        <v>119168.15</v>
      </c>
      <c r="BQ73" s="298">
        <v>406068.02</v>
      </c>
      <c r="BR73" s="298">
        <v>2305359.04</v>
      </c>
      <c r="BS73" s="298">
        <v>359050.84</v>
      </c>
      <c r="BT73" s="298">
        <v>207918.38</v>
      </c>
      <c r="BU73" s="298">
        <v>154432.39000000001</v>
      </c>
      <c r="BV73" s="298">
        <v>137765.88</v>
      </c>
      <c r="BW73" s="298">
        <v>231514.99</v>
      </c>
      <c r="BX73" s="298">
        <v>188786.77</v>
      </c>
      <c r="BY73" s="298">
        <v>178598.8</v>
      </c>
      <c r="BZ73" s="298">
        <v>137066.20000000001</v>
      </c>
      <c r="CA73" s="298">
        <v>167210.45000000001</v>
      </c>
      <c r="CB73" s="298">
        <v>199767.81</v>
      </c>
      <c r="CC73" s="298">
        <v>86092.64</v>
      </c>
      <c r="CD73" s="298">
        <v>236215.48</v>
      </c>
      <c r="CE73" s="298">
        <v>40682.910000000003</v>
      </c>
      <c r="CF73" s="298">
        <v>114500.69</v>
      </c>
      <c r="CG73" s="298">
        <v>65993.62</v>
      </c>
      <c r="CH73" s="298">
        <v>126571.15</v>
      </c>
      <c r="CI73" s="298">
        <v>69704.97</v>
      </c>
      <c r="CJ73" s="298">
        <v>86526.62</v>
      </c>
      <c r="CK73" s="298">
        <v>24585.24</v>
      </c>
      <c r="CL73" s="298">
        <v>42953.19</v>
      </c>
      <c r="CM73" s="298">
        <v>33174.699999999997</v>
      </c>
      <c r="CN73" s="298">
        <v>41730.19</v>
      </c>
      <c r="CO73" s="298">
        <v>55478.66</v>
      </c>
      <c r="CP73" s="298">
        <v>491483.77</v>
      </c>
      <c r="CQ73" s="298">
        <v>3566689.24</v>
      </c>
      <c r="CR73" s="298">
        <v>23806.42</v>
      </c>
      <c r="CS73" s="298">
        <v>32189.19</v>
      </c>
      <c r="CT73" s="298">
        <v>59829.14</v>
      </c>
      <c r="CU73" s="298">
        <v>13813.53</v>
      </c>
      <c r="CV73" s="298">
        <v>552855.73</v>
      </c>
      <c r="CW73" s="298">
        <v>237714.39</v>
      </c>
      <c r="CX73" s="298">
        <v>14715.61</v>
      </c>
      <c r="CY73" s="298">
        <v>8078.61</v>
      </c>
      <c r="CZ73" s="298">
        <v>10551.75</v>
      </c>
      <c r="DA73" s="298">
        <v>24937.83</v>
      </c>
      <c r="DB73" s="298">
        <v>2987.66</v>
      </c>
      <c r="DC73" s="298">
        <v>13528.63</v>
      </c>
      <c r="DD73" s="298">
        <v>13831.81</v>
      </c>
      <c r="DE73" s="298">
        <v>17588.84</v>
      </c>
      <c r="DF73" s="298">
        <v>9985.7800000000007</v>
      </c>
      <c r="DG73" s="298">
        <v>8839.56</v>
      </c>
      <c r="DH73" s="298">
        <v>62448.57</v>
      </c>
      <c r="DI73" s="298">
        <v>2893.19</v>
      </c>
      <c r="DJ73" s="298">
        <v>1874.96</v>
      </c>
      <c r="DK73" s="298">
        <v>3875.63</v>
      </c>
      <c r="DL73" s="298">
        <v>4790.7</v>
      </c>
      <c r="DM73" s="298">
        <v>7287.04</v>
      </c>
      <c r="DN73" s="298">
        <v>28255.34</v>
      </c>
      <c r="DO73" s="298">
        <v>107915.29</v>
      </c>
      <c r="DP73" s="298">
        <v>32391.39</v>
      </c>
      <c r="DQ73" s="298">
        <v>1500.75</v>
      </c>
      <c r="DR73" s="298">
        <v>7595.22</v>
      </c>
      <c r="DS73" s="298">
        <v>215582.07</v>
      </c>
      <c r="DT73" s="298">
        <v>14328.1</v>
      </c>
      <c r="DU73" s="298"/>
      <c r="DV73" s="298"/>
      <c r="DW73" s="298"/>
      <c r="DX73" s="54"/>
      <c r="DY73" s="54"/>
      <c r="DZ73" s="54"/>
      <c r="EA73" s="54">
        <f t="shared" si="2"/>
        <v>-16952959.859999999</v>
      </c>
      <c r="EB73" s="54">
        <f t="shared" si="3"/>
        <v>1300841.0199999998</v>
      </c>
      <c r="EC73" s="54">
        <f t="shared" si="7"/>
        <v>31289903.599999998</v>
      </c>
      <c r="ED73" s="54">
        <f t="shared" si="5"/>
        <v>18545996.43</v>
      </c>
      <c r="EE73" s="54">
        <f t="shared" si="6"/>
        <v>79287.140000000014</v>
      </c>
      <c r="EF73" s="54">
        <f t="shared" si="8"/>
        <v>2405053.11</v>
      </c>
      <c r="EG73" s="54">
        <f t="shared" si="9"/>
        <v>-3148194.66</v>
      </c>
    </row>
    <row r="74" spans="1:137">
      <c r="A74" s="279" t="s">
        <v>106</v>
      </c>
      <c r="B74" s="280">
        <v>3225600.74</v>
      </c>
      <c r="C74" s="280">
        <v>16617.59</v>
      </c>
      <c r="D74" s="280">
        <v>27000</v>
      </c>
      <c r="E74" s="280">
        <v>6353</v>
      </c>
      <c r="F74" s="280">
        <v>147502.37</v>
      </c>
      <c r="G74" s="280">
        <v>18948.400000000001</v>
      </c>
      <c r="H74" s="280">
        <v>42797.8</v>
      </c>
      <c r="I74" s="280">
        <v>6994</v>
      </c>
      <c r="J74" s="280">
        <v>0</v>
      </c>
      <c r="K74" s="280">
        <v>19977</v>
      </c>
      <c r="L74" s="280">
        <v>11382</v>
      </c>
      <c r="M74" s="280">
        <v>4036</v>
      </c>
      <c r="N74" s="280">
        <v>974</v>
      </c>
      <c r="O74" s="280">
        <v>33275.800000000003</v>
      </c>
      <c r="P74" s="280">
        <v>5227</v>
      </c>
      <c r="Q74" s="280">
        <v>5782.5</v>
      </c>
      <c r="R74" s="280">
        <v>1096</v>
      </c>
      <c r="S74" s="280">
        <v>650</v>
      </c>
      <c r="T74" s="280">
        <v>0</v>
      </c>
      <c r="U74" s="280">
        <v>2813</v>
      </c>
      <c r="V74" s="280">
        <v>0</v>
      </c>
      <c r="W74" s="280">
        <v>89025.3</v>
      </c>
      <c r="X74" s="280">
        <v>877962.43</v>
      </c>
      <c r="Y74" s="280">
        <v>120653.45</v>
      </c>
      <c r="Z74" s="280">
        <v>57846.15</v>
      </c>
      <c r="AA74" s="280">
        <v>7292</v>
      </c>
      <c r="AB74" s="280">
        <v>69912.38</v>
      </c>
      <c r="AC74" s="280">
        <v>0</v>
      </c>
      <c r="AD74" s="280">
        <v>29652.49</v>
      </c>
      <c r="AE74" s="280">
        <v>1621830.08</v>
      </c>
      <c r="AF74" s="280">
        <v>-7405.2</v>
      </c>
      <c r="AG74" s="280">
        <v>10309.75</v>
      </c>
      <c r="AH74" s="280">
        <v>18719.37</v>
      </c>
      <c r="AI74" s="280">
        <v>37772.35</v>
      </c>
      <c r="AJ74" s="280">
        <v>5440</v>
      </c>
      <c r="AK74" s="280">
        <v>7893.28</v>
      </c>
      <c r="AL74" s="280">
        <v>16295.75</v>
      </c>
      <c r="AM74" s="280">
        <v>29672.5</v>
      </c>
      <c r="AN74" s="280">
        <v>489714.59</v>
      </c>
      <c r="AO74" s="280">
        <v>93759.13</v>
      </c>
      <c r="AP74" s="280">
        <v>87847</v>
      </c>
      <c r="AQ74" s="280">
        <v>57844</v>
      </c>
      <c r="AR74" s="280">
        <v>111573.65</v>
      </c>
      <c r="AS74" s="280">
        <v>7551.56</v>
      </c>
      <c r="AT74" s="280">
        <v>0</v>
      </c>
      <c r="AU74" s="280">
        <v>19322</v>
      </c>
      <c r="AV74" s="280">
        <v>36629</v>
      </c>
      <c r="AW74" s="280">
        <v>48887.8</v>
      </c>
      <c r="AX74" s="280">
        <v>15814.65</v>
      </c>
      <c r="AY74" s="280">
        <v>6118</v>
      </c>
      <c r="AZ74" s="280">
        <v>1174</v>
      </c>
      <c r="BA74" s="280">
        <v>4301</v>
      </c>
      <c r="BB74" s="280">
        <v>50778.33</v>
      </c>
      <c r="BC74" s="280">
        <v>51014.39</v>
      </c>
      <c r="BD74" s="280">
        <v>26382</v>
      </c>
      <c r="BE74" s="280">
        <v>0</v>
      </c>
      <c r="BF74" s="280">
        <v>1489354.36</v>
      </c>
      <c r="BG74" s="280">
        <v>50226</v>
      </c>
      <c r="BH74" s="280">
        <v>51164</v>
      </c>
      <c r="BI74" s="280">
        <v>18747.580000000002</v>
      </c>
      <c r="BJ74" s="280">
        <v>13815</v>
      </c>
      <c r="BK74" s="280">
        <v>24075.82</v>
      </c>
      <c r="BL74" s="280">
        <v>35441.5</v>
      </c>
      <c r="BM74" s="280">
        <v>20975</v>
      </c>
      <c r="BN74" s="280">
        <v>63981</v>
      </c>
      <c r="BO74" s="280">
        <v>41248.300000000003</v>
      </c>
      <c r="BP74" s="280">
        <v>37812.800000000003</v>
      </c>
      <c r="BQ74" s="280">
        <v>55078.9</v>
      </c>
      <c r="BR74" s="280">
        <v>35263.96</v>
      </c>
      <c r="BS74" s="280">
        <v>26080.9</v>
      </c>
      <c r="BT74" s="280">
        <v>84856.86</v>
      </c>
      <c r="BU74" s="280">
        <v>7860.17</v>
      </c>
      <c r="BV74" s="280">
        <v>9230</v>
      </c>
      <c r="BW74" s="280">
        <v>11259.5</v>
      </c>
      <c r="BX74" s="280">
        <v>10991</v>
      </c>
      <c r="BY74" s="280">
        <v>11673</v>
      </c>
      <c r="BZ74" s="280">
        <v>17084</v>
      </c>
      <c r="CA74" s="280">
        <v>12318</v>
      </c>
      <c r="CB74" s="280">
        <v>20178</v>
      </c>
      <c r="CC74" s="280">
        <v>13674.07</v>
      </c>
      <c r="CD74" s="280">
        <v>8068</v>
      </c>
      <c r="CE74" s="280">
        <v>14217</v>
      </c>
      <c r="CF74" s="280">
        <v>22974.5</v>
      </c>
      <c r="CG74" s="280">
        <v>5213</v>
      </c>
      <c r="CH74" s="280">
        <v>40248.51</v>
      </c>
      <c r="CI74" s="280">
        <v>25251</v>
      </c>
      <c r="CJ74" s="280">
        <v>72027.12</v>
      </c>
      <c r="CK74" s="280">
        <v>0</v>
      </c>
      <c r="CL74" s="280">
        <v>0</v>
      </c>
      <c r="CM74" s="280">
        <v>15870</v>
      </c>
      <c r="CN74" s="280">
        <v>18394</v>
      </c>
      <c r="CO74" s="280">
        <v>6104</v>
      </c>
      <c r="CP74" s="280">
        <v>12013</v>
      </c>
      <c r="CQ74" s="280">
        <v>28542</v>
      </c>
      <c r="CR74" s="280">
        <v>9397.5</v>
      </c>
      <c r="CS74" s="280">
        <v>10357</v>
      </c>
      <c r="CT74" s="280">
        <v>8958.4</v>
      </c>
      <c r="CU74" s="280">
        <v>16701</v>
      </c>
      <c r="CV74" s="280">
        <v>8690.7999999999993</v>
      </c>
      <c r="CW74" s="280">
        <v>6199.15</v>
      </c>
      <c r="CX74" s="280">
        <v>17725</v>
      </c>
      <c r="CY74" s="280">
        <v>28373.24</v>
      </c>
      <c r="CZ74" s="280">
        <v>22562</v>
      </c>
      <c r="DA74" s="280">
        <v>22228.799999999999</v>
      </c>
      <c r="DB74" s="280">
        <v>14448</v>
      </c>
      <c r="DC74" s="280">
        <v>18029.900000000001</v>
      </c>
      <c r="DD74" s="280">
        <v>29179</v>
      </c>
      <c r="DE74" s="280">
        <v>18366</v>
      </c>
      <c r="DF74" s="280">
        <v>12412</v>
      </c>
      <c r="DG74" s="280">
        <v>11181</v>
      </c>
      <c r="DH74" s="280">
        <v>9040.65</v>
      </c>
      <c r="DI74" s="280">
        <v>10639.5</v>
      </c>
      <c r="DJ74" s="280">
        <v>9786</v>
      </c>
      <c r="DK74" s="280">
        <v>22817.91</v>
      </c>
      <c r="DL74" s="280">
        <v>24324.11</v>
      </c>
      <c r="DM74" s="280">
        <v>14654.74</v>
      </c>
      <c r="DN74" s="280">
        <v>47815</v>
      </c>
      <c r="DO74" s="293">
        <v>62009.17</v>
      </c>
      <c r="DP74" s="54">
        <v>9718</v>
      </c>
      <c r="DQ74" s="54">
        <v>18961</v>
      </c>
      <c r="DR74" s="54">
        <v>21496</v>
      </c>
      <c r="DS74" s="54">
        <v>41326</v>
      </c>
      <c r="DT74" s="54">
        <v>0</v>
      </c>
      <c r="EA74" s="54">
        <f t="shared" si="2"/>
        <v>-1621830.0800000003</v>
      </c>
      <c r="EB74" s="54">
        <f t="shared" si="3"/>
        <v>103997.23</v>
      </c>
      <c r="EC74" s="54">
        <f t="shared" si="7"/>
        <v>2978708.7199999997</v>
      </c>
      <c r="ED74" s="54">
        <f t="shared" si="5"/>
        <v>1694559.6300000004</v>
      </c>
      <c r="EE74" s="54">
        <f t="shared" si="6"/>
        <v>-35913.5</v>
      </c>
      <c r="EF74" s="54">
        <f t="shared" si="8"/>
        <v>805232.88000000012</v>
      </c>
      <c r="EG74" s="54">
        <f t="shared" si="9"/>
        <v>-773123.63</v>
      </c>
    </row>
    <row r="75" spans="1:137">
      <c r="A75" s="279" t="s">
        <v>107</v>
      </c>
      <c r="B75" s="280">
        <v>1946814.74</v>
      </c>
      <c r="C75" s="280">
        <v>28853.1</v>
      </c>
      <c r="D75" s="280">
        <v>-28511.5</v>
      </c>
      <c r="E75" s="280">
        <v>0</v>
      </c>
      <c r="F75" s="280">
        <v>38209.33</v>
      </c>
      <c r="G75" s="280">
        <v>1451.7</v>
      </c>
      <c r="H75" s="280">
        <v>28001.57</v>
      </c>
      <c r="I75" s="280">
        <v>2327.36</v>
      </c>
      <c r="J75" s="280">
        <v>0</v>
      </c>
      <c r="K75" s="280">
        <v>2712.76</v>
      </c>
      <c r="L75" s="280">
        <v>7741</v>
      </c>
      <c r="M75" s="280">
        <v>4731.21</v>
      </c>
      <c r="N75" s="280">
        <v>63412.6</v>
      </c>
      <c r="O75" s="280">
        <v>15049.29</v>
      </c>
      <c r="P75" s="280">
        <v>0</v>
      </c>
      <c r="Q75" s="280">
        <v>7193.11</v>
      </c>
      <c r="R75" s="280">
        <v>17511.12</v>
      </c>
      <c r="S75" s="280">
        <v>0</v>
      </c>
      <c r="T75" s="280">
        <v>0</v>
      </c>
      <c r="U75" s="280"/>
      <c r="V75" s="280">
        <v>0</v>
      </c>
      <c r="W75" s="280">
        <v>50370.6</v>
      </c>
      <c r="X75" s="280">
        <v>1318610.33</v>
      </c>
      <c r="Y75" s="280">
        <v>66399.520000000004</v>
      </c>
      <c r="Z75" s="280">
        <v>7891.24</v>
      </c>
      <c r="AA75" s="280">
        <v>6524.31</v>
      </c>
      <c r="AB75" s="280">
        <v>38210.660000000003</v>
      </c>
      <c r="AC75" s="280">
        <v>0</v>
      </c>
      <c r="AD75" s="280">
        <v>27333.119999999999</v>
      </c>
      <c r="AE75" s="280">
        <v>242792.31</v>
      </c>
      <c r="AF75" s="280">
        <v>-12581.35</v>
      </c>
      <c r="AG75" s="280">
        <v>11729.52</v>
      </c>
      <c r="AH75" s="280">
        <v>19518.599999999999</v>
      </c>
      <c r="AI75" s="280">
        <v>7792</v>
      </c>
      <c r="AJ75" s="280">
        <v>9586.2999999999993</v>
      </c>
      <c r="AK75" s="280">
        <v>4232</v>
      </c>
      <c r="AL75" s="280">
        <v>10093.530000000001</v>
      </c>
      <c r="AM75" s="280">
        <v>58697.2</v>
      </c>
      <c r="AN75" s="280">
        <v>655178.80000000005</v>
      </c>
      <c r="AO75" s="280">
        <v>176266.18</v>
      </c>
      <c r="AP75" s="280">
        <v>101397.21</v>
      </c>
      <c r="AQ75" s="280">
        <v>47518.68</v>
      </c>
      <c r="AR75" s="280">
        <v>249377.27</v>
      </c>
      <c r="AS75" s="280">
        <v>30174.99</v>
      </c>
      <c r="AT75" s="280">
        <v>0</v>
      </c>
      <c r="AU75" s="280">
        <v>4275.0600000000004</v>
      </c>
      <c r="AV75" s="280">
        <v>33818.730000000003</v>
      </c>
      <c r="AW75" s="280">
        <v>22811.85</v>
      </c>
      <c r="AX75" s="280">
        <v>5493.88</v>
      </c>
      <c r="AY75" s="280">
        <v>4718.7299999999996</v>
      </c>
      <c r="AZ75" s="280">
        <v>1805.58</v>
      </c>
      <c r="BA75" s="280">
        <v>26285.8</v>
      </c>
      <c r="BB75" s="280">
        <v>33695.589999999997</v>
      </c>
      <c r="BC75" s="280">
        <v>36855.919999999998</v>
      </c>
      <c r="BD75" s="280">
        <v>13680.98</v>
      </c>
      <c r="BE75" s="280">
        <v>0</v>
      </c>
      <c r="BF75" s="280">
        <v>132274.01999999999</v>
      </c>
      <c r="BG75" s="280">
        <v>263</v>
      </c>
      <c r="BH75" s="280">
        <v>3315.91</v>
      </c>
      <c r="BI75" s="280">
        <v>6842.9</v>
      </c>
      <c r="BJ75" s="280">
        <v>6615</v>
      </c>
      <c r="BK75" s="280">
        <v>2041</v>
      </c>
      <c r="BL75" s="280">
        <v>2447.2600000000002</v>
      </c>
      <c r="BM75" s="280">
        <v>675</v>
      </c>
      <c r="BN75" s="280">
        <v>9327.99</v>
      </c>
      <c r="BO75" s="280">
        <v>2316</v>
      </c>
      <c r="BP75" s="280">
        <v>-5721.02</v>
      </c>
      <c r="BQ75" s="280">
        <v>18397.259999999998</v>
      </c>
      <c r="BR75" s="280">
        <v>3444.08</v>
      </c>
      <c r="BS75" s="280">
        <v>3503</v>
      </c>
      <c r="BT75" s="280">
        <v>282</v>
      </c>
      <c r="BU75" s="280">
        <v>1036</v>
      </c>
      <c r="BV75" s="280">
        <v>0</v>
      </c>
      <c r="BW75" s="280">
        <v>2955.32</v>
      </c>
      <c r="BX75" s="280">
        <v>5521.48</v>
      </c>
      <c r="BY75" s="280">
        <v>425</v>
      </c>
      <c r="BZ75" s="280">
        <v>1248</v>
      </c>
      <c r="CA75" s="280">
        <v>0</v>
      </c>
      <c r="CB75" s="280">
        <v>49</v>
      </c>
      <c r="CC75" s="280">
        <v>3377.33</v>
      </c>
      <c r="CD75" s="280">
        <v>0</v>
      </c>
      <c r="CE75" s="280">
        <v>166</v>
      </c>
      <c r="CF75" s="280">
        <v>0</v>
      </c>
      <c r="CG75" s="280">
        <v>880</v>
      </c>
      <c r="CH75" s="280">
        <v>472</v>
      </c>
      <c r="CI75" s="280">
        <v>0</v>
      </c>
      <c r="CJ75" s="280">
        <v>3740.7</v>
      </c>
      <c r="CK75" s="280">
        <v>0</v>
      </c>
      <c r="CL75" s="280">
        <v>0</v>
      </c>
      <c r="CM75" s="280">
        <v>0</v>
      </c>
      <c r="CN75" s="280">
        <v>0</v>
      </c>
      <c r="CO75" s="280">
        <v>0</v>
      </c>
      <c r="CP75" s="280">
        <v>216</v>
      </c>
      <c r="CQ75" s="280">
        <v>459</v>
      </c>
      <c r="CR75" s="280">
        <v>1715</v>
      </c>
      <c r="CS75" s="280">
        <v>0</v>
      </c>
      <c r="CT75" s="280">
        <v>1284</v>
      </c>
      <c r="CU75" s="280">
        <v>0</v>
      </c>
      <c r="CV75" s="280">
        <v>4912</v>
      </c>
      <c r="CW75" s="280">
        <v>0</v>
      </c>
      <c r="CX75" s="280">
        <v>8333.36</v>
      </c>
      <c r="CY75" s="280">
        <v>701</v>
      </c>
      <c r="CZ75" s="280">
        <v>318.45</v>
      </c>
      <c r="DA75" s="280">
        <v>1452</v>
      </c>
      <c r="DB75" s="280">
        <v>7033.5</v>
      </c>
      <c r="DC75" s="280">
        <v>3389</v>
      </c>
      <c r="DD75" s="280">
        <v>2712</v>
      </c>
      <c r="DE75" s="280">
        <v>855</v>
      </c>
      <c r="DF75" s="280">
        <v>2495.3000000000002</v>
      </c>
      <c r="DG75" s="280">
        <v>0</v>
      </c>
      <c r="DH75" s="280">
        <v>2547</v>
      </c>
      <c r="DI75" s="280">
        <v>489</v>
      </c>
      <c r="DJ75" s="280">
        <v>0</v>
      </c>
      <c r="DK75" s="280">
        <v>2105</v>
      </c>
      <c r="DL75" s="280">
        <v>629</v>
      </c>
      <c r="DM75" s="280">
        <v>2275</v>
      </c>
      <c r="DN75" s="280">
        <v>1691.2</v>
      </c>
      <c r="DO75" s="293">
        <v>0</v>
      </c>
      <c r="DP75" s="54">
        <v>0</v>
      </c>
      <c r="DQ75" s="54">
        <v>5109</v>
      </c>
      <c r="DR75" s="54">
        <v>1045.5</v>
      </c>
      <c r="DS75" s="54">
        <v>6887.5</v>
      </c>
      <c r="DT75" s="54">
        <v>0</v>
      </c>
      <c r="EA75" s="54">
        <f t="shared" si="2"/>
        <v>-242792.30999999982</v>
      </c>
      <c r="EB75" s="54">
        <f t="shared" si="3"/>
        <v>84990.749999999985</v>
      </c>
      <c r="EC75" s="54">
        <f t="shared" si="7"/>
        <v>264548.04000000004</v>
      </c>
      <c r="ED75" s="54">
        <f t="shared" si="5"/>
        <v>283069.37999999995</v>
      </c>
      <c r="EE75" s="54">
        <f t="shared" si="6"/>
        <v>2321.3700000000008</v>
      </c>
      <c r="EF75" s="54">
        <f t="shared" si="8"/>
        <v>1278333.2599999998</v>
      </c>
      <c r="EG75" s="54">
        <f t="shared" si="9"/>
        <v>-1257704.6900000002</v>
      </c>
    </row>
    <row r="76" spans="1:137">
      <c r="A76" s="279" t="s">
        <v>108</v>
      </c>
      <c r="B76" s="280">
        <v>393933.62</v>
      </c>
      <c r="C76" s="280">
        <v>199.22</v>
      </c>
      <c r="D76" s="280">
        <v>0</v>
      </c>
      <c r="E76" s="280">
        <v>3162.43</v>
      </c>
      <c r="F76" s="280">
        <v>-29818.07</v>
      </c>
      <c r="G76" s="280">
        <v>8826.7099999999991</v>
      </c>
      <c r="H76" s="280">
        <v>9115.0300000000007</v>
      </c>
      <c r="I76" s="280">
        <v>3457.08</v>
      </c>
      <c r="J76" s="280">
        <v>0</v>
      </c>
      <c r="K76" s="280">
        <v>1594</v>
      </c>
      <c r="L76" s="280">
        <v>3580.11</v>
      </c>
      <c r="M76" s="280">
        <v>2812.96</v>
      </c>
      <c r="N76" s="280">
        <v>3189.91</v>
      </c>
      <c r="O76" s="280">
        <v>6591.82</v>
      </c>
      <c r="P76" s="280">
        <v>5870.49</v>
      </c>
      <c r="Q76" s="280">
        <v>13233.11</v>
      </c>
      <c r="R76" s="280">
        <v>2701.6</v>
      </c>
      <c r="S76" s="280">
        <v>1297.5899999999999</v>
      </c>
      <c r="T76" s="280">
        <v>0</v>
      </c>
      <c r="U76" s="280"/>
      <c r="V76" s="280">
        <v>0</v>
      </c>
      <c r="W76" s="280">
        <v>6404.35</v>
      </c>
      <c r="X76" s="280">
        <v>37083.33</v>
      </c>
      <c r="Y76" s="280">
        <v>12017.2</v>
      </c>
      <c r="Z76" s="280">
        <v>8460.51</v>
      </c>
      <c r="AA76" s="280">
        <v>2110.89</v>
      </c>
      <c r="AB76" s="280">
        <v>1815.8</v>
      </c>
      <c r="AC76" s="280">
        <v>0</v>
      </c>
      <c r="AD76" s="280">
        <v>17043.93</v>
      </c>
      <c r="AE76" s="280">
        <v>273183.62</v>
      </c>
      <c r="AF76" s="280">
        <v>2348.0700000000002</v>
      </c>
      <c r="AG76" s="280">
        <v>341.72</v>
      </c>
      <c r="AH76" s="280">
        <v>567.22</v>
      </c>
      <c r="AI76" s="280">
        <v>2159.6799999999998</v>
      </c>
      <c r="AJ76" s="280">
        <v>399.22</v>
      </c>
      <c r="AK76" s="280">
        <v>399.22</v>
      </c>
      <c r="AL76" s="280">
        <v>189.22</v>
      </c>
      <c r="AM76" s="280">
        <v>4424.7</v>
      </c>
      <c r="AN76" s="280">
        <v>11175.99</v>
      </c>
      <c r="AO76" s="280">
        <v>5955.51</v>
      </c>
      <c r="AP76" s="280">
        <v>5923.58</v>
      </c>
      <c r="AQ76" s="280">
        <v>195.73</v>
      </c>
      <c r="AR76" s="280">
        <v>8847.82</v>
      </c>
      <c r="AS76" s="280">
        <v>560</v>
      </c>
      <c r="AT76" s="280">
        <v>0</v>
      </c>
      <c r="AU76" s="280">
        <v>458</v>
      </c>
      <c r="AV76" s="280">
        <v>9019.67</v>
      </c>
      <c r="AW76" s="280">
        <v>1481.65</v>
      </c>
      <c r="AX76" s="280">
        <v>1057.8800000000001</v>
      </c>
      <c r="AY76" s="280">
        <v>2110.89</v>
      </c>
      <c r="AZ76" s="280">
        <v>0</v>
      </c>
      <c r="BA76" s="280">
        <v>8714</v>
      </c>
      <c r="BB76" s="280">
        <v>4968.71</v>
      </c>
      <c r="BC76" s="280">
        <v>2161.17</v>
      </c>
      <c r="BD76" s="280">
        <v>3421.65</v>
      </c>
      <c r="BE76" s="280">
        <v>0</v>
      </c>
      <c r="BF76" s="280">
        <v>253918.09</v>
      </c>
      <c r="BG76" s="280">
        <v>5988.4</v>
      </c>
      <c r="BH76" s="280">
        <v>10566.71</v>
      </c>
      <c r="BI76" s="280">
        <v>13074.76</v>
      </c>
      <c r="BJ76" s="280">
        <v>11120</v>
      </c>
      <c r="BK76" s="280">
        <v>14211.2</v>
      </c>
      <c r="BL76" s="280">
        <v>19713.21</v>
      </c>
      <c r="BM76" s="280">
        <v>5082</v>
      </c>
      <c r="BN76" s="280">
        <v>12762</v>
      </c>
      <c r="BO76" s="280">
        <v>485.46</v>
      </c>
      <c r="BP76" s="280">
        <v>5820.12</v>
      </c>
      <c r="BQ76" s="280">
        <v>18856.96</v>
      </c>
      <c r="BR76" s="280">
        <v>1671.7</v>
      </c>
      <c r="BS76" s="280">
        <v>12037.1</v>
      </c>
      <c r="BT76" s="280">
        <v>412.98</v>
      </c>
      <c r="BU76" s="280">
        <v>14864.8</v>
      </c>
      <c r="BV76" s="280">
        <v>10036.6</v>
      </c>
      <c r="BW76" s="280">
        <v>6087</v>
      </c>
      <c r="BX76" s="280">
        <v>8183.32</v>
      </c>
      <c r="BY76" s="280">
        <v>3926</v>
      </c>
      <c r="BZ76" s="280">
        <v>1200</v>
      </c>
      <c r="CA76" s="280">
        <v>233.7</v>
      </c>
      <c r="CB76" s="280">
        <v>1069.4100000000001</v>
      </c>
      <c r="CC76" s="280">
        <v>4316</v>
      </c>
      <c r="CD76" s="280">
        <v>215.6</v>
      </c>
      <c r="CE76" s="280">
        <v>2946</v>
      </c>
      <c r="CF76" s="280">
        <v>809.1</v>
      </c>
      <c r="CG76" s="280">
        <v>6510</v>
      </c>
      <c r="CH76" s="280">
        <v>5315.75</v>
      </c>
      <c r="CI76" s="280">
        <v>5230.5</v>
      </c>
      <c r="CJ76" s="280">
        <v>9436.4500000000007</v>
      </c>
      <c r="CK76" s="280">
        <v>0</v>
      </c>
      <c r="CL76" s="280">
        <v>201.87</v>
      </c>
      <c r="CM76" s="280">
        <v>720</v>
      </c>
      <c r="CN76" s="280">
        <v>1548.79</v>
      </c>
      <c r="CO76" s="280">
        <v>263</v>
      </c>
      <c r="CP76" s="280">
        <v>3612.54</v>
      </c>
      <c r="CQ76" s="280">
        <v>2170.61</v>
      </c>
      <c r="CR76" s="280">
        <v>500</v>
      </c>
      <c r="CS76" s="280">
        <v>371.4</v>
      </c>
      <c r="CT76" s="280">
        <v>60</v>
      </c>
      <c r="CU76" s="280">
        <v>1500</v>
      </c>
      <c r="CV76" s="280">
        <v>2860</v>
      </c>
      <c r="CW76" s="280">
        <v>858.4</v>
      </c>
      <c r="CX76" s="280">
        <v>792.9</v>
      </c>
      <c r="CY76" s="280">
        <v>812.39</v>
      </c>
      <c r="CZ76" s="280">
        <v>600.91999999999996</v>
      </c>
      <c r="DA76" s="280">
        <v>500.2</v>
      </c>
      <c r="DB76" s="280">
        <v>1518.8</v>
      </c>
      <c r="DC76" s="280">
        <v>1390</v>
      </c>
      <c r="DD76" s="280">
        <v>112.5</v>
      </c>
      <c r="DE76" s="280">
        <v>551</v>
      </c>
      <c r="DF76" s="280">
        <v>2192.8000000000002</v>
      </c>
      <c r="DG76" s="280">
        <v>240</v>
      </c>
      <c r="DH76" s="280">
        <v>1669.4</v>
      </c>
      <c r="DI76" s="280">
        <v>572.38</v>
      </c>
      <c r="DJ76" s="280">
        <v>0</v>
      </c>
      <c r="DK76" s="280">
        <v>651.34</v>
      </c>
      <c r="DL76" s="280">
        <v>0</v>
      </c>
      <c r="DM76" s="280">
        <v>1921.34</v>
      </c>
      <c r="DN76" s="280">
        <v>0</v>
      </c>
      <c r="DO76" s="293">
        <v>5851.68</v>
      </c>
      <c r="DP76" s="54">
        <v>325</v>
      </c>
      <c r="DQ76" s="54">
        <v>2656</v>
      </c>
      <c r="DR76" s="54">
        <v>4260</v>
      </c>
      <c r="DS76" s="54">
        <v>0</v>
      </c>
      <c r="DT76" s="54">
        <v>450</v>
      </c>
      <c r="EA76" s="54">
        <f t="shared" si="2"/>
        <v>-273183.62</v>
      </c>
      <c r="EB76" s="54">
        <f t="shared" si="3"/>
        <v>2221.5999999999985</v>
      </c>
      <c r="EC76" s="54">
        <f t="shared" si="7"/>
        <v>507386.18000000005</v>
      </c>
      <c r="ED76" s="54">
        <f t="shared" si="5"/>
        <v>279398.74999999988</v>
      </c>
      <c r="EE76" s="54">
        <f t="shared" si="6"/>
        <v>-5291.74</v>
      </c>
      <c r="EF76" s="54">
        <f t="shared" si="8"/>
        <v>30868.200000000004</v>
      </c>
      <c r="EG76" s="54">
        <f t="shared" si="9"/>
        <v>-26124.010000000002</v>
      </c>
    </row>
    <row r="77" spans="1:137">
      <c r="A77" s="279" t="s">
        <v>109</v>
      </c>
      <c r="B77" s="280">
        <v>226488.74</v>
      </c>
      <c r="C77" s="280">
        <v>0</v>
      </c>
      <c r="D77" s="280">
        <v>0</v>
      </c>
      <c r="E77" s="280">
        <v>0</v>
      </c>
      <c r="F77" s="280">
        <v>5360.55</v>
      </c>
      <c r="G77" s="280">
        <v>2504.85</v>
      </c>
      <c r="H77" s="280">
        <v>563.11</v>
      </c>
      <c r="I77" s="280">
        <v>3401.95</v>
      </c>
      <c r="J77" s="280">
        <v>0</v>
      </c>
      <c r="K77" s="280">
        <v>1898.06</v>
      </c>
      <c r="L77" s="280">
        <v>1628.72</v>
      </c>
      <c r="M77" s="280">
        <v>247.57</v>
      </c>
      <c r="N77" s="280">
        <v>82.52</v>
      </c>
      <c r="O77" s="280">
        <v>233.01</v>
      </c>
      <c r="P77" s="280">
        <v>495.15</v>
      </c>
      <c r="Q77" s="280">
        <v>10745.07</v>
      </c>
      <c r="R77" s="280">
        <v>310.68</v>
      </c>
      <c r="S77" s="280">
        <v>466.02</v>
      </c>
      <c r="T77" s="280">
        <v>0</v>
      </c>
      <c r="U77" s="280"/>
      <c r="V77" s="280">
        <v>0</v>
      </c>
      <c r="W77" s="280">
        <v>286.33</v>
      </c>
      <c r="X77" s="280">
        <v>20714.37</v>
      </c>
      <c r="Y77" s="280">
        <v>807.72</v>
      </c>
      <c r="Z77" s="280">
        <v>10258.76</v>
      </c>
      <c r="AA77" s="280">
        <v>0</v>
      </c>
      <c r="AB77" s="280">
        <v>199</v>
      </c>
      <c r="AC77" s="280">
        <v>0</v>
      </c>
      <c r="AD77" s="280">
        <v>13614.46</v>
      </c>
      <c r="AE77" s="280">
        <v>152670.84</v>
      </c>
      <c r="AF77" s="280">
        <v>0</v>
      </c>
      <c r="AG77" s="280">
        <v>0</v>
      </c>
      <c r="AH77" s="280">
        <v>0</v>
      </c>
      <c r="AI77" s="280">
        <v>0</v>
      </c>
      <c r="AJ77" s="280">
        <v>286.33</v>
      </c>
      <c r="AK77" s="280">
        <v>0</v>
      </c>
      <c r="AL77" s="280">
        <v>0</v>
      </c>
      <c r="AM77" s="280">
        <v>3752.43</v>
      </c>
      <c r="AN77" s="280">
        <v>16481.36</v>
      </c>
      <c r="AO77" s="280">
        <v>398.06</v>
      </c>
      <c r="AP77" s="280">
        <v>82.52</v>
      </c>
      <c r="AQ77" s="280">
        <v>0</v>
      </c>
      <c r="AR77" s="280">
        <v>0</v>
      </c>
      <c r="AS77" s="280">
        <v>0</v>
      </c>
      <c r="AT77" s="280">
        <v>0</v>
      </c>
      <c r="AU77" s="280">
        <v>25.22</v>
      </c>
      <c r="AV77" s="280">
        <v>674.76</v>
      </c>
      <c r="AW77" s="280">
        <v>82.52</v>
      </c>
      <c r="AX77" s="280">
        <v>25.22</v>
      </c>
      <c r="AY77" s="280">
        <v>0</v>
      </c>
      <c r="AZ77" s="280">
        <v>0</v>
      </c>
      <c r="BA77" s="280">
        <v>233.01</v>
      </c>
      <c r="BB77" s="280">
        <v>842.07</v>
      </c>
      <c r="BC77" s="280">
        <v>0</v>
      </c>
      <c r="BD77" s="280">
        <v>0</v>
      </c>
      <c r="BE77" s="280">
        <v>0</v>
      </c>
      <c r="BF77" s="280">
        <v>151595.76</v>
      </c>
      <c r="BG77" s="280">
        <v>8920</v>
      </c>
      <c r="BH77" s="280">
        <v>21871.21</v>
      </c>
      <c r="BI77" s="280">
        <v>15608.75</v>
      </c>
      <c r="BJ77" s="280">
        <v>5334.96</v>
      </c>
      <c r="BK77" s="280">
        <v>6941.89</v>
      </c>
      <c r="BL77" s="280">
        <v>11149.58</v>
      </c>
      <c r="BM77" s="280">
        <v>0</v>
      </c>
      <c r="BN77" s="280">
        <v>1700</v>
      </c>
      <c r="BO77" s="280">
        <v>0</v>
      </c>
      <c r="BP77" s="280">
        <v>1010</v>
      </c>
      <c r="BQ77" s="280">
        <v>5613</v>
      </c>
      <c r="BR77" s="280">
        <v>811.97</v>
      </c>
      <c r="BS77" s="280">
        <v>5676.64</v>
      </c>
      <c r="BT77" s="280">
        <v>1758.57</v>
      </c>
      <c r="BU77" s="280">
        <v>839</v>
      </c>
      <c r="BV77" s="280">
        <v>7159.2</v>
      </c>
      <c r="BW77" s="280">
        <v>2832.4</v>
      </c>
      <c r="BX77" s="280">
        <v>2600</v>
      </c>
      <c r="BY77" s="280">
        <v>7158</v>
      </c>
      <c r="BZ77" s="280">
        <v>198</v>
      </c>
      <c r="CA77" s="280">
        <v>500</v>
      </c>
      <c r="CB77" s="280">
        <v>3278.8</v>
      </c>
      <c r="CC77" s="280">
        <v>0</v>
      </c>
      <c r="CD77" s="280">
        <v>1650.48</v>
      </c>
      <c r="CE77" s="280">
        <v>0</v>
      </c>
      <c r="CF77" s="280">
        <v>3500</v>
      </c>
      <c r="CG77" s="280">
        <v>3580</v>
      </c>
      <c r="CH77" s="280">
        <v>900</v>
      </c>
      <c r="CI77" s="280">
        <v>4220</v>
      </c>
      <c r="CJ77" s="280">
        <v>4740.5200000000004</v>
      </c>
      <c r="CK77" s="280">
        <v>0</v>
      </c>
      <c r="CL77" s="280">
        <v>482.98</v>
      </c>
      <c r="CM77" s="280">
        <v>0</v>
      </c>
      <c r="CN77" s="280">
        <v>311.11</v>
      </c>
      <c r="CO77" s="280">
        <v>0</v>
      </c>
      <c r="CP77" s="280">
        <v>248.2</v>
      </c>
      <c r="CQ77" s="280">
        <v>900</v>
      </c>
      <c r="CR77" s="280">
        <v>0</v>
      </c>
      <c r="CS77" s="280">
        <v>0</v>
      </c>
      <c r="CT77" s="280">
        <v>280</v>
      </c>
      <c r="CU77" s="280">
        <v>0</v>
      </c>
      <c r="CV77" s="280">
        <v>507</v>
      </c>
      <c r="CW77" s="280">
        <v>0</v>
      </c>
      <c r="CX77" s="280">
        <v>0</v>
      </c>
      <c r="CY77" s="280">
        <v>696</v>
      </c>
      <c r="CZ77" s="280">
        <v>380</v>
      </c>
      <c r="DA77" s="280">
        <v>0</v>
      </c>
      <c r="DB77" s="280">
        <v>745</v>
      </c>
      <c r="DC77" s="280">
        <v>2065</v>
      </c>
      <c r="DD77" s="280">
        <v>0</v>
      </c>
      <c r="DE77" s="280">
        <v>0</v>
      </c>
      <c r="DF77" s="280">
        <v>2520</v>
      </c>
      <c r="DG77" s="280">
        <v>0</v>
      </c>
      <c r="DH77" s="280">
        <v>1073</v>
      </c>
      <c r="DI77" s="280">
        <v>400</v>
      </c>
      <c r="DJ77" s="280">
        <v>0</v>
      </c>
      <c r="DK77" s="280">
        <v>3257.85</v>
      </c>
      <c r="DL77" s="280">
        <v>0</v>
      </c>
      <c r="DM77" s="280">
        <v>338.85</v>
      </c>
      <c r="DN77" s="280">
        <v>0</v>
      </c>
      <c r="DO77" s="293">
        <v>4952</v>
      </c>
      <c r="DP77" s="54">
        <v>54.8</v>
      </c>
      <c r="DQ77" s="54">
        <v>1181</v>
      </c>
      <c r="DR77" s="54">
        <v>1650</v>
      </c>
      <c r="DS77" s="54">
        <v>0</v>
      </c>
      <c r="DT77" s="54">
        <v>0</v>
      </c>
      <c r="EA77" s="54">
        <f t="shared" si="2"/>
        <v>-152670.84</v>
      </c>
      <c r="EB77" s="54">
        <f t="shared" si="3"/>
        <v>-12539.38</v>
      </c>
      <c r="EC77" s="54">
        <f t="shared" si="7"/>
        <v>303191.51999999996</v>
      </c>
      <c r="ED77" s="54">
        <f t="shared" si="5"/>
        <v>152957.16999999998</v>
      </c>
      <c r="EE77" s="54">
        <f t="shared" si="6"/>
        <v>-10233.540000000001</v>
      </c>
      <c r="EF77" s="54">
        <f t="shared" si="8"/>
        <v>20428.04</v>
      </c>
      <c r="EG77" s="54">
        <f t="shared" si="9"/>
        <v>-19931.87</v>
      </c>
    </row>
    <row r="78" spans="1:137">
      <c r="A78" s="279" t="s">
        <v>110</v>
      </c>
      <c r="B78" s="280">
        <v>1105762.5</v>
      </c>
      <c r="C78" s="280">
        <v>0</v>
      </c>
      <c r="D78" s="280">
        <v>0</v>
      </c>
      <c r="E78" s="280">
        <v>559076.29</v>
      </c>
      <c r="F78" s="280">
        <v>-5169.79</v>
      </c>
      <c r="G78" s="280">
        <v>0</v>
      </c>
      <c r="H78" s="280">
        <v>0</v>
      </c>
      <c r="I78" s="280">
        <v>0</v>
      </c>
      <c r="J78" s="280">
        <v>0</v>
      </c>
      <c r="K78" s="280">
        <v>37.74</v>
      </c>
      <c r="L78" s="280">
        <v>45.28</v>
      </c>
      <c r="M78" s="280">
        <v>0</v>
      </c>
      <c r="N78" s="280">
        <v>0</v>
      </c>
      <c r="O78" s="280">
        <v>0</v>
      </c>
      <c r="P78" s="280">
        <v>0</v>
      </c>
      <c r="Q78" s="280">
        <v>0</v>
      </c>
      <c r="R78" s="280">
        <v>60.38</v>
      </c>
      <c r="S78" s="280">
        <v>0</v>
      </c>
      <c r="T78" s="280">
        <v>0</v>
      </c>
      <c r="U78" s="280"/>
      <c r="V78" s="280">
        <v>0</v>
      </c>
      <c r="W78" s="280">
        <v>0</v>
      </c>
      <c r="X78" s="280">
        <v>0</v>
      </c>
      <c r="Y78" s="280">
        <v>7.55</v>
      </c>
      <c r="Z78" s="280">
        <v>462762.41</v>
      </c>
      <c r="AA78" s="280">
        <v>0</v>
      </c>
      <c r="AB78" s="280">
        <v>105.66</v>
      </c>
      <c r="AC78" s="280">
        <v>0</v>
      </c>
      <c r="AD78" s="280">
        <v>777.35</v>
      </c>
      <c r="AE78" s="280">
        <v>88059.63</v>
      </c>
      <c r="AF78" s="280">
        <v>0</v>
      </c>
      <c r="AG78" s="280">
        <v>0</v>
      </c>
      <c r="AH78" s="280">
        <v>0</v>
      </c>
      <c r="AI78" s="280">
        <v>0</v>
      </c>
      <c r="AJ78" s="280">
        <v>0</v>
      </c>
      <c r="AK78" s="280">
        <v>0</v>
      </c>
      <c r="AL78" s="280">
        <v>0</v>
      </c>
      <c r="AM78" s="280">
        <v>0</v>
      </c>
      <c r="AN78" s="280">
        <v>0</v>
      </c>
      <c r="AO78" s="280">
        <v>0</v>
      </c>
      <c r="AP78" s="280">
        <v>0</v>
      </c>
      <c r="AQ78" s="280">
        <v>0</v>
      </c>
      <c r="AR78" s="280">
        <v>0</v>
      </c>
      <c r="AS78" s="280">
        <v>0</v>
      </c>
      <c r="AT78" s="280">
        <v>0</v>
      </c>
      <c r="AU78" s="280">
        <v>0</v>
      </c>
      <c r="AV78" s="280">
        <v>7.55</v>
      </c>
      <c r="AW78" s="280">
        <v>0</v>
      </c>
      <c r="AX78" s="280">
        <v>0</v>
      </c>
      <c r="AY78" s="280">
        <v>0</v>
      </c>
      <c r="AZ78" s="280">
        <v>0</v>
      </c>
      <c r="BA78" s="280">
        <v>188.68</v>
      </c>
      <c r="BB78" s="280">
        <v>720</v>
      </c>
      <c r="BC78" s="280">
        <v>0</v>
      </c>
      <c r="BD78" s="280">
        <v>45.28</v>
      </c>
      <c r="BE78" s="280">
        <v>0</v>
      </c>
      <c r="BF78" s="280">
        <v>87105.67</v>
      </c>
      <c r="BG78" s="280">
        <v>5458.25</v>
      </c>
      <c r="BH78" s="280">
        <v>1071</v>
      </c>
      <c r="BI78" s="280">
        <v>6870.19</v>
      </c>
      <c r="BJ78" s="280">
        <v>0</v>
      </c>
      <c r="BK78" s="280">
        <v>0</v>
      </c>
      <c r="BL78" s="280">
        <v>377.36</v>
      </c>
      <c r="BM78" s="280">
        <v>3908.94</v>
      </c>
      <c r="BN78" s="280">
        <v>0</v>
      </c>
      <c r="BO78" s="280">
        <v>4119.1899999999996</v>
      </c>
      <c r="BP78" s="280">
        <v>237.5</v>
      </c>
      <c r="BQ78" s="280">
        <v>0</v>
      </c>
      <c r="BR78" s="280">
        <v>0</v>
      </c>
      <c r="BS78" s="280">
        <v>150.94</v>
      </c>
      <c r="BT78" s="280">
        <v>9100</v>
      </c>
      <c r="BU78" s="280">
        <v>0</v>
      </c>
      <c r="BV78" s="280">
        <v>7578.97</v>
      </c>
      <c r="BW78" s="280">
        <v>600</v>
      </c>
      <c r="BX78" s="280">
        <v>1277.3599999999999</v>
      </c>
      <c r="BY78" s="280">
        <v>2924.42</v>
      </c>
      <c r="BZ78" s="280">
        <v>0</v>
      </c>
      <c r="CA78" s="280">
        <v>0</v>
      </c>
      <c r="CB78" s="280">
        <v>226.42</v>
      </c>
      <c r="CC78" s="280">
        <v>0</v>
      </c>
      <c r="CD78" s="280">
        <v>418.45</v>
      </c>
      <c r="CE78" s="280">
        <v>2508.09</v>
      </c>
      <c r="CF78" s="280">
        <v>0</v>
      </c>
      <c r="CG78" s="280">
        <v>6175.47</v>
      </c>
      <c r="CH78" s="280">
        <v>0</v>
      </c>
      <c r="CI78" s="280">
        <v>5743.84</v>
      </c>
      <c r="CJ78" s="280">
        <v>75.47</v>
      </c>
      <c r="CK78" s="280">
        <v>666.67</v>
      </c>
      <c r="CL78" s="280">
        <v>0</v>
      </c>
      <c r="CM78" s="280">
        <v>0</v>
      </c>
      <c r="CN78" s="280">
        <v>1748.94</v>
      </c>
      <c r="CO78" s="280">
        <v>0</v>
      </c>
      <c r="CP78" s="280">
        <v>2905</v>
      </c>
      <c r="CQ78" s="280">
        <v>3900</v>
      </c>
      <c r="CR78" s="280">
        <v>1683</v>
      </c>
      <c r="CS78" s="280">
        <v>2180</v>
      </c>
      <c r="CT78" s="280">
        <v>0</v>
      </c>
      <c r="CU78" s="280">
        <v>0</v>
      </c>
      <c r="CV78" s="280">
        <v>0</v>
      </c>
      <c r="CW78" s="280">
        <v>0</v>
      </c>
      <c r="CX78" s="280">
        <v>75.47</v>
      </c>
      <c r="CY78" s="280">
        <v>150.94</v>
      </c>
      <c r="CZ78" s="280">
        <v>0</v>
      </c>
      <c r="DA78" s="280">
        <v>0</v>
      </c>
      <c r="DB78" s="280">
        <v>0</v>
      </c>
      <c r="DC78" s="280">
        <v>0</v>
      </c>
      <c r="DD78" s="280">
        <v>0</v>
      </c>
      <c r="DE78" s="280">
        <v>150.94</v>
      </c>
      <c r="DF78" s="280">
        <v>300</v>
      </c>
      <c r="DG78" s="280">
        <v>0</v>
      </c>
      <c r="DH78" s="280">
        <v>127</v>
      </c>
      <c r="DI78" s="280">
        <v>1330</v>
      </c>
      <c r="DJ78" s="280">
        <v>0</v>
      </c>
      <c r="DK78" s="280">
        <v>0</v>
      </c>
      <c r="DL78" s="280">
        <v>75.47</v>
      </c>
      <c r="DM78" s="280">
        <v>150.94</v>
      </c>
      <c r="DN78" s="280">
        <v>9877.36</v>
      </c>
      <c r="DO78" s="293">
        <v>0</v>
      </c>
      <c r="DP78" s="54">
        <v>0</v>
      </c>
      <c r="DQ78" s="54">
        <v>150.94</v>
      </c>
      <c r="DR78" s="54">
        <v>150.94</v>
      </c>
      <c r="DS78" s="54">
        <v>2607.37</v>
      </c>
      <c r="DT78" s="54">
        <v>52.83</v>
      </c>
      <c r="EA78" s="54">
        <f t="shared" si="2"/>
        <v>-88059.629999999888</v>
      </c>
      <c r="EB78" s="54">
        <f t="shared" si="3"/>
        <v>176.61</v>
      </c>
      <c r="EC78" s="54">
        <f t="shared" si="7"/>
        <v>174158.51</v>
      </c>
      <c r="ED78" s="54">
        <f t="shared" si="5"/>
        <v>88059.63</v>
      </c>
      <c r="EE78" s="54">
        <f t="shared" si="6"/>
        <v>-462762.41</v>
      </c>
      <c r="EF78" s="54">
        <f t="shared" si="8"/>
        <v>0</v>
      </c>
      <c r="EG78" s="54">
        <f t="shared" si="9"/>
        <v>7.55</v>
      </c>
    </row>
    <row r="79" spans="1:137">
      <c r="A79" s="279" t="s">
        <v>111</v>
      </c>
      <c r="B79" s="280">
        <v>1575698.79</v>
      </c>
      <c r="C79" s="280">
        <v>3648</v>
      </c>
      <c r="D79" s="280">
        <v>10944</v>
      </c>
      <c r="E79" s="280">
        <v>3648</v>
      </c>
      <c r="F79" s="280">
        <v>3648</v>
      </c>
      <c r="G79" s="280">
        <v>3648</v>
      </c>
      <c r="H79" s="280">
        <v>7296</v>
      </c>
      <c r="I79" s="280">
        <v>0</v>
      </c>
      <c r="J79" s="280">
        <v>0</v>
      </c>
      <c r="K79" s="280">
        <v>0</v>
      </c>
      <c r="L79" s="280">
        <v>0</v>
      </c>
      <c r="M79" s="280">
        <v>10944</v>
      </c>
      <c r="N79" s="280">
        <v>0</v>
      </c>
      <c r="O79" s="280">
        <v>58370.64</v>
      </c>
      <c r="P79" s="280">
        <v>0</v>
      </c>
      <c r="Q79" s="280">
        <v>253.99</v>
      </c>
      <c r="R79" s="280">
        <v>0</v>
      </c>
      <c r="S79" s="280">
        <v>0</v>
      </c>
      <c r="T79" s="280">
        <v>0</v>
      </c>
      <c r="U79" s="280"/>
      <c r="V79" s="280">
        <v>0</v>
      </c>
      <c r="W79" s="280">
        <v>163934.44</v>
      </c>
      <c r="X79" s="280">
        <v>29184</v>
      </c>
      <c r="Y79" s="280">
        <v>472703.17</v>
      </c>
      <c r="Z79" s="280">
        <v>258965.23</v>
      </c>
      <c r="AA79" s="280">
        <v>3648</v>
      </c>
      <c r="AB79" s="280">
        <v>0</v>
      </c>
      <c r="AC79" s="280">
        <v>0</v>
      </c>
      <c r="AD79" s="280">
        <v>0</v>
      </c>
      <c r="AE79" s="280">
        <v>544863.31999999995</v>
      </c>
      <c r="AF79" s="280">
        <v>3648</v>
      </c>
      <c r="AG79" s="280">
        <v>69057.81</v>
      </c>
      <c r="AH79" s="280">
        <v>21888</v>
      </c>
      <c r="AI79" s="280">
        <v>45314.67</v>
      </c>
      <c r="AJ79" s="280">
        <v>3648</v>
      </c>
      <c r="AK79" s="280">
        <v>13081.96</v>
      </c>
      <c r="AL79" s="280">
        <v>7296</v>
      </c>
      <c r="AM79" s="280">
        <v>7296</v>
      </c>
      <c r="AN79" s="280">
        <v>7296</v>
      </c>
      <c r="AO79" s="280">
        <v>7296</v>
      </c>
      <c r="AP79" s="280">
        <v>7296</v>
      </c>
      <c r="AQ79" s="280">
        <v>0</v>
      </c>
      <c r="AR79" s="280">
        <v>0</v>
      </c>
      <c r="AS79" s="280">
        <v>0</v>
      </c>
      <c r="AT79" s="280">
        <v>0</v>
      </c>
      <c r="AU79" s="280">
        <v>101635.62</v>
      </c>
      <c r="AV79" s="280">
        <v>269431.93</v>
      </c>
      <c r="AW79" s="280">
        <v>101635.62</v>
      </c>
      <c r="AX79" s="280">
        <v>0</v>
      </c>
      <c r="AY79" s="280">
        <v>3648</v>
      </c>
      <c r="AZ79" s="280">
        <v>0</v>
      </c>
      <c r="BA79" s="280">
        <v>3648</v>
      </c>
      <c r="BB79" s="280">
        <v>235304.2</v>
      </c>
      <c r="BC79" s="280">
        <v>10591.58</v>
      </c>
      <c r="BD79" s="280">
        <v>3648</v>
      </c>
      <c r="BE79" s="280">
        <v>0</v>
      </c>
      <c r="BF79" s="280">
        <v>291671.53999999998</v>
      </c>
      <c r="BG79" s="280">
        <v>21936.55</v>
      </c>
      <c r="BH79" s="280">
        <v>14053.04</v>
      </c>
      <c r="BI79" s="280">
        <v>17145.939999999999</v>
      </c>
      <c r="BJ79" s="280">
        <v>9187.18</v>
      </c>
      <c r="BK79" s="280">
        <v>24603.48</v>
      </c>
      <c r="BL79" s="280">
        <v>17395.89</v>
      </c>
      <c r="BM79" s="280">
        <v>4316.7299999999996</v>
      </c>
      <c r="BN79" s="280">
        <v>19076.93</v>
      </c>
      <c r="BO79" s="280">
        <v>6820.3</v>
      </c>
      <c r="BP79" s="280">
        <v>3163.93</v>
      </c>
      <c r="BQ79" s="280">
        <v>6337.11</v>
      </c>
      <c r="BR79" s="280">
        <v>8574.61</v>
      </c>
      <c r="BS79" s="280">
        <v>19452.07</v>
      </c>
      <c r="BT79" s="280">
        <v>4859.8599999999997</v>
      </c>
      <c r="BU79" s="280">
        <v>4888.75</v>
      </c>
      <c r="BV79" s="280">
        <v>8456.16</v>
      </c>
      <c r="BW79" s="280">
        <v>4958.38</v>
      </c>
      <c r="BX79" s="280">
        <v>18517.310000000001</v>
      </c>
      <c r="BY79" s="280">
        <v>17303.52</v>
      </c>
      <c r="BZ79" s="280">
        <v>3549.36</v>
      </c>
      <c r="CA79" s="280">
        <v>4556.82</v>
      </c>
      <c r="CB79" s="280">
        <v>8039.08</v>
      </c>
      <c r="CC79" s="280">
        <v>1120.08</v>
      </c>
      <c r="CD79" s="280">
        <v>1650.79</v>
      </c>
      <c r="CE79" s="280">
        <v>1908.15</v>
      </c>
      <c r="CF79" s="280">
        <v>1728.77</v>
      </c>
      <c r="CG79" s="280">
        <v>4305.6000000000004</v>
      </c>
      <c r="CH79" s="280">
        <v>3606.31</v>
      </c>
      <c r="CI79" s="280">
        <v>7546.51</v>
      </c>
      <c r="CJ79" s="280">
        <v>2280.5500000000002</v>
      </c>
      <c r="CK79" s="280">
        <v>999.65</v>
      </c>
      <c r="CL79" s="280">
        <v>958.51</v>
      </c>
      <c r="CM79" s="280">
        <v>472.9</v>
      </c>
      <c r="CN79" s="280">
        <v>764.87</v>
      </c>
      <c r="CO79" s="280">
        <v>1181.7</v>
      </c>
      <c r="CP79" s="280">
        <v>1670.36</v>
      </c>
      <c r="CQ79" s="280">
        <v>6786.33</v>
      </c>
      <c r="CR79" s="280">
        <v>450.05</v>
      </c>
      <c r="CS79" s="280">
        <v>242.61</v>
      </c>
      <c r="CT79" s="280">
        <v>136.22</v>
      </c>
      <c r="CU79" s="280">
        <v>232.89</v>
      </c>
      <c r="CV79" s="280">
        <v>208.99</v>
      </c>
      <c r="CW79" s="280">
        <v>323.77</v>
      </c>
      <c r="CX79" s="280">
        <v>868.76</v>
      </c>
      <c r="CY79" s="280">
        <v>174.36</v>
      </c>
      <c r="CZ79" s="280">
        <v>83.76</v>
      </c>
      <c r="DA79" s="280">
        <v>174.8</v>
      </c>
      <c r="DB79" s="280">
        <v>105.83</v>
      </c>
      <c r="DC79" s="280">
        <v>282.27</v>
      </c>
      <c r="DD79" s="280">
        <v>362.43</v>
      </c>
      <c r="DE79" s="280">
        <v>267.12</v>
      </c>
      <c r="DF79" s="280">
        <v>110.24</v>
      </c>
      <c r="DG79" s="280">
        <v>295.05</v>
      </c>
      <c r="DH79" s="280">
        <v>121.89</v>
      </c>
      <c r="DI79" s="280">
        <v>158.38</v>
      </c>
      <c r="DJ79" s="280">
        <v>207.74</v>
      </c>
      <c r="DK79" s="280">
        <v>280.66000000000003</v>
      </c>
      <c r="DL79" s="280">
        <v>95.47</v>
      </c>
      <c r="DM79" s="280">
        <v>336.58</v>
      </c>
      <c r="DN79" s="280">
        <v>265.11</v>
      </c>
      <c r="DO79" s="293">
        <v>686.13</v>
      </c>
      <c r="DP79" s="54">
        <v>236.52</v>
      </c>
      <c r="DQ79" s="54">
        <v>60.1</v>
      </c>
      <c r="DR79" s="54">
        <v>212.45</v>
      </c>
      <c r="DS79" s="54">
        <v>386.85</v>
      </c>
      <c r="DT79" s="54">
        <v>130.43</v>
      </c>
      <c r="EA79" s="54">
        <f t="shared" si="2"/>
        <v>-544863.32000000007</v>
      </c>
      <c r="EB79" s="54">
        <f t="shared" si="3"/>
        <v>253191.78</v>
      </c>
      <c r="EC79" s="54">
        <f t="shared" si="7"/>
        <v>583212.64999999991</v>
      </c>
      <c r="ED79" s="54">
        <f t="shared" si="5"/>
        <v>701501.75999999989</v>
      </c>
      <c r="EE79" s="54">
        <f t="shared" si="6"/>
        <v>-255317.23</v>
      </c>
      <c r="EF79" s="54">
        <f t="shared" si="8"/>
        <v>-127454.44</v>
      </c>
      <c r="EG79" s="54">
        <f t="shared" si="9"/>
        <v>443519.17</v>
      </c>
    </row>
    <row r="80" spans="1:137">
      <c r="A80" s="279" t="s">
        <v>112</v>
      </c>
      <c r="B80" s="280">
        <v>356295.22</v>
      </c>
      <c r="C80" s="280">
        <v>0</v>
      </c>
      <c r="D80" s="280">
        <v>0</v>
      </c>
      <c r="E80" s="280">
        <v>0</v>
      </c>
      <c r="F80" s="280">
        <v>0</v>
      </c>
      <c r="G80" s="280">
        <v>0</v>
      </c>
      <c r="H80" s="280">
        <v>0</v>
      </c>
      <c r="I80" s="280">
        <v>0</v>
      </c>
      <c r="J80" s="280">
        <v>0</v>
      </c>
      <c r="K80" s="280">
        <v>0</v>
      </c>
      <c r="L80" s="280">
        <v>0</v>
      </c>
      <c r="M80" s="280">
        <v>0</v>
      </c>
      <c r="N80" s="280">
        <v>23309.439999999999</v>
      </c>
      <c r="O80" s="280">
        <v>0</v>
      </c>
      <c r="P80" s="280">
        <v>0</v>
      </c>
      <c r="Q80" s="280">
        <v>0</v>
      </c>
      <c r="R80" s="280">
        <v>0</v>
      </c>
      <c r="S80" s="280">
        <v>0</v>
      </c>
      <c r="T80" s="280">
        <v>0</v>
      </c>
      <c r="U80" s="280"/>
      <c r="V80" s="280">
        <v>0</v>
      </c>
      <c r="W80" s="280">
        <v>0</v>
      </c>
      <c r="X80" s="280">
        <v>0</v>
      </c>
      <c r="Y80" s="280">
        <v>0</v>
      </c>
      <c r="Z80" s="280">
        <v>0</v>
      </c>
      <c r="AA80" s="280">
        <v>0</v>
      </c>
      <c r="AB80" s="280">
        <v>0</v>
      </c>
      <c r="AC80" s="280">
        <v>0</v>
      </c>
      <c r="AD80" s="280">
        <v>30681.02</v>
      </c>
      <c r="AE80" s="280">
        <v>302304.76</v>
      </c>
      <c r="AF80" s="280">
        <v>0</v>
      </c>
      <c r="AG80" s="280">
        <v>0</v>
      </c>
      <c r="AH80" s="280">
        <v>0</v>
      </c>
      <c r="AI80" s="280">
        <v>0</v>
      </c>
      <c r="AJ80" s="280">
        <v>0</v>
      </c>
      <c r="AK80" s="280">
        <v>0</v>
      </c>
      <c r="AL80" s="280">
        <v>0</v>
      </c>
      <c r="AM80" s="280">
        <v>0</v>
      </c>
      <c r="AN80" s="280">
        <v>0</v>
      </c>
      <c r="AO80" s="280">
        <v>0</v>
      </c>
      <c r="AP80" s="280">
        <v>0</v>
      </c>
      <c r="AQ80" s="280">
        <v>0</v>
      </c>
      <c r="AR80" s="280">
        <v>0</v>
      </c>
      <c r="AS80" s="280">
        <v>0</v>
      </c>
      <c r="AT80" s="280">
        <v>0</v>
      </c>
      <c r="AU80" s="280">
        <v>0</v>
      </c>
      <c r="AV80" s="280">
        <v>0</v>
      </c>
      <c r="AW80" s="280">
        <v>0</v>
      </c>
      <c r="AX80" s="280">
        <v>0</v>
      </c>
      <c r="AY80" s="280">
        <v>0</v>
      </c>
      <c r="AZ80" s="280">
        <v>0</v>
      </c>
      <c r="BA80" s="280">
        <v>0</v>
      </c>
      <c r="BB80" s="280">
        <v>0</v>
      </c>
      <c r="BC80" s="280">
        <v>0</v>
      </c>
      <c r="BD80" s="280">
        <v>0</v>
      </c>
      <c r="BE80" s="280">
        <v>0</v>
      </c>
      <c r="BF80" s="280">
        <v>302304.76</v>
      </c>
      <c r="BG80" s="280">
        <v>0</v>
      </c>
      <c r="BH80" s="280">
        <v>0</v>
      </c>
      <c r="BI80" s="280">
        <v>0</v>
      </c>
      <c r="BJ80" s="280">
        <v>235754.71</v>
      </c>
      <c r="BK80" s="280">
        <v>10650</v>
      </c>
      <c r="BL80" s="280">
        <v>0</v>
      </c>
      <c r="BM80" s="280">
        <v>0</v>
      </c>
      <c r="BN80" s="280">
        <v>0</v>
      </c>
      <c r="BO80" s="280">
        <v>0</v>
      </c>
      <c r="BP80" s="280">
        <v>0</v>
      </c>
      <c r="BQ80" s="280">
        <v>0</v>
      </c>
      <c r="BR80" s="280">
        <v>0</v>
      </c>
      <c r="BS80" s="280">
        <v>0</v>
      </c>
      <c r="BT80" s="280">
        <v>0</v>
      </c>
      <c r="BU80" s="280">
        <v>0</v>
      </c>
      <c r="BV80" s="280">
        <v>3660.05</v>
      </c>
      <c r="BW80" s="280">
        <v>0</v>
      </c>
      <c r="BX80" s="280">
        <v>0</v>
      </c>
      <c r="BY80" s="280">
        <v>0</v>
      </c>
      <c r="BZ80" s="280">
        <v>0</v>
      </c>
      <c r="CA80" s="280">
        <v>0</v>
      </c>
      <c r="CB80" s="280">
        <v>0</v>
      </c>
      <c r="CC80" s="280">
        <v>0</v>
      </c>
      <c r="CD80" s="280">
        <v>0</v>
      </c>
      <c r="CE80" s="280">
        <v>0</v>
      </c>
      <c r="CF80" s="280">
        <v>0</v>
      </c>
      <c r="CG80" s="280">
        <v>0</v>
      </c>
      <c r="CH80" s="280">
        <v>0</v>
      </c>
      <c r="CI80" s="280">
        <v>0</v>
      </c>
      <c r="CJ80" s="280">
        <v>0</v>
      </c>
      <c r="CK80" s="280">
        <v>0</v>
      </c>
      <c r="CL80" s="280">
        <v>0</v>
      </c>
      <c r="CM80" s="280">
        <v>0</v>
      </c>
      <c r="CN80" s="280">
        <v>0</v>
      </c>
      <c r="CO80" s="280">
        <v>0</v>
      </c>
      <c r="CP80" s="280">
        <v>0</v>
      </c>
      <c r="CQ80" s="280">
        <v>0</v>
      </c>
      <c r="CR80" s="280">
        <v>0</v>
      </c>
      <c r="CS80" s="280">
        <v>0</v>
      </c>
      <c r="CT80" s="280">
        <v>0</v>
      </c>
      <c r="CU80" s="280">
        <v>0</v>
      </c>
      <c r="CV80" s="280">
        <v>0</v>
      </c>
      <c r="CW80" s="280">
        <v>0</v>
      </c>
      <c r="CX80" s="280">
        <v>0</v>
      </c>
      <c r="CY80" s="280">
        <v>0</v>
      </c>
      <c r="CZ80" s="280">
        <v>0</v>
      </c>
      <c r="DA80" s="280">
        <v>0</v>
      </c>
      <c r="DB80" s="280">
        <v>0</v>
      </c>
      <c r="DC80" s="280">
        <v>0</v>
      </c>
      <c r="DD80" s="280">
        <v>0</v>
      </c>
      <c r="DE80" s="280">
        <v>0</v>
      </c>
      <c r="DF80" s="280">
        <v>0</v>
      </c>
      <c r="DG80" s="280">
        <v>0</v>
      </c>
      <c r="DH80" s="280">
        <v>0</v>
      </c>
      <c r="DI80" s="280">
        <v>0</v>
      </c>
      <c r="DJ80" s="280">
        <v>0</v>
      </c>
      <c r="DK80" s="280">
        <v>0</v>
      </c>
      <c r="DL80" s="280">
        <v>0</v>
      </c>
      <c r="DM80" s="280">
        <v>0</v>
      </c>
      <c r="DN80" s="280">
        <v>0</v>
      </c>
      <c r="DO80" s="293">
        <v>52240</v>
      </c>
      <c r="DP80" s="54">
        <v>0</v>
      </c>
      <c r="DQ80" s="54">
        <v>0</v>
      </c>
      <c r="DR80" s="54">
        <v>0</v>
      </c>
      <c r="DS80" s="54">
        <v>0</v>
      </c>
      <c r="DT80" s="54">
        <v>0</v>
      </c>
      <c r="EA80" s="54">
        <f t="shared" si="2"/>
        <v>-302304.75999999995</v>
      </c>
      <c r="EB80" s="54">
        <f t="shared" si="3"/>
        <v>-30681.02</v>
      </c>
      <c r="EC80" s="54">
        <f t="shared" si="7"/>
        <v>604609.52</v>
      </c>
      <c r="ED80" s="54">
        <f t="shared" si="5"/>
        <v>302304.76</v>
      </c>
      <c r="EE80" s="54">
        <f t="shared" si="6"/>
        <v>0</v>
      </c>
      <c r="EF80" s="54">
        <f t="shared" si="8"/>
        <v>0</v>
      </c>
      <c r="EG80" s="54">
        <f t="shared" si="9"/>
        <v>0</v>
      </c>
    </row>
    <row r="81" spans="1:137">
      <c r="A81" s="279" t="s">
        <v>113</v>
      </c>
      <c r="B81" s="280">
        <v>144315.79</v>
      </c>
      <c r="C81" s="280">
        <v>0</v>
      </c>
      <c r="D81" s="280">
        <v>0</v>
      </c>
      <c r="E81" s="280">
        <v>488.16</v>
      </c>
      <c r="F81" s="280">
        <v>18.559999999999999</v>
      </c>
      <c r="G81" s="280">
        <v>2038.83</v>
      </c>
      <c r="H81" s="280">
        <v>0</v>
      </c>
      <c r="I81" s="280">
        <v>10831</v>
      </c>
      <c r="J81" s="280">
        <v>0</v>
      </c>
      <c r="K81" s="280">
        <v>69.900000000000006</v>
      </c>
      <c r="L81" s="280">
        <v>0</v>
      </c>
      <c r="M81" s="280">
        <v>0</v>
      </c>
      <c r="N81" s="280">
        <v>197.57</v>
      </c>
      <c r="O81" s="280">
        <v>0</v>
      </c>
      <c r="P81" s="280">
        <v>14.4</v>
      </c>
      <c r="Q81" s="280">
        <v>0</v>
      </c>
      <c r="R81" s="280">
        <v>317.23</v>
      </c>
      <c r="S81" s="280">
        <v>0</v>
      </c>
      <c r="T81" s="280">
        <v>0</v>
      </c>
      <c r="U81" s="280"/>
      <c r="V81" s="280">
        <v>0</v>
      </c>
      <c r="W81" s="280">
        <v>0</v>
      </c>
      <c r="X81" s="280">
        <v>28838.720000000001</v>
      </c>
      <c r="Y81" s="280">
        <v>2771.15</v>
      </c>
      <c r="Z81" s="280">
        <v>5016.04</v>
      </c>
      <c r="AA81" s="280">
        <v>0</v>
      </c>
      <c r="AB81" s="280">
        <v>0</v>
      </c>
      <c r="AC81" s="280">
        <v>0</v>
      </c>
      <c r="AD81" s="280">
        <v>63.83</v>
      </c>
      <c r="AE81" s="280">
        <v>93650.4</v>
      </c>
      <c r="AF81" s="280">
        <v>0</v>
      </c>
      <c r="AG81" s="280">
        <v>0</v>
      </c>
      <c r="AH81" s="280">
        <v>0</v>
      </c>
      <c r="AI81" s="280">
        <v>0</v>
      </c>
      <c r="AJ81" s="280">
        <v>0</v>
      </c>
      <c r="AK81" s="280">
        <v>0</v>
      </c>
      <c r="AL81" s="280">
        <v>0</v>
      </c>
      <c r="AM81" s="280">
        <v>0</v>
      </c>
      <c r="AN81" s="280">
        <v>25641.25</v>
      </c>
      <c r="AO81" s="280">
        <v>256.31</v>
      </c>
      <c r="AP81" s="280">
        <v>621.36</v>
      </c>
      <c r="AQ81" s="280">
        <v>284</v>
      </c>
      <c r="AR81" s="280">
        <v>2035.8</v>
      </c>
      <c r="AS81" s="280">
        <v>0</v>
      </c>
      <c r="AT81" s="280">
        <v>0</v>
      </c>
      <c r="AU81" s="280">
        <v>0</v>
      </c>
      <c r="AV81" s="280">
        <v>2287.65</v>
      </c>
      <c r="AW81" s="280">
        <v>483.5</v>
      </c>
      <c r="AX81" s="280">
        <v>0</v>
      </c>
      <c r="AY81" s="280">
        <v>0</v>
      </c>
      <c r="AZ81" s="280">
        <v>0</v>
      </c>
      <c r="BA81" s="280">
        <v>1600</v>
      </c>
      <c r="BB81" s="280">
        <v>0</v>
      </c>
      <c r="BC81" s="280">
        <v>23.3</v>
      </c>
      <c r="BD81" s="280">
        <v>64.08</v>
      </c>
      <c r="BE81" s="280">
        <v>0</v>
      </c>
      <c r="BF81" s="280">
        <v>91963.02</v>
      </c>
      <c r="BG81" s="280">
        <v>16743.39</v>
      </c>
      <c r="BH81" s="280">
        <v>4315.3599999999997</v>
      </c>
      <c r="BI81" s="280">
        <v>849</v>
      </c>
      <c r="BJ81" s="280">
        <v>1996.08</v>
      </c>
      <c r="BK81" s="280">
        <v>13478.32</v>
      </c>
      <c r="BL81" s="280">
        <v>1787.85</v>
      </c>
      <c r="BM81" s="280">
        <v>4005.21</v>
      </c>
      <c r="BN81" s="280">
        <v>421.31</v>
      </c>
      <c r="BO81" s="280">
        <v>590.01</v>
      </c>
      <c r="BP81" s="280">
        <v>277.74</v>
      </c>
      <c r="BQ81" s="280">
        <v>786.94</v>
      </c>
      <c r="BR81" s="280">
        <v>499.05</v>
      </c>
      <c r="BS81" s="280">
        <v>1181.69</v>
      </c>
      <c r="BT81" s="280">
        <v>919.71</v>
      </c>
      <c r="BU81" s="280">
        <v>332.65</v>
      </c>
      <c r="BV81" s="280">
        <v>7641.88</v>
      </c>
      <c r="BW81" s="280">
        <v>980.5</v>
      </c>
      <c r="BX81" s="280">
        <v>1452.7</v>
      </c>
      <c r="BY81" s="280">
        <v>144.44</v>
      </c>
      <c r="BZ81" s="280">
        <v>1450.39</v>
      </c>
      <c r="CA81" s="280">
        <v>100.94</v>
      </c>
      <c r="CB81" s="280">
        <v>685.83</v>
      </c>
      <c r="CC81" s="280">
        <v>362.1</v>
      </c>
      <c r="CD81" s="280">
        <v>218.43</v>
      </c>
      <c r="CE81" s="280">
        <v>155.35</v>
      </c>
      <c r="CF81" s="280">
        <v>2059.7199999999998</v>
      </c>
      <c r="CG81" s="280">
        <v>174.36</v>
      </c>
      <c r="CH81" s="280">
        <v>1376.06</v>
      </c>
      <c r="CI81" s="280">
        <v>177.31</v>
      </c>
      <c r="CJ81" s="280">
        <v>1042.43</v>
      </c>
      <c r="CK81" s="280">
        <v>351.16</v>
      </c>
      <c r="CL81" s="280">
        <v>315.70999999999998</v>
      </c>
      <c r="CM81" s="280">
        <v>229.99</v>
      </c>
      <c r="CN81" s="280">
        <v>465.22</v>
      </c>
      <c r="CO81" s="280">
        <v>257.23</v>
      </c>
      <c r="CP81" s="280">
        <v>513.51</v>
      </c>
      <c r="CQ81" s="280">
        <v>298.41000000000003</v>
      </c>
      <c r="CR81" s="280">
        <v>487.07</v>
      </c>
      <c r="CS81" s="280">
        <v>447.64</v>
      </c>
      <c r="CT81" s="280">
        <v>595.37</v>
      </c>
      <c r="CU81" s="280">
        <v>278.91000000000003</v>
      </c>
      <c r="CV81" s="280">
        <v>240.08</v>
      </c>
      <c r="CW81" s="280">
        <v>523.97</v>
      </c>
      <c r="CX81" s="280">
        <v>188.46</v>
      </c>
      <c r="CY81" s="280">
        <v>715.5</v>
      </c>
      <c r="CZ81" s="280">
        <v>84.79</v>
      </c>
      <c r="DA81" s="280">
        <v>274.99</v>
      </c>
      <c r="DB81" s="280">
        <v>883.79</v>
      </c>
      <c r="DC81" s="280">
        <v>586.55999999999995</v>
      </c>
      <c r="DD81" s="280">
        <v>228.66</v>
      </c>
      <c r="DE81" s="280">
        <v>431.36</v>
      </c>
      <c r="DF81" s="280">
        <v>325.05</v>
      </c>
      <c r="DG81" s="280">
        <v>228.45</v>
      </c>
      <c r="DH81" s="280">
        <v>164.53</v>
      </c>
      <c r="DI81" s="280">
        <v>345.18</v>
      </c>
      <c r="DJ81" s="280">
        <v>457.44</v>
      </c>
      <c r="DK81" s="280">
        <v>243.62</v>
      </c>
      <c r="DL81" s="280">
        <v>2146.04</v>
      </c>
      <c r="DM81" s="280">
        <v>287.32</v>
      </c>
      <c r="DN81" s="280">
        <v>164.57</v>
      </c>
      <c r="DO81" s="293">
        <v>9627.7999999999993</v>
      </c>
      <c r="DP81" s="54">
        <v>163.22999999999999</v>
      </c>
      <c r="DQ81" s="54">
        <v>536.36</v>
      </c>
      <c r="DR81" s="54">
        <v>498.72</v>
      </c>
      <c r="DS81" s="54">
        <v>2030.57</v>
      </c>
      <c r="DT81" s="54">
        <v>139.01</v>
      </c>
      <c r="EA81" s="54">
        <f t="shared" si="2"/>
        <v>-93650.400000000009</v>
      </c>
      <c r="EB81" s="54">
        <f t="shared" si="3"/>
        <v>1623.55</v>
      </c>
      <c r="EC81" s="54">
        <f t="shared" si="7"/>
        <v>183787.03</v>
      </c>
      <c r="ED81" s="54">
        <f t="shared" si="5"/>
        <v>93650.4</v>
      </c>
      <c r="EE81" s="54">
        <f t="shared" si="6"/>
        <v>-5016.04</v>
      </c>
      <c r="EF81" s="54">
        <f t="shared" si="8"/>
        <v>28838.720000000001</v>
      </c>
      <c r="EG81" s="54">
        <f t="shared" si="9"/>
        <v>-26067.57</v>
      </c>
    </row>
    <row r="82" spans="1:137">
      <c r="A82" s="279" t="s">
        <v>114</v>
      </c>
      <c r="B82" s="280">
        <v>153480.19</v>
      </c>
      <c r="C82" s="280">
        <v>7107.4</v>
      </c>
      <c r="D82" s="280">
        <v>0</v>
      </c>
      <c r="E82" s="280">
        <v>2498.42</v>
      </c>
      <c r="F82" s="280">
        <v>6168.42</v>
      </c>
      <c r="G82" s="280">
        <v>216</v>
      </c>
      <c r="H82" s="280">
        <v>710.4</v>
      </c>
      <c r="I82" s="280">
        <v>0</v>
      </c>
      <c r="J82" s="280">
        <v>0</v>
      </c>
      <c r="K82" s="280">
        <v>12967.4</v>
      </c>
      <c r="L82" s="280">
        <v>1640</v>
      </c>
      <c r="M82" s="280">
        <v>576</v>
      </c>
      <c r="N82" s="280">
        <v>1299</v>
      </c>
      <c r="O82" s="280">
        <v>2456</v>
      </c>
      <c r="P82" s="280">
        <v>0</v>
      </c>
      <c r="Q82" s="280">
        <v>69.2</v>
      </c>
      <c r="R82" s="280">
        <v>1720</v>
      </c>
      <c r="S82" s="280">
        <v>0</v>
      </c>
      <c r="T82" s="280">
        <v>0</v>
      </c>
      <c r="U82" s="280"/>
      <c r="V82" s="280">
        <v>0</v>
      </c>
      <c r="W82" s="280">
        <v>7188.87</v>
      </c>
      <c r="X82" s="280">
        <v>5582.69</v>
      </c>
      <c r="Y82" s="280">
        <v>148.9</v>
      </c>
      <c r="Z82" s="280">
        <v>1105.5</v>
      </c>
      <c r="AA82" s="280">
        <v>0</v>
      </c>
      <c r="AB82" s="280">
        <v>0</v>
      </c>
      <c r="AC82" s="280">
        <v>0</v>
      </c>
      <c r="AD82" s="280">
        <v>2239</v>
      </c>
      <c r="AE82" s="280">
        <v>99786.99</v>
      </c>
      <c r="AF82" s="280">
        <v>2795.92</v>
      </c>
      <c r="AG82" s="280">
        <v>528</v>
      </c>
      <c r="AH82" s="280">
        <v>26.5</v>
      </c>
      <c r="AI82" s="280">
        <v>1636</v>
      </c>
      <c r="AJ82" s="280">
        <v>1128</v>
      </c>
      <c r="AK82" s="280">
        <v>494.45</v>
      </c>
      <c r="AL82" s="280">
        <v>580</v>
      </c>
      <c r="AM82" s="280">
        <v>1624</v>
      </c>
      <c r="AN82" s="280">
        <v>599</v>
      </c>
      <c r="AO82" s="280">
        <v>816</v>
      </c>
      <c r="AP82" s="280">
        <v>0</v>
      </c>
      <c r="AQ82" s="280">
        <v>600</v>
      </c>
      <c r="AR82" s="280">
        <v>1943.69</v>
      </c>
      <c r="AS82" s="280">
        <v>0</v>
      </c>
      <c r="AT82" s="280">
        <v>0</v>
      </c>
      <c r="AU82" s="280">
        <v>0</v>
      </c>
      <c r="AV82" s="280">
        <v>0</v>
      </c>
      <c r="AW82" s="280">
        <v>148.9</v>
      </c>
      <c r="AX82" s="280">
        <v>0</v>
      </c>
      <c r="AY82" s="280">
        <v>0</v>
      </c>
      <c r="AZ82" s="280">
        <v>0</v>
      </c>
      <c r="BA82" s="280">
        <v>2534</v>
      </c>
      <c r="BB82" s="280">
        <v>0</v>
      </c>
      <c r="BC82" s="280">
        <v>0</v>
      </c>
      <c r="BD82" s="280">
        <v>0</v>
      </c>
      <c r="BE82" s="280">
        <v>0</v>
      </c>
      <c r="BF82" s="280">
        <v>97252.99</v>
      </c>
      <c r="BG82" s="280">
        <v>532</v>
      </c>
      <c r="BH82" s="280">
        <v>15732.86</v>
      </c>
      <c r="BI82" s="280">
        <v>14234.23</v>
      </c>
      <c r="BJ82" s="280">
        <v>0</v>
      </c>
      <c r="BK82" s="280">
        <v>5368</v>
      </c>
      <c r="BL82" s="280">
        <v>3771.7</v>
      </c>
      <c r="BM82" s="280">
        <v>0</v>
      </c>
      <c r="BN82" s="280">
        <v>17272.32</v>
      </c>
      <c r="BO82" s="280">
        <v>0</v>
      </c>
      <c r="BP82" s="280">
        <v>0</v>
      </c>
      <c r="BQ82" s="280">
        <v>0</v>
      </c>
      <c r="BR82" s="280">
        <v>470</v>
      </c>
      <c r="BS82" s="280">
        <v>4800</v>
      </c>
      <c r="BT82" s="280">
        <v>3900</v>
      </c>
      <c r="BU82" s="280">
        <v>3470</v>
      </c>
      <c r="BV82" s="280">
        <v>0</v>
      </c>
      <c r="BW82" s="280">
        <v>240</v>
      </c>
      <c r="BX82" s="280">
        <v>4833</v>
      </c>
      <c r="BY82" s="280">
        <v>0</v>
      </c>
      <c r="BZ82" s="280">
        <v>0</v>
      </c>
      <c r="CA82" s="280">
        <v>0</v>
      </c>
      <c r="CB82" s="280">
        <v>5718</v>
      </c>
      <c r="CC82" s="280">
        <v>0</v>
      </c>
      <c r="CD82" s="280">
        <v>1105.17</v>
      </c>
      <c r="CE82" s="280">
        <v>0</v>
      </c>
      <c r="CF82" s="280">
        <v>1993</v>
      </c>
      <c r="CG82" s="280">
        <v>0</v>
      </c>
      <c r="CH82" s="280">
        <v>0</v>
      </c>
      <c r="CI82" s="280">
        <v>4032</v>
      </c>
      <c r="CJ82" s="280">
        <v>0</v>
      </c>
      <c r="CK82" s="280">
        <v>0</v>
      </c>
      <c r="CL82" s="280">
        <v>0</v>
      </c>
      <c r="CM82" s="280">
        <v>1976</v>
      </c>
      <c r="CN82" s="280">
        <v>336</v>
      </c>
      <c r="CO82" s="280">
        <v>0</v>
      </c>
      <c r="CP82" s="280">
        <v>0</v>
      </c>
      <c r="CQ82" s="280">
        <v>0</v>
      </c>
      <c r="CR82" s="280">
        <v>0</v>
      </c>
      <c r="CS82" s="280">
        <v>0</v>
      </c>
      <c r="CT82" s="280">
        <v>0</v>
      </c>
      <c r="CU82" s="280">
        <v>0</v>
      </c>
      <c r="CV82" s="280">
        <v>0</v>
      </c>
      <c r="CW82" s="280">
        <v>472.65</v>
      </c>
      <c r="CX82" s="280">
        <v>0</v>
      </c>
      <c r="CY82" s="280">
        <v>177.72</v>
      </c>
      <c r="CZ82" s="280">
        <v>1078.03</v>
      </c>
      <c r="DA82" s="280">
        <v>0</v>
      </c>
      <c r="DB82" s="280">
        <v>0</v>
      </c>
      <c r="DC82" s="280">
        <v>804.85</v>
      </c>
      <c r="DD82" s="280">
        <v>74.8</v>
      </c>
      <c r="DE82" s="280">
        <v>0</v>
      </c>
      <c r="DF82" s="280">
        <v>371.2</v>
      </c>
      <c r="DG82" s="280">
        <v>0</v>
      </c>
      <c r="DH82" s="280">
        <v>0</v>
      </c>
      <c r="DI82" s="280">
        <v>2600</v>
      </c>
      <c r="DJ82" s="280">
        <v>0</v>
      </c>
      <c r="DK82" s="280">
        <v>0</v>
      </c>
      <c r="DL82" s="280">
        <v>0</v>
      </c>
      <c r="DM82" s="280">
        <v>0</v>
      </c>
      <c r="DN82" s="280">
        <v>561.16</v>
      </c>
      <c r="DO82" s="293">
        <v>249.1</v>
      </c>
      <c r="DP82" s="54">
        <v>0</v>
      </c>
      <c r="DQ82" s="54">
        <v>243.2</v>
      </c>
      <c r="DR82" s="54">
        <v>0</v>
      </c>
      <c r="DS82" s="54">
        <v>508</v>
      </c>
      <c r="DT82" s="54">
        <v>328</v>
      </c>
      <c r="EA82" s="54">
        <f t="shared" si="2"/>
        <v>-99786.989999999991</v>
      </c>
      <c r="EB82" s="54">
        <f t="shared" si="3"/>
        <v>295</v>
      </c>
      <c r="EC82" s="54">
        <f t="shared" si="7"/>
        <v>194177.98000000007</v>
      </c>
      <c r="ED82" s="54">
        <f t="shared" si="5"/>
        <v>106395.86</v>
      </c>
      <c r="EE82" s="54">
        <f t="shared" si="6"/>
        <v>-1105.5</v>
      </c>
      <c r="EF82" s="54">
        <f t="shared" si="8"/>
        <v>-1026.1799999999994</v>
      </c>
      <c r="EG82" s="54">
        <f t="shared" si="9"/>
        <v>-5433.79</v>
      </c>
    </row>
    <row r="83" spans="1:137">
      <c r="A83" s="279" t="s">
        <v>115</v>
      </c>
      <c r="B83" s="280">
        <v>158912.26</v>
      </c>
      <c r="C83" s="280">
        <v>7387.7</v>
      </c>
      <c r="D83" s="280">
        <v>0</v>
      </c>
      <c r="E83" s="280">
        <v>2782.69</v>
      </c>
      <c r="F83" s="280">
        <v>8240.42</v>
      </c>
      <c r="G83" s="280">
        <v>4668.88</v>
      </c>
      <c r="H83" s="280">
        <v>2233.98</v>
      </c>
      <c r="I83" s="280">
        <v>2201.38</v>
      </c>
      <c r="J83" s="280">
        <v>0</v>
      </c>
      <c r="K83" s="280">
        <v>1938.4</v>
      </c>
      <c r="L83" s="280">
        <v>384.65</v>
      </c>
      <c r="M83" s="280">
        <v>296.08999999999997</v>
      </c>
      <c r="N83" s="280">
        <v>807.34</v>
      </c>
      <c r="O83" s="280">
        <v>2173.15</v>
      </c>
      <c r="P83" s="280">
        <v>205.9</v>
      </c>
      <c r="Q83" s="280">
        <v>329.64</v>
      </c>
      <c r="R83" s="280">
        <v>103.53</v>
      </c>
      <c r="S83" s="280">
        <v>0</v>
      </c>
      <c r="T83" s="280">
        <v>0</v>
      </c>
      <c r="U83" s="280"/>
      <c r="V83" s="280">
        <v>0</v>
      </c>
      <c r="W83" s="280">
        <v>8602.34</v>
      </c>
      <c r="X83" s="280">
        <v>84226.23</v>
      </c>
      <c r="Y83" s="280">
        <v>10283.06</v>
      </c>
      <c r="Z83" s="280">
        <v>1126.81</v>
      </c>
      <c r="AA83" s="280">
        <v>2376.21</v>
      </c>
      <c r="AB83" s="280">
        <v>4977.47</v>
      </c>
      <c r="AC83" s="280">
        <v>0</v>
      </c>
      <c r="AD83" s="280">
        <v>1644</v>
      </c>
      <c r="AE83" s="280">
        <v>11922.39</v>
      </c>
      <c r="AF83" s="280">
        <v>1340.58</v>
      </c>
      <c r="AG83" s="280">
        <v>277.98</v>
      </c>
      <c r="AH83" s="280">
        <v>1005.88</v>
      </c>
      <c r="AI83" s="280">
        <v>73</v>
      </c>
      <c r="AJ83" s="280">
        <v>4911.0200000000004</v>
      </c>
      <c r="AK83" s="280">
        <v>768.5</v>
      </c>
      <c r="AL83" s="280">
        <v>225.38</v>
      </c>
      <c r="AM83" s="280">
        <v>3008.08</v>
      </c>
      <c r="AN83" s="280">
        <v>28327.8</v>
      </c>
      <c r="AO83" s="280">
        <v>19198.189999999999</v>
      </c>
      <c r="AP83" s="280">
        <v>14692.34</v>
      </c>
      <c r="AQ83" s="280">
        <v>7802.03</v>
      </c>
      <c r="AR83" s="280">
        <v>11197.79</v>
      </c>
      <c r="AS83" s="280">
        <v>0</v>
      </c>
      <c r="AT83" s="280">
        <v>0</v>
      </c>
      <c r="AU83" s="280">
        <v>2195.9699999999998</v>
      </c>
      <c r="AV83" s="280">
        <v>6689.98</v>
      </c>
      <c r="AW83" s="280">
        <v>1043.05</v>
      </c>
      <c r="AX83" s="280">
        <v>354.06</v>
      </c>
      <c r="AY83" s="280">
        <v>970.76</v>
      </c>
      <c r="AZ83" s="280">
        <v>1405.45</v>
      </c>
      <c r="BA83" s="280">
        <v>3020.42</v>
      </c>
      <c r="BB83" s="280">
        <v>915.25</v>
      </c>
      <c r="BC83" s="280">
        <v>1250.58</v>
      </c>
      <c r="BD83" s="280">
        <v>463.57</v>
      </c>
      <c r="BE83" s="280">
        <v>0</v>
      </c>
      <c r="BF83" s="280">
        <v>6272.57</v>
      </c>
      <c r="BG83" s="280">
        <v>0</v>
      </c>
      <c r="BH83" s="280">
        <v>735</v>
      </c>
      <c r="BI83" s="280">
        <v>0</v>
      </c>
      <c r="BJ83" s="280">
        <v>0</v>
      </c>
      <c r="BK83" s="280">
        <v>45</v>
      </c>
      <c r="BL83" s="280">
        <v>130</v>
      </c>
      <c r="BM83" s="280">
        <v>0</v>
      </c>
      <c r="BN83" s="280">
        <v>91</v>
      </c>
      <c r="BO83" s="280">
        <v>154.5</v>
      </c>
      <c r="BP83" s="280">
        <v>521</v>
      </c>
      <c r="BQ83" s="280">
        <v>125</v>
      </c>
      <c r="BR83" s="280">
        <v>0</v>
      </c>
      <c r="BS83" s="280">
        <v>0</v>
      </c>
      <c r="BT83" s="280">
        <v>0</v>
      </c>
      <c r="BU83" s="280">
        <v>31.7</v>
      </c>
      <c r="BV83" s="280">
        <v>90</v>
      </c>
      <c r="BW83" s="280">
        <v>20</v>
      </c>
      <c r="BX83" s="280">
        <v>285</v>
      </c>
      <c r="BY83" s="280">
        <v>0</v>
      </c>
      <c r="BZ83" s="280">
        <v>0</v>
      </c>
      <c r="CA83" s="280">
        <v>0</v>
      </c>
      <c r="CB83" s="280">
        <v>0</v>
      </c>
      <c r="CC83" s="280">
        <v>0</v>
      </c>
      <c r="CD83" s="280">
        <v>0</v>
      </c>
      <c r="CE83" s="280">
        <v>1150</v>
      </c>
      <c r="CF83" s="280">
        <v>0</v>
      </c>
      <c r="CG83" s="280">
        <v>0</v>
      </c>
      <c r="CH83" s="280">
        <v>0</v>
      </c>
      <c r="CI83" s="280">
        <v>0</v>
      </c>
      <c r="CJ83" s="280">
        <v>0</v>
      </c>
      <c r="CK83" s="280">
        <v>0</v>
      </c>
      <c r="CL83" s="280">
        <v>35</v>
      </c>
      <c r="CM83" s="280">
        <v>0</v>
      </c>
      <c r="CN83" s="280">
        <v>0</v>
      </c>
      <c r="CO83" s="280">
        <v>0</v>
      </c>
      <c r="CP83" s="280">
        <v>888.34</v>
      </c>
      <c r="CQ83" s="280">
        <v>362</v>
      </c>
      <c r="CR83" s="280">
        <v>0</v>
      </c>
      <c r="CS83" s="280">
        <v>179</v>
      </c>
      <c r="CT83" s="280">
        <v>0</v>
      </c>
      <c r="CU83" s="280">
        <v>135</v>
      </c>
      <c r="CV83" s="280">
        <v>0</v>
      </c>
      <c r="CW83" s="280">
        <v>280</v>
      </c>
      <c r="CX83" s="280">
        <v>0</v>
      </c>
      <c r="CY83" s="280">
        <v>0</v>
      </c>
      <c r="CZ83" s="280">
        <v>0</v>
      </c>
      <c r="DA83" s="280">
        <v>0</v>
      </c>
      <c r="DB83" s="280">
        <v>410</v>
      </c>
      <c r="DC83" s="280">
        <v>0</v>
      </c>
      <c r="DD83" s="280">
        <v>0</v>
      </c>
      <c r="DE83" s="280">
        <v>0</v>
      </c>
      <c r="DF83" s="280">
        <v>0</v>
      </c>
      <c r="DG83" s="280">
        <v>0</v>
      </c>
      <c r="DH83" s="280">
        <v>0</v>
      </c>
      <c r="DI83" s="280">
        <v>0</v>
      </c>
      <c r="DJ83" s="280">
        <v>203</v>
      </c>
      <c r="DK83" s="280">
        <v>0</v>
      </c>
      <c r="DL83" s="280">
        <v>0</v>
      </c>
      <c r="DM83" s="280">
        <v>402.03</v>
      </c>
      <c r="DN83" s="280">
        <v>0</v>
      </c>
      <c r="DO83" s="293">
        <v>0</v>
      </c>
      <c r="DP83" s="54">
        <v>0</v>
      </c>
      <c r="DQ83" s="54">
        <v>0</v>
      </c>
      <c r="DR83" s="54">
        <v>0</v>
      </c>
      <c r="DS83" s="54">
        <v>0</v>
      </c>
      <c r="DT83" s="54">
        <v>0</v>
      </c>
      <c r="EA83" s="54">
        <f t="shared" si="2"/>
        <v>-11922.390000000014</v>
      </c>
      <c r="EB83" s="54">
        <f t="shared" si="3"/>
        <v>5411.2699999999995</v>
      </c>
      <c r="EC83" s="54">
        <f t="shared" si="7"/>
        <v>12545.140000000001</v>
      </c>
      <c r="ED83" s="54">
        <f t="shared" si="5"/>
        <v>20299.349999999999</v>
      </c>
      <c r="EE83" s="54">
        <f t="shared" si="6"/>
        <v>198.01</v>
      </c>
      <c r="EF83" s="54">
        <f t="shared" si="8"/>
        <v>75849.26999999999</v>
      </c>
      <c r="EG83" s="54">
        <f t="shared" si="9"/>
        <v>-74297.23</v>
      </c>
    </row>
    <row r="84" spans="1:137">
      <c r="A84" s="279" t="s">
        <v>116</v>
      </c>
      <c r="B84" s="280">
        <v>1103484.1399999999</v>
      </c>
      <c r="C84" s="280">
        <v>-207000</v>
      </c>
      <c r="D84" s="280">
        <v>0</v>
      </c>
      <c r="E84" s="280">
        <v>0</v>
      </c>
      <c r="F84" s="280">
        <v>112933.89</v>
      </c>
      <c r="G84" s="280">
        <v>0</v>
      </c>
      <c r="H84" s="280">
        <v>1400</v>
      </c>
      <c r="I84" s="280">
        <v>0</v>
      </c>
      <c r="J84" s="280">
        <v>0</v>
      </c>
      <c r="K84" s="280">
        <v>5924</v>
      </c>
      <c r="L84" s="280">
        <v>0</v>
      </c>
      <c r="M84" s="280">
        <v>0</v>
      </c>
      <c r="N84" s="280">
        <v>0</v>
      </c>
      <c r="O84" s="280">
        <v>0</v>
      </c>
      <c r="P84" s="280">
        <v>0</v>
      </c>
      <c r="Q84" s="280">
        <v>0</v>
      </c>
      <c r="R84" s="280">
        <v>0</v>
      </c>
      <c r="S84" s="280">
        <v>0</v>
      </c>
      <c r="T84" s="280">
        <v>0</v>
      </c>
      <c r="U84" s="280"/>
      <c r="V84" s="280">
        <v>0</v>
      </c>
      <c r="W84" s="280">
        <v>32954.11</v>
      </c>
      <c r="X84" s="280">
        <v>0</v>
      </c>
      <c r="Y84" s="280">
        <v>16705.669999999998</v>
      </c>
      <c r="Z84" s="280">
        <v>0</v>
      </c>
      <c r="AA84" s="280">
        <v>22224.27</v>
      </c>
      <c r="AB84" s="280">
        <v>582</v>
      </c>
      <c r="AC84" s="280">
        <v>0</v>
      </c>
      <c r="AD84" s="280">
        <v>0</v>
      </c>
      <c r="AE84" s="280">
        <v>1117760.2</v>
      </c>
      <c r="AF84" s="280">
        <v>25568.1</v>
      </c>
      <c r="AG84" s="280">
        <v>5030.67</v>
      </c>
      <c r="AH84" s="280">
        <v>-2675.33</v>
      </c>
      <c r="AI84" s="280">
        <v>0</v>
      </c>
      <c r="AJ84" s="280">
        <v>0</v>
      </c>
      <c r="AK84" s="280">
        <v>0</v>
      </c>
      <c r="AL84" s="280">
        <v>5030.67</v>
      </c>
      <c r="AM84" s="280">
        <v>0</v>
      </c>
      <c r="AN84" s="280">
        <v>0</v>
      </c>
      <c r="AO84" s="280">
        <v>0</v>
      </c>
      <c r="AP84" s="280">
        <v>0</v>
      </c>
      <c r="AQ84" s="280">
        <v>0</v>
      </c>
      <c r="AR84" s="280">
        <v>0</v>
      </c>
      <c r="AS84" s="280">
        <v>0</v>
      </c>
      <c r="AT84" s="280">
        <v>0</v>
      </c>
      <c r="AU84" s="280">
        <v>0</v>
      </c>
      <c r="AV84" s="280">
        <v>10075</v>
      </c>
      <c r="AW84" s="280">
        <v>1600</v>
      </c>
      <c r="AX84" s="280">
        <v>5030.67</v>
      </c>
      <c r="AY84" s="280">
        <v>22224.27</v>
      </c>
      <c r="AZ84" s="280">
        <v>0</v>
      </c>
      <c r="BA84" s="280">
        <v>0</v>
      </c>
      <c r="BB84" s="280">
        <v>0</v>
      </c>
      <c r="BC84" s="280">
        <v>0</v>
      </c>
      <c r="BD84" s="280">
        <v>0</v>
      </c>
      <c r="BE84" s="280">
        <v>0</v>
      </c>
      <c r="BF84" s="280">
        <v>1117760.2</v>
      </c>
      <c r="BG84" s="280">
        <v>12633</v>
      </c>
      <c r="BH84" s="280">
        <v>23457</v>
      </c>
      <c r="BI84" s="280">
        <v>3602</v>
      </c>
      <c r="BJ84" s="280">
        <v>4330.7</v>
      </c>
      <c r="BK84" s="280">
        <v>19850</v>
      </c>
      <c r="BL84" s="280">
        <v>16346.8</v>
      </c>
      <c r="BM84" s="280">
        <v>9155.75</v>
      </c>
      <c r="BN84" s="280">
        <v>5970</v>
      </c>
      <c r="BO84" s="280">
        <v>10341.49</v>
      </c>
      <c r="BP84" s="280">
        <v>18062</v>
      </c>
      <c r="BQ84" s="280">
        <v>12678</v>
      </c>
      <c r="BR84" s="280">
        <v>0</v>
      </c>
      <c r="BS84" s="280">
        <v>23008.25</v>
      </c>
      <c r="BT84" s="280">
        <v>21655.88</v>
      </c>
      <c r="BU84" s="280">
        <v>9417.5499999999993</v>
      </c>
      <c r="BV84" s="280">
        <v>2440</v>
      </c>
      <c r="BW84" s="280">
        <v>3177.4</v>
      </c>
      <c r="BX84" s="280">
        <v>16166.71</v>
      </c>
      <c r="BY84" s="280">
        <v>11419.63</v>
      </c>
      <c r="BZ84" s="280">
        <v>6288</v>
      </c>
      <c r="CA84" s="280">
        <v>1170</v>
      </c>
      <c r="CB84" s="280">
        <v>15636</v>
      </c>
      <c r="CC84" s="280">
        <v>23827</v>
      </c>
      <c r="CD84" s="280">
        <v>21765</v>
      </c>
      <c r="CE84" s="280">
        <v>14600</v>
      </c>
      <c r="CF84" s="280">
        <v>21150</v>
      </c>
      <c r="CG84" s="280">
        <v>30000</v>
      </c>
      <c r="CH84" s="280">
        <v>18599</v>
      </c>
      <c r="CI84" s="280">
        <v>5332</v>
      </c>
      <c r="CJ84" s="280">
        <v>23422.7</v>
      </c>
      <c r="CK84" s="280">
        <v>16705</v>
      </c>
      <c r="CL84" s="280">
        <v>5434</v>
      </c>
      <c r="CM84" s="280">
        <v>15690</v>
      </c>
      <c r="CN84" s="280">
        <v>20433</v>
      </c>
      <c r="CO84" s="280">
        <v>31778</v>
      </c>
      <c r="CP84" s="280">
        <v>16098.08</v>
      </c>
      <c r="CQ84" s="280">
        <v>-10339.08</v>
      </c>
      <c r="CR84" s="280">
        <v>20409</v>
      </c>
      <c r="CS84" s="280">
        <v>21310</v>
      </c>
      <c r="CT84" s="280">
        <v>11277</v>
      </c>
      <c r="CU84" s="280">
        <v>19523</v>
      </c>
      <c r="CV84" s="280">
        <v>26990</v>
      </c>
      <c r="CW84" s="280">
        <v>2799.54</v>
      </c>
      <c r="CX84" s="280">
        <v>26328.66</v>
      </c>
      <c r="CY84" s="280">
        <v>1211</v>
      </c>
      <c r="CZ84" s="280">
        <v>22065</v>
      </c>
      <c r="DA84" s="280">
        <v>20894</v>
      </c>
      <c r="DB84" s="280">
        <v>24193</v>
      </c>
      <c r="DC84" s="280">
        <v>16880</v>
      </c>
      <c r="DD84" s="280">
        <v>26537</v>
      </c>
      <c r="DE84" s="280">
        <v>21925.08</v>
      </c>
      <c r="DF84" s="280">
        <v>30215</v>
      </c>
      <c r="DG84" s="280">
        <v>17698</v>
      </c>
      <c r="DH84" s="280">
        <v>23464.31</v>
      </c>
      <c r="DI84" s="280">
        <v>32837</v>
      </c>
      <c r="DJ84" s="280">
        <v>26689</v>
      </c>
      <c r="DK84" s="280">
        <v>21060.04</v>
      </c>
      <c r="DL84" s="280">
        <v>30284</v>
      </c>
      <c r="DM84" s="280">
        <v>21245</v>
      </c>
      <c r="DN84" s="280">
        <v>0</v>
      </c>
      <c r="DO84" s="293">
        <v>38291.5</v>
      </c>
      <c r="DP84" s="54">
        <v>23134</v>
      </c>
      <c r="DQ84" s="54">
        <v>25730.21</v>
      </c>
      <c r="DR84" s="54">
        <v>21648</v>
      </c>
      <c r="DS84" s="54">
        <v>18151</v>
      </c>
      <c r="DT84" s="54">
        <v>23670</v>
      </c>
      <c r="EA84" s="54">
        <f t="shared" si="2"/>
        <v>-1117760.2</v>
      </c>
      <c r="EB84" s="54">
        <f t="shared" si="3"/>
        <v>0</v>
      </c>
      <c r="EC84" s="54">
        <f t="shared" si="7"/>
        <v>2211850.3999999994</v>
      </c>
      <c r="ED84" s="54">
        <f t="shared" si="5"/>
        <v>1145683.6399999999</v>
      </c>
      <c r="EE84" s="54">
        <f t="shared" si="6"/>
        <v>27254.940000000002</v>
      </c>
      <c r="EF84" s="54">
        <f t="shared" si="8"/>
        <v>-27923.440000000002</v>
      </c>
      <c r="EG84" s="54">
        <f t="shared" si="9"/>
        <v>11675</v>
      </c>
    </row>
    <row r="85" spans="1:137">
      <c r="A85" s="279" t="s">
        <v>117</v>
      </c>
      <c r="B85" s="280">
        <v>1909168.41</v>
      </c>
      <c r="C85" s="280">
        <v>0</v>
      </c>
      <c r="D85" s="280">
        <v>0</v>
      </c>
      <c r="E85" s="280">
        <v>0</v>
      </c>
      <c r="F85" s="280">
        <v>0</v>
      </c>
      <c r="G85" s="280">
        <v>0</v>
      </c>
      <c r="H85" s="280">
        <v>0</v>
      </c>
      <c r="I85" s="280">
        <v>0</v>
      </c>
      <c r="J85" s="280">
        <v>0</v>
      </c>
      <c r="K85" s="280">
        <v>0</v>
      </c>
      <c r="L85" s="280">
        <v>0</v>
      </c>
      <c r="M85" s="280">
        <v>0</v>
      </c>
      <c r="N85" s="280">
        <v>0</v>
      </c>
      <c r="O85" s="280">
        <v>0</v>
      </c>
      <c r="P85" s="280">
        <v>0</v>
      </c>
      <c r="Q85" s="280">
        <v>0</v>
      </c>
      <c r="R85" s="280">
        <v>0</v>
      </c>
      <c r="S85" s="280">
        <v>0</v>
      </c>
      <c r="T85" s="280">
        <v>0</v>
      </c>
      <c r="U85" s="280"/>
      <c r="V85" s="280">
        <v>0</v>
      </c>
      <c r="W85" s="280">
        <v>0</v>
      </c>
      <c r="X85" s="280">
        <v>0</v>
      </c>
      <c r="Y85" s="280">
        <v>0</v>
      </c>
      <c r="Z85" s="280">
        <v>25184</v>
      </c>
      <c r="AA85" s="280">
        <v>0</v>
      </c>
      <c r="AB85" s="280">
        <v>0</v>
      </c>
      <c r="AC85" s="280">
        <v>0</v>
      </c>
      <c r="AD85" s="280">
        <v>0</v>
      </c>
      <c r="AE85" s="280">
        <v>1883984.41</v>
      </c>
      <c r="AF85" s="280">
        <v>0</v>
      </c>
      <c r="AG85" s="280">
        <v>0</v>
      </c>
      <c r="AH85" s="280">
        <v>0</v>
      </c>
      <c r="AI85" s="280">
        <v>0</v>
      </c>
      <c r="AJ85" s="280">
        <v>0</v>
      </c>
      <c r="AK85" s="280">
        <v>0</v>
      </c>
      <c r="AL85" s="280">
        <v>0</v>
      </c>
      <c r="AM85" s="280">
        <v>0</v>
      </c>
      <c r="AN85" s="280">
        <v>0</v>
      </c>
      <c r="AO85" s="280">
        <v>0</v>
      </c>
      <c r="AP85" s="280">
        <v>0</v>
      </c>
      <c r="AQ85" s="280">
        <v>0</v>
      </c>
      <c r="AR85" s="280">
        <v>0</v>
      </c>
      <c r="AS85" s="280">
        <v>0</v>
      </c>
      <c r="AT85" s="280">
        <v>0</v>
      </c>
      <c r="AU85" s="280">
        <v>0</v>
      </c>
      <c r="AV85" s="280">
        <v>0</v>
      </c>
      <c r="AW85" s="280">
        <v>0</v>
      </c>
      <c r="AX85" s="280">
        <v>0</v>
      </c>
      <c r="AY85" s="280">
        <v>0</v>
      </c>
      <c r="AZ85" s="280">
        <v>0</v>
      </c>
      <c r="BA85" s="280">
        <v>0</v>
      </c>
      <c r="BB85" s="280">
        <v>412200.08</v>
      </c>
      <c r="BC85" s="280">
        <v>570179.49</v>
      </c>
      <c r="BD85" s="280">
        <v>2700</v>
      </c>
      <c r="BE85" s="280">
        <v>0</v>
      </c>
      <c r="BF85" s="280">
        <v>898904.84</v>
      </c>
      <c r="BG85" s="280">
        <v>38909.050000000003</v>
      </c>
      <c r="BH85" s="280">
        <v>121957.55</v>
      </c>
      <c r="BI85" s="280">
        <v>31964.05</v>
      </c>
      <c r="BJ85" s="280">
        <v>9969.0499999999993</v>
      </c>
      <c r="BK85" s="280">
        <v>0</v>
      </c>
      <c r="BL85" s="280">
        <v>21104</v>
      </c>
      <c r="BM85" s="280">
        <v>0</v>
      </c>
      <c r="BN85" s="280">
        <v>21748.16</v>
      </c>
      <c r="BO85" s="280">
        <v>44491</v>
      </c>
      <c r="BP85" s="280">
        <v>0</v>
      </c>
      <c r="BQ85" s="280">
        <v>1808.53</v>
      </c>
      <c r="BR85" s="280">
        <v>22194</v>
      </c>
      <c r="BS85" s="280">
        <v>83421</v>
      </c>
      <c r="BT85" s="280">
        <v>8108</v>
      </c>
      <c r="BU85" s="280">
        <v>0</v>
      </c>
      <c r="BV85" s="280">
        <v>10300</v>
      </c>
      <c r="BW85" s="280">
        <v>7322</v>
      </c>
      <c r="BX85" s="280">
        <v>0</v>
      </c>
      <c r="BY85" s="280">
        <v>18321</v>
      </c>
      <c r="BZ85" s="280">
        <v>26532</v>
      </c>
      <c r="CA85" s="280">
        <v>560</v>
      </c>
      <c r="CB85" s="280">
        <v>18293</v>
      </c>
      <c r="CC85" s="280">
        <v>8830.0499999999993</v>
      </c>
      <c r="CD85" s="280">
        <v>0</v>
      </c>
      <c r="CE85" s="280">
        <v>7503</v>
      </c>
      <c r="CF85" s="280">
        <v>7825.05</v>
      </c>
      <c r="CG85" s="280">
        <v>6266</v>
      </c>
      <c r="CH85" s="280">
        <v>467</v>
      </c>
      <c r="CI85" s="280">
        <v>21572</v>
      </c>
      <c r="CJ85" s="280">
        <v>22302</v>
      </c>
      <c r="CK85" s="280">
        <v>1165.05</v>
      </c>
      <c r="CL85" s="280">
        <v>2105.0500000000002</v>
      </c>
      <c r="CM85" s="280">
        <v>2680</v>
      </c>
      <c r="CN85" s="280">
        <v>4017</v>
      </c>
      <c r="CO85" s="280">
        <v>3586.05</v>
      </c>
      <c r="CP85" s="280">
        <v>4967</v>
      </c>
      <c r="CQ85" s="280">
        <v>45898</v>
      </c>
      <c r="CR85" s="280">
        <v>8380.6</v>
      </c>
      <c r="CS85" s="280">
        <v>9568</v>
      </c>
      <c r="CT85" s="280">
        <v>0</v>
      </c>
      <c r="CU85" s="280">
        <v>6572</v>
      </c>
      <c r="CV85" s="280">
        <v>0</v>
      </c>
      <c r="CW85" s="280">
        <v>135</v>
      </c>
      <c r="CX85" s="280">
        <v>39894</v>
      </c>
      <c r="CY85" s="280">
        <v>18604</v>
      </c>
      <c r="CZ85" s="280">
        <v>1593.7</v>
      </c>
      <c r="DA85" s="280">
        <v>3220</v>
      </c>
      <c r="DB85" s="280">
        <v>15574</v>
      </c>
      <c r="DC85" s="280">
        <v>4416.1000000000004</v>
      </c>
      <c r="DD85" s="280">
        <v>3882</v>
      </c>
      <c r="DE85" s="280">
        <v>2000</v>
      </c>
      <c r="DF85" s="280">
        <v>21579</v>
      </c>
      <c r="DG85" s="280">
        <v>5712</v>
      </c>
      <c r="DH85" s="280">
        <v>4858</v>
      </c>
      <c r="DI85" s="280">
        <v>55</v>
      </c>
      <c r="DJ85" s="280">
        <v>0</v>
      </c>
      <c r="DK85" s="280">
        <v>0</v>
      </c>
      <c r="DL85" s="280">
        <v>0</v>
      </c>
      <c r="DM85" s="280">
        <v>874</v>
      </c>
      <c r="DN85" s="280">
        <v>34936</v>
      </c>
      <c r="DO85" s="293">
        <v>9839.7999999999993</v>
      </c>
      <c r="DP85" s="54">
        <v>1116</v>
      </c>
      <c r="DQ85" s="54">
        <v>14076</v>
      </c>
      <c r="DR85" s="54">
        <v>2984</v>
      </c>
      <c r="DS85" s="54">
        <v>45277</v>
      </c>
      <c r="DT85" s="54">
        <v>17573</v>
      </c>
      <c r="EA85" s="54">
        <f t="shared" si="2"/>
        <v>-1883984.41</v>
      </c>
      <c r="EB85" s="54">
        <f t="shared" si="3"/>
        <v>985079.57000000007</v>
      </c>
      <c r="EC85" s="54">
        <f t="shared" si="7"/>
        <v>1780236.6800000004</v>
      </c>
      <c r="ED85" s="54">
        <f t="shared" si="5"/>
        <v>1883984.41</v>
      </c>
      <c r="EE85" s="54">
        <f t="shared" si="6"/>
        <v>-25184</v>
      </c>
      <c r="EF85" s="54">
        <f t="shared" si="8"/>
        <v>0</v>
      </c>
      <c r="EG85" s="54">
        <f t="shared" si="9"/>
        <v>0</v>
      </c>
    </row>
    <row r="86" spans="1:137">
      <c r="A86" s="279" t="s">
        <v>118</v>
      </c>
      <c r="B86" s="280">
        <v>43837.2</v>
      </c>
      <c r="C86" s="280">
        <v>0</v>
      </c>
      <c r="D86" s="280">
        <v>0</v>
      </c>
      <c r="E86" s="280">
        <v>0</v>
      </c>
      <c r="F86" s="280">
        <v>0</v>
      </c>
      <c r="G86" s="280">
        <v>0</v>
      </c>
      <c r="H86" s="280">
        <v>0</v>
      </c>
      <c r="I86" s="280">
        <v>0</v>
      </c>
      <c r="J86" s="280">
        <v>0</v>
      </c>
      <c r="K86" s="280">
        <v>0</v>
      </c>
      <c r="L86" s="280">
        <v>0</v>
      </c>
      <c r="M86" s="280">
        <v>0</v>
      </c>
      <c r="N86" s="280">
        <v>0</v>
      </c>
      <c r="O86" s="280">
        <v>0</v>
      </c>
      <c r="P86" s="280">
        <v>0</v>
      </c>
      <c r="Q86" s="280">
        <v>0</v>
      </c>
      <c r="R86" s="280">
        <v>0</v>
      </c>
      <c r="S86" s="280">
        <v>0</v>
      </c>
      <c r="T86" s="280">
        <v>0</v>
      </c>
      <c r="U86" s="280"/>
      <c r="V86" s="280">
        <v>0</v>
      </c>
      <c r="W86" s="280">
        <v>0</v>
      </c>
      <c r="X86" s="280">
        <v>0</v>
      </c>
      <c r="Y86" s="280">
        <v>0</v>
      </c>
      <c r="Z86" s="280">
        <v>0</v>
      </c>
      <c r="AA86" s="280">
        <v>0</v>
      </c>
      <c r="AB86" s="280">
        <v>0</v>
      </c>
      <c r="AC86" s="280">
        <v>0</v>
      </c>
      <c r="AD86" s="280">
        <v>34200</v>
      </c>
      <c r="AE86" s="280">
        <v>9637.2000000000007</v>
      </c>
      <c r="AF86" s="280">
        <v>0</v>
      </c>
      <c r="AG86" s="280">
        <v>0</v>
      </c>
      <c r="AH86" s="280">
        <v>0</v>
      </c>
      <c r="AI86" s="280">
        <v>0</v>
      </c>
      <c r="AJ86" s="280">
        <v>0</v>
      </c>
      <c r="AK86" s="280">
        <v>0</v>
      </c>
      <c r="AL86" s="280">
        <v>0</v>
      </c>
      <c r="AM86" s="280">
        <v>0</v>
      </c>
      <c r="AN86" s="280">
        <v>0</v>
      </c>
      <c r="AO86" s="280">
        <v>0</v>
      </c>
      <c r="AP86" s="280">
        <v>0</v>
      </c>
      <c r="AQ86" s="280">
        <v>0</v>
      </c>
      <c r="AR86" s="280">
        <v>0</v>
      </c>
      <c r="AS86" s="280">
        <v>0</v>
      </c>
      <c r="AT86" s="280">
        <v>0</v>
      </c>
      <c r="AU86" s="280">
        <v>0</v>
      </c>
      <c r="AV86" s="280">
        <v>0</v>
      </c>
      <c r="AW86" s="280">
        <v>0</v>
      </c>
      <c r="AX86" s="280">
        <v>0</v>
      </c>
      <c r="AY86" s="280">
        <v>0</v>
      </c>
      <c r="AZ86" s="280">
        <v>0</v>
      </c>
      <c r="BA86" s="280">
        <v>0</v>
      </c>
      <c r="BB86" s="280">
        <v>0</v>
      </c>
      <c r="BC86" s="280">
        <v>0</v>
      </c>
      <c r="BD86" s="280">
        <v>0</v>
      </c>
      <c r="BE86" s="280">
        <v>0</v>
      </c>
      <c r="BF86" s="280">
        <v>9637.2000000000007</v>
      </c>
      <c r="BG86" s="280">
        <v>0</v>
      </c>
      <c r="BH86" s="280">
        <v>0</v>
      </c>
      <c r="BI86" s="280">
        <v>0</v>
      </c>
      <c r="BJ86" s="280">
        <v>0</v>
      </c>
      <c r="BK86" s="280">
        <v>0</v>
      </c>
      <c r="BL86" s="280">
        <v>0</v>
      </c>
      <c r="BM86" s="280">
        <v>0</v>
      </c>
      <c r="BN86" s="280">
        <v>0</v>
      </c>
      <c r="BO86" s="280">
        <v>0</v>
      </c>
      <c r="BP86" s="280">
        <v>0</v>
      </c>
      <c r="BQ86" s="280">
        <v>0</v>
      </c>
      <c r="BR86" s="280">
        <v>0</v>
      </c>
      <c r="BS86" s="280">
        <v>4290</v>
      </c>
      <c r="BT86" s="280">
        <v>0</v>
      </c>
      <c r="BU86" s="280">
        <v>0</v>
      </c>
      <c r="BV86" s="280">
        <v>0</v>
      </c>
      <c r="BW86" s="280">
        <v>0</v>
      </c>
      <c r="BX86" s="280">
        <v>0</v>
      </c>
      <c r="BY86" s="280">
        <v>0</v>
      </c>
      <c r="BZ86" s="280">
        <v>0</v>
      </c>
      <c r="CA86" s="280">
        <v>0</v>
      </c>
      <c r="CB86" s="280">
        <v>0</v>
      </c>
      <c r="CC86" s="280">
        <v>5347.2</v>
      </c>
      <c r="CD86" s="280">
        <v>0</v>
      </c>
      <c r="CE86" s="280">
        <v>0</v>
      </c>
      <c r="CF86" s="280">
        <v>0</v>
      </c>
      <c r="CG86" s="280">
        <v>0</v>
      </c>
      <c r="CH86" s="280">
        <v>0</v>
      </c>
      <c r="CI86" s="280">
        <v>0</v>
      </c>
      <c r="CJ86" s="280">
        <v>0</v>
      </c>
      <c r="CK86" s="280">
        <v>0</v>
      </c>
      <c r="CL86" s="280">
        <v>0</v>
      </c>
      <c r="CM86" s="280">
        <v>0</v>
      </c>
      <c r="CN86" s="280">
        <v>0</v>
      </c>
      <c r="CO86" s="280">
        <v>0</v>
      </c>
      <c r="CP86" s="280">
        <v>0</v>
      </c>
      <c r="CQ86" s="280">
        <v>0</v>
      </c>
      <c r="CR86" s="280">
        <v>0</v>
      </c>
      <c r="CS86" s="280">
        <v>0</v>
      </c>
      <c r="CT86" s="280">
        <v>0</v>
      </c>
      <c r="CU86" s="280">
        <v>0</v>
      </c>
      <c r="CV86" s="280">
        <v>0</v>
      </c>
      <c r="CW86" s="280">
        <v>0</v>
      </c>
      <c r="CX86" s="280">
        <v>0</v>
      </c>
      <c r="CY86" s="280">
        <v>0</v>
      </c>
      <c r="CZ86" s="280">
        <v>0</v>
      </c>
      <c r="DA86" s="280">
        <v>0</v>
      </c>
      <c r="DB86" s="280">
        <v>0</v>
      </c>
      <c r="DC86" s="280">
        <v>0</v>
      </c>
      <c r="DD86" s="280">
        <v>0</v>
      </c>
      <c r="DE86" s="280">
        <v>0</v>
      </c>
      <c r="DF86" s="280">
        <v>0</v>
      </c>
      <c r="DG86" s="280">
        <v>0</v>
      </c>
      <c r="DH86" s="280">
        <v>0</v>
      </c>
      <c r="DI86" s="280">
        <v>0</v>
      </c>
      <c r="DJ86" s="280">
        <v>0</v>
      </c>
      <c r="DK86" s="280">
        <v>0</v>
      </c>
      <c r="DL86" s="280">
        <v>0</v>
      </c>
      <c r="DM86" s="280">
        <v>0</v>
      </c>
      <c r="DN86" s="280">
        <v>0</v>
      </c>
      <c r="DO86" s="293">
        <v>0</v>
      </c>
      <c r="DP86" s="54">
        <v>0</v>
      </c>
      <c r="DQ86" s="54">
        <v>0</v>
      </c>
      <c r="DR86" s="54">
        <v>0</v>
      </c>
      <c r="DS86" s="54">
        <v>0</v>
      </c>
      <c r="DT86" s="54">
        <v>0</v>
      </c>
      <c r="EA86" s="54">
        <f t="shared" si="2"/>
        <v>-9637.1999999999971</v>
      </c>
      <c r="EB86" s="54">
        <f t="shared" si="3"/>
        <v>-34200</v>
      </c>
      <c r="EC86" s="54">
        <f t="shared" si="7"/>
        <v>19274.400000000001</v>
      </c>
      <c r="ED86" s="54">
        <f t="shared" si="5"/>
        <v>9637.2000000000007</v>
      </c>
      <c r="EE86" s="54">
        <f t="shared" si="6"/>
        <v>0</v>
      </c>
      <c r="EF86" s="54">
        <f t="shared" si="8"/>
        <v>0</v>
      </c>
      <c r="EG86" s="54">
        <f t="shared" si="9"/>
        <v>0</v>
      </c>
    </row>
    <row r="87" spans="1:137" s="52" customFormat="1">
      <c r="A87" s="297" t="s">
        <v>98</v>
      </c>
      <c r="B87" s="298">
        <v>12343792.34</v>
      </c>
      <c r="C87" s="298">
        <v>-143186.99</v>
      </c>
      <c r="D87" s="298">
        <v>9432.5</v>
      </c>
      <c r="E87" s="298">
        <v>578008.99</v>
      </c>
      <c r="F87" s="298">
        <v>287093.68</v>
      </c>
      <c r="G87" s="298">
        <v>42303.37</v>
      </c>
      <c r="H87" s="298">
        <v>92117.89</v>
      </c>
      <c r="I87" s="298">
        <v>29212.77</v>
      </c>
      <c r="J87" s="298">
        <v>0</v>
      </c>
      <c r="K87" s="298">
        <v>47119.26</v>
      </c>
      <c r="L87" s="298">
        <v>26401.759999999998</v>
      </c>
      <c r="M87" s="298">
        <v>23643.83</v>
      </c>
      <c r="N87" s="298">
        <v>93272.38</v>
      </c>
      <c r="O87" s="298">
        <v>118149.71</v>
      </c>
      <c r="P87" s="298">
        <v>11812.94</v>
      </c>
      <c r="Q87" s="298">
        <v>37606.620000000003</v>
      </c>
      <c r="R87" s="298">
        <v>23820.54</v>
      </c>
      <c r="S87" s="298">
        <v>2413.61</v>
      </c>
      <c r="T87" s="298">
        <v>0</v>
      </c>
      <c r="U87" s="298">
        <v>2813</v>
      </c>
      <c r="V87" s="298">
        <v>0</v>
      </c>
      <c r="W87" s="298">
        <v>358766.34</v>
      </c>
      <c r="X87" s="298">
        <v>2402202.1</v>
      </c>
      <c r="Y87" s="298">
        <v>702497.39</v>
      </c>
      <c r="Z87" s="298">
        <v>838616.65</v>
      </c>
      <c r="AA87" s="298">
        <v>44175.68</v>
      </c>
      <c r="AB87" s="298">
        <v>115802.97</v>
      </c>
      <c r="AC87" s="298">
        <v>0</v>
      </c>
      <c r="AD87" s="298">
        <v>157249.20000000001</v>
      </c>
      <c r="AE87" s="298">
        <v>6442446.1500000004</v>
      </c>
      <c r="AF87" s="298">
        <v>15714.12</v>
      </c>
      <c r="AG87" s="298">
        <v>97275.45</v>
      </c>
      <c r="AH87" s="298">
        <v>59050.239999999998</v>
      </c>
      <c r="AI87" s="298">
        <v>94747.7</v>
      </c>
      <c r="AJ87" s="298">
        <v>25398.87</v>
      </c>
      <c r="AK87" s="298">
        <v>26869.41</v>
      </c>
      <c r="AL87" s="298">
        <v>39710.550000000003</v>
      </c>
      <c r="AM87" s="298">
        <v>108474.90999999999</v>
      </c>
      <c r="AN87" s="298">
        <v>1234414.7900000003</v>
      </c>
      <c r="AO87" s="298">
        <v>303945.38</v>
      </c>
      <c r="AP87" s="298">
        <v>217860.01</v>
      </c>
      <c r="AQ87" s="298">
        <v>114244.44</v>
      </c>
      <c r="AR87" s="298">
        <v>384976.02</v>
      </c>
      <c r="AS87" s="298">
        <v>38286.550000000003</v>
      </c>
      <c r="AT87" s="298">
        <v>0</v>
      </c>
      <c r="AU87" s="298">
        <v>127911.87</v>
      </c>
      <c r="AV87" s="298">
        <v>368634.27</v>
      </c>
      <c r="AW87" s="298">
        <v>178174.89</v>
      </c>
      <c r="AX87" s="298">
        <v>27776.36</v>
      </c>
      <c r="AY87" s="298">
        <v>39790.65</v>
      </c>
      <c r="AZ87" s="298">
        <v>4385.03</v>
      </c>
      <c r="BA87" s="298">
        <v>50524.91</v>
      </c>
      <c r="BB87" s="298">
        <v>739424.23</v>
      </c>
      <c r="BC87" s="298">
        <v>672076.43</v>
      </c>
      <c r="BD87" s="298">
        <v>50405.56</v>
      </c>
      <c r="BE87" s="298">
        <v>0</v>
      </c>
      <c r="BF87" s="298">
        <v>4930015.0199999996</v>
      </c>
      <c r="BG87" s="298">
        <v>161609.64000000001</v>
      </c>
      <c r="BH87" s="298">
        <v>268239.64</v>
      </c>
      <c r="BI87" s="298">
        <v>128939.4</v>
      </c>
      <c r="BJ87" s="298">
        <v>298122.68</v>
      </c>
      <c r="BK87" s="298">
        <v>121264.71</v>
      </c>
      <c r="BL87" s="298">
        <v>129665.15</v>
      </c>
      <c r="BM87" s="298">
        <v>48118.63</v>
      </c>
      <c r="BN87" s="298">
        <v>152350.71</v>
      </c>
      <c r="BO87" s="298">
        <v>110566.25</v>
      </c>
      <c r="BP87" s="298">
        <v>61184.07</v>
      </c>
      <c r="BQ87" s="298">
        <v>119681.7</v>
      </c>
      <c r="BR87" s="298">
        <v>72929.37</v>
      </c>
      <c r="BS87" s="298">
        <v>183601.59</v>
      </c>
      <c r="BT87" s="298">
        <v>135853.85999999999</v>
      </c>
      <c r="BU87" s="298">
        <v>42740.62</v>
      </c>
      <c r="BV87" s="298">
        <v>66592.86</v>
      </c>
      <c r="BW87" s="298">
        <v>40432.5</v>
      </c>
      <c r="BX87" s="298">
        <v>69827.88</v>
      </c>
      <c r="BY87" s="298">
        <v>73295.009999999995</v>
      </c>
      <c r="BZ87" s="298">
        <v>57549.75</v>
      </c>
      <c r="CA87" s="298">
        <v>19439.46</v>
      </c>
      <c r="CB87" s="298">
        <v>73173.539999999994</v>
      </c>
      <c r="CC87" s="298">
        <v>60853.83</v>
      </c>
      <c r="CD87" s="298">
        <v>35091.919999999998</v>
      </c>
      <c r="CE87" s="298">
        <v>45153.59</v>
      </c>
      <c r="CF87" s="298">
        <v>62040.14</v>
      </c>
      <c r="CG87" s="298">
        <v>63104.43</v>
      </c>
      <c r="CH87" s="298">
        <v>70984.63</v>
      </c>
      <c r="CI87" s="298">
        <v>79105.16</v>
      </c>
      <c r="CJ87" s="298">
        <v>139067.94</v>
      </c>
      <c r="CK87" s="298">
        <v>19887.53</v>
      </c>
      <c r="CL87" s="298">
        <v>9533.1200000000008</v>
      </c>
      <c r="CM87" s="298">
        <v>37638.89</v>
      </c>
      <c r="CN87" s="298">
        <v>48018.93</v>
      </c>
      <c r="CO87" s="298">
        <v>43169.98</v>
      </c>
      <c r="CP87" s="298">
        <v>43132.03</v>
      </c>
      <c r="CQ87" s="298">
        <v>78977.27</v>
      </c>
      <c r="CR87" s="298">
        <v>43022.22</v>
      </c>
      <c r="CS87" s="298">
        <v>44655.65</v>
      </c>
      <c r="CT87" s="298">
        <v>22590.99</v>
      </c>
      <c r="CU87" s="298">
        <v>44942.8</v>
      </c>
      <c r="CV87" s="298">
        <v>44408.87</v>
      </c>
      <c r="CW87" s="298">
        <v>11592.48</v>
      </c>
      <c r="CX87" s="298">
        <v>94206.61</v>
      </c>
      <c r="CY87" s="298">
        <v>51616.15</v>
      </c>
      <c r="CZ87" s="298">
        <v>48766.65</v>
      </c>
      <c r="DA87" s="298">
        <v>48744.79</v>
      </c>
      <c r="DB87" s="298">
        <v>64911.92</v>
      </c>
      <c r="DC87" s="298">
        <v>47843.68</v>
      </c>
      <c r="DD87" s="298">
        <v>63088.39</v>
      </c>
      <c r="DE87" s="298">
        <v>44546.5</v>
      </c>
      <c r="DF87" s="298">
        <v>72520.59</v>
      </c>
      <c r="DG87" s="298">
        <v>35354.5</v>
      </c>
      <c r="DH87" s="298">
        <v>43065.78</v>
      </c>
      <c r="DI87" s="298">
        <v>49426.44</v>
      </c>
      <c r="DJ87" s="298">
        <v>37343.18</v>
      </c>
      <c r="DK87" s="298">
        <v>50416.42</v>
      </c>
      <c r="DL87" s="298">
        <v>57554.09</v>
      </c>
      <c r="DM87" s="298">
        <v>42485.8</v>
      </c>
      <c r="DN87" s="298">
        <v>95310.399999999994</v>
      </c>
      <c r="DO87" s="298">
        <v>183747.18</v>
      </c>
      <c r="DP87" s="298">
        <v>34747.550000000003</v>
      </c>
      <c r="DQ87" s="298">
        <v>68703.81</v>
      </c>
      <c r="DR87" s="298">
        <v>53945.61</v>
      </c>
      <c r="DS87" s="298">
        <v>117174.29</v>
      </c>
      <c r="DT87" s="298">
        <v>42343.27</v>
      </c>
      <c r="DU87" s="298"/>
      <c r="DV87" s="298"/>
      <c r="DW87" s="298"/>
      <c r="DX87" s="54"/>
      <c r="DY87" s="54"/>
      <c r="DZ87" s="54"/>
      <c r="EA87" s="54">
        <f t="shared" si="2"/>
        <v>-6442446.1499999994</v>
      </c>
      <c r="EB87" s="54">
        <f t="shared" si="3"/>
        <v>1359566.9600000002</v>
      </c>
      <c r="EC87" s="54">
        <f t="shared" si="7"/>
        <v>9817686.7699999977</v>
      </c>
      <c r="ED87" s="54">
        <f t="shared" si="5"/>
        <v>6761501.9400000013</v>
      </c>
      <c r="EE87" s="54">
        <f t="shared" si="6"/>
        <v>-771049.64</v>
      </c>
      <c r="EF87" s="54">
        <f t="shared" si="8"/>
        <v>2083146.3100000003</v>
      </c>
      <c r="EG87" s="54">
        <f t="shared" si="9"/>
        <v>-1727481.07</v>
      </c>
    </row>
    <row r="88" spans="1:137">
      <c r="A88" s="279" t="s">
        <v>120</v>
      </c>
      <c r="B88" s="280">
        <v>383744.37</v>
      </c>
      <c r="C88" s="280">
        <v>0</v>
      </c>
      <c r="D88" s="280">
        <v>0</v>
      </c>
      <c r="E88" s="280">
        <v>0</v>
      </c>
      <c r="F88" s="280">
        <v>55127.72</v>
      </c>
      <c r="G88" s="280">
        <v>0</v>
      </c>
      <c r="H88" s="280">
        <v>0</v>
      </c>
      <c r="I88" s="280">
        <v>0</v>
      </c>
      <c r="J88" s="280">
        <v>0</v>
      </c>
      <c r="K88" s="280">
        <v>0</v>
      </c>
      <c r="L88" s="280">
        <v>0</v>
      </c>
      <c r="M88" s="280">
        <v>0</v>
      </c>
      <c r="N88" s="280">
        <v>0</v>
      </c>
      <c r="O88" s="280">
        <v>0</v>
      </c>
      <c r="P88" s="280">
        <v>0</v>
      </c>
      <c r="Q88" s="280">
        <v>0</v>
      </c>
      <c r="R88" s="280">
        <v>2333.88</v>
      </c>
      <c r="S88" s="280">
        <v>0</v>
      </c>
      <c r="T88" s="280">
        <v>0</v>
      </c>
      <c r="U88" s="280"/>
      <c r="V88" s="280">
        <v>0</v>
      </c>
      <c r="W88" s="280">
        <v>11187.96</v>
      </c>
      <c r="X88" s="280">
        <v>4191.34</v>
      </c>
      <c r="Y88" s="280">
        <v>2978.84</v>
      </c>
      <c r="Z88" s="280">
        <v>4471.45</v>
      </c>
      <c r="AA88" s="280">
        <v>1238.25</v>
      </c>
      <c r="AB88" s="280">
        <v>0</v>
      </c>
      <c r="AC88" s="280">
        <v>0</v>
      </c>
      <c r="AD88" s="280">
        <v>51273.86</v>
      </c>
      <c r="AE88" s="280">
        <v>250941.07</v>
      </c>
      <c r="AF88" s="280">
        <v>2251.44</v>
      </c>
      <c r="AG88" s="280">
        <v>1489.42</v>
      </c>
      <c r="AH88" s="280">
        <v>1489.42</v>
      </c>
      <c r="AI88" s="280">
        <v>1489.42</v>
      </c>
      <c r="AJ88" s="280">
        <v>1489.42</v>
      </c>
      <c r="AK88" s="280">
        <v>1489.42</v>
      </c>
      <c r="AL88" s="280">
        <v>1489.42</v>
      </c>
      <c r="AM88" s="280">
        <v>0</v>
      </c>
      <c r="AN88" s="280">
        <v>2514.8000000000002</v>
      </c>
      <c r="AO88" s="280">
        <v>1676.54</v>
      </c>
      <c r="AP88" s="280">
        <v>0</v>
      </c>
      <c r="AQ88" s="280">
        <v>0</v>
      </c>
      <c r="AR88" s="280">
        <v>0</v>
      </c>
      <c r="AS88" s="280">
        <v>0</v>
      </c>
      <c r="AT88" s="280">
        <v>0</v>
      </c>
      <c r="AU88" s="280">
        <v>1489.42</v>
      </c>
      <c r="AV88" s="280">
        <v>0</v>
      </c>
      <c r="AW88" s="280">
        <v>0</v>
      </c>
      <c r="AX88" s="280">
        <v>1489.42</v>
      </c>
      <c r="AY88" s="280">
        <v>1238.25</v>
      </c>
      <c r="AZ88" s="280">
        <v>0</v>
      </c>
      <c r="BA88" s="280">
        <v>7354.1</v>
      </c>
      <c r="BB88" s="280">
        <v>0</v>
      </c>
      <c r="BC88" s="280">
        <v>0</v>
      </c>
      <c r="BD88" s="280">
        <v>0</v>
      </c>
      <c r="BE88" s="280">
        <v>0</v>
      </c>
      <c r="BF88" s="280">
        <v>243586.97</v>
      </c>
      <c r="BG88" s="280">
        <v>-33051.550000000003</v>
      </c>
      <c r="BH88" s="280">
        <v>6844.11</v>
      </c>
      <c r="BI88" s="280">
        <v>3080.66</v>
      </c>
      <c r="BJ88" s="280">
        <v>358</v>
      </c>
      <c r="BK88" s="280">
        <v>3329.4</v>
      </c>
      <c r="BL88" s="280">
        <v>19523.990000000002</v>
      </c>
      <c r="BM88" s="280">
        <v>2786.13</v>
      </c>
      <c r="BN88" s="280">
        <v>10931</v>
      </c>
      <c r="BO88" s="280">
        <v>12355.96</v>
      </c>
      <c r="BP88" s="280">
        <v>8697.01</v>
      </c>
      <c r="BQ88" s="280">
        <v>23037.9</v>
      </c>
      <c r="BR88" s="280">
        <v>62527.519999999997</v>
      </c>
      <c r="BS88" s="280">
        <v>11020.4</v>
      </c>
      <c r="BT88" s="280">
        <v>5802.79</v>
      </c>
      <c r="BU88" s="280">
        <v>5890.46</v>
      </c>
      <c r="BV88" s="280">
        <v>20455</v>
      </c>
      <c r="BW88" s="280">
        <v>203</v>
      </c>
      <c r="BX88" s="280">
        <v>6570.52</v>
      </c>
      <c r="BY88" s="280">
        <v>4433</v>
      </c>
      <c r="BZ88" s="280">
        <v>109</v>
      </c>
      <c r="CA88" s="280">
        <v>6662.71</v>
      </c>
      <c r="CB88" s="280">
        <v>-3874.51</v>
      </c>
      <c r="CC88" s="280">
        <v>3822</v>
      </c>
      <c r="CD88" s="280">
        <v>4922.37</v>
      </c>
      <c r="CE88" s="280">
        <v>914.6</v>
      </c>
      <c r="CF88" s="280">
        <v>8338</v>
      </c>
      <c r="CG88" s="280">
        <v>1129</v>
      </c>
      <c r="CH88" s="280">
        <v>1618.74</v>
      </c>
      <c r="CI88" s="280">
        <v>1350</v>
      </c>
      <c r="CJ88" s="280">
        <v>1743.67</v>
      </c>
      <c r="CK88" s="280">
        <v>20</v>
      </c>
      <c r="CL88" s="280">
        <v>1992.75</v>
      </c>
      <c r="CM88" s="280">
        <v>376.88</v>
      </c>
      <c r="CN88" s="280">
        <v>2010</v>
      </c>
      <c r="CO88" s="280">
        <v>2055</v>
      </c>
      <c r="CP88" s="280">
        <v>1915.33</v>
      </c>
      <c r="CQ88" s="280">
        <v>1301.46</v>
      </c>
      <c r="CR88" s="280">
        <v>26</v>
      </c>
      <c r="CS88" s="280">
        <v>526.27</v>
      </c>
      <c r="CT88" s="280">
        <v>376.04</v>
      </c>
      <c r="CU88" s="280">
        <v>1409</v>
      </c>
      <c r="CV88" s="280">
        <v>22</v>
      </c>
      <c r="CW88" s="280">
        <v>1712.38</v>
      </c>
      <c r="CX88" s="280">
        <v>8</v>
      </c>
      <c r="CY88" s="280">
        <v>4256.1000000000004</v>
      </c>
      <c r="CZ88" s="280">
        <v>53.86</v>
      </c>
      <c r="DA88" s="280">
        <v>7</v>
      </c>
      <c r="DB88" s="280">
        <v>367.72</v>
      </c>
      <c r="DC88" s="280">
        <v>8840.4</v>
      </c>
      <c r="DD88" s="280">
        <v>428.5</v>
      </c>
      <c r="DE88" s="280">
        <v>811</v>
      </c>
      <c r="DF88" s="280">
        <v>29</v>
      </c>
      <c r="DG88" s="280">
        <v>2009</v>
      </c>
      <c r="DH88" s="280">
        <v>308</v>
      </c>
      <c r="DI88" s="280">
        <v>2</v>
      </c>
      <c r="DJ88" s="280">
        <v>3001</v>
      </c>
      <c r="DK88" s="280">
        <v>1129</v>
      </c>
      <c r="DL88" s="280">
        <v>505.62</v>
      </c>
      <c r="DM88" s="280">
        <v>6</v>
      </c>
      <c r="DN88" s="280">
        <v>1155.23</v>
      </c>
      <c r="DO88" s="293">
        <v>1216.18</v>
      </c>
      <c r="DP88" s="54">
        <v>878.48</v>
      </c>
      <c r="DQ88" s="54">
        <v>2360.35</v>
      </c>
      <c r="DR88" s="54">
        <v>447.54</v>
      </c>
      <c r="DS88" s="54">
        <v>425.3</v>
      </c>
      <c r="DT88" s="54">
        <v>67.7</v>
      </c>
      <c r="EA88" s="54">
        <f t="shared" si="2"/>
        <v>-250941.07</v>
      </c>
      <c r="EB88" s="54">
        <f t="shared" si="3"/>
        <v>-43919.76</v>
      </c>
      <c r="EC88" s="54">
        <f t="shared" si="7"/>
        <v>487106.23999999993</v>
      </c>
      <c r="ED88" s="54">
        <f t="shared" si="5"/>
        <v>260639.61000000007</v>
      </c>
      <c r="EE88" s="54">
        <f t="shared" si="6"/>
        <v>-1743.7799999999997</v>
      </c>
      <c r="EF88" s="54">
        <f t="shared" si="8"/>
        <v>-5507.1999999999989</v>
      </c>
      <c r="EG88" s="54">
        <f t="shared" si="9"/>
        <v>-2701.92</v>
      </c>
    </row>
    <row r="89" spans="1:137">
      <c r="A89" s="279" t="s">
        <v>121</v>
      </c>
      <c r="B89" s="280">
        <v>1721977.25</v>
      </c>
      <c r="C89" s="280">
        <v>33635.18</v>
      </c>
      <c r="D89" s="280">
        <v>0</v>
      </c>
      <c r="E89" s="280">
        <v>15402.52</v>
      </c>
      <c r="F89" s="280">
        <v>63785.71</v>
      </c>
      <c r="G89" s="280">
        <v>48811.5</v>
      </c>
      <c r="H89" s="280">
        <v>7644.74</v>
      </c>
      <c r="I89" s="280">
        <v>24821.18</v>
      </c>
      <c r="J89" s="280">
        <v>0</v>
      </c>
      <c r="K89" s="280">
        <v>8843.9500000000007</v>
      </c>
      <c r="L89" s="280">
        <v>13142.42</v>
      </c>
      <c r="M89" s="280">
        <v>25979.29</v>
      </c>
      <c r="N89" s="280">
        <v>25800.23</v>
      </c>
      <c r="O89" s="280">
        <v>41691.49</v>
      </c>
      <c r="P89" s="280">
        <v>40555.230000000003</v>
      </c>
      <c r="Q89" s="280">
        <v>89590.44</v>
      </c>
      <c r="R89" s="280">
        <v>16780.62</v>
      </c>
      <c r="S89" s="280">
        <v>7544.84</v>
      </c>
      <c r="T89" s="280">
        <v>0</v>
      </c>
      <c r="U89" s="280"/>
      <c r="V89" s="280">
        <v>0</v>
      </c>
      <c r="W89" s="280">
        <v>105314.11</v>
      </c>
      <c r="X89" s="280">
        <v>244595.38</v>
      </c>
      <c r="Y89" s="280">
        <v>82295.360000000001</v>
      </c>
      <c r="Z89" s="280">
        <v>49210.79</v>
      </c>
      <c r="AA89" s="280">
        <v>24913.25</v>
      </c>
      <c r="AB89" s="280">
        <v>13246.55</v>
      </c>
      <c r="AC89" s="280">
        <v>0</v>
      </c>
      <c r="AD89" s="280">
        <v>117593.52</v>
      </c>
      <c r="AE89" s="280">
        <v>620778.94999999995</v>
      </c>
      <c r="AF89" s="280">
        <v>23884.04</v>
      </c>
      <c r="AG89" s="280">
        <v>12910.68</v>
      </c>
      <c r="AH89" s="280">
        <v>14367.25</v>
      </c>
      <c r="AI89" s="280">
        <v>30477.23</v>
      </c>
      <c r="AJ89" s="280">
        <v>8878.9599999999991</v>
      </c>
      <c r="AK89" s="280">
        <v>4904.4799999999996</v>
      </c>
      <c r="AL89" s="280">
        <v>9891.4699999999993</v>
      </c>
      <c r="AM89" s="280">
        <v>37754.58</v>
      </c>
      <c r="AN89" s="280">
        <v>84961.8</v>
      </c>
      <c r="AO89" s="280">
        <v>42368.05</v>
      </c>
      <c r="AP89" s="280">
        <v>54521.440000000002</v>
      </c>
      <c r="AQ89" s="280">
        <v>20803.400000000001</v>
      </c>
      <c r="AR89" s="280">
        <v>3350.11</v>
      </c>
      <c r="AS89" s="280">
        <v>836</v>
      </c>
      <c r="AT89" s="280">
        <v>0</v>
      </c>
      <c r="AU89" s="280">
        <v>6257.05</v>
      </c>
      <c r="AV89" s="280">
        <v>41140.19</v>
      </c>
      <c r="AW89" s="280">
        <v>27690.38</v>
      </c>
      <c r="AX89" s="280">
        <v>7207.74</v>
      </c>
      <c r="AY89" s="280">
        <v>21528.42</v>
      </c>
      <c r="AZ89" s="280">
        <v>3384.83</v>
      </c>
      <c r="BA89" s="280">
        <v>27378.880000000001</v>
      </c>
      <c r="BB89" s="280">
        <v>33931.25</v>
      </c>
      <c r="BC89" s="280">
        <v>24362.71</v>
      </c>
      <c r="BD89" s="280">
        <v>38635.93</v>
      </c>
      <c r="BE89" s="280">
        <v>0</v>
      </c>
      <c r="BF89" s="280">
        <v>496470.18</v>
      </c>
      <c r="BG89" s="280">
        <v>23171.09</v>
      </c>
      <c r="BH89" s="280">
        <v>5197.24</v>
      </c>
      <c r="BI89" s="280">
        <v>36979.18</v>
      </c>
      <c r="BJ89" s="280">
        <v>27108.15</v>
      </c>
      <c r="BK89" s="280">
        <v>19781.72</v>
      </c>
      <c r="BL89" s="280">
        <v>25920.560000000001</v>
      </c>
      <c r="BM89" s="280">
        <v>1922.14</v>
      </c>
      <c r="BN89" s="280">
        <v>21809.35</v>
      </c>
      <c r="BO89" s="280">
        <v>17845.55</v>
      </c>
      <c r="BP89" s="280">
        <v>10897.36</v>
      </c>
      <c r="BQ89" s="280">
        <v>9576.5400000000009</v>
      </c>
      <c r="BR89" s="280">
        <v>11484.22</v>
      </c>
      <c r="BS89" s="280">
        <v>16582.919999999998</v>
      </c>
      <c r="BT89" s="280">
        <v>9515.41</v>
      </c>
      <c r="BU89" s="280">
        <v>8405.81</v>
      </c>
      <c r="BV89" s="280">
        <v>692.37</v>
      </c>
      <c r="BW89" s="280">
        <v>5229.79</v>
      </c>
      <c r="BX89" s="280">
        <v>12853.47</v>
      </c>
      <c r="BY89" s="280">
        <v>3447.56</v>
      </c>
      <c r="BZ89" s="280">
        <v>9579.85</v>
      </c>
      <c r="CA89" s="280">
        <v>9694.34</v>
      </c>
      <c r="CB89" s="280">
        <v>10140.99</v>
      </c>
      <c r="CC89" s="280">
        <v>1934.95</v>
      </c>
      <c r="CD89" s="280">
        <v>4139.8999999999996</v>
      </c>
      <c r="CE89" s="280">
        <v>1120.53</v>
      </c>
      <c r="CF89" s="280">
        <v>5843.42</v>
      </c>
      <c r="CG89" s="280">
        <v>9169.42</v>
      </c>
      <c r="CH89" s="280">
        <v>5159.6000000000004</v>
      </c>
      <c r="CI89" s="280">
        <v>7422.5</v>
      </c>
      <c r="CJ89" s="280">
        <v>13856.28</v>
      </c>
      <c r="CK89" s="280">
        <v>1929.4</v>
      </c>
      <c r="CL89" s="280">
        <v>9068.06</v>
      </c>
      <c r="CM89" s="280">
        <v>4931.3999999999996</v>
      </c>
      <c r="CN89" s="280">
        <v>6272.82</v>
      </c>
      <c r="CO89" s="280">
        <v>3636.36</v>
      </c>
      <c r="CP89" s="280">
        <v>2762.89</v>
      </c>
      <c r="CQ89" s="280">
        <v>4527.45</v>
      </c>
      <c r="CR89" s="280">
        <v>7801</v>
      </c>
      <c r="CS89" s="280">
        <v>661.77</v>
      </c>
      <c r="CT89" s="280">
        <v>4618.08</v>
      </c>
      <c r="CU89" s="280">
        <v>4167.49</v>
      </c>
      <c r="CV89" s="280">
        <v>677.94</v>
      </c>
      <c r="CW89" s="280">
        <v>6650.93</v>
      </c>
      <c r="CX89" s="280">
        <v>1137.46</v>
      </c>
      <c r="CY89" s="280">
        <v>3417.12</v>
      </c>
      <c r="CZ89" s="280">
        <v>7065.86</v>
      </c>
      <c r="DA89" s="280">
        <v>6099.28</v>
      </c>
      <c r="DB89" s="280">
        <v>6342.83</v>
      </c>
      <c r="DC89" s="280">
        <v>248.67</v>
      </c>
      <c r="DD89" s="280">
        <v>4265.1499999999996</v>
      </c>
      <c r="DE89" s="280">
        <v>1204</v>
      </c>
      <c r="DF89" s="280">
        <v>2495.5700000000002</v>
      </c>
      <c r="DG89" s="280">
        <v>1327.03</v>
      </c>
      <c r="DH89" s="280">
        <v>3748.49</v>
      </c>
      <c r="DI89" s="280">
        <v>721.45</v>
      </c>
      <c r="DJ89" s="280">
        <v>7714.72</v>
      </c>
      <c r="DK89" s="280">
        <v>3467.35</v>
      </c>
      <c r="DL89" s="280">
        <v>6532.15</v>
      </c>
      <c r="DM89" s="280">
        <v>4665.99</v>
      </c>
      <c r="DN89" s="280">
        <v>5666.57</v>
      </c>
      <c r="DO89" s="293">
        <v>2555.0500000000002</v>
      </c>
      <c r="DP89" s="54">
        <v>8328.23</v>
      </c>
      <c r="DQ89" s="54">
        <v>2711.41</v>
      </c>
      <c r="DR89" s="54">
        <v>3104.8</v>
      </c>
      <c r="DS89" s="54">
        <v>3858.06</v>
      </c>
      <c r="DT89" s="54">
        <v>5605.14</v>
      </c>
      <c r="EA89" s="54">
        <f t="shared" ref="EA89:EA106" si="10">SUM(C89:AD89)-B89</f>
        <v>-620778.94999999995</v>
      </c>
      <c r="EB89" s="54">
        <f t="shared" ref="EB89:EB106" si="11">SUM(AZ89:BE89)-AD89</f>
        <v>10100.080000000002</v>
      </c>
      <c r="EC89" s="54">
        <f t="shared" si="7"/>
        <v>987335.22000000032</v>
      </c>
      <c r="ED89" s="54">
        <f t="shared" si="5"/>
        <v>716201.59</v>
      </c>
      <c r="EE89" s="54">
        <f t="shared" si="6"/>
        <v>-20474.630000000005</v>
      </c>
      <c r="EF89" s="54">
        <f t="shared" si="8"/>
        <v>149172.74</v>
      </c>
      <c r="EG89" s="54">
        <f t="shared" si="9"/>
        <v>-169507.76</v>
      </c>
    </row>
    <row r="90" spans="1:137">
      <c r="A90" s="279" t="s">
        <v>122</v>
      </c>
      <c r="B90" s="280">
        <v>136792.45000000001</v>
      </c>
      <c r="C90" s="280">
        <v>0</v>
      </c>
      <c r="D90" s="280">
        <v>0</v>
      </c>
      <c r="E90" s="280">
        <v>0</v>
      </c>
      <c r="F90" s="280">
        <v>0</v>
      </c>
      <c r="G90" s="280">
        <v>136792.45000000001</v>
      </c>
      <c r="H90" s="280">
        <v>0</v>
      </c>
      <c r="I90" s="280">
        <v>0</v>
      </c>
      <c r="J90" s="280">
        <v>0</v>
      </c>
      <c r="K90" s="280">
        <v>0</v>
      </c>
      <c r="L90" s="280">
        <v>0</v>
      </c>
      <c r="M90" s="280">
        <v>0</v>
      </c>
      <c r="N90" s="280">
        <v>0</v>
      </c>
      <c r="O90" s="280">
        <v>0</v>
      </c>
      <c r="P90" s="280">
        <v>0</v>
      </c>
      <c r="Q90" s="280">
        <v>0</v>
      </c>
      <c r="R90" s="280">
        <v>0</v>
      </c>
      <c r="S90" s="280">
        <v>0</v>
      </c>
      <c r="T90" s="280">
        <v>0</v>
      </c>
      <c r="U90" s="280"/>
      <c r="V90" s="280">
        <v>0</v>
      </c>
      <c r="W90" s="280">
        <v>0</v>
      </c>
      <c r="X90" s="280">
        <v>0</v>
      </c>
      <c r="Y90" s="280">
        <v>0</v>
      </c>
      <c r="Z90" s="280">
        <v>0</v>
      </c>
      <c r="AA90" s="280">
        <v>0</v>
      </c>
      <c r="AB90" s="280">
        <v>0</v>
      </c>
      <c r="AC90" s="280">
        <v>0</v>
      </c>
      <c r="AD90" s="280">
        <v>0</v>
      </c>
      <c r="AE90" s="280">
        <v>0</v>
      </c>
      <c r="AF90" s="280">
        <v>0</v>
      </c>
      <c r="AG90" s="280">
        <v>0</v>
      </c>
      <c r="AH90" s="280">
        <v>0</v>
      </c>
      <c r="AI90" s="280">
        <v>0</v>
      </c>
      <c r="AJ90" s="280">
        <v>0</v>
      </c>
      <c r="AK90" s="280">
        <v>0</v>
      </c>
      <c r="AL90" s="280">
        <v>0</v>
      </c>
      <c r="AM90" s="280">
        <v>0</v>
      </c>
      <c r="AN90" s="280">
        <v>0</v>
      </c>
      <c r="AO90" s="280">
        <v>0</v>
      </c>
      <c r="AP90" s="280">
        <v>0</v>
      </c>
      <c r="AQ90" s="280">
        <v>0</v>
      </c>
      <c r="AR90" s="280">
        <v>0</v>
      </c>
      <c r="AS90" s="280">
        <v>0</v>
      </c>
      <c r="AT90" s="280">
        <v>0</v>
      </c>
      <c r="AU90" s="280">
        <v>0</v>
      </c>
      <c r="AV90" s="280">
        <v>0</v>
      </c>
      <c r="AW90" s="280">
        <v>0</v>
      </c>
      <c r="AX90" s="280">
        <v>0</v>
      </c>
      <c r="AY90" s="280">
        <v>0</v>
      </c>
      <c r="AZ90" s="280">
        <v>0</v>
      </c>
      <c r="BA90" s="280">
        <v>0</v>
      </c>
      <c r="BB90" s="280">
        <v>0</v>
      </c>
      <c r="BC90" s="280">
        <v>0</v>
      </c>
      <c r="BD90" s="280">
        <v>0</v>
      </c>
      <c r="BE90" s="280">
        <v>0</v>
      </c>
      <c r="BF90" s="280">
        <v>0</v>
      </c>
      <c r="BG90" s="280">
        <v>0</v>
      </c>
      <c r="BH90" s="280">
        <v>0</v>
      </c>
      <c r="BI90" s="280">
        <v>0</v>
      </c>
      <c r="BJ90" s="280">
        <v>0</v>
      </c>
      <c r="BK90" s="280">
        <v>0</v>
      </c>
      <c r="BL90" s="280">
        <v>0</v>
      </c>
      <c r="BM90" s="280">
        <v>0</v>
      </c>
      <c r="BN90" s="280">
        <v>0</v>
      </c>
      <c r="BO90" s="280">
        <v>0</v>
      </c>
      <c r="BP90" s="280">
        <v>0</v>
      </c>
      <c r="BQ90" s="280">
        <v>0</v>
      </c>
      <c r="BR90" s="280">
        <v>0</v>
      </c>
      <c r="BS90" s="280">
        <v>0</v>
      </c>
      <c r="BT90" s="280">
        <v>0</v>
      </c>
      <c r="BU90" s="280">
        <v>0</v>
      </c>
      <c r="BV90" s="280">
        <v>0</v>
      </c>
      <c r="BW90" s="280">
        <v>0</v>
      </c>
      <c r="BX90" s="280">
        <v>0</v>
      </c>
      <c r="BY90" s="280">
        <v>0</v>
      </c>
      <c r="BZ90" s="280">
        <v>0</v>
      </c>
      <c r="CA90" s="280">
        <v>0</v>
      </c>
      <c r="CB90" s="280">
        <v>0</v>
      </c>
      <c r="CC90" s="280">
        <v>0</v>
      </c>
      <c r="CD90" s="280">
        <v>0</v>
      </c>
      <c r="CE90" s="280">
        <v>0</v>
      </c>
      <c r="CF90" s="280">
        <v>0</v>
      </c>
      <c r="CG90" s="280">
        <v>0</v>
      </c>
      <c r="CH90" s="280">
        <v>0</v>
      </c>
      <c r="CI90" s="280">
        <v>0</v>
      </c>
      <c r="CJ90" s="280">
        <v>0</v>
      </c>
      <c r="CK90" s="280">
        <v>0</v>
      </c>
      <c r="CL90" s="280">
        <v>0</v>
      </c>
      <c r="CM90" s="280">
        <v>0</v>
      </c>
      <c r="CN90" s="280">
        <v>0</v>
      </c>
      <c r="CO90" s="280">
        <v>0</v>
      </c>
      <c r="CP90" s="280">
        <v>0</v>
      </c>
      <c r="CQ90" s="280">
        <v>0</v>
      </c>
      <c r="CR90" s="280">
        <v>0</v>
      </c>
      <c r="CS90" s="280">
        <v>0</v>
      </c>
      <c r="CT90" s="280">
        <v>0</v>
      </c>
      <c r="CU90" s="280">
        <v>0</v>
      </c>
      <c r="CV90" s="280">
        <v>0</v>
      </c>
      <c r="CW90" s="280">
        <v>0</v>
      </c>
      <c r="CX90" s="280">
        <v>0</v>
      </c>
      <c r="CY90" s="280">
        <v>0</v>
      </c>
      <c r="CZ90" s="280">
        <v>0</v>
      </c>
      <c r="DA90" s="280">
        <v>0</v>
      </c>
      <c r="DB90" s="280">
        <v>0</v>
      </c>
      <c r="DC90" s="280">
        <v>0</v>
      </c>
      <c r="DD90" s="280">
        <v>0</v>
      </c>
      <c r="DE90" s="280">
        <v>0</v>
      </c>
      <c r="DF90" s="280">
        <v>0</v>
      </c>
      <c r="DG90" s="280">
        <v>0</v>
      </c>
      <c r="DH90" s="280">
        <v>0</v>
      </c>
      <c r="DI90" s="280">
        <v>0</v>
      </c>
      <c r="DJ90" s="280">
        <v>0</v>
      </c>
      <c r="DK90" s="280">
        <v>0</v>
      </c>
      <c r="DL90" s="280">
        <v>0</v>
      </c>
      <c r="DM90" s="280">
        <v>0</v>
      </c>
      <c r="DN90" s="280">
        <v>0</v>
      </c>
      <c r="DO90" s="293">
        <v>0</v>
      </c>
      <c r="DP90" s="54">
        <v>0</v>
      </c>
      <c r="DQ90" s="54">
        <v>0</v>
      </c>
      <c r="DR90" s="54">
        <v>0</v>
      </c>
      <c r="DS90" s="54">
        <v>0</v>
      </c>
      <c r="DT90" s="54">
        <v>0</v>
      </c>
      <c r="EA90" s="54">
        <f t="shared" si="10"/>
        <v>0</v>
      </c>
      <c r="EB90" s="54">
        <f t="shared" si="11"/>
        <v>0</v>
      </c>
      <c r="EC90" s="54">
        <f t="shared" si="7"/>
        <v>0</v>
      </c>
      <c r="ED90" s="54">
        <f t="shared" si="5"/>
        <v>0</v>
      </c>
      <c r="EE90" s="54">
        <f t="shared" si="6"/>
        <v>0</v>
      </c>
      <c r="EF90" s="54">
        <f t="shared" si="8"/>
        <v>0</v>
      </c>
      <c r="EG90" s="54">
        <f t="shared" si="9"/>
        <v>0</v>
      </c>
    </row>
    <row r="91" spans="1:137">
      <c r="A91" s="279" t="s">
        <v>123</v>
      </c>
      <c r="B91" s="280">
        <v>298030.46000000002</v>
      </c>
      <c r="C91" s="280">
        <v>0</v>
      </c>
      <c r="D91" s="280">
        <v>0</v>
      </c>
      <c r="E91" s="280">
        <v>0</v>
      </c>
      <c r="F91" s="280">
        <v>53073.15</v>
      </c>
      <c r="G91" s="280">
        <v>0</v>
      </c>
      <c r="H91" s="280">
        <v>0</v>
      </c>
      <c r="I91" s="280">
        <v>0</v>
      </c>
      <c r="J91" s="280">
        <v>0</v>
      </c>
      <c r="K91" s="280">
        <v>0</v>
      </c>
      <c r="L91" s="280">
        <v>0</v>
      </c>
      <c r="M91" s="280">
        <v>0</v>
      </c>
      <c r="N91" s="280">
        <v>0</v>
      </c>
      <c r="O91" s="280">
        <v>0</v>
      </c>
      <c r="P91" s="280">
        <v>0</v>
      </c>
      <c r="Q91" s="280">
        <v>0</v>
      </c>
      <c r="R91" s="280">
        <v>0</v>
      </c>
      <c r="S91" s="280">
        <v>0</v>
      </c>
      <c r="T91" s="280">
        <v>0</v>
      </c>
      <c r="U91" s="280"/>
      <c r="V91" s="280">
        <v>0</v>
      </c>
      <c r="W91" s="280">
        <v>7740.74</v>
      </c>
      <c r="X91" s="280">
        <v>0</v>
      </c>
      <c r="Y91" s="280">
        <v>2211.64</v>
      </c>
      <c r="Z91" s="280">
        <v>0</v>
      </c>
      <c r="AA91" s="280">
        <v>0</v>
      </c>
      <c r="AB91" s="280">
        <v>0</v>
      </c>
      <c r="AC91" s="280">
        <v>0</v>
      </c>
      <c r="AD91" s="280">
        <v>2738</v>
      </c>
      <c r="AE91" s="280">
        <v>232266.93</v>
      </c>
      <c r="AF91" s="280">
        <v>1105.82</v>
      </c>
      <c r="AG91" s="280">
        <v>1105.82</v>
      </c>
      <c r="AH91" s="280">
        <v>1105.82</v>
      </c>
      <c r="AI91" s="280">
        <v>1105.82</v>
      </c>
      <c r="AJ91" s="280">
        <v>1105.82</v>
      </c>
      <c r="AK91" s="280">
        <v>1105.82</v>
      </c>
      <c r="AL91" s="280">
        <v>1105.82</v>
      </c>
      <c r="AM91" s="280">
        <v>0</v>
      </c>
      <c r="AN91" s="280">
        <v>0</v>
      </c>
      <c r="AO91" s="280">
        <v>0</v>
      </c>
      <c r="AP91" s="280">
        <v>0</v>
      </c>
      <c r="AQ91" s="280">
        <v>0</v>
      </c>
      <c r="AR91" s="280">
        <v>0</v>
      </c>
      <c r="AS91" s="280">
        <v>0</v>
      </c>
      <c r="AT91" s="280">
        <v>0</v>
      </c>
      <c r="AU91" s="280">
        <v>1105.82</v>
      </c>
      <c r="AV91" s="280">
        <v>0</v>
      </c>
      <c r="AW91" s="280">
        <v>0</v>
      </c>
      <c r="AX91" s="280">
        <v>1105.82</v>
      </c>
      <c r="AY91" s="280">
        <v>0</v>
      </c>
      <c r="AZ91" s="280">
        <v>0</v>
      </c>
      <c r="BA91" s="280">
        <v>0</v>
      </c>
      <c r="BB91" s="280">
        <v>0</v>
      </c>
      <c r="BC91" s="280">
        <v>0</v>
      </c>
      <c r="BD91" s="280">
        <v>0</v>
      </c>
      <c r="BE91" s="280">
        <v>0</v>
      </c>
      <c r="BF91" s="280">
        <v>232266.93</v>
      </c>
      <c r="BG91" s="280">
        <v>7191.47</v>
      </c>
      <c r="BH91" s="280">
        <v>413.56</v>
      </c>
      <c r="BI91" s="280">
        <v>3655.33</v>
      </c>
      <c r="BJ91" s="280">
        <v>28894.32</v>
      </c>
      <c r="BK91" s="280">
        <v>1469.11</v>
      </c>
      <c r="BL91" s="280">
        <v>22495.08</v>
      </c>
      <c r="BM91" s="280">
        <v>3136.68</v>
      </c>
      <c r="BN91" s="280">
        <v>85324.6</v>
      </c>
      <c r="BO91" s="280">
        <v>213.62</v>
      </c>
      <c r="BP91" s="280">
        <v>3484.65</v>
      </c>
      <c r="BQ91" s="280">
        <v>15589.75</v>
      </c>
      <c r="BR91" s="280">
        <v>8740</v>
      </c>
      <c r="BS91" s="280">
        <v>181.73</v>
      </c>
      <c r="BT91" s="280">
        <v>366.83</v>
      </c>
      <c r="BU91" s="280">
        <v>6641.82</v>
      </c>
      <c r="BV91" s="280">
        <v>299.19</v>
      </c>
      <c r="BW91" s="280">
        <v>388.24</v>
      </c>
      <c r="BX91" s="280">
        <v>2760.51</v>
      </c>
      <c r="BY91" s="280">
        <v>464.89</v>
      </c>
      <c r="BZ91" s="280">
        <v>918.52</v>
      </c>
      <c r="CA91" s="280">
        <v>216.92</v>
      </c>
      <c r="CB91" s="280">
        <v>1228.05</v>
      </c>
      <c r="CC91" s="280">
        <v>770.86</v>
      </c>
      <c r="CD91" s="280">
        <v>207.78</v>
      </c>
      <c r="CE91" s="280">
        <v>114.73</v>
      </c>
      <c r="CF91" s="280">
        <v>502.75</v>
      </c>
      <c r="CG91" s="280">
        <v>173.32</v>
      </c>
      <c r="CH91" s="280">
        <v>5461.21</v>
      </c>
      <c r="CI91" s="280">
        <v>294.35000000000002</v>
      </c>
      <c r="CJ91" s="280">
        <v>180.32</v>
      </c>
      <c r="CK91" s="280">
        <v>896.01</v>
      </c>
      <c r="CL91" s="280">
        <v>39.729999999999997</v>
      </c>
      <c r="CM91" s="280">
        <v>145.65</v>
      </c>
      <c r="CN91" s="280">
        <v>276.29000000000002</v>
      </c>
      <c r="CO91" s="280">
        <v>72.86</v>
      </c>
      <c r="CP91" s="280">
        <v>2094.87</v>
      </c>
      <c r="CQ91" s="280">
        <v>21119.78</v>
      </c>
      <c r="CR91" s="280">
        <v>48</v>
      </c>
      <c r="CS91" s="280">
        <v>409.83</v>
      </c>
      <c r="CT91" s="280">
        <v>6</v>
      </c>
      <c r="CU91" s="280">
        <v>231.24</v>
      </c>
      <c r="CV91" s="280">
        <v>113.86</v>
      </c>
      <c r="CW91" s="280">
        <v>242.78</v>
      </c>
      <c r="CX91" s="280">
        <v>135.19</v>
      </c>
      <c r="CY91" s="280">
        <v>70.459999999999994</v>
      </c>
      <c r="CZ91" s="280">
        <v>52.86</v>
      </c>
      <c r="DA91" s="280">
        <v>80</v>
      </c>
      <c r="DB91" s="280">
        <v>267.68</v>
      </c>
      <c r="DC91" s="280">
        <v>252.05</v>
      </c>
      <c r="DD91" s="280">
        <v>715.86</v>
      </c>
      <c r="DE91" s="280">
        <v>173.59</v>
      </c>
      <c r="DF91" s="280">
        <v>45.59</v>
      </c>
      <c r="DG91" s="280">
        <v>123.59</v>
      </c>
      <c r="DH91" s="280">
        <v>291.62</v>
      </c>
      <c r="DI91" s="280">
        <v>527.51</v>
      </c>
      <c r="DJ91" s="280">
        <v>119.92</v>
      </c>
      <c r="DK91" s="280">
        <v>30</v>
      </c>
      <c r="DL91" s="280">
        <v>177.51</v>
      </c>
      <c r="DM91" s="280">
        <v>343.19</v>
      </c>
      <c r="DN91" s="280">
        <v>78.59</v>
      </c>
      <c r="DO91" s="293">
        <v>82.46</v>
      </c>
      <c r="DP91" s="54">
        <v>84.92</v>
      </c>
      <c r="DQ91" s="54">
        <v>10</v>
      </c>
      <c r="DR91" s="54">
        <v>370.48</v>
      </c>
      <c r="DS91" s="54">
        <v>683.91</v>
      </c>
      <c r="DT91" s="54">
        <v>72.86</v>
      </c>
      <c r="EA91" s="54">
        <f t="shared" si="10"/>
        <v>-232266.93000000002</v>
      </c>
      <c r="EB91" s="54">
        <f t="shared" si="11"/>
        <v>-2738</v>
      </c>
      <c r="EC91" s="54">
        <f t="shared" si="7"/>
        <v>464461</v>
      </c>
      <c r="ED91" s="54">
        <f t="shared" si="5"/>
        <v>238901.85000000003</v>
      </c>
      <c r="EE91" s="54">
        <f t="shared" si="6"/>
        <v>1105.82</v>
      </c>
      <c r="EF91" s="54">
        <f t="shared" si="8"/>
        <v>-6634.92</v>
      </c>
      <c r="EG91" s="54">
        <f t="shared" si="9"/>
        <v>1105.82</v>
      </c>
    </row>
    <row r="92" spans="1:137">
      <c r="A92" s="279" t="s">
        <v>124</v>
      </c>
      <c r="B92" s="280">
        <v>0</v>
      </c>
      <c r="C92" s="280">
        <v>0</v>
      </c>
      <c r="D92" s="280">
        <v>0</v>
      </c>
      <c r="E92" s="280">
        <v>0</v>
      </c>
      <c r="F92" s="280">
        <v>0</v>
      </c>
      <c r="G92" s="280">
        <v>0</v>
      </c>
      <c r="H92" s="280">
        <v>0</v>
      </c>
      <c r="I92" s="280">
        <v>0</v>
      </c>
      <c r="J92" s="280">
        <v>0</v>
      </c>
      <c r="K92" s="280">
        <v>0</v>
      </c>
      <c r="L92" s="280">
        <v>0</v>
      </c>
      <c r="M92" s="280">
        <v>0</v>
      </c>
      <c r="N92" s="280">
        <v>0</v>
      </c>
      <c r="O92" s="280">
        <v>0</v>
      </c>
      <c r="P92" s="280">
        <v>0</v>
      </c>
      <c r="Q92" s="280">
        <v>0</v>
      </c>
      <c r="R92" s="280">
        <v>0</v>
      </c>
      <c r="S92" s="280">
        <v>0</v>
      </c>
      <c r="T92" s="280">
        <v>0</v>
      </c>
      <c r="U92" s="280"/>
      <c r="V92" s="280">
        <v>0</v>
      </c>
      <c r="W92" s="280">
        <v>0</v>
      </c>
      <c r="X92" s="280">
        <v>0</v>
      </c>
      <c r="Y92" s="280">
        <v>0</v>
      </c>
      <c r="Z92" s="280">
        <v>0</v>
      </c>
      <c r="AA92" s="280">
        <v>0</v>
      </c>
      <c r="AB92" s="280">
        <v>0</v>
      </c>
      <c r="AC92" s="280">
        <v>0</v>
      </c>
      <c r="AD92" s="280">
        <v>0</v>
      </c>
      <c r="AE92" s="280">
        <v>0</v>
      </c>
      <c r="AF92" s="280">
        <v>0</v>
      </c>
      <c r="AG92" s="280">
        <v>0</v>
      </c>
      <c r="AH92" s="280">
        <v>0</v>
      </c>
      <c r="AI92" s="280">
        <v>0</v>
      </c>
      <c r="AJ92" s="280">
        <v>0</v>
      </c>
      <c r="AK92" s="280">
        <v>0</v>
      </c>
      <c r="AL92" s="280">
        <v>0</v>
      </c>
      <c r="AM92" s="280">
        <v>0</v>
      </c>
      <c r="AN92" s="280">
        <v>0</v>
      </c>
      <c r="AO92" s="280">
        <v>0</v>
      </c>
      <c r="AP92" s="280">
        <v>0</v>
      </c>
      <c r="AQ92" s="280">
        <v>0</v>
      </c>
      <c r="AR92" s="280">
        <v>0</v>
      </c>
      <c r="AS92" s="280">
        <v>0</v>
      </c>
      <c r="AT92" s="280">
        <v>0</v>
      </c>
      <c r="AU92" s="280">
        <v>0</v>
      </c>
      <c r="AV92" s="280">
        <v>0</v>
      </c>
      <c r="AW92" s="280">
        <v>0</v>
      </c>
      <c r="AX92" s="280">
        <v>0</v>
      </c>
      <c r="AY92" s="280">
        <v>0</v>
      </c>
      <c r="AZ92" s="280">
        <v>0</v>
      </c>
      <c r="BA92" s="280">
        <v>0</v>
      </c>
      <c r="BB92" s="280">
        <v>0</v>
      </c>
      <c r="BC92" s="280">
        <v>0</v>
      </c>
      <c r="BD92" s="280">
        <v>0</v>
      </c>
      <c r="BE92" s="280">
        <v>0</v>
      </c>
      <c r="BF92" s="280">
        <v>0</v>
      </c>
      <c r="BG92" s="280">
        <v>0</v>
      </c>
      <c r="BH92" s="280">
        <v>0</v>
      </c>
      <c r="BI92" s="280">
        <v>0</v>
      </c>
      <c r="BJ92" s="280">
        <v>0</v>
      </c>
      <c r="BK92" s="280">
        <v>0</v>
      </c>
      <c r="BL92" s="280">
        <v>0</v>
      </c>
      <c r="BM92" s="280">
        <v>0</v>
      </c>
      <c r="BN92" s="280">
        <v>0</v>
      </c>
      <c r="BO92" s="280">
        <v>0</v>
      </c>
      <c r="BP92" s="280">
        <v>0</v>
      </c>
      <c r="BQ92" s="280">
        <v>0</v>
      </c>
      <c r="BR92" s="280">
        <v>0</v>
      </c>
      <c r="BS92" s="280">
        <v>0</v>
      </c>
      <c r="BT92" s="280">
        <v>0</v>
      </c>
      <c r="BU92" s="280">
        <v>0</v>
      </c>
      <c r="BV92" s="280">
        <v>0</v>
      </c>
      <c r="BW92" s="280">
        <v>0</v>
      </c>
      <c r="BX92" s="280">
        <v>0</v>
      </c>
      <c r="BY92" s="280">
        <v>0</v>
      </c>
      <c r="BZ92" s="280">
        <v>0</v>
      </c>
      <c r="CA92" s="280">
        <v>0</v>
      </c>
      <c r="CB92" s="280">
        <v>0</v>
      </c>
      <c r="CC92" s="280">
        <v>0</v>
      </c>
      <c r="CD92" s="280">
        <v>0</v>
      </c>
      <c r="CE92" s="280">
        <v>0</v>
      </c>
      <c r="CF92" s="280">
        <v>0</v>
      </c>
      <c r="CG92" s="280">
        <v>0</v>
      </c>
      <c r="CH92" s="280">
        <v>0</v>
      </c>
      <c r="CI92" s="280">
        <v>0</v>
      </c>
      <c r="CJ92" s="280">
        <v>0</v>
      </c>
      <c r="CK92" s="280">
        <v>0</v>
      </c>
      <c r="CL92" s="280">
        <v>0</v>
      </c>
      <c r="CM92" s="280">
        <v>0</v>
      </c>
      <c r="CN92" s="280">
        <v>0</v>
      </c>
      <c r="CO92" s="280">
        <v>0</v>
      </c>
      <c r="CP92" s="280">
        <v>0</v>
      </c>
      <c r="CQ92" s="280">
        <v>0</v>
      </c>
      <c r="CR92" s="280">
        <v>0</v>
      </c>
      <c r="CS92" s="280">
        <v>0</v>
      </c>
      <c r="CT92" s="280">
        <v>0</v>
      </c>
      <c r="CU92" s="280">
        <v>0</v>
      </c>
      <c r="CV92" s="280">
        <v>0</v>
      </c>
      <c r="CW92" s="280">
        <v>0</v>
      </c>
      <c r="CX92" s="280">
        <v>0</v>
      </c>
      <c r="CY92" s="280">
        <v>0</v>
      </c>
      <c r="CZ92" s="280">
        <v>0</v>
      </c>
      <c r="DA92" s="280">
        <v>0</v>
      </c>
      <c r="DB92" s="280">
        <v>0</v>
      </c>
      <c r="DC92" s="280">
        <v>0</v>
      </c>
      <c r="DD92" s="280">
        <v>0</v>
      </c>
      <c r="DE92" s="280">
        <v>0</v>
      </c>
      <c r="DF92" s="280">
        <v>0</v>
      </c>
      <c r="DG92" s="280">
        <v>0</v>
      </c>
      <c r="DH92" s="280">
        <v>0</v>
      </c>
      <c r="DI92" s="280">
        <v>0</v>
      </c>
      <c r="DJ92" s="280">
        <v>0</v>
      </c>
      <c r="DK92" s="280">
        <v>0</v>
      </c>
      <c r="DL92" s="280">
        <v>0</v>
      </c>
      <c r="DM92" s="280">
        <v>0</v>
      </c>
      <c r="DN92" s="280">
        <v>0</v>
      </c>
      <c r="DO92" s="293">
        <v>0</v>
      </c>
      <c r="DP92" s="54">
        <v>0</v>
      </c>
      <c r="DQ92" s="54">
        <v>0</v>
      </c>
      <c r="DR92" s="54">
        <v>0</v>
      </c>
      <c r="DS92" s="54">
        <v>0</v>
      </c>
      <c r="DT92" s="54">
        <v>0</v>
      </c>
      <c r="EA92" s="54">
        <f t="shared" si="10"/>
        <v>0</v>
      </c>
      <c r="EB92" s="54">
        <f t="shared" si="11"/>
        <v>0</v>
      </c>
      <c r="EC92" s="54">
        <f t="shared" si="7"/>
        <v>0</v>
      </c>
      <c r="ED92" s="54">
        <f t="shared" si="5"/>
        <v>0</v>
      </c>
      <c r="EE92" s="54">
        <f t="shared" si="6"/>
        <v>0</v>
      </c>
      <c r="EF92" s="54">
        <f t="shared" si="8"/>
        <v>0</v>
      </c>
      <c r="EG92" s="54">
        <f t="shared" si="9"/>
        <v>0</v>
      </c>
    </row>
    <row r="93" spans="1:137">
      <c r="A93" s="279" t="s">
        <v>125</v>
      </c>
      <c r="B93" s="280">
        <v>68871.78</v>
      </c>
      <c r="C93" s="280">
        <v>0</v>
      </c>
      <c r="D93" s="280">
        <v>0</v>
      </c>
      <c r="E93" s="280">
        <v>0</v>
      </c>
      <c r="F93" s="280">
        <v>10629</v>
      </c>
      <c r="G93" s="280">
        <v>0</v>
      </c>
      <c r="H93" s="280">
        <v>0</v>
      </c>
      <c r="I93" s="280">
        <v>0</v>
      </c>
      <c r="J93" s="280">
        <v>0</v>
      </c>
      <c r="K93" s="280">
        <v>0</v>
      </c>
      <c r="L93" s="280">
        <v>0</v>
      </c>
      <c r="M93" s="280">
        <v>0</v>
      </c>
      <c r="N93" s="280">
        <v>0</v>
      </c>
      <c r="O93" s="280">
        <v>0</v>
      </c>
      <c r="P93" s="280">
        <v>0</v>
      </c>
      <c r="Q93" s="280">
        <v>-34102.559999999998</v>
      </c>
      <c r="R93" s="280">
        <v>0</v>
      </c>
      <c r="S93" s="280">
        <v>0</v>
      </c>
      <c r="T93" s="280">
        <v>0</v>
      </c>
      <c r="U93" s="280"/>
      <c r="V93" s="280">
        <v>0</v>
      </c>
      <c r="W93" s="280">
        <v>1429</v>
      </c>
      <c r="X93" s="280">
        <v>0</v>
      </c>
      <c r="Y93" s="280">
        <v>0</v>
      </c>
      <c r="Z93" s="280">
        <v>0</v>
      </c>
      <c r="AA93" s="280">
        <v>586</v>
      </c>
      <c r="AB93" s="280">
        <v>0</v>
      </c>
      <c r="AC93" s="280">
        <v>0</v>
      </c>
      <c r="AD93" s="280">
        <v>0</v>
      </c>
      <c r="AE93" s="280">
        <v>90330.34</v>
      </c>
      <c r="AF93" s="280">
        <v>0</v>
      </c>
      <c r="AG93" s="280">
        <v>0</v>
      </c>
      <c r="AH93" s="280">
        <v>0</v>
      </c>
      <c r="AI93" s="280">
        <v>0</v>
      </c>
      <c r="AJ93" s="280">
        <v>1429</v>
      </c>
      <c r="AK93" s="280">
        <v>0</v>
      </c>
      <c r="AL93" s="280">
        <v>0</v>
      </c>
      <c r="AM93" s="280">
        <v>0</v>
      </c>
      <c r="AN93" s="280">
        <v>0</v>
      </c>
      <c r="AO93" s="280">
        <v>0</v>
      </c>
      <c r="AP93" s="280">
        <v>0</v>
      </c>
      <c r="AQ93" s="280">
        <v>0</v>
      </c>
      <c r="AR93" s="280">
        <v>0</v>
      </c>
      <c r="AS93" s="280">
        <v>0</v>
      </c>
      <c r="AT93" s="280">
        <v>0</v>
      </c>
      <c r="AU93" s="280">
        <v>0</v>
      </c>
      <c r="AV93" s="280">
        <v>0</v>
      </c>
      <c r="AW93" s="280">
        <v>0</v>
      </c>
      <c r="AX93" s="280">
        <v>0</v>
      </c>
      <c r="AY93" s="280">
        <v>586</v>
      </c>
      <c r="AZ93" s="280">
        <v>0</v>
      </c>
      <c r="BA93" s="280">
        <v>0</v>
      </c>
      <c r="BB93" s="280">
        <v>0</v>
      </c>
      <c r="BC93" s="280">
        <v>0</v>
      </c>
      <c r="BD93" s="280">
        <v>0</v>
      </c>
      <c r="BE93" s="280">
        <v>0</v>
      </c>
      <c r="BF93" s="280">
        <v>90330.34</v>
      </c>
      <c r="BG93" s="280">
        <v>9527.2800000000007</v>
      </c>
      <c r="BH93" s="280">
        <v>1840</v>
      </c>
      <c r="BI93" s="280">
        <v>8519</v>
      </c>
      <c r="BJ93" s="280">
        <v>0</v>
      </c>
      <c r="BK93" s="280">
        <v>4200</v>
      </c>
      <c r="BL93" s="280">
        <v>7465.76</v>
      </c>
      <c r="BM93" s="280">
        <v>2672</v>
      </c>
      <c r="BN93" s="280">
        <v>320</v>
      </c>
      <c r="BO93" s="280">
        <v>0</v>
      </c>
      <c r="BP93" s="280">
        <v>0</v>
      </c>
      <c r="BQ93" s="280">
        <v>20467.259999999998</v>
      </c>
      <c r="BR93" s="280">
        <v>1538.46</v>
      </c>
      <c r="BS93" s="280">
        <v>427.35</v>
      </c>
      <c r="BT93" s="280">
        <v>7600</v>
      </c>
      <c r="BU93" s="280">
        <v>1480</v>
      </c>
      <c r="BV93" s="280">
        <v>0</v>
      </c>
      <c r="BW93" s="280">
        <v>0</v>
      </c>
      <c r="BX93" s="280">
        <v>0</v>
      </c>
      <c r="BY93" s="280">
        <v>0</v>
      </c>
      <c r="BZ93" s="280">
        <v>7750</v>
      </c>
      <c r="CA93" s="280">
        <v>0</v>
      </c>
      <c r="CB93" s="280">
        <v>500</v>
      </c>
      <c r="CC93" s="280">
        <v>3400</v>
      </c>
      <c r="CD93" s="280">
        <v>0</v>
      </c>
      <c r="CE93" s="280">
        <v>0</v>
      </c>
      <c r="CF93" s="280">
        <v>1600</v>
      </c>
      <c r="CG93" s="280">
        <v>3396.23</v>
      </c>
      <c r="CH93" s="280">
        <v>3100</v>
      </c>
      <c r="CI93" s="280">
        <v>0</v>
      </c>
      <c r="CJ93" s="280">
        <v>0</v>
      </c>
      <c r="CK93" s="280">
        <v>0</v>
      </c>
      <c r="CL93" s="280">
        <v>0</v>
      </c>
      <c r="CM93" s="280">
        <v>2680</v>
      </c>
      <c r="CN93" s="280">
        <v>0</v>
      </c>
      <c r="CO93" s="280">
        <v>0</v>
      </c>
      <c r="CP93" s="280">
        <v>0</v>
      </c>
      <c r="CQ93" s="280">
        <v>0</v>
      </c>
      <c r="CR93" s="280">
        <v>0</v>
      </c>
      <c r="CS93" s="280">
        <v>0</v>
      </c>
      <c r="CT93" s="280">
        <v>0</v>
      </c>
      <c r="CU93" s="280">
        <v>0</v>
      </c>
      <c r="CV93" s="280">
        <v>0</v>
      </c>
      <c r="CW93" s="280">
        <v>0</v>
      </c>
      <c r="CX93" s="280">
        <v>0</v>
      </c>
      <c r="CY93" s="280">
        <v>0</v>
      </c>
      <c r="CZ93" s="280">
        <v>0</v>
      </c>
      <c r="DA93" s="280">
        <v>0</v>
      </c>
      <c r="DB93" s="280">
        <v>0</v>
      </c>
      <c r="DC93" s="280">
        <v>0</v>
      </c>
      <c r="DD93" s="280">
        <v>0</v>
      </c>
      <c r="DE93" s="280">
        <v>0</v>
      </c>
      <c r="DF93" s="280">
        <v>0</v>
      </c>
      <c r="DG93" s="280">
        <v>0</v>
      </c>
      <c r="DH93" s="280">
        <v>0</v>
      </c>
      <c r="DI93" s="280">
        <v>110</v>
      </c>
      <c r="DJ93" s="280">
        <v>0</v>
      </c>
      <c r="DK93" s="280">
        <v>0</v>
      </c>
      <c r="DL93" s="280">
        <v>0</v>
      </c>
      <c r="DM93" s="280">
        <v>0</v>
      </c>
      <c r="DN93" s="280">
        <v>0</v>
      </c>
      <c r="DO93" s="293">
        <v>0</v>
      </c>
      <c r="DP93" s="54">
        <v>0</v>
      </c>
      <c r="DQ93" s="54">
        <v>0</v>
      </c>
      <c r="DR93" s="54">
        <v>1737</v>
      </c>
      <c r="DS93" s="54">
        <v>0</v>
      </c>
      <c r="DT93" s="54">
        <v>0</v>
      </c>
      <c r="EA93" s="54">
        <f t="shared" si="10"/>
        <v>-90330.34</v>
      </c>
      <c r="EB93" s="54">
        <f t="shared" si="11"/>
        <v>0</v>
      </c>
      <c r="EC93" s="54">
        <f t="shared" si="7"/>
        <v>180660.68</v>
      </c>
      <c r="ED93" s="54">
        <f t="shared" si="5"/>
        <v>91759.34</v>
      </c>
      <c r="EE93" s="54">
        <f t="shared" si="6"/>
        <v>586</v>
      </c>
      <c r="EF93" s="54">
        <f t="shared" si="8"/>
        <v>-1429</v>
      </c>
      <c r="EG93" s="54">
        <f t="shared" si="9"/>
        <v>0</v>
      </c>
    </row>
    <row r="94" spans="1:137">
      <c r="A94" s="279" t="s">
        <v>126</v>
      </c>
      <c r="B94" s="280">
        <v>959174</v>
      </c>
      <c r="C94" s="280">
        <v>0</v>
      </c>
      <c r="D94" s="280">
        <v>948674</v>
      </c>
      <c r="E94" s="280">
        <v>0</v>
      </c>
      <c r="F94" s="280">
        <v>0</v>
      </c>
      <c r="G94" s="280">
        <v>0</v>
      </c>
      <c r="H94" s="280">
        <v>0</v>
      </c>
      <c r="I94" s="280">
        <v>0</v>
      </c>
      <c r="J94" s="280">
        <v>0</v>
      </c>
      <c r="K94" s="280">
        <v>0</v>
      </c>
      <c r="L94" s="280">
        <v>0</v>
      </c>
      <c r="M94" s="280">
        <v>0</v>
      </c>
      <c r="N94" s="280">
        <v>0</v>
      </c>
      <c r="O94" s="280">
        <v>0</v>
      </c>
      <c r="P94" s="280">
        <v>0</v>
      </c>
      <c r="Q94" s="280">
        <v>0</v>
      </c>
      <c r="R94" s="280">
        <v>0</v>
      </c>
      <c r="S94" s="280">
        <v>0</v>
      </c>
      <c r="T94" s="280">
        <v>0</v>
      </c>
      <c r="U94" s="280"/>
      <c r="V94" s="280">
        <v>0</v>
      </c>
      <c r="W94" s="280">
        <v>0</v>
      </c>
      <c r="X94" s="280">
        <v>0</v>
      </c>
      <c r="Y94" s="280">
        <v>0</v>
      </c>
      <c r="Z94" s="280">
        <v>0</v>
      </c>
      <c r="AA94" s="280">
        <v>0</v>
      </c>
      <c r="AB94" s="280">
        <v>0</v>
      </c>
      <c r="AC94" s="280">
        <v>0</v>
      </c>
      <c r="AD94" s="280">
        <v>0</v>
      </c>
      <c r="AE94" s="280">
        <v>10500</v>
      </c>
      <c r="AF94" s="280">
        <v>0</v>
      </c>
      <c r="AG94" s="280">
        <v>0</v>
      </c>
      <c r="AH94" s="280">
        <v>0</v>
      </c>
      <c r="AI94" s="280">
        <v>0</v>
      </c>
      <c r="AJ94" s="280">
        <v>0</v>
      </c>
      <c r="AK94" s="280">
        <v>0</v>
      </c>
      <c r="AL94" s="280">
        <v>0</v>
      </c>
      <c r="AM94" s="280">
        <v>0</v>
      </c>
      <c r="AN94" s="280">
        <v>0</v>
      </c>
      <c r="AO94" s="280">
        <v>0</v>
      </c>
      <c r="AP94" s="280">
        <v>0</v>
      </c>
      <c r="AQ94" s="280">
        <v>0</v>
      </c>
      <c r="AR94" s="280">
        <v>0</v>
      </c>
      <c r="AS94" s="280">
        <v>0</v>
      </c>
      <c r="AT94" s="280">
        <v>0</v>
      </c>
      <c r="AU94" s="280">
        <v>0</v>
      </c>
      <c r="AV94" s="280">
        <v>0</v>
      </c>
      <c r="AW94" s="280">
        <v>0</v>
      </c>
      <c r="AX94" s="280">
        <v>0</v>
      </c>
      <c r="AY94" s="280">
        <v>0</v>
      </c>
      <c r="AZ94" s="280">
        <v>0</v>
      </c>
      <c r="BA94" s="280">
        <v>0</v>
      </c>
      <c r="BB94" s="280">
        <v>0</v>
      </c>
      <c r="BC94" s="280">
        <v>0</v>
      </c>
      <c r="BD94" s="280">
        <v>0</v>
      </c>
      <c r="BE94" s="280">
        <v>0</v>
      </c>
      <c r="BF94" s="280">
        <v>10500</v>
      </c>
      <c r="BG94" s="280">
        <v>0</v>
      </c>
      <c r="BH94" s="280">
        <v>0</v>
      </c>
      <c r="BI94" s="280">
        <v>0</v>
      </c>
      <c r="BJ94" s="280">
        <v>0</v>
      </c>
      <c r="BK94" s="280">
        <v>0</v>
      </c>
      <c r="BL94" s="280">
        <v>0</v>
      </c>
      <c r="BM94" s="280">
        <v>0</v>
      </c>
      <c r="BN94" s="280">
        <v>0</v>
      </c>
      <c r="BO94" s="280">
        <v>0</v>
      </c>
      <c r="BP94" s="280">
        <v>0</v>
      </c>
      <c r="BQ94" s="280">
        <v>0</v>
      </c>
      <c r="BR94" s="280">
        <v>0</v>
      </c>
      <c r="BS94" s="280">
        <v>0</v>
      </c>
      <c r="BT94" s="280">
        <v>0</v>
      </c>
      <c r="BU94" s="280">
        <v>0</v>
      </c>
      <c r="BV94" s="280">
        <v>0</v>
      </c>
      <c r="BW94" s="280">
        <v>0</v>
      </c>
      <c r="BX94" s="280">
        <v>0</v>
      </c>
      <c r="BY94" s="280">
        <v>0</v>
      </c>
      <c r="BZ94" s="280">
        <v>0</v>
      </c>
      <c r="CA94" s="280">
        <v>0</v>
      </c>
      <c r="CB94" s="280">
        <v>0</v>
      </c>
      <c r="CC94" s="280">
        <v>0</v>
      </c>
      <c r="CD94" s="280">
        <v>0</v>
      </c>
      <c r="CE94" s="280">
        <v>0</v>
      </c>
      <c r="CF94" s="280">
        <v>0</v>
      </c>
      <c r="CG94" s="280">
        <v>0</v>
      </c>
      <c r="CH94" s="280">
        <v>0</v>
      </c>
      <c r="CI94" s="280">
        <v>0</v>
      </c>
      <c r="CJ94" s="280">
        <v>0</v>
      </c>
      <c r="CK94" s="280">
        <v>0</v>
      </c>
      <c r="CL94" s="280">
        <v>0</v>
      </c>
      <c r="CM94" s="280">
        <v>0</v>
      </c>
      <c r="CN94" s="280">
        <v>0</v>
      </c>
      <c r="CO94" s="280">
        <v>0</v>
      </c>
      <c r="CP94" s="280">
        <v>0</v>
      </c>
      <c r="CQ94" s="280">
        <v>0</v>
      </c>
      <c r="CR94" s="280">
        <v>0</v>
      </c>
      <c r="CS94" s="280">
        <v>8000</v>
      </c>
      <c r="CT94" s="280">
        <v>0</v>
      </c>
      <c r="CU94" s="280">
        <v>0</v>
      </c>
      <c r="CV94" s="280">
        <v>0</v>
      </c>
      <c r="CW94" s="280">
        <v>0</v>
      </c>
      <c r="CX94" s="280">
        <v>0</v>
      </c>
      <c r="CY94" s="280">
        <v>2500</v>
      </c>
      <c r="CZ94" s="280">
        <v>0</v>
      </c>
      <c r="DA94" s="280">
        <v>0</v>
      </c>
      <c r="DB94" s="280">
        <v>0</v>
      </c>
      <c r="DC94" s="280">
        <v>0</v>
      </c>
      <c r="DD94" s="280">
        <v>0</v>
      </c>
      <c r="DE94" s="280">
        <v>0</v>
      </c>
      <c r="DF94" s="280">
        <v>0</v>
      </c>
      <c r="DG94" s="280">
        <v>0</v>
      </c>
      <c r="DH94" s="280">
        <v>0</v>
      </c>
      <c r="DI94" s="280">
        <v>0</v>
      </c>
      <c r="DJ94" s="280">
        <v>0</v>
      </c>
      <c r="DK94" s="280">
        <v>0</v>
      </c>
      <c r="DL94" s="280">
        <v>0</v>
      </c>
      <c r="DM94" s="280">
        <v>0</v>
      </c>
      <c r="DN94" s="280">
        <v>0</v>
      </c>
      <c r="DO94" s="293">
        <v>0</v>
      </c>
      <c r="DP94" s="54">
        <v>0</v>
      </c>
      <c r="DQ94" s="54">
        <v>0</v>
      </c>
      <c r="DR94" s="54">
        <v>0</v>
      </c>
      <c r="DS94" s="54">
        <v>0</v>
      </c>
      <c r="DT94" s="54">
        <v>0</v>
      </c>
      <c r="EA94" s="54">
        <f t="shared" si="10"/>
        <v>-10500</v>
      </c>
      <c r="EB94" s="54">
        <f t="shared" si="11"/>
        <v>0</v>
      </c>
      <c r="EC94" s="54">
        <f t="shared" si="7"/>
        <v>21000</v>
      </c>
      <c r="ED94" s="54">
        <f t="shared" si="5"/>
        <v>10500</v>
      </c>
      <c r="EE94" s="54">
        <f t="shared" si="6"/>
        <v>0</v>
      </c>
      <c r="EF94" s="54">
        <f t="shared" si="8"/>
        <v>0</v>
      </c>
      <c r="EG94" s="54">
        <f t="shared" si="9"/>
        <v>0</v>
      </c>
    </row>
    <row r="95" spans="1:137">
      <c r="A95" s="279" t="s">
        <v>127</v>
      </c>
      <c r="B95" s="280">
        <v>-31095.06</v>
      </c>
      <c r="C95" s="280">
        <v>0</v>
      </c>
      <c r="D95" s="280">
        <v>0</v>
      </c>
      <c r="E95" s="280">
        <v>0</v>
      </c>
      <c r="F95" s="280">
        <v>0</v>
      </c>
      <c r="G95" s="280">
        <v>0</v>
      </c>
      <c r="H95" s="280">
        <v>0</v>
      </c>
      <c r="I95" s="280">
        <v>0</v>
      </c>
      <c r="J95" s="280">
        <v>0</v>
      </c>
      <c r="K95" s="280">
        <v>0</v>
      </c>
      <c r="L95" s="280">
        <v>0</v>
      </c>
      <c r="M95" s="280">
        <v>0</v>
      </c>
      <c r="N95" s="280">
        <v>0</v>
      </c>
      <c r="O95" s="280">
        <v>0</v>
      </c>
      <c r="P95" s="280">
        <v>0</v>
      </c>
      <c r="Q95" s="280">
        <v>0</v>
      </c>
      <c r="R95" s="280">
        <v>0</v>
      </c>
      <c r="S95" s="280">
        <v>0</v>
      </c>
      <c r="T95" s="280">
        <v>0</v>
      </c>
      <c r="U95" s="280"/>
      <c r="V95" s="280">
        <v>0</v>
      </c>
      <c r="W95" s="280">
        <v>0</v>
      </c>
      <c r="X95" s="280">
        <v>9433.9599999999991</v>
      </c>
      <c r="Y95" s="280">
        <v>0</v>
      </c>
      <c r="Z95" s="280">
        <v>0</v>
      </c>
      <c r="AA95" s="280">
        <v>0</v>
      </c>
      <c r="AB95" s="280">
        <v>0</v>
      </c>
      <c r="AC95" s="280">
        <v>0</v>
      </c>
      <c r="AD95" s="280">
        <v>0</v>
      </c>
      <c r="AE95" s="280">
        <v>-40529.019999999997</v>
      </c>
      <c r="AF95" s="280">
        <v>0</v>
      </c>
      <c r="AG95" s="280">
        <v>0</v>
      </c>
      <c r="AH95" s="280">
        <v>0</v>
      </c>
      <c r="AI95" s="280">
        <v>0</v>
      </c>
      <c r="AJ95" s="280">
        <v>0</v>
      </c>
      <c r="AK95" s="280">
        <v>0</v>
      </c>
      <c r="AL95" s="280">
        <v>0</v>
      </c>
      <c r="AM95" s="280">
        <v>0</v>
      </c>
      <c r="AN95" s="280">
        <v>9433.9599999999991</v>
      </c>
      <c r="AO95" s="280">
        <v>0</v>
      </c>
      <c r="AP95" s="280">
        <v>0</v>
      </c>
      <c r="AQ95" s="280">
        <v>0</v>
      </c>
      <c r="AR95" s="280">
        <v>0</v>
      </c>
      <c r="AS95" s="280">
        <v>0</v>
      </c>
      <c r="AT95" s="280">
        <v>0</v>
      </c>
      <c r="AU95" s="280">
        <v>0</v>
      </c>
      <c r="AV95" s="280">
        <v>0</v>
      </c>
      <c r="AW95" s="280">
        <v>0</v>
      </c>
      <c r="AX95" s="280">
        <v>0</v>
      </c>
      <c r="AY95" s="280">
        <v>0</v>
      </c>
      <c r="AZ95" s="280">
        <v>0</v>
      </c>
      <c r="BA95" s="280">
        <v>0</v>
      </c>
      <c r="BB95" s="280">
        <v>0</v>
      </c>
      <c r="BC95" s="280">
        <v>0</v>
      </c>
      <c r="BD95" s="280">
        <v>0</v>
      </c>
      <c r="BE95" s="280">
        <v>0</v>
      </c>
      <c r="BF95" s="280">
        <v>-40529.019999999997</v>
      </c>
      <c r="BG95" s="280">
        <v>0</v>
      </c>
      <c r="BH95" s="280">
        <v>0</v>
      </c>
      <c r="BI95" s="280">
        <v>0</v>
      </c>
      <c r="BJ95" s="280">
        <v>0</v>
      </c>
      <c r="BK95" s="280">
        <v>0</v>
      </c>
      <c r="BL95" s="280">
        <v>0</v>
      </c>
      <c r="BM95" s="280">
        <v>0</v>
      </c>
      <c r="BN95" s="280">
        <v>0</v>
      </c>
      <c r="BO95" s="280">
        <v>4754</v>
      </c>
      <c r="BP95" s="280">
        <v>0</v>
      </c>
      <c r="BQ95" s="280">
        <v>0</v>
      </c>
      <c r="BR95" s="280">
        <v>0</v>
      </c>
      <c r="BS95" s="280">
        <v>0</v>
      </c>
      <c r="BT95" s="280">
        <v>0</v>
      </c>
      <c r="BU95" s="280">
        <v>0</v>
      </c>
      <c r="BV95" s="280">
        <v>0</v>
      </c>
      <c r="BW95" s="280">
        <v>0</v>
      </c>
      <c r="BX95" s="280">
        <v>0</v>
      </c>
      <c r="BY95" s="280">
        <v>0</v>
      </c>
      <c r="BZ95" s="280">
        <v>0</v>
      </c>
      <c r="CA95" s="280">
        <v>0</v>
      </c>
      <c r="CB95" s="280">
        <v>0</v>
      </c>
      <c r="CC95" s="280">
        <v>0</v>
      </c>
      <c r="CD95" s="280">
        <v>0</v>
      </c>
      <c r="CE95" s="280">
        <v>0</v>
      </c>
      <c r="CF95" s="280">
        <v>0</v>
      </c>
      <c r="CG95" s="280">
        <v>0</v>
      </c>
      <c r="CH95" s="280">
        <v>0</v>
      </c>
      <c r="CI95" s="280">
        <v>0</v>
      </c>
      <c r="CJ95" s="280">
        <v>0</v>
      </c>
      <c r="CK95" s="280">
        <v>0</v>
      </c>
      <c r="CL95" s="280">
        <v>0</v>
      </c>
      <c r="CM95" s="280">
        <v>0</v>
      </c>
      <c r="CN95" s="280">
        <v>0</v>
      </c>
      <c r="CO95" s="280">
        <v>0</v>
      </c>
      <c r="CP95" s="280">
        <v>0</v>
      </c>
      <c r="CQ95" s="280">
        <v>-45283.02</v>
      </c>
      <c r="CR95" s="280">
        <v>0</v>
      </c>
      <c r="CS95" s="280">
        <v>0</v>
      </c>
      <c r="CT95" s="280">
        <v>0</v>
      </c>
      <c r="CU95" s="280">
        <v>0</v>
      </c>
      <c r="CV95" s="280">
        <v>0</v>
      </c>
      <c r="CW95" s="280">
        <v>0</v>
      </c>
      <c r="CX95" s="280">
        <v>0</v>
      </c>
      <c r="CY95" s="280">
        <v>0</v>
      </c>
      <c r="CZ95" s="280">
        <v>0</v>
      </c>
      <c r="DA95" s="280">
        <v>0</v>
      </c>
      <c r="DB95" s="280">
        <v>0</v>
      </c>
      <c r="DC95" s="280">
        <v>0</v>
      </c>
      <c r="DD95" s="280">
        <v>0</v>
      </c>
      <c r="DE95" s="280">
        <v>0</v>
      </c>
      <c r="DF95" s="280">
        <v>0</v>
      </c>
      <c r="DG95" s="280">
        <v>0</v>
      </c>
      <c r="DH95" s="280">
        <v>0</v>
      </c>
      <c r="DI95" s="280">
        <v>0</v>
      </c>
      <c r="DJ95" s="280">
        <v>0</v>
      </c>
      <c r="DK95" s="280">
        <v>0</v>
      </c>
      <c r="DL95" s="280">
        <v>0</v>
      </c>
      <c r="DM95" s="280">
        <v>0</v>
      </c>
      <c r="DN95" s="280">
        <v>0</v>
      </c>
      <c r="DO95" s="293">
        <v>0</v>
      </c>
      <c r="DP95" s="54">
        <v>0</v>
      </c>
      <c r="DQ95" s="54">
        <v>0</v>
      </c>
      <c r="DR95" s="54">
        <v>0</v>
      </c>
      <c r="DS95" s="54">
        <v>0</v>
      </c>
      <c r="DT95" s="54">
        <v>0</v>
      </c>
      <c r="EA95" s="54">
        <f t="shared" si="10"/>
        <v>40529.020000000004</v>
      </c>
      <c r="EB95" s="54">
        <f t="shared" si="11"/>
        <v>0</v>
      </c>
      <c r="EC95" s="54">
        <f t="shared" si="7"/>
        <v>-81058.039999999994</v>
      </c>
      <c r="ED95" s="54">
        <f t="shared" si="5"/>
        <v>-40529.019999999997</v>
      </c>
      <c r="EE95" s="54">
        <f t="shared" si="6"/>
        <v>0</v>
      </c>
      <c r="EF95" s="54">
        <f t="shared" si="8"/>
        <v>9433.9599999999991</v>
      </c>
      <c r="EG95" s="54">
        <f t="shared" si="9"/>
        <v>-9433.9599999999991</v>
      </c>
    </row>
    <row r="96" spans="1:137">
      <c r="A96" s="279" t="s">
        <v>128</v>
      </c>
      <c r="B96" s="280">
        <v>0</v>
      </c>
      <c r="C96" s="280">
        <v>0</v>
      </c>
      <c r="D96" s="280">
        <v>0</v>
      </c>
      <c r="E96" s="280">
        <v>0</v>
      </c>
      <c r="F96" s="280">
        <v>0</v>
      </c>
      <c r="G96" s="280">
        <v>0</v>
      </c>
      <c r="H96" s="280">
        <v>0</v>
      </c>
      <c r="I96" s="280">
        <v>0</v>
      </c>
      <c r="J96" s="280">
        <v>0</v>
      </c>
      <c r="K96" s="280">
        <v>0</v>
      </c>
      <c r="L96" s="280">
        <v>0</v>
      </c>
      <c r="M96" s="280">
        <v>0</v>
      </c>
      <c r="N96" s="280">
        <v>0</v>
      </c>
      <c r="O96" s="280">
        <v>0</v>
      </c>
      <c r="P96" s="280">
        <v>0</v>
      </c>
      <c r="Q96" s="280">
        <v>0</v>
      </c>
      <c r="R96" s="280">
        <v>0</v>
      </c>
      <c r="S96" s="280">
        <v>0</v>
      </c>
      <c r="T96" s="280">
        <v>0</v>
      </c>
      <c r="U96" s="280"/>
      <c r="V96" s="280">
        <v>0</v>
      </c>
      <c r="W96" s="280">
        <v>0</v>
      </c>
      <c r="X96" s="280">
        <v>0</v>
      </c>
      <c r="Y96" s="280">
        <v>0</v>
      </c>
      <c r="Z96" s="280">
        <v>0</v>
      </c>
      <c r="AA96" s="280">
        <v>0</v>
      </c>
      <c r="AB96" s="280">
        <v>0</v>
      </c>
      <c r="AC96" s="280">
        <v>0</v>
      </c>
      <c r="AD96" s="280">
        <v>0</v>
      </c>
      <c r="AE96" s="280">
        <v>0</v>
      </c>
      <c r="AF96" s="280">
        <v>0</v>
      </c>
      <c r="AG96" s="280">
        <v>0</v>
      </c>
      <c r="AH96" s="280">
        <v>0</v>
      </c>
      <c r="AI96" s="280">
        <v>0</v>
      </c>
      <c r="AJ96" s="280">
        <v>0</v>
      </c>
      <c r="AK96" s="280">
        <v>0</v>
      </c>
      <c r="AL96" s="280">
        <v>0</v>
      </c>
      <c r="AM96" s="280">
        <v>0</v>
      </c>
      <c r="AN96" s="280">
        <v>0</v>
      </c>
      <c r="AO96" s="280">
        <v>0</v>
      </c>
      <c r="AP96" s="280">
        <v>0</v>
      </c>
      <c r="AQ96" s="280">
        <v>0</v>
      </c>
      <c r="AR96" s="280">
        <v>0</v>
      </c>
      <c r="AS96" s="280">
        <v>0</v>
      </c>
      <c r="AT96" s="280">
        <v>0</v>
      </c>
      <c r="AU96" s="280">
        <v>0</v>
      </c>
      <c r="AV96" s="280">
        <v>0</v>
      </c>
      <c r="AW96" s="280">
        <v>0</v>
      </c>
      <c r="AX96" s="280">
        <v>0</v>
      </c>
      <c r="AY96" s="280">
        <v>0</v>
      </c>
      <c r="AZ96" s="280">
        <v>0</v>
      </c>
      <c r="BA96" s="280">
        <v>0</v>
      </c>
      <c r="BB96" s="280">
        <v>0</v>
      </c>
      <c r="BC96" s="280">
        <v>0</v>
      </c>
      <c r="BD96" s="280">
        <v>0</v>
      </c>
      <c r="BE96" s="280">
        <v>0</v>
      </c>
      <c r="BF96" s="280">
        <v>0</v>
      </c>
      <c r="BG96" s="280">
        <v>0</v>
      </c>
      <c r="BH96" s="280">
        <v>0</v>
      </c>
      <c r="BI96" s="280">
        <v>0</v>
      </c>
      <c r="BJ96" s="280">
        <v>0</v>
      </c>
      <c r="BK96" s="280">
        <v>0</v>
      </c>
      <c r="BL96" s="280">
        <v>0</v>
      </c>
      <c r="BM96" s="280">
        <v>0</v>
      </c>
      <c r="BN96" s="280">
        <v>0</v>
      </c>
      <c r="BO96" s="280">
        <v>0</v>
      </c>
      <c r="BP96" s="280">
        <v>0</v>
      </c>
      <c r="BQ96" s="280">
        <v>0</v>
      </c>
      <c r="BR96" s="280">
        <v>0</v>
      </c>
      <c r="BS96" s="280">
        <v>0</v>
      </c>
      <c r="BT96" s="280">
        <v>0</v>
      </c>
      <c r="BU96" s="280">
        <v>0</v>
      </c>
      <c r="BV96" s="280">
        <v>0</v>
      </c>
      <c r="BW96" s="280">
        <v>0</v>
      </c>
      <c r="BX96" s="280">
        <v>0</v>
      </c>
      <c r="BY96" s="280">
        <v>0</v>
      </c>
      <c r="BZ96" s="280">
        <v>0</v>
      </c>
      <c r="CA96" s="280">
        <v>0</v>
      </c>
      <c r="CB96" s="280">
        <v>0</v>
      </c>
      <c r="CC96" s="280">
        <v>0</v>
      </c>
      <c r="CD96" s="280">
        <v>0</v>
      </c>
      <c r="CE96" s="280">
        <v>0</v>
      </c>
      <c r="CF96" s="280">
        <v>0</v>
      </c>
      <c r="CG96" s="280">
        <v>0</v>
      </c>
      <c r="CH96" s="280">
        <v>0</v>
      </c>
      <c r="CI96" s="280">
        <v>0</v>
      </c>
      <c r="CJ96" s="280">
        <v>0</v>
      </c>
      <c r="CK96" s="280">
        <v>0</v>
      </c>
      <c r="CL96" s="280">
        <v>0</v>
      </c>
      <c r="CM96" s="280">
        <v>0</v>
      </c>
      <c r="CN96" s="280">
        <v>0</v>
      </c>
      <c r="CO96" s="280">
        <v>0</v>
      </c>
      <c r="CP96" s="280">
        <v>0</v>
      </c>
      <c r="CQ96" s="280">
        <v>0</v>
      </c>
      <c r="CR96" s="280">
        <v>0</v>
      </c>
      <c r="CS96" s="280">
        <v>0</v>
      </c>
      <c r="CT96" s="280">
        <v>0</v>
      </c>
      <c r="CU96" s="280">
        <v>0</v>
      </c>
      <c r="CV96" s="280">
        <v>0</v>
      </c>
      <c r="CW96" s="280">
        <v>0</v>
      </c>
      <c r="CX96" s="280">
        <v>0</v>
      </c>
      <c r="CY96" s="280">
        <v>0</v>
      </c>
      <c r="CZ96" s="280">
        <v>0</v>
      </c>
      <c r="DA96" s="280">
        <v>0</v>
      </c>
      <c r="DB96" s="280">
        <v>0</v>
      </c>
      <c r="DC96" s="280">
        <v>0</v>
      </c>
      <c r="DD96" s="280">
        <v>0</v>
      </c>
      <c r="DE96" s="280">
        <v>0</v>
      </c>
      <c r="DF96" s="280">
        <v>0</v>
      </c>
      <c r="DG96" s="280">
        <v>0</v>
      </c>
      <c r="DH96" s="280">
        <v>0</v>
      </c>
      <c r="DI96" s="280">
        <v>0</v>
      </c>
      <c r="DJ96" s="280">
        <v>0</v>
      </c>
      <c r="DK96" s="280">
        <v>0</v>
      </c>
      <c r="DL96" s="280">
        <v>0</v>
      </c>
      <c r="DM96" s="280">
        <v>0</v>
      </c>
      <c r="DN96" s="280">
        <v>0</v>
      </c>
      <c r="DO96" s="293">
        <v>0</v>
      </c>
      <c r="DP96" s="54">
        <v>0</v>
      </c>
      <c r="DQ96" s="54">
        <v>0</v>
      </c>
      <c r="DR96" s="54">
        <v>0</v>
      </c>
      <c r="DS96" s="54">
        <v>0</v>
      </c>
      <c r="DT96" s="54">
        <v>0</v>
      </c>
      <c r="EA96" s="54">
        <f t="shared" si="10"/>
        <v>0</v>
      </c>
      <c r="EB96" s="54">
        <f t="shared" si="11"/>
        <v>0</v>
      </c>
      <c r="EC96" s="54">
        <f t="shared" si="7"/>
        <v>0</v>
      </c>
      <c r="ED96" s="54">
        <f t="shared" si="5"/>
        <v>0</v>
      </c>
      <c r="EE96" s="54">
        <f t="shared" si="6"/>
        <v>0</v>
      </c>
      <c r="EF96" s="54">
        <f t="shared" si="8"/>
        <v>0</v>
      </c>
      <c r="EG96" s="54">
        <f t="shared" si="9"/>
        <v>0</v>
      </c>
    </row>
    <row r="97" spans="1:137">
      <c r="A97" s="279" t="s">
        <v>129</v>
      </c>
      <c r="B97" s="280">
        <v>2054717.73</v>
      </c>
      <c r="C97" s="280">
        <v>0</v>
      </c>
      <c r="D97" s="280">
        <v>23673.88</v>
      </c>
      <c r="E97" s="280">
        <v>0</v>
      </c>
      <c r="F97" s="280">
        <v>0</v>
      </c>
      <c r="G97" s="280">
        <v>0</v>
      </c>
      <c r="H97" s="280">
        <v>0</v>
      </c>
      <c r="I97" s="280">
        <v>0</v>
      </c>
      <c r="J97" s="280">
        <v>0</v>
      </c>
      <c r="K97" s="280">
        <v>0</v>
      </c>
      <c r="L97" s="280">
        <v>0</v>
      </c>
      <c r="M97" s="280">
        <v>0</v>
      </c>
      <c r="N97" s="280">
        <v>0</v>
      </c>
      <c r="O97" s="280">
        <v>0</v>
      </c>
      <c r="P97" s="280">
        <v>0</v>
      </c>
      <c r="Q97" s="280">
        <v>776427.48</v>
      </c>
      <c r="R97" s="280">
        <v>0</v>
      </c>
      <c r="S97" s="280">
        <v>0</v>
      </c>
      <c r="T97" s="280">
        <v>0</v>
      </c>
      <c r="U97" s="280"/>
      <c r="V97" s="280">
        <v>0</v>
      </c>
      <c r="W97" s="280">
        <v>95889.57</v>
      </c>
      <c r="X97" s="280">
        <v>0</v>
      </c>
      <c r="Y97" s="280">
        <v>49563.44</v>
      </c>
      <c r="Z97" s="280">
        <v>72224.36</v>
      </c>
      <c r="AA97" s="280">
        <v>0</v>
      </c>
      <c r="AB97" s="280">
        <v>12000</v>
      </c>
      <c r="AC97" s="280">
        <v>0</v>
      </c>
      <c r="AD97" s="280">
        <v>0</v>
      </c>
      <c r="AE97" s="280">
        <v>1024939</v>
      </c>
      <c r="AF97" s="280">
        <v>2000</v>
      </c>
      <c r="AG97" s="280">
        <v>16629.32</v>
      </c>
      <c r="AH97" s="280">
        <v>3447.6</v>
      </c>
      <c r="AI97" s="280">
        <v>13181.72</v>
      </c>
      <c r="AJ97" s="280">
        <v>60630.93</v>
      </c>
      <c r="AK97" s="280">
        <v>0</v>
      </c>
      <c r="AL97" s="280">
        <v>0</v>
      </c>
      <c r="AM97" s="280">
        <v>0</v>
      </c>
      <c r="AN97" s="280">
        <v>0</v>
      </c>
      <c r="AO97" s="280">
        <v>0</v>
      </c>
      <c r="AP97" s="280">
        <v>0</v>
      </c>
      <c r="AQ97" s="280">
        <v>0</v>
      </c>
      <c r="AR97" s="280">
        <v>0</v>
      </c>
      <c r="AS97" s="280">
        <v>0</v>
      </c>
      <c r="AT97" s="280">
        <v>0</v>
      </c>
      <c r="AU97" s="280">
        <v>36381.72</v>
      </c>
      <c r="AV97" s="280">
        <v>0</v>
      </c>
      <c r="AW97" s="280">
        <v>6590.86</v>
      </c>
      <c r="AX97" s="280">
        <v>6590.86</v>
      </c>
      <c r="AY97" s="280">
        <v>0</v>
      </c>
      <c r="AZ97" s="280">
        <v>0</v>
      </c>
      <c r="BA97" s="280">
        <v>0</v>
      </c>
      <c r="BB97" s="280">
        <v>0</v>
      </c>
      <c r="BC97" s="280">
        <v>0</v>
      </c>
      <c r="BD97" s="280">
        <v>549.16</v>
      </c>
      <c r="BE97" s="280">
        <v>0</v>
      </c>
      <c r="BF97" s="280">
        <v>1024389.84</v>
      </c>
      <c r="BG97" s="280">
        <v>49019.56</v>
      </c>
      <c r="BH97" s="280">
        <v>108052.99</v>
      </c>
      <c r="BI97" s="280">
        <v>45145.24</v>
      </c>
      <c r="BJ97" s="280">
        <v>30383.24</v>
      </c>
      <c r="BK97" s="280">
        <v>50385.24</v>
      </c>
      <c r="BL97" s="280">
        <v>45696</v>
      </c>
      <c r="BM97" s="280">
        <v>22708.240000000002</v>
      </c>
      <c r="BN97" s="280">
        <v>69379.83</v>
      </c>
      <c r="BO97" s="280">
        <v>37030.730000000003</v>
      </c>
      <c r="BP97" s="280">
        <v>31490.98</v>
      </c>
      <c r="BQ97" s="280">
        <v>51161.32</v>
      </c>
      <c r="BR97" s="280">
        <v>42530.239999999998</v>
      </c>
      <c r="BS97" s="280">
        <v>57395.24</v>
      </c>
      <c r="BT97" s="280">
        <v>23236.18</v>
      </c>
      <c r="BU97" s="280">
        <v>28514</v>
      </c>
      <c r="BV97" s="280">
        <v>13381.24</v>
      </c>
      <c r="BW97" s="280">
        <v>25226</v>
      </c>
      <c r="BX97" s="280">
        <v>30959.79</v>
      </c>
      <c r="BY97" s="280">
        <v>23686</v>
      </c>
      <c r="BZ97" s="280">
        <v>12988.24</v>
      </c>
      <c r="CA97" s="280">
        <v>15370</v>
      </c>
      <c r="CB97" s="280">
        <v>22942</v>
      </c>
      <c r="CC97" s="280">
        <v>4946.24</v>
      </c>
      <c r="CD97" s="280">
        <v>4841</v>
      </c>
      <c r="CE97" s="280">
        <v>18974.310000000001</v>
      </c>
      <c r="CF97" s="280">
        <v>4731</v>
      </c>
      <c r="CG97" s="280">
        <v>4088.24</v>
      </c>
      <c r="CH97" s="280">
        <v>12019.95</v>
      </c>
      <c r="CI97" s="280">
        <v>4991</v>
      </c>
      <c r="CJ97" s="280">
        <v>11717</v>
      </c>
      <c r="CK97" s="280">
        <v>1381</v>
      </c>
      <c r="CL97" s="280">
        <v>3633</v>
      </c>
      <c r="CM97" s="280">
        <v>1333</v>
      </c>
      <c r="CN97" s="280">
        <v>2147</v>
      </c>
      <c r="CO97" s="280">
        <v>3870</v>
      </c>
      <c r="CP97" s="280">
        <v>12696</v>
      </c>
      <c r="CQ97" s="280">
        <v>23329.19</v>
      </c>
      <c r="CR97" s="280">
        <v>1846</v>
      </c>
      <c r="CS97" s="280">
        <v>173</v>
      </c>
      <c r="CT97" s="280">
        <v>613</v>
      </c>
      <c r="CU97" s="280">
        <v>632</v>
      </c>
      <c r="CV97" s="280">
        <v>1578</v>
      </c>
      <c r="CW97" s="280">
        <v>1203</v>
      </c>
      <c r="CX97" s="280">
        <v>570</v>
      </c>
      <c r="CY97" s="280">
        <v>490</v>
      </c>
      <c r="CZ97" s="280">
        <v>1159</v>
      </c>
      <c r="DA97" s="280">
        <v>522</v>
      </c>
      <c r="DB97" s="280">
        <v>82</v>
      </c>
      <c r="DC97" s="280">
        <v>1233</v>
      </c>
      <c r="DD97" s="280">
        <v>618</v>
      </c>
      <c r="DE97" s="280">
        <v>1322.24</v>
      </c>
      <c r="DF97" s="280">
        <v>2577.2399999999998</v>
      </c>
      <c r="DG97" s="280">
        <v>623</v>
      </c>
      <c r="DH97" s="280">
        <v>576</v>
      </c>
      <c r="DI97" s="280">
        <v>160</v>
      </c>
      <c r="DJ97" s="280">
        <v>81</v>
      </c>
      <c r="DK97" s="280">
        <v>358</v>
      </c>
      <c r="DL97" s="280">
        <v>231</v>
      </c>
      <c r="DM97" s="280">
        <v>439</v>
      </c>
      <c r="DN97" s="280">
        <v>2113</v>
      </c>
      <c r="DO97" s="293">
        <v>10819.58</v>
      </c>
      <c r="DP97" s="54">
        <v>15455</v>
      </c>
      <c r="DQ97" s="54">
        <v>3076.07</v>
      </c>
      <c r="DR97" s="54">
        <v>6407</v>
      </c>
      <c r="DS97" s="54">
        <v>2368.2399999999998</v>
      </c>
      <c r="DT97" s="54">
        <v>15684.24</v>
      </c>
      <c r="EA97" s="54">
        <f t="shared" si="10"/>
        <v>-1024939.0000000001</v>
      </c>
      <c r="EB97" s="54">
        <f t="shared" si="11"/>
        <v>549.16</v>
      </c>
      <c r="EC97" s="54">
        <f t="shared" si="7"/>
        <v>2033095.44</v>
      </c>
      <c r="ED97" s="54">
        <f t="shared" si="5"/>
        <v>1120828.5699999998</v>
      </c>
      <c r="EE97" s="54">
        <f t="shared" si="6"/>
        <v>-65633.5</v>
      </c>
      <c r="EF97" s="54">
        <f t="shared" si="8"/>
        <v>-95889.57</v>
      </c>
      <c r="EG97" s="54">
        <f t="shared" si="9"/>
        <v>42972.58</v>
      </c>
    </row>
    <row r="98" spans="1:137">
      <c r="A98" s="279" t="s">
        <v>130</v>
      </c>
      <c r="B98" s="280">
        <v>2053102.43</v>
      </c>
      <c r="C98" s="280">
        <v>0</v>
      </c>
      <c r="D98" s="280">
        <v>0</v>
      </c>
      <c r="E98" s="280">
        <v>0</v>
      </c>
      <c r="F98" s="280">
        <v>0</v>
      </c>
      <c r="G98" s="280">
        <v>0</v>
      </c>
      <c r="H98" s="280">
        <v>0</v>
      </c>
      <c r="I98" s="280">
        <v>0</v>
      </c>
      <c r="J98" s="280">
        <v>0</v>
      </c>
      <c r="K98" s="280">
        <v>0</v>
      </c>
      <c r="L98" s="280">
        <v>0</v>
      </c>
      <c r="M98" s="280">
        <v>0</v>
      </c>
      <c r="N98" s="280">
        <v>0</v>
      </c>
      <c r="O98" s="280">
        <v>0</v>
      </c>
      <c r="P98" s="280">
        <v>0</v>
      </c>
      <c r="Q98" s="280">
        <v>18867.919999999998</v>
      </c>
      <c r="R98" s="280">
        <v>0</v>
      </c>
      <c r="S98" s="280">
        <v>0</v>
      </c>
      <c r="T98" s="280">
        <v>0</v>
      </c>
      <c r="U98" s="280"/>
      <c r="V98" s="280">
        <v>0</v>
      </c>
      <c r="W98" s="280">
        <v>296227.82</v>
      </c>
      <c r="X98" s="280">
        <v>-56.6</v>
      </c>
      <c r="Y98" s="280">
        <v>139227.32</v>
      </c>
      <c r="Z98" s="280">
        <v>140028.29999999999</v>
      </c>
      <c r="AA98" s="280">
        <v>800</v>
      </c>
      <c r="AB98" s="280">
        <v>0</v>
      </c>
      <c r="AC98" s="280">
        <v>0</v>
      </c>
      <c r="AD98" s="280">
        <v>0</v>
      </c>
      <c r="AE98" s="280">
        <v>1458007.67</v>
      </c>
      <c r="AF98" s="280">
        <v>0</v>
      </c>
      <c r="AG98" s="280">
        <v>72720.800000000003</v>
      </c>
      <c r="AH98" s="280">
        <v>72720.800000000003</v>
      </c>
      <c r="AI98" s="280">
        <v>22735.31</v>
      </c>
      <c r="AJ98" s="280">
        <v>29052.36</v>
      </c>
      <c r="AK98" s="280">
        <v>41158.42</v>
      </c>
      <c r="AL98" s="280">
        <v>57840.13</v>
      </c>
      <c r="AM98" s="280">
        <v>0</v>
      </c>
      <c r="AN98" s="280">
        <v>0</v>
      </c>
      <c r="AO98" s="280">
        <v>0</v>
      </c>
      <c r="AP98" s="280">
        <v>-56.6</v>
      </c>
      <c r="AQ98" s="280">
        <v>0</v>
      </c>
      <c r="AR98" s="280">
        <v>0</v>
      </c>
      <c r="AS98" s="280">
        <v>0</v>
      </c>
      <c r="AT98" s="280">
        <v>0</v>
      </c>
      <c r="AU98" s="280">
        <v>30752.83</v>
      </c>
      <c r="AV98" s="280">
        <v>3603.25</v>
      </c>
      <c r="AW98" s="280">
        <v>54561.33</v>
      </c>
      <c r="AX98" s="280">
        <v>50309.91</v>
      </c>
      <c r="AY98" s="280">
        <v>800</v>
      </c>
      <c r="AZ98" s="280">
        <v>0</v>
      </c>
      <c r="BA98" s="280">
        <v>0</v>
      </c>
      <c r="BB98" s="280">
        <v>38207.54</v>
      </c>
      <c r="BC98" s="280">
        <v>10809.75</v>
      </c>
      <c r="BD98" s="280">
        <v>419942.45</v>
      </c>
      <c r="BE98" s="280">
        <v>0</v>
      </c>
      <c r="BF98" s="280">
        <v>989047.93</v>
      </c>
      <c r="BG98" s="280">
        <v>53790.66</v>
      </c>
      <c r="BH98" s="280">
        <v>55961.66</v>
      </c>
      <c r="BI98" s="280">
        <v>45823.25</v>
      </c>
      <c r="BJ98" s="280">
        <v>40845.660000000003</v>
      </c>
      <c r="BK98" s="280">
        <v>61099.46</v>
      </c>
      <c r="BL98" s="280">
        <v>50458.66</v>
      </c>
      <c r="BM98" s="280">
        <v>18260.25</v>
      </c>
      <c r="BN98" s="280">
        <v>61611.66</v>
      </c>
      <c r="BO98" s="280">
        <v>20352.25</v>
      </c>
      <c r="BP98" s="280">
        <v>14917.25</v>
      </c>
      <c r="BQ98" s="280">
        <v>47304.66</v>
      </c>
      <c r="BR98" s="280">
        <v>30747.25</v>
      </c>
      <c r="BS98" s="280">
        <v>51774.79</v>
      </c>
      <c r="BT98" s="280">
        <v>19257.25</v>
      </c>
      <c r="BU98" s="280">
        <v>16533.25</v>
      </c>
      <c r="BV98" s="280">
        <v>17271.25</v>
      </c>
      <c r="BW98" s="280">
        <v>18865.25</v>
      </c>
      <c r="BX98" s="280">
        <v>16922.25</v>
      </c>
      <c r="BY98" s="280">
        <v>16754.25</v>
      </c>
      <c r="BZ98" s="280">
        <v>11846.25</v>
      </c>
      <c r="CA98" s="280">
        <v>14969.25</v>
      </c>
      <c r="CB98" s="280">
        <v>27815.66</v>
      </c>
      <c r="CC98" s="280">
        <v>8287.25</v>
      </c>
      <c r="CD98" s="280">
        <v>8762.25</v>
      </c>
      <c r="CE98" s="280">
        <v>7558.25</v>
      </c>
      <c r="CF98" s="280">
        <v>8644.25</v>
      </c>
      <c r="CG98" s="280">
        <v>7373.25</v>
      </c>
      <c r="CH98" s="280">
        <v>10387.25</v>
      </c>
      <c r="CI98" s="280">
        <v>8921.25</v>
      </c>
      <c r="CJ98" s="280">
        <v>16085.25</v>
      </c>
      <c r="CK98" s="280">
        <v>5333.25</v>
      </c>
      <c r="CL98" s="280">
        <v>7474.25</v>
      </c>
      <c r="CM98" s="280">
        <v>5023.25</v>
      </c>
      <c r="CN98" s="280">
        <v>5890.25</v>
      </c>
      <c r="CO98" s="280">
        <v>7727.25</v>
      </c>
      <c r="CP98" s="280">
        <v>7540.25</v>
      </c>
      <c r="CQ98" s="280">
        <v>13522.25</v>
      </c>
      <c r="CR98" s="280">
        <v>5570.25</v>
      </c>
      <c r="CS98" s="280">
        <v>3787.25</v>
      </c>
      <c r="CT98" s="280">
        <v>4256.25</v>
      </c>
      <c r="CU98" s="280">
        <v>4277.25</v>
      </c>
      <c r="CV98" s="280">
        <v>5284.25</v>
      </c>
      <c r="CW98" s="280">
        <v>4885.25</v>
      </c>
      <c r="CX98" s="280">
        <v>4210.25</v>
      </c>
      <c r="CY98" s="280">
        <v>4126.25</v>
      </c>
      <c r="CZ98" s="280">
        <v>4837.25</v>
      </c>
      <c r="DA98" s="280">
        <v>4159.25</v>
      </c>
      <c r="DB98" s="280">
        <v>3690.25</v>
      </c>
      <c r="DC98" s="280">
        <v>4917.25</v>
      </c>
      <c r="DD98" s="280">
        <v>4263.25</v>
      </c>
      <c r="DE98" s="280">
        <v>4427.25</v>
      </c>
      <c r="DF98" s="280">
        <v>5764.25</v>
      </c>
      <c r="DG98" s="280">
        <v>4267.25</v>
      </c>
      <c r="DH98" s="280">
        <v>4218.25</v>
      </c>
      <c r="DI98" s="280">
        <v>3775.25</v>
      </c>
      <c r="DJ98" s="280">
        <v>3690.25</v>
      </c>
      <c r="DK98" s="280">
        <v>3985.25</v>
      </c>
      <c r="DL98" s="280">
        <v>3849.25</v>
      </c>
      <c r="DM98" s="280">
        <v>4069.25</v>
      </c>
      <c r="DN98" s="280">
        <v>5853.25</v>
      </c>
      <c r="DO98" s="293">
        <v>10684.25</v>
      </c>
      <c r="DP98" s="54">
        <v>9413.25</v>
      </c>
      <c r="DQ98" s="54">
        <v>10632.06</v>
      </c>
      <c r="DR98" s="54">
        <v>4038.25</v>
      </c>
      <c r="DS98" s="54">
        <v>5592.25</v>
      </c>
      <c r="DT98" s="54">
        <v>4812.25</v>
      </c>
      <c r="EA98" s="54">
        <f t="shared" si="10"/>
        <v>-1458007.67</v>
      </c>
      <c r="EB98" s="54">
        <f t="shared" si="11"/>
        <v>468959.74</v>
      </c>
      <c r="EC98" s="54">
        <f t="shared" si="7"/>
        <v>1973283.6099999996</v>
      </c>
      <c r="ED98" s="54">
        <f t="shared" si="5"/>
        <v>1696395.36</v>
      </c>
      <c r="EE98" s="54">
        <f t="shared" si="6"/>
        <v>-88918.389999999985</v>
      </c>
      <c r="EF98" s="54">
        <f t="shared" si="8"/>
        <v>-238444.29</v>
      </c>
      <c r="EG98" s="54">
        <f t="shared" si="9"/>
        <v>88974.010000000009</v>
      </c>
    </row>
    <row r="99" spans="1:137">
      <c r="A99" s="279" t="s">
        <v>131</v>
      </c>
      <c r="B99" s="280">
        <v>3072281.42</v>
      </c>
      <c r="C99" s="280">
        <v>0</v>
      </c>
      <c r="D99" s="280">
        <v>0</v>
      </c>
      <c r="E99" s="280">
        <v>0</v>
      </c>
      <c r="F99" s="280">
        <v>515432.08</v>
      </c>
      <c r="G99" s="280">
        <v>0</v>
      </c>
      <c r="H99" s="280">
        <v>0</v>
      </c>
      <c r="I99" s="280">
        <v>0</v>
      </c>
      <c r="J99" s="280">
        <v>0</v>
      </c>
      <c r="K99" s="280">
        <v>0</v>
      </c>
      <c r="L99" s="280">
        <v>0</v>
      </c>
      <c r="M99" s="280">
        <v>0</v>
      </c>
      <c r="N99" s="280">
        <v>0</v>
      </c>
      <c r="O99" s="280">
        <v>0</v>
      </c>
      <c r="P99" s="280">
        <v>0</v>
      </c>
      <c r="Q99" s="280">
        <v>0</v>
      </c>
      <c r="R99" s="280">
        <v>5702.25</v>
      </c>
      <c r="S99" s="280">
        <v>0</v>
      </c>
      <c r="T99" s="280">
        <v>0</v>
      </c>
      <c r="U99" s="280"/>
      <c r="V99" s="280">
        <v>0</v>
      </c>
      <c r="W99" s="280">
        <v>193641.59</v>
      </c>
      <c r="X99" s="280">
        <v>3371.17</v>
      </c>
      <c r="Y99" s="280">
        <v>45718.32</v>
      </c>
      <c r="Z99" s="280">
        <v>31950</v>
      </c>
      <c r="AA99" s="280">
        <v>5559.42</v>
      </c>
      <c r="AB99" s="280">
        <v>0</v>
      </c>
      <c r="AC99" s="280">
        <v>0</v>
      </c>
      <c r="AD99" s="280">
        <v>24008</v>
      </c>
      <c r="AE99" s="280">
        <v>2246898.59</v>
      </c>
      <c r="AF99" s="280">
        <v>54544.89</v>
      </c>
      <c r="AG99" s="280">
        <v>22859.16</v>
      </c>
      <c r="AH99" s="280">
        <v>22859.16</v>
      </c>
      <c r="AI99" s="280">
        <v>23830.03</v>
      </c>
      <c r="AJ99" s="280">
        <v>22859.16</v>
      </c>
      <c r="AK99" s="280">
        <v>23830.03</v>
      </c>
      <c r="AL99" s="280">
        <v>22859.16</v>
      </c>
      <c r="AM99" s="280">
        <v>0</v>
      </c>
      <c r="AN99" s="280">
        <v>2022.7</v>
      </c>
      <c r="AO99" s="280">
        <v>1348.47</v>
      </c>
      <c r="AP99" s="280">
        <v>0</v>
      </c>
      <c r="AQ99" s="280">
        <v>0</v>
      </c>
      <c r="AR99" s="280">
        <v>0</v>
      </c>
      <c r="AS99" s="280">
        <v>0</v>
      </c>
      <c r="AT99" s="280">
        <v>0</v>
      </c>
      <c r="AU99" s="280">
        <v>22859.16</v>
      </c>
      <c r="AV99" s="280">
        <v>0</v>
      </c>
      <c r="AW99" s="280">
        <v>0</v>
      </c>
      <c r="AX99" s="280">
        <v>22859.16</v>
      </c>
      <c r="AY99" s="280">
        <v>5559.42</v>
      </c>
      <c r="AZ99" s="280">
        <v>0</v>
      </c>
      <c r="BA99" s="280">
        <v>64482.400000000001</v>
      </c>
      <c r="BB99" s="280">
        <v>0</v>
      </c>
      <c r="BC99" s="280">
        <v>0</v>
      </c>
      <c r="BD99" s="280">
        <v>0</v>
      </c>
      <c r="BE99" s="280">
        <v>0</v>
      </c>
      <c r="BF99" s="280">
        <v>2182416.19</v>
      </c>
      <c r="BG99" s="280">
        <v>55603.65</v>
      </c>
      <c r="BH99" s="280">
        <v>82071.210000000006</v>
      </c>
      <c r="BI99" s="280">
        <v>81905.820000000007</v>
      </c>
      <c r="BJ99" s="280">
        <v>61992.61</v>
      </c>
      <c r="BK99" s="280">
        <v>95582.17</v>
      </c>
      <c r="BL99" s="280">
        <v>42773.68</v>
      </c>
      <c r="BM99" s="280">
        <v>17046.740000000002</v>
      </c>
      <c r="BN99" s="280">
        <v>-17075.43</v>
      </c>
      <c r="BO99" s="280">
        <v>88809.53</v>
      </c>
      <c r="BP99" s="280">
        <v>74712.53</v>
      </c>
      <c r="BQ99" s="280">
        <v>161276.74</v>
      </c>
      <c r="BR99" s="280">
        <v>93602.27</v>
      </c>
      <c r="BS99" s="280">
        <v>121944.26</v>
      </c>
      <c r="BT99" s="280">
        <v>115867.85</v>
      </c>
      <c r="BU99" s="280">
        <v>50306.21</v>
      </c>
      <c r="BV99" s="280">
        <v>23567.23</v>
      </c>
      <c r="BW99" s="280">
        <v>15270.31</v>
      </c>
      <c r="BX99" s="280">
        <v>39390.07</v>
      </c>
      <c r="BY99" s="280">
        <v>24246</v>
      </c>
      <c r="BZ99" s="280">
        <v>18438.23</v>
      </c>
      <c r="CA99" s="280">
        <v>18150.25</v>
      </c>
      <c r="CB99" s="280">
        <v>36200.92</v>
      </c>
      <c r="CC99" s="280">
        <v>25726.400000000001</v>
      </c>
      <c r="CD99" s="280">
        <v>10071.040000000001</v>
      </c>
      <c r="CE99" s="280">
        <v>20874.419999999998</v>
      </c>
      <c r="CF99" s="280">
        <v>12316.67</v>
      </c>
      <c r="CG99" s="280">
        <v>9487.5</v>
      </c>
      <c r="CH99" s="280">
        <v>24180</v>
      </c>
      <c r="CI99" s="280">
        <v>12218.48</v>
      </c>
      <c r="CJ99" s="280">
        <v>21734.93</v>
      </c>
      <c r="CK99" s="280">
        <v>5950.01</v>
      </c>
      <c r="CL99" s="280">
        <v>8297.14</v>
      </c>
      <c r="CM99" s="280">
        <v>3207.58</v>
      </c>
      <c r="CN99" s="280">
        <v>5000</v>
      </c>
      <c r="CO99" s="280">
        <v>14825.19</v>
      </c>
      <c r="CP99" s="280">
        <v>90866.57</v>
      </c>
      <c r="CQ99" s="280">
        <v>510</v>
      </c>
      <c r="CR99" s="280">
        <v>26666.67</v>
      </c>
      <c r="CS99" s="280">
        <v>17890.810000000001</v>
      </c>
      <c r="CT99" s="280">
        <v>64375.25</v>
      </c>
      <c r="CU99" s="280">
        <v>51263.4</v>
      </c>
      <c r="CV99" s="280">
        <v>8920.58</v>
      </c>
      <c r="CW99" s="280">
        <v>13723.95</v>
      </c>
      <c r="CX99" s="280">
        <v>5458.55</v>
      </c>
      <c r="CY99" s="280">
        <v>9008.11</v>
      </c>
      <c r="CZ99" s="280">
        <v>9893.18</v>
      </c>
      <c r="DA99" s="280">
        <v>13333.33</v>
      </c>
      <c r="DB99" s="280">
        <v>13609.42</v>
      </c>
      <c r="DC99" s="280">
        <v>15500.2</v>
      </c>
      <c r="DD99" s="280">
        <v>9768.7999999999993</v>
      </c>
      <c r="DE99" s="280">
        <v>8444.74</v>
      </c>
      <c r="DF99" s="280">
        <v>10000</v>
      </c>
      <c r="DG99" s="280">
        <v>7236.04</v>
      </c>
      <c r="DH99" s="280">
        <v>23364.57</v>
      </c>
      <c r="DI99" s="280">
        <v>13323.17</v>
      </c>
      <c r="DJ99" s="280">
        <v>16338.24</v>
      </c>
      <c r="DK99" s="280">
        <v>6000</v>
      </c>
      <c r="DL99" s="280">
        <v>11361.27</v>
      </c>
      <c r="DM99" s="280">
        <v>11039.35</v>
      </c>
      <c r="DN99" s="280">
        <v>38301.65</v>
      </c>
      <c r="DO99" s="293">
        <v>93047.35</v>
      </c>
      <c r="DP99" s="54">
        <v>15086.25</v>
      </c>
      <c r="DQ99" s="54">
        <v>42895.24</v>
      </c>
      <c r="DR99" s="54">
        <v>8967.85</v>
      </c>
      <c r="DS99" s="54">
        <v>41482.78</v>
      </c>
      <c r="DT99" s="54">
        <v>9166.66</v>
      </c>
      <c r="EA99" s="54">
        <f t="shared" si="10"/>
        <v>-2246898.59</v>
      </c>
      <c r="EB99" s="54">
        <f t="shared" si="11"/>
        <v>40474.400000000001</v>
      </c>
      <c r="EC99" s="54">
        <f t="shared" si="7"/>
        <v>4355665.7199999988</v>
      </c>
      <c r="ED99" s="54">
        <f t="shared" si="5"/>
        <v>2417681.02</v>
      </c>
      <c r="EE99" s="54">
        <f t="shared" si="6"/>
        <v>-3531.4199999999983</v>
      </c>
      <c r="EF99" s="54">
        <f t="shared" si="8"/>
        <v>-167411.26</v>
      </c>
      <c r="EG99" s="54">
        <f t="shared" si="9"/>
        <v>19487.989999999998</v>
      </c>
    </row>
    <row r="100" spans="1:137">
      <c r="A100" s="279" t="s">
        <v>132</v>
      </c>
      <c r="B100" s="280">
        <v>1628116.96</v>
      </c>
      <c r="C100" s="280">
        <v>0</v>
      </c>
      <c r="D100" s="280">
        <v>1141.1500000000001</v>
      </c>
      <c r="E100" s="280">
        <v>0</v>
      </c>
      <c r="F100" s="280">
        <v>80151.5</v>
      </c>
      <c r="G100" s="280">
        <v>0</v>
      </c>
      <c r="H100" s="280">
        <v>0</v>
      </c>
      <c r="I100" s="280">
        <v>0</v>
      </c>
      <c r="J100" s="280">
        <v>0</v>
      </c>
      <c r="K100" s="280">
        <v>0</v>
      </c>
      <c r="L100" s="280">
        <v>0</v>
      </c>
      <c r="M100" s="280">
        <v>0</v>
      </c>
      <c r="N100" s="280">
        <v>0</v>
      </c>
      <c r="O100" s="280">
        <v>0</v>
      </c>
      <c r="P100" s="280">
        <v>0</v>
      </c>
      <c r="Q100" s="280">
        <v>1127963.3700000001</v>
      </c>
      <c r="R100" s="280">
        <v>0</v>
      </c>
      <c r="S100" s="280">
        <v>0</v>
      </c>
      <c r="T100" s="280">
        <v>0</v>
      </c>
      <c r="U100" s="280"/>
      <c r="V100" s="280">
        <v>0</v>
      </c>
      <c r="W100" s="280">
        <v>61512.37</v>
      </c>
      <c r="X100" s="280">
        <v>0</v>
      </c>
      <c r="Y100" s="280">
        <v>0</v>
      </c>
      <c r="Z100" s="280">
        <v>45142.95</v>
      </c>
      <c r="AA100" s="280">
        <v>20014.66</v>
      </c>
      <c r="AB100" s="280">
        <v>1902.5</v>
      </c>
      <c r="AC100" s="280">
        <v>0</v>
      </c>
      <c r="AD100" s="280">
        <v>0</v>
      </c>
      <c r="AE100" s="280">
        <v>290288.46000000002</v>
      </c>
      <c r="AF100" s="280">
        <v>45425.14</v>
      </c>
      <c r="AG100" s="280">
        <v>2613.85</v>
      </c>
      <c r="AH100" s="280">
        <v>2736.56</v>
      </c>
      <c r="AI100" s="280">
        <v>5308.42</v>
      </c>
      <c r="AJ100" s="280">
        <v>2028.62</v>
      </c>
      <c r="AK100" s="280">
        <v>785.93</v>
      </c>
      <c r="AL100" s="280">
        <v>2613.85</v>
      </c>
      <c r="AM100" s="280">
        <v>0</v>
      </c>
      <c r="AN100" s="280">
        <v>0</v>
      </c>
      <c r="AO100" s="280">
        <v>0</v>
      </c>
      <c r="AP100" s="280">
        <v>0</v>
      </c>
      <c r="AQ100" s="280">
        <v>0</v>
      </c>
      <c r="AR100" s="280">
        <v>0</v>
      </c>
      <c r="AS100" s="280">
        <v>0</v>
      </c>
      <c r="AT100" s="280">
        <v>0</v>
      </c>
      <c r="AU100" s="280">
        <v>0</v>
      </c>
      <c r="AV100" s="280">
        <v>0</v>
      </c>
      <c r="AW100" s="280">
        <v>0</v>
      </c>
      <c r="AX100" s="280">
        <v>0</v>
      </c>
      <c r="AY100" s="280">
        <v>19222.2</v>
      </c>
      <c r="AZ100" s="280">
        <v>792.46</v>
      </c>
      <c r="BA100" s="280">
        <v>0</v>
      </c>
      <c r="BB100" s="280">
        <v>0</v>
      </c>
      <c r="BC100" s="280">
        <v>0</v>
      </c>
      <c r="BD100" s="280">
        <v>0</v>
      </c>
      <c r="BE100" s="280">
        <v>0</v>
      </c>
      <c r="BF100" s="280">
        <v>290288.46000000002</v>
      </c>
      <c r="BG100" s="280">
        <v>9494.8700000000008</v>
      </c>
      <c r="BH100" s="280">
        <v>8801.44</v>
      </c>
      <c r="BI100" s="280">
        <v>9702.4500000000007</v>
      </c>
      <c r="BJ100" s="280">
        <v>6226.37</v>
      </c>
      <c r="BK100" s="280">
        <v>8301.2900000000009</v>
      </c>
      <c r="BL100" s="280">
        <v>24168.75</v>
      </c>
      <c r="BM100" s="280">
        <v>3274.82</v>
      </c>
      <c r="BN100" s="280">
        <v>11930.17</v>
      </c>
      <c r="BO100" s="280">
        <v>5362.82</v>
      </c>
      <c r="BP100" s="280">
        <v>5199.9399999999996</v>
      </c>
      <c r="BQ100" s="280">
        <v>4381.87</v>
      </c>
      <c r="BR100" s="280">
        <v>5461.68</v>
      </c>
      <c r="BS100" s="280">
        <v>10317.06</v>
      </c>
      <c r="BT100" s="280">
        <v>4907.62</v>
      </c>
      <c r="BU100" s="280">
        <v>3757.85</v>
      </c>
      <c r="BV100" s="280">
        <v>4880.66</v>
      </c>
      <c r="BW100" s="280">
        <v>1866.07</v>
      </c>
      <c r="BX100" s="280">
        <v>7350.82</v>
      </c>
      <c r="BY100" s="280">
        <v>4213.13</v>
      </c>
      <c r="BZ100" s="280">
        <v>2261.04</v>
      </c>
      <c r="CA100" s="280">
        <v>2605.8200000000002</v>
      </c>
      <c r="CB100" s="280">
        <v>3541.76</v>
      </c>
      <c r="CC100" s="280">
        <v>5417.01</v>
      </c>
      <c r="CD100" s="280">
        <v>3009.81</v>
      </c>
      <c r="CE100" s="280">
        <v>4524.34</v>
      </c>
      <c r="CF100" s="280">
        <v>8757.9500000000007</v>
      </c>
      <c r="CG100" s="280">
        <v>2664.35</v>
      </c>
      <c r="CH100" s="280">
        <v>3151.4</v>
      </c>
      <c r="CI100" s="280">
        <v>1824.5</v>
      </c>
      <c r="CJ100" s="280">
        <v>2875.85</v>
      </c>
      <c r="CK100" s="280">
        <v>1140.45</v>
      </c>
      <c r="CL100" s="280">
        <v>4195.8</v>
      </c>
      <c r="CM100" s="280">
        <v>964.64</v>
      </c>
      <c r="CN100" s="280">
        <v>1592.54</v>
      </c>
      <c r="CO100" s="280">
        <v>1922.8</v>
      </c>
      <c r="CP100" s="280">
        <v>13237.95</v>
      </c>
      <c r="CQ100" s="280">
        <v>19327.96</v>
      </c>
      <c r="CR100" s="280">
        <v>1126.08</v>
      </c>
      <c r="CS100" s="280">
        <v>1483.1</v>
      </c>
      <c r="CT100" s="280">
        <v>1319.79</v>
      </c>
      <c r="CU100" s="280">
        <v>1572.13</v>
      </c>
      <c r="CV100" s="280">
        <v>2004.79</v>
      </c>
      <c r="CW100" s="280">
        <v>1851.09</v>
      </c>
      <c r="CX100" s="280">
        <v>1961.35</v>
      </c>
      <c r="CY100" s="280">
        <v>2547.31</v>
      </c>
      <c r="CZ100" s="280">
        <v>2102.0300000000002</v>
      </c>
      <c r="DA100" s="280">
        <v>3360.76</v>
      </c>
      <c r="DB100" s="280">
        <v>1916.43</v>
      </c>
      <c r="DC100" s="280">
        <v>2729.03</v>
      </c>
      <c r="DD100" s="280">
        <v>1524.99</v>
      </c>
      <c r="DE100" s="280">
        <v>2197.7199999999998</v>
      </c>
      <c r="DF100" s="280">
        <v>1991.17</v>
      </c>
      <c r="DG100" s="280">
        <v>2074.37</v>
      </c>
      <c r="DH100" s="280">
        <v>2344.3200000000002</v>
      </c>
      <c r="DI100" s="280">
        <v>1333.29</v>
      </c>
      <c r="DJ100" s="280">
        <v>2463.8000000000002</v>
      </c>
      <c r="DK100" s="280">
        <v>2170.9499999999998</v>
      </c>
      <c r="DL100" s="280">
        <v>1738.22</v>
      </c>
      <c r="DM100" s="280">
        <v>1697.95</v>
      </c>
      <c r="DN100" s="280">
        <v>4746.1499999999996</v>
      </c>
      <c r="DO100" s="293">
        <v>4673.08</v>
      </c>
      <c r="DP100" s="54">
        <v>4107.3999999999996</v>
      </c>
      <c r="DQ100" s="54">
        <v>3350.69</v>
      </c>
      <c r="DR100" s="54">
        <v>2331.89</v>
      </c>
      <c r="DS100" s="54">
        <v>1476.64</v>
      </c>
      <c r="DT100" s="54">
        <v>3476.29</v>
      </c>
      <c r="EA100" s="54">
        <f t="shared" si="10"/>
        <v>-290288.45999999996</v>
      </c>
      <c r="EB100" s="54">
        <f t="shared" si="11"/>
        <v>792.46</v>
      </c>
      <c r="EC100" s="54">
        <f t="shared" si="7"/>
        <v>577100.63</v>
      </c>
      <c r="ED100" s="54">
        <f t="shared" si="5"/>
        <v>349186.98</v>
      </c>
      <c r="EE100" s="54">
        <f t="shared" si="6"/>
        <v>-25920.749999999996</v>
      </c>
      <c r="EF100" s="54">
        <f t="shared" si="8"/>
        <v>-58898.520000000004</v>
      </c>
      <c r="EG100" s="54">
        <f t="shared" si="9"/>
        <v>0</v>
      </c>
    </row>
    <row r="101" spans="1:137">
      <c r="A101" s="279" t="s">
        <v>133</v>
      </c>
      <c r="B101" s="280">
        <v>774613.34</v>
      </c>
      <c r="C101" s="280">
        <v>0</v>
      </c>
      <c r="D101" s="280">
        <v>391333.59</v>
      </c>
      <c r="E101" s="280">
        <v>0</v>
      </c>
      <c r="F101" s="280">
        <v>0</v>
      </c>
      <c r="G101" s="280">
        <v>0</v>
      </c>
      <c r="H101" s="280">
        <v>0</v>
      </c>
      <c r="I101" s="280">
        <v>0</v>
      </c>
      <c r="J101" s="280">
        <v>0</v>
      </c>
      <c r="K101" s="280">
        <v>0</v>
      </c>
      <c r="L101" s="280">
        <v>0</v>
      </c>
      <c r="M101" s="280">
        <v>0</v>
      </c>
      <c r="N101" s="280">
        <v>0</v>
      </c>
      <c r="O101" s="280">
        <v>0</v>
      </c>
      <c r="P101" s="280">
        <v>0</v>
      </c>
      <c r="Q101" s="280">
        <v>320046.28000000003</v>
      </c>
      <c r="R101" s="280">
        <v>0</v>
      </c>
      <c r="S101" s="280">
        <v>0</v>
      </c>
      <c r="T101" s="280">
        <v>0</v>
      </c>
      <c r="U101" s="280"/>
      <c r="V101" s="280">
        <v>0</v>
      </c>
      <c r="W101" s="280">
        <v>11161.91</v>
      </c>
      <c r="X101" s="280">
        <v>0</v>
      </c>
      <c r="Y101" s="280">
        <v>0</v>
      </c>
      <c r="Z101" s="280">
        <v>44775.9</v>
      </c>
      <c r="AA101" s="280">
        <v>0</v>
      </c>
      <c r="AB101" s="280">
        <v>0</v>
      </c>
      <c r="AC101" s="280">
        <v>0</v>
      </c>
      <c r="AD101" s="280">
        <v>628.94000000000005</v>
      </c>
      <c r="AE101" s="280">
        <v>6666.72</v>
      </c>
      <c r="AF101" s="280">
        <v>0</v>
      </c>
      <c r="AG101" s="280">
        <v>11161.91</v>
      </c>
      <c r="AH101" s="280">
        <v>0</v>
      </c>
      <c r="AI101" s="280">
        <v>0</v>
      </c>
      <c r="AJ101" s="280">
        <v>0</v>
      </c>
      <c r="AK101" s="280">
        <v>0</v>
      </c>
      <c r="AL101" s="280">
        <v>0</v>
      </c>
      <c r="AM101" s="280">
        <v>0</v>
      </c>
      <c r="AN101" s="280">
        <v>0</v>
      </c>
      <c r="AO101" s="280">
        <v>0</v>
      </c>
      <c r="AP101" s="280">
        <v>0</v>
      </c>
      <c r="AQ101" s="280">
        <v>0</v>
      </c>
      <c r="AR101" s="280">
        <v>0</v>
      </c>
      <c r="AS101" s="280">
        <v>0</v>
      </c>
      <c r="AT101" s="280">
        <v>0</v>
      </c>
      <c r="AU101" s="280">
        <v>0</v>
      </c>
      <c r="AV101" s="280">
        <v>0</v>
      </c>
      <c r="AW101" s="280">
        <v>0</v>
      </c>
      <c r="AX101" s="280">
        <v>0</v>
      </c>
      <c r="AY101" s="280">
        <v>0</v>
      </c>
      <c r="AZ101" s="280">
        <v>0</v>
      </c>
      <c r="BA101" s="280">
        <v>0</v>
      </c>
      <c r="BB101" s="280">
        <v>1666.68</v>
      </c>
      <c r="BC101" s="280">
        <v>0</v>
      </c>
      <c r="BD101" s="280">
        <v>0</v>
      </c>
      <c r="BE101" s="280">
        <v>0</v>
      </c>
      <c r="BF101" s="280">
        <v>5000.04</v>
      </c>
      <c r="BG101" s="280">
        <v>0</v>
      </c>
      <c r="BH101" s="280">
        <v>0</v>
      </c>
      <c r="BI101" s="280">
        <v>0</v>
      </c>
      <c r="BJ101" s="280">
        <v>0</v>
      </c>
      <c r="BK101" s="280">
        <v>0</v>
      </c>
      <c r="BL101" s="280">
        <v>0</v>
      </c>
      <c r="BM101" s="280">
        <v>0</v>
      </c>
      <c r="BN101" s="280">
        <v>0</v>
      </c>
      <c r="BO101" s="280">
        <v>0</v>
      </c>
      <c r="BP101" s="280">
        <v>0</v>
      </c>
      <c r="BQ101" s="280">
        <v>0</v>
      </c>
      <c r="BR101" s="280">
        <v>0</v>
      </c>
      <c r="BS101" s="280">
        <v>0</v>
      </c>
      <c r="BT101" s="280">
        <v>0</v>
      </c>
      <c r="BU101" s="280">
        <v>0</v>
      </c>
      <c r="BV101" s="280">
        <v>0</v>
      </c>
      <c r="BW101" s="280">
        <v>0</v>
      </c>
      <c r="BX101" s="280">
        <v>0</v>
      </c>
      <c r="BY101" s="280">
        <v>0</v>
      </c>
      <c r="BZ101" s="280">
        <v>0</v>
      </c>
      <c r="CA101" s="280">
        <v>0</v>
      </c>
      <c r="CB101" s="280">
        <v>0</v>
      </c>
      <c r="CC101" s="280">
        <v>0</v>
      </c>
      <c r="CD101" s="280">
        <v>0</v>
      </c>
      <c r="CE101" s="280">
        <v>0</v>
      </c>
      <c r="CF101" s="280">
        <v>0</v>
      </c>
      <c r="CG101" s="280">
        <v>0</v>
      </c>
      <c r="CH101" s="280">
        <v>0</v>
      </c>
      <c r="CI101" s="280">
        <v>0</v>
      </c>
      <c r="CJ101" s="280">
        <v>5000.04</v>
      </c>
      <c r="CK101" s="280">
        <v>0</v>
      </c>
      <c r="CL101" s="280">
        <v>0</v>
      </c>
      <c r="CM101" s="280">
        <v>0</v>
      </c>
      <c r="CN101" s="280">
        <v>0</v>
      </c>
      <c r="CO101" s="280">
        <v>0</v>
      </c>
      <c r="CP101" s="280">
        <v>0</v>
      </c>
      <c r="CQ101" s="280">
        <v>0</v>
      </c>
      <c r="CR101" s="280">
        <v>0</v>
      </c>
      <c r="CS101" s="280">
        <v>0</v>
      </c>
      <c r="CT101" s="280">
        <v>0</v>
      </c>
      <c r="CU101" s="280">
        <v>0</v>
      </c>
      <c r="CV101" s="280">
        <v>0</v>
      </c>
      <c r="CW101" s="280">
        <v>0</v>
      </c>
      <c r="CX101" s="280">
        <v>0</v>
      </c>
      <c r="CY101" s="280">
        <v>0</v>
      </c>
      <c r="CZ101" s="280">
        <v>0</v>
      </c>
      <c r="DA101" s="280">
        <v>0</v>
      </c>
      <c r="DB101" s="280">
        <v>0</v>
      </c>
      <c r="DC101" s="280">
        <v>0</v>
      </c>
      <c r="DD101" s="280">
        <v>0</v>
      </c>
      <c r="DE101" s="280">
        <v>0</v>
      </c>
      <c r="DF101" s="280">
        <v>0</v>
      </c>
      <c r="DG101" s="280">
        <v>0</v>
      </c>
      <c r="DH101" s="280">
        <v>0</v>
      </c>
      <c r="DI101" s="280">
        <v>0</v>
      </c>
      <c r="DJ101" s="280">
        <v>0</v>
      </c>
      <c r="DK101" s="280">
        <v>0</v>
      </c>
      <c r="DL101" s="280">
        <v>0</v>
      </c>
      <c r="DM101" s="280">
        <v>0</v>
      </c>
      <c r="DN101" s="280">
        <v>0</v>
      </c>
      <c r="DO101" s="293">
        <v>0</v>
      </c>
      <c r="DP101" s="54">
        <v>0</v>
      </c>
      <c r="DQ101" s="54">
        <v>0</v>
      </c>
      <c r="DR101" s="54">
        <v>0</v>
      </c>
      <c r="DS101" s="54">
        <v>0</v>
      </c>
      <c r="DT101" s="54">
        <v>0</v>
      </c>
      <c r="EA101" s="54">
        <f t="shared" si="10"/>
        <v>-6666.7199999998556</v>
      </c>
      <c r="EB101" s="54">
        <f t="shared" si="11"/>
        <v>1037.74</v>
      </c>
      <c r="EC101" s="54">
        <f t="shared" si="7"/>
        <v>10000.08</v>
      </c>
      <c r="ED101" s="54">
        <f t="shared" si="5"/>
        <v>17828.63</v>
      </c>
      <c r="EE101" s="54">
        <f t="shared" si="6"/>
        <v>-44775.9</v>
      </c>
      <c r="EF101" s="54">
        <f t="shared" si="8"/>
        <v>-11161.91</v>
      </c>
      <c r="EG101" s="54">
        <f t="shared" si="9"/>
        <v>0</v>
      </c>
    </row>
    <row r="102" spans="1:137">
      <c r="A102" s="279" t="s">
        <v>134</v>
      </c>
      <c r="B102" s="280">
        <v>1365837.67</v>
      </c>
      <c r="C102" s="280">
        <v>0</v>
      </c>
      <c r="D102" s="280">
        <v>182350.94</v>
      </c>
      <c r="E102" s="280">
        <v>0</v>
      </c>
      <c r="F102" s="280">
        <v>0</v>
      </c>
      <c r="G102" s="280">
        <v>0</v>
      </c>
      <c r="H102" s="280">
        <v>0</v>
      </c>
      <c r="I102" s="280">
        <v>0</v>
      </c>
      <c r="J102" s="280">
        <v>0</v>
      </c>
      <c r="K102" s="280">
        <v>0</v>
      </c>
      <c r="L102" s="280">
        <v>0</v>
      </c>
      <c r="M102" s="280">
        <v>0</v>
      </c>
      <c r="N102" s="280">
        <v>0</v>
      </c>
      <c r="O102" s="280">
        <v>0</v>
      </c>
      <c r="P102" s="280">
        <v>0</v>
      </c>
      <c r="Q102" s="280">
        <v>0</v>
      </c>
      <c r="R102" s="280">
        <v>0</v>
      </c>
      <c r="S102" s="280">
        <v>0</v>
      </c>
      <c r="T102" s="280">
        <v>0</v>
      </c>
      <c r="U102" s="280"/>
      <c r="V102" s="280">
        <v>0</v>
      </c>
      <c r="W102" s="280">
        <v>16753.240000000002</v>
      </c>
      <c r="X102" s="280">
        <v>1568.2</v>
      </c>
      <c r="Y102" s="280">
        <v>9336.14</v>
      </c>
      <c r="Z102" s="280">
        <v>3334.54</v>
      </c>
      <c r="AA102" s="280">
        <v>152.88</v>
      </c>
      <c r="AB102" s="280">
        <v>3289.24</v>
      </c>
      <c r="AC102" s="280">
        <v>0</v>
      </c>
      <c r="AD102" s="280">
        <v>0</v>
      </c>
      <c r="AE102" s="280">
        <v>1149052.49</v>
      </c>
      <c r="AF102" s="280">
        <v>3295.91</v>
      </c>
      <c r="AG102" s="280">
        <v>2303.0700000000002</v>
      </c>
      <c r="AH102" s="280">
        <v>2192.4</v>
      </c>
      <c r="AI102" s="280">
        <v>2192.4</v>
      </c>
      <c r="AJ102" s="280">
        <v>2192.4</v>
      </c>
      <c r="AK102" s="280">
        <v>2192.4</v>
      </c>
      <c r="AL102" s="280">
        <v>2384.66</v>
      </c>
      <c r="AM102" s="280">
        <v>0</v>
      </c>
      <c r="AN102" s="280">
        <v>156.66999999999999</v>
      </c>
      <c r="AO102" s="280">
        <v>1411.53</v>
      </c>
      <c r="AP102" s="280">
        <v>0</v>
      </c>
      <c r="AQ102" s="280">
        <v>0</v>
      </c>
      <c r="AR102" s="280">
        <v>0</v>
      </c>
      <c r="AS102" s="280">
        <v>0</v>
      </c>
      <c r="AT102" s="280">
        <v>0</v>
      </c>
      <c r="AU102" s="280">
        <v>5080.6099999999997</v>
      </c>
      <c r="AV102" s="280">
        <v>1027.8499999999999</v>
      </c>
      <c r="AW102" s="280">
        <v>0</v>
      </c>
      <c r="AX102" s="280">
        <v>3227.68</v>
      </c>
      <c r="AY102" s="280">
        <v>152.88</v>
      </c>
      <c r="AZ102" s="280">
        <v>0</v>
      </c>
      <c r="BA102" s="280">
        <v>68613.259999999995</v>
      </c>
      <c r="BB102" s="280">
        <v>0</v>
      </c>
      <c r="BC102" s="280">
        <v>0</v>
      </c>
      <c r="BD102" s="280">
        <v>0</v>
      </c>
      <c r="BE102" s="280">
        <v>0</v>
      </c>
      <c r="BF102" s="280">
        <v>1080439.23</v>
      </c>
      <c r="BG102" s="280">
        <v>3635.9</v>
      </c>
      <c r="BH102" s="280">
        <v>13280.02</v>
      </c>
      <c r="BI102" s="280">
        <v>36166.71</v>
      </c>
      <c r="BJ102" s="280">
        <v>3195.84</v>
      </c>
      <c r="BK102" s="280">
        <v>5298.15</v>
      </c>
      <c r="BL102" s="280">
        <v>47912.47</v>
      </c>
      <c r="BM102" s="280">
        <v>13283.75</v>
      </c>
      <c r="BN102" s="280">
        <v>48946.33</v>
      </c>
      <c r="BO102" s="280">
        <v>12685.36</v>
      </c>
      <c r="BP102" s="280">
        <v>13188</v>
      </c>
      <c r="BQ102" s="280">
        <v>0</v>
      </c>
      <c r="BR102" s="280">
        <v>0</v>
      </c>
      <c r="BS102" s="280">
        <v>441555.18</v>
      </c>
      <c r="BT102" s="280">
        <v>8325.92</v>
      </c>
      <c r="BU102" s="280">
        <v>6698.5</v>
      </c>
      <c r="BV102" s="280">
        <v>12219.14</v>
      </c>
      <c r="BW102" s="280">
        <v>3194.73</v>
      </c>
      <c r="BX102" s="280">
        <v>7204.79</v>
      </c>
      <c r="BY102" s="280">
        <v>1632.8</v>
      </c>
      <c r="BZ102" s="280">
        <v>4938.5600000000004</v>
      </c>
      <c r="CA102" s="280">
        <v>38608.379999999997</v>
      </c>
      <c r="CB102" s="280">
        <v>6906.44</v>
      </c>
      <c r="CC102" s="280">
        <v>1857.34</v>
      </c>
      <c r="CD102" s="280">
        <v>6200.08</v>
      </c>
      <c r="CE102" s="280">
        <v>0</v>
      </c>
      <c r="CF102" s="280">
        <v>0</v>
      </c>
      <c r="CG102" s="280">
        <v>774.84</v>
      </c>
      <c r="CH102" s="280">
        <v>13190.55</v>
      </c>
      <c r="CI102" s="280">
        <v>5939.03</v>
      </c>
      <c r="CJ102" s="280">
        <v>13563.55</v>
      </c>
      <c r="CK102" s="280">
        <v>3191.2</v>
      </c>
      <c r="CL102" s="280">
        <v>9944.1200000000008</v>
      </c>
      <c r="CM102" s="280">
        <v>4046.51</v>
      </c>
      <c r="CN102" s="280">
        <v>0</v>
      </c>
      <c r="CO102" s="280">
        <v>3969.26</v>
      </c>
      <c r="CP102" s="280">
        <v>23689.48</v>
      </c>
      <c r="CQ102" s="280">
        <v>144.38999999999999</v>
      </c>
      <c r="CR102" s="280">
        <v>4646.29</v>
      </c>
      <c r="CS102" s="280">
        <v>2380.7199999999998</v>
      </c>
      <c r="CT102" s="280">
        <v>0</v>
      </c>
      <c r="CU102" s="280">
        <v>37562.160000000003</v>
      </c>
      <c r="CV102" s="280">
        <v>866.68</v>
      </c>
      <c r="CW102" s="280">
        <v>1436.12</v>
      </c>
      <c r="CX102" s="280">
        <v>2948.02</v>
      </c>
      <c r="CY102" s="280">
        <v>1845.68</v>
      </c>
      <c r="CZ102" s="280">
        <v>1356.4</v>
      </c>
      <c r="DA102" s="280">
        <v>0</v>
      </c>
      <c r="DB102" s="280">
        <v>2571.1799999999998</v>
      </c>
      <c r="DC102" s="280">
        <v>1498.29</v>
      </c>
      <c r="DD102" s="280">
        <v>0</v>
      </c>
      <c r="DE102" s="280">
        <v>5447.29</v>
      </c>
      <c r="DF102" s="280">
        <v>0</v>
      </c>
      <c r="DG102" s="280">
        <v>2772.63</v>
      </c>
      <c r="DH102" s="280">
        <v>874.49</v>
      </c>
      <c r="DI102" s="280">
        <v>0</v>
      </c>
      <c r="DJ102" s="280">
        <v>2457.11</v>
      </c>
      <c r="DK102" s="280">
        <v>4658.17</v>
      </c>
      <c r="DL102" s="280">
        <v>0</v>
      </c>
      <c r="DM102" s="280">
        <v>1707.19</v>
      </c>
      <c r="DN102" s="280">
        <v>10478.290000000001</v>
      </c>
      <c r="DO102" s="293">
        <v>1793.55</v>
      </c>
      <c r="DP102" s="54">
        <v>5468.86</v>
      </c>
      <c r="DQ102" s="54">
        <v>164753.82</v>
      </c>
      <c r="DR102" s="54">
        <v>1937.1</v>
      </c>
      <c r="DS102" s="54">
        <v>1138.9000000000001</v>
      </c>
      <c r="DT102" s="54">
        <v>4452.97</v>
      </c>
      <c r="EA102" s="54">
        <f t="shared" si="10"/>
        <v>-1149052.49</v>
      </c>
      <c r="EB102" s="54">
        <f t="shared" si="11"/>
        <v>68613.259999999995</v>
      </c>
      <c r="EC102" s="54">
        <f t="shared" si="7"/>
        <v>2156425.4899999998</v>
      </c>
      <c r="ED102" s="54">
        <f t="shared" si="5"/>
        <v>1163421.0699999996</v>
      </c>
      <c r="EE102" s="54">
        <f t="shared" si="6"/>
        <v>46.019999999999982</v>
      </c>
      <c r="EF102" s="54">
        <f t="shared" si="8"/>
        <v>-12800.380000000001</v>
      </c>
      <c r="EG102" s="54">
        <f t="shared" si="9"/>
        <v>4540.2599999999993</v>
      </c>
    </row>
    <row r="103" spans="1:137">
      <c r="A103" s="279" t="s">
        <v>135</v>
      </c>
      <c r="B103" s="280">
        <v>251794.42</v>
      </c>
      <c r="C103" s="280">
        <v>0</v>
      </c>
      <c r="D103" s="280">
        <v>0</v>
      </c>
      <c r="E103" s="280">
        <v>0</v>
      </c>
      <c r="F103" s="280">
        <v>0</v>
      </c>
      <c r="G103" s="280">
        <v>0</v>
      </c>
      <c r="H103" s="280">
        <v>0</v>
      </c>
      <c r="I103" s="280">
        <v>0</v>
      </c>
      <c r="J103" s="280">
        <v>0</v>
      </c>
      <c r="K103" s="280">
        <v>0</v>
      </c>
      <c r="L103" s="280">
        <v>0</v>
      </c>
      <c r="M103" s="280">
        <v>0</v>
      </c>
      <c r="N103" s="280">
        <v>0</v>
      </c>
      <c r="O103" s="280">
        <v>0</v>
      </c>
      <c r="P103" s="280">
        <v>0</v>
      </c>
      <c r="Q103" s="280">
        <v>0</v>
      </c>
      <c r="R103" s="280">
        <v>0</v>
      </c>
      <c r="S103" s="280">
        <v>0</v>
      </c>
      <c r="T103" s="280">
        <v>0</v>
      </c>
      <c r="U103" s="280"/>
      <c r="V103" s="280">
        <v>0</v>
      </c>
      <c r="W103" s="280">
        <v>31067.96</v>
      </c>
      <c r="X103" s="280">
        <v>0</v>
      </c>
      <c r="Y103" s="280">
        <v>200</v>
      </c>
      <c r="Z103" s="280">
        <v>0</v>
      </c>
      <c r="AA103" s="280">
        <v>0</v>
      </c>
      <c r="AB103" s="280">
        <v>0</v>
      </c>
      <c r="AC103" s="280">
        <v>0</v>
      </c>
      <c r="AD103" s="280">
        <v>0</v>
      </c>
      <c r="AE103" s="280">
        <v>220526.46</v>
      </c>
      <c r="AF103" s="280">
        <v>0</v>
      </c>
      <c r="AG103" s="280">
        <v>0</v>
      </c>
      <c r="AH103" s="280">
        <v>0</v>
      </c>
      <c r="AI103" s="280">
        <v>0</v>
      </c>
      <c r="AJ103" s="280">
        <v>31067.96</v>
      </c>
      <c r="AK103" s="280">
        <v>0</v>
      </c>
      <c r="AL103" s="280">
        <v>0</v>
      </c>
      <c r="AM103" s="280">
        <v>0</v>
      </c>
      <c r="AN103" s="280">
        <v>0</v>
      </c>
      <c r="AO103" s="280">
        <v>0</v>
      </c>
      <c r="AP103" s="280">
        <v>0</v>
      </c>
      <c r="AQ103" s="280">
        <v>0</v>
      </c>
      <c r="AR103" s="280">
        <v>0</v>
      </c>
      <c r="AS103" s="280">
        <v>0</v>
      </c>
      <c r="AT103" s="280">
        <v>0</v>
      </c>
      <c r="AU103" s="280">
        <v>0</v>
      </c>
      <c r="AV103" s="280">
        <v>0</v>
      </c>
      <c r="AW103" s="280">
        <v>0</v>
      </c>
      <c r="AX103" s="280">
        <v>200</v>
      </c>
      <c r="AY103" s="280">
        <v>0</v>
      </c>
      <c r="AZ103" s="280">
        <v>0</v>
      </c>
      <c r="BA103" s="280">
        <v>0</v>
      </c>
      <c r="BB103" s="280">
        <v>0</v>
      </c>
      <c r="BC103" s="280">
        <v>0</v>
      </c>
      <c r="BD103" s="280">
        <v>0</v>
      </c>
      <c r="BE103" s="280">
        <v>0</v>
      </c>
      <c r="BF103" s="280">
        <v>220526.46</v>
      </c>
      <c r="BG103" s="280">
        <v>4800</v>
      </c>
      <c r="BH103" s="280">
        <v>0</v>
      </c>
      <c r="BI103" s="280">
        <v>0</v>
      </c>
      <c r="BJ103" s="280">
        <v>0</v>
      </c>
      <c r="BK103" s="280">
        <v>0</v>
      </c>
      <c r="BL103" s="280">
        <v>8500</v>
      </c>
      <c r="BM103" s="280">
        <v>0</v>
      </c>
      <c r="BN103" s="280">
        <v>0</v>
      </c>
      <c r="BO103" s="280">
        <v>0</v>
      </c>
      <c r="BP103" s="280">
        <v>6495</v>
      </c>
      <c r="BQ103" s="280">
        <v>0</v>
      </c>
      <c r="BR103" s="280">
        <v>0</v>
      </c>
      <c r="BS103" s="280">
        <v>0</v>
      </c>
      <c r="BT103" s="280">
        <v>0</v>
      </c>
      <c r="BU103" s="280">
        <v>0</v>
      </c>
      <c r="BV103" s="280">
        <v>0</v>
      </c>
      <c r="BW103" s="280">
        <v>2083</v>
      </c>
      <c r="BX103" s="280">
        <v>0</v>
      </c>
      <c r="BY103" s="280">
        <v>0</v>
      </c>
      <c r="BZ103" s="280">
        <v>0</v>
      </c>
      <c r="CA103" s="280">
        <v>0</v>
      </c>
      <c r="CB103" s="280">
        <v>0</v>
      </c>
      <c r="CC103" s="280">
        <v>13749.11</v>
      </c>
      <c r="CD103" s="280">
        <v>0</v>
      </c>
      <c r="CE103" s="280">
        <v>0</v>
      </c>
      <c r="CF103" s="280">
        <v>0</v>
      </c>
      <c r="CG103" s="280">
        <v>0</v>
      </c>
      <c r="CH103" s="280">
        <v>10800</v>
      </c>
      <c r="CI103" s="280">
        <v>0</v>
      </c>
      <c r="CJ103" s="280">
        <v>0</v>
      </c>
      <c r="CK103" s="280">
        <v>0</v>
      </c>
      <c r="CL103" s="280">
        <v>4731.43</v>
      </c>
      <c r="CM103" s="280">
        <v>0</v>
      </c>
      <c r="CN103" s="280">
        <v>0</v>
      </c>
      <c r="CO103" s="280">
        <v>0</v>
      </c>
      <c r="CP103" s="280">
        <v>0</v>
      </c>
      <c r="CQ103" s="280">
        <v>0</v>
      </c>
      <c r="CR103" s="280">
        <v>0</v>
      </c>
      <c r="CS103" s="280">
        <v>5790</v>
      </c>
      <c r="CT103" s="280">
        <v>12600</v>
      </c>
      <c r="CU103" s="280">
        <v>11352.92</v>
      </c>
      <c r="CV103" s="280">
        <v>18600</v>
      </c>
      <c r="CW103" s="280">
        <v>21600</v>
      </c>
      <c r="CX103" s="280">
        <v>1800</v>
      </c>
      <c r="CY103" s="280">
        <v>3600</v>
      </c>
      <c r="CZ103" s="280">
        <v>3643</v>
      </c>
      <c r="DA103" s="280">
        <v>9000</v>
      </c>
      <c r="DB103" s="280">
        <v>7200</v>
      </c>
      <c r="DC103" s="280">
        <v>1800</v>
      </c>
      <c r="DD103" s="280">
        <v>1800</v>
      </c>
      <c r="DE103" s="280">
        <v>10800</v>
      </c>
      <c r="DF103" s="280">
        <v>10800</v>
      </c>
      <c r="DG103" s="280">
        <v>2182</v>
      </c>
      <c r="DH103" s="280">
        <v>21600</v>
      </c>
      <c r="DI103" s="280">
        <v>10800</v>
      </c>
      <c r="DJ103" s="280">
        <v>0</v>
      </c>
      <c r="DK103" s="280">
        <v>0</v>
      </c>
      <c r="DL103" s="280">
        <v>3600</v>
      </c>
      <c r="DM103" s="280">
        <v>10800</v>
      </c>
      <c r="DN103" s="280">
        <v>0</v>
      </c>
      <c r="DO103" s="293">
        <v>0</v>
      </c>
      <c r="DP103" s="54">
        <v>0</v>
      </c>
      <c r="DQ103" s="54">
        <v>0</v>
      </c>
      <c r="DR103" s="54">
        <v>0</v>
      </c>
      <c r="DS103" s="54">
        <v>0</v>
      </c>
      <c r="DT103" s="54">
        <v>0</v>
      </c>
      <c r="EA103" s="54">
        <f t="shared" si="10"/>
        <v>-220526.46000000002</v>
      </c>
      <c r="EB103" s="54">
        <f t="shared" si="11"/>
        <v>0</v>
      </c>
      <c r="EC103" s="54">
        <f t="shared" si="7"/>
        <v>441052.92</v>
      </c>
      <c r="ED103" s="54">
        <f t="shared" si="5"/>
        <v>251594.41999999998</v>
      </c>
      <c r="EE103" s="54">
        <f t="shared" si="6"/>
        <v>200</v>
      </c>
      <c r="EF103" s="54">
        <f t="shared" si="8"/>
        <v>-31067.96</v>
      </c>
      <c r="EG103" s="54">
        <f t="shared" si="9"/>
        <v>0</v>
      </c>
    </row>
    <row r="104" spans="1:137" s="52" customFormat="1">
      <c r="A104" s="297" t="s">
        <v>98</v>
      </c>
      <c r="B104" s="298">
        <v>14737959.220000001</v>
      </c>
      <c r="C104" s="298">
        <v>33635.18</v>
      </c>
      <c r="D104" s="298">
        <v>1547173.56</v>
      </c>
      <c r="E104" s="298">
        <v>15402.52</v>
      </c>
      <c r="F104" s="298">
        <v>778199.16</v>
      </c>
      <c r="G104" s="298">
        <v>185603.95</v>
      </c>
      <c r="H104" s="298">
        <v>7644.74</v>
      </c>
      <c r="I104" s="298">
        <v>24821.18</v>
      </c>
      <c r="J104" s="298">
        <v>0</v>
      </c>
      <c r="K104" s="298">
        <v>8843.9500000000007</v>
      </c>
      <c r="L104" s="298">
        <v>13142.42</v>
      </c>
      <c r="M104" s="298">
        <v>25979.29</v>
      </c>
      <c r="N104" s="298">
        <v>25800.23</v>
      </c>
      <c r="O104" s="298">
        <v>41691.49</v>
      </c>
      <c r="P104" s="298">
        <v>40555.230000000003</v>
      </c>
      <c r="Q104" s="298">
        <v>2298792.9300000002</v>
      </c>
      <c r="R104" s="298">
        <v>24816.75</v>
      </c>
      <c r="S104" s="298">
        <v>7544.84</v>
      </c>
      <c r="T104" s="298">
        <v>0</v>
      </c>
      <c r="U104" s="298">
        <v>0</v>
      </c>
      <c r="V104" s="298">
        <v>0</v>
      </c>
      <c r="W104" s="298">
        <v>831926.27</v>
      </c>
      <c r="X104" s="298">
        <v>263103.45</v>
      </c>
      <c r="Y104" s="298">
        <v>331531.06</v>
      </c>
      <c r="Z104" s="298">
        <v>391138.29</v>
      </c>
      <c r="AA104" s="298">
        <v>53264.46</v>
      </c>
      <c r="AB104" s="298">
        <v>30438.29</v>
      </c>
      <c r="AC104" s="298">
        <v>0</v>
      </c>
      <c r="AD104" s="298">
        <v>196242.32</v>
      </c>
      <c r="AE104" s="298">
        <v>7560667.6600000001</v>
      </c>
      <c r="AF104" s="298">
        <v>132507.24</v>
      </c>
      <c r="AG104" s="298">
        <v>143794.03</v>
      </c>
      <c r="AH104" s="298">
        <v>120919.01</v>
      </c>
      <c r="AI104" s="298">
        <v>100320.35</v>
      </c>
      <c r="AJ104" s="298">
        <v>160734.63</v>
      </c>
      <c r="AK104" s="298">
        <v>75466.5</v>
      </c>
      <c r="AL104" s="298">
        <v>98184.51</v>
      </c>
      <c r="AM104" s="298">
        <v>37754.58</v>
      </c>
      <c r="AN104" s="298">
        <v>99089.93</v>
      </c>
      <c r="AO104" s="298">
        <v>46804.59</v>
      </c>
      <c r="AP104" s="298">
        <v>54464.84</v>
      </c>
      <c r="AQ104" s="298">
        <v>20803.400000000001</v>
      </c>
      <c r="AR104" s="298">
        <v>3350.11</v>
      </c>
      <c r="AS104" s="298">
        <v>836</v>
      </c>
      <c r="AT104" s="298">
        <v>0</v>
      </c>
      <c r="AU104" s="298">
        <v>103926.61</v>
      </c>
      <c r="AV104" s="298">
        <v>45771.29</v>
      </c>
      <c r="AW104" s="298">
        <v>88842.57</v>
      </c>
      <c r="AX104" s="298">
        <v>92990.59</v>
      </c>
      <c r="AY104" s="298">
        <v>49087.17</v>
      </c>
      <c r="AZ104" s="298">
        <v>4177.29</v>
      </c>
      <c r="BA104" s="298">
        <v>167828.64</v>
      </c>
      <c r="BB104" s="298">
        <v>73805.47</v>
      </c>
      <c r="BC104" s="298">
        <v>35172.46</v>
      </c>
      <c r="BD104" s="298">
        <v>459127.54</v>
      </c>
      <c r="BE104" s="298">
        <v>0</v>
      </c>
      <c r="BF104" s="298">
        <v>6824733.5499999998</v>
      </c>
      <c r="BG104" s="298">
        <v>183182.93</v>
      </c>
      <c r="BH104" s="298">
        <v>282462.23</v>
      </c>
      <c r="BI104" s="298">
        <v>270977.64</v>
      </c>
      <c r="BJ104" s="298">
        <v>199004.19</v>
      </c>
      <c r="BK104" s="298">
        <v>249446.54</v>
      </c>
      <c r="BL104" s="298">
        <v>294914.95</v>
      </c>
      <c r="BM104" s="298">
        <v>85090.75</v>
      </c>
      <c r="BN104" s="298">
        <v>293177.51</v>
      </c>
      <c r="BO104" s="298">
        <v>199409.82</v>
      </c>
      <c r="BP104" s="298">
        <v>169082.72</v>
      </c>
      <c r="BQ104" s="298">
        <v>332796.03999999998</v>
      </c>
      <c r="BR104" s="298">
        <v>256631.64</v>
      </c>
      <c r="BS104" s="298">
        <v>711198.93</v>
      </c>
      <c r="BT104" s="298">
        <v>194879.85</v>
      </c>
      <c r="BU104" s="298">
        <v>128227.9</v>
      </c>
      <c r="BV104" s="298">
        <v>92766.080000000002</v>
      </c>
      <c r="BW104" s="298">
        <v>72326.39</v>
      </c>
      <c r="BX104" s="298">
        <v>124012.22</v>
      </c>
      <c r="BY104" s="298">
        <v>78877.63</v>
      </c>
      <c r="BZ104" s="298">
        <v>68829.69</v>
      </c>
      <c r="CA104" s="298">
        <v>106277.67</v>
      </c>
      <c r="CB104" s="298">
        <v>105401.31</v>
      </c>
      <c r="CC104" s="298">
        <v>69911.16</v>
      </c>
      <c r="CD104" s="298">
        <v>42154.23</v>
      </c>
      <c r="CE104" s="298">
        <v>54081.18</v>
      </c>
      <c r="CF104" s="298">
        <v>50734.04</v>
      </c>
      <c r="CG104" s="298">
        <v>38256.15</v>
      </c>
      <c r="CH104" s="298">
        <v>89068.7</v>
      </c>
      <c r="CI104" s="298">
        <v>42961.11</v>
      </c>
      <c r="CJ104" s="298">
        <v>86756.89</v>
      </c>
      <c r="CK104" s="298">
        <v>19841.32</v>
      </c>
      <c r="CL104" s="298">
        <v>49376.28</v>
      </c>
      <c r="CM104" s="298">
        <v>22708.91</v>
      </c>
      <c r="CN104" s="298">
        <v>23188.9</v>
      </c>
      <c r="CO104" s="298">
        <v>38078.720000000001</v>
      </c>
      <c r="CP104" s="298">
        <v>154803.34</v>
      </c>
      <c r="CQ104" s="298">
        <v>38499.46</v>
      </c>
      <c r="CR104" s="298">
        <v>47730.29</v>
      </c>
      <c r="CS104" s="298">
        <v>41102.75</v>
      </c>
      <c r="CT104" s="298">
        <v>88164.41</v>
      </c>
      <c r="CU104" s="298">
        <v>112467.59</v>
      </c>
      <c r="CV104" s="298">
        <v>38068.1</v>
      </c>
      <c r="CW104" s="298">
        <v>53305.5</v>
      </c>
      <c r="CX104" s="298">
        <v>18228.82</v>
      </c>
      <c r="CY104" s="298">
        <v>31861.03</v>
      </c>
      <c r="CZ104" s="298">
        <v>30163.439999999999</v>
      </c>
      <c r="DA104" s="298">
        <v>36561.620000000003</v>
      </c>
      <c r="DB104" s="298">
        <v>36047.51</v>
      </c>
      <c r="DC104" s="298">
        <v>37018.89</v>
      </c>
      <c r="DD104" s="298">
        <v>23384.55</v>
      </c>
      <c r="DE104" s="298">
        <v>34827.83</v>
      </c>
      <c r="DF104" s="298">
        <v>33702.82</v>
      </c>
      <c r="DG104" s="298">
        <v>22614.91</v>
      </c>
      <c r="DH104" s="298">
        <v>57325.74</v>
      </c>
      <c r="DI104" s="298">
        <v>30752.67</v>
      </c>
      <c r="DJ104" s="298">
        <v>35866.04</v>
      </c>
      <c r="DK104" s="298">
        <v>21798.720000000001</v>
      </c>
      <c r="DL104" s="298">
        <v>27995.02</v>
      </c>
      <c r="DM104" s="298">
        <v>34767.919999999998</v>
      </c>
      <c r="DN104" s="298">
        <v>68392.73</v>
      </c>
      <c r="DO104" s="298">
        <v>124871.5</v>
      </c>
      <c r="DP104" s="298">
        <v>58822.39</v>
      </c>
      <c r="DQ104" s="298">
        <v>229789.64</v>
      </c>
      <c r="DR104" s="298">
        <v>29341.91</v>
      </c>
      <c r="DS104" s="298">
        <v>57026.080000000002</v>
      </c>
      <c r="DT104" s="298">
        <v>43338.11</v>
      </c>
      <c r="DU104" s="298"/>
      <c r="DV104" s="298"/>
      <c r="DW104" s="298"/>
      <c r="DX104" s="54"/>
      <c r="DY104" s="54"/>
      <c r="DZ104" s="54"/>
      <c r="EA104" s="54">
        <f t="shared" si="10"/>
        <v>-7560667.6599999992</v>
      </c>
      <c r="EB104" s="54">
        <f t="shared" si="11"/>
        <v>543869.08000000007</v>
      </c>
      <c r="EC104" s="54">
        <f t="shared" si="7"/>
        <v>13606128.990000002</v>
      </c>
      <c r="ED104" s="54">
        <f t="shared" si="5"/>
        <v>8294409.4199999999</v>
      </c>
      <c r="EE104" s="54">
        <f t="shared" si="6"/>
        <v>-249060.52999999997</v>
      </c>
      <c r="EF104" s="54">
        <f t="shared" si="8"/>
        <v>-470638.31000000006</v>
      </c>
      <c r="EG104" s="54">
        <f t="shared" si="9"/>
        <v>-24562.98000000001</v>
      </c>
    </row>
    <row r="105" spans="1:137" s="286" customFormat="1" ht="12.75" thickBot="1">
      <c r="A105" s="284" t="s">
        <v>551</v>
      </c>
      <c r="B105" s="285">
        <v>0</v>
      </c>
      <c r="C105" s="285">
        <v>0</v>
      </c>
      <c r="D105" s="285">
        <v>0</v>
      </c>
      <c r="E105" s="285">
        <v>0</v>
      </c>
      <c r="F105" s="285">
        <v>0</v>
      </c>
      <c r="G105" s="285">
        <v>0</v>
      </c>
      <c r="H105" s="285">
        <v>0</v>
      </c>
      <c r="I105" s="285">
        <v>0</v>
      </c>
      <c r="J105" s="285">
        <v>0</v>
      </c>
      <c r="K105" s="285">
        <v>0</v>
      </c>
      <c r="L105" s="285">
        <v>0</v>
      </c>
      <c r="M105" s="285">
        <v>0</v>
      </c>
      <c r="N105" s="285">
        <v>0</v>
      </c>
      <c r="O105" s="285">
        <v>0</v>
      </c>
      <c r="P105" s="285">
        <v>0</v>
      </c>
      <c r="Q105" s="285">
        <v>0</v>
      </c>
      <c r="R105" s="285">
        <v>0</v>
      </c>
      <c r="S105" s="285">
        <v>0</v>
      </c>
      <c r="T105" s="285">
        <v>0</v>
      </c>
      <c r="U105" s="285"/>
      <c r="V105" s="285"/>
      <c r="W105" s="299">
        <v>0</v>
      </c>
      <c r="X105" s="285">
        <v>0</v>
      </c>
      <c r="Y105" s="285">
        <v>0</v>
      </c>
      <c r="Z105" s="285">
        <v>0</v>
      </c>
      <c r="AA105" s="285">
        <v>0</v>
      </c>
      <c r="AB105" s="285">
        <v>0</v>
      </c>
      <c r="AC105" s="285">
        <v>0</v>
      </c>
      <c r="AD105" s="285">
        <v>0</v>
      </c>
      <c r="AE105" s="285">
        <v>0</v>
      </c>
      <c r="AF105" s="285">
        <v>0</v>
      </c>
      <c r="AG105" s="285">
        <v>0</v>
      </c>
      <c r="AH105" s="285">
        <v>0</v>
      </c>
      <c r="AI105" s="285">
        <v>0</v>
      </c>
      <c r="AJ105" s="285">
        <v>0</v>
      </c>
      <c r="AK105" s="285">
        <v>0</v>
      </c>
      <c r="AL105" s="285">
        <v>0</v>
      </c>
      <c r="AM105" s="285"/>
      <c r="AN105" s="285"/>
      <c r="AO105" s="285"/>
      <c r="AP105" s="285"/>
      <c r="AQ105" s="285"/>
      <c r="AR105" s="285">
        <v>0</v>
      </c>
      <c r="AS105" s="285">
        <v>0</v>
      </c>
      <c r="AT105" s="285">
        <v>0</v>
      </c>
      <c r="AU105" s="285">
        <v>0</v>
      </c>
      <c r="AV105" s="285">
        <v>0</v>
      </c>
      <c r="AW105" s="285">
        <v>0</v>
      </c>
      <c r="AX105" s="285">
        <v>0</v>
      </c>
      <c r="AY105" s="285">
        <v>0</v>
      </c>
      <c r="AZ105" s="285">
        <v>0</v>
      </c>
      <c r="BA105" s="285">
        <v>0</v>
      </c>
      <c r="BB105" s="285">
        <v>0</v>
      </c>
      <c r="BC105" s="285">
        <v>0</v>
      </c>
      <c r="BD105" s="285">
        <v>0</v>
      </c>
      <c r="BE105" s="285">
        <v>0</v>
      </c>
      <c r="BF105" s="285">
        <v>0</v>
      </c>
      <c r="BG105" s="285">
        <v>0</v>
      </c>
      <c r="BH105" s="285">
        <v>0</v>
      </c>
      <c r="BI105" s="285">
        <v>0</v>
      </c>
      <c r="BJ105" s="285">
        <v>0</v>
      </c>
      <c r="BK105" s="285">
        <v>0</v>
      </c>
      <c r="BL105" s="285">
        <v>0</v>
      </c>
      <c r="BM105" s="285">
        <v>0</v>
      </c>
      <c r="BN105" s="285">
        <v>0</v>
      </c>
      <c r="BO105" s="285">
        <v>0</v>
      </c>
      <c r="BP105" s="285">
        <v>0</v>
      </c>
      <c r="BQ105" s="285">
        <v>0</v>
      </c>
      <c r="BR105" s="285">
        <v>0</v>
      </c>
      <c r="BS105" s="285">
        <v>0</v>
      </c>
      <c r="BT105" s="285">
        <v>0</v>
      </c>
      <c r="BU105" s="285">
        <v>0</v>
      </c>
      <c r="BV105" s="285">
        <v>0</v>
      </c>
      <c r="BW105" s="285">
        <v>0</v>
      </c>
      <c r="BX105" s="285">
        <v>0</v>
      </c>
      <c r="BY105" s="285">
        <v>0</v>
      </c>
      <c r="BZ105" s="285">
        <v>0</v>
      </c>
      <c r="CA105" s="285">
        <v>0</v>
      </c>
      <c r="CB105" s="285">
        <v>0</v>
      </c>
      <c r="CC105" s="285">
        <v>0</v>
      </c>
      <c r="CD105" s="285">
        <v>0</v>
      </c>
      <c r="CE105" s="285">
        <v>0</v>
      </c>
      <c r="CF105" s="285">
        <v>0</v>
      </c>
      <c r="CG105" s="285">
        <v>0</v>
      </c>
      <c r="CH105" s="285">
        <v>0</v>
      </c>
      <c r="CI105" s="285">
        <v>0</v>
      </c>
      <c r="CJ105" s="285">
        <v>0</v>
      </c>
      <c r="CK105" s="285">
        <v>0</v>
      </c>
      <c r="CL105" s="285">
        <v>0</v>
      </c>
      <c r="CM105" s="285">
        <v>0</v>
      </c>
      <c r="CN105" s="285">
        <v>0</v>
      </c>
      <c r="CO105" s="285">
        <v>0</v>
      </c>
      <c r="CP105" s="285">
        <v>0</v>
      </c>
      <c r="CQ105" s="285">
        <v>0</v>
      </c>
      <c r="CR105" s="285">
        <v>0</v>
      </c>
      <c r="CS105" s="285">
        <v>0</v>
      </c>
      <c r="CT105" s="285">
        <v>0</v>
      </c>
      <c r="CU105" s="285">
        <v>0</v>
      </c>
      <c r="CV105" s="285">
        <v>0</v>
      </c>
      <c r="CW105" s="285">
        <v>0</v>
      </c>
      <c r="CX105" s="285">
        <v>0</v>
      </c>
      <c r="CY105" s="285">
        <v>0</v>
      </c>
      <c r="CZ105" s="285">
        <v>0</v>
      </c>
      <c r="DA105" s="285">
        <v>0</v>
      </c>
      <c r="DB105" s="285">
        <v>0</v>
      </c>
      <c r="DC105" s="285">
        <v>0</v>
      </c>
      <c r="DD105" s="285">
        <v>0</v>
      </c>
      <c r="DE105" s="285">
        <v>0</v>
      </c>
      <c r="DF105" s="285">
        <v>0</v>
      </c>
      <c r="DG105" s="285">
        <v>0</v>
      </c>
      <c r="DH105" s="285">
        <v>0</v>
      </c>
      <c r="DI105" s="285">
        <v>0</v>
      </c>
      <c r="DJ105" s="285">
        <v>0</v>
      </c>
      <c r="DK105" s="285">
        <v>0</v>
      </c>
      <c r="DL105" s="285">
        <v>0</v>
      </c>
      <c r="DM105" s="285">
        <v>0</v>
      </c>
      <c r="DN105" s="285">
        <v>0</v>
      </c>
      <c r="DO105" s="285">
        <v>0</v>
      </c>
      <c r="DP105" s="285">
        <v>0</v>
      </c>
      <c r="DQ105" s="285">
        <v>0</v>
      </c>
      <c r="DR105" s="285">
        <v>0</v>
      </c>
      <c r="DS105" s="285">
        <v>0</v>
      </c>
      <c r="DT105" s="285">
        <v>0</v>
      </c>
      <c r="DU105" s="285"/>
      <c r="DV105" s="285"/>
      <c r="DW105" s="285"/>
      <c r="EA105" s="54">
        <f t="shared" si="10"/>
        <v>0</v>
      </c>
      <c r="EB105" s="54">
        <f t="shared" si="11"/>
        <v>0</v>
      </c>
      <c r="EC105" s="54">
        <f t="shared" si="7"/>
        <v>0</v>
      </c>
      <c r="ED105" s="54">
        <f t="shared" si="5"/>
        <v>0</v>
      </c>
      <c r="EE105" s="54">
        <f t="shared" si="6"/>
        <v>0</v>
      </c>
      <c r="EF105" s="54">
        <f t="shared" si="8"/>
        <v>0</v>
      </c>
      <c r="EG105" s="54">
        <f t="shared" si="9"/>
        <v>0</v>
      </c>
    </row>
    <row r="106" spans="1:137" s="288" customFormat="1" ht="12.75" thickBot="1">
      <c r="A106" s="287" t="s">
        <v>552</v>
      </c>
      <c r="B106" s="288">
        <v>85901878.719999999</v>
      </c>
      <c r="C106" s="288">
        <v>1182857.23</v>
      </c>
      <c r="D106" s="288">
        <v>7095197.0800000001</v>
      </c>
      <c r="E106" s="288">
        <v>783960.27</v>
      </c>
      <c r="F106" s="288">
        <v>290769.95</v>
      </c>
      <c r="G106" s="288">
        <v>798112.82</v>
      </c>
      <c r="H106" s="288">
        <v>258265.55</v>
      </c>
      <c r="I106" s="288">
        <v>344824.73</v>
      </c>
      <c r="J106" s="288">
        <v>0</v>
      </c>
      <c r="K106" s="288">
        <v>132677.17000000001</v>
      </c>
      <c r="L106" s="288">
        <v>245269.51</v>
      </c>
      <c r="M106" s="288">
        <v>376780.37</v>
      </c>
      <c r="N106" s="288">
        <v>406535.71</v>
      </c>
      <c r="O106" s="288">
        <v>719387.21</v>
      </c>
      <c r="P106" s="288">
        <v>501817.23</v>
      </c>
      <c r="Q106" s="288">
        <v>3459193.06</v>
      </c>
      <c r="R106" s="288">
        <v>319001.3</v>
      </c>
      <c r="S106" s="288">
        <v>113657.11</v>
      </c>
      <c r="T106" s="288">
        <v>595</v>
      </c>
      <c r="U106" s="288">
        <v>2813</v>
      </c>
      <c r="V106" s="288">
        <v>17300.7</v>
      </c>
      <c r="W106" s="300">
        <v>4543710.87</v>
      </c>
      <c r="X106" s="288">
        <v>11181669.01</v>
      </c>
      <c r="Y106" s="288">
        <v>4509404.78</v>
      </c>
      <c r="Z106" s="288">
        <v>2100718</v>
      </c>
      <c r="AA106" s="288">
        <v>404352.15</v>
      </c>
      <c r="AB106" s="288">
        <v>80687.839999999997</v>
      </c>
      <c r="AC106" s="288">
        <v>0</v>
      </c>
      <c r="AD106" s="288">
        <v>1507343.81</v>
      </c>
      <c r="AE106" s="288">
        <v>44524977.259999998</v>
      </c>
      <c r="AF106" s="288">
        <v>444373.01</v>
      </c>
      <c r="AG106" s="288">
        <v>475610.22</v>
      </c>
      <c r="AH106" s="288">
        <v>595411.31000000006</v>
      </c>
      <c r="AI106" s="288">
        <v>585126.09</v>
      </c>
      <c r="AJ106" s="288">
        <v>475132.72</v>
      </c>
      <c r="AK106" s="288">
        <v>1743643.19</v>
      </c>
      <c r="AL106" s="288">
        <v>224414.33</v>
      </c>
      <c r="AM106" s="288">
        <v>693471.26</v>
      </c>
      <c r="AN106" s="288">
        <v>5193216.3</v>
      </c>
      <c r="AO106" s="288">
        <v>2060168.95</v>
      </c>
      <c r="AP106" s="288">
        <v>1676216.44</v>
      </c>
      <c r="AQ106" s="288">
        <v>611612.38</v>
      </c>
      <c r="AR106" s="288">
        <v>732096.54</v>
      </c>
      <c r="AS106" s="288">
        <v>214887.14</v>
      </c>
      <c r="AT106" s="288">
        <v>0</v>
      </c>
      <c r="AU106" s="288">
        <v>650225.57999999996</v>
      </c>
      <c r="AV106" s="288">
        <v>2733374.65</v>
      </c>
      <c r="AW106" s="288">
        <v>769176.99</v>
      </c>
      <c r="AX106" s="288">
        <v>356627.56</v>
      </c>
      <c r="AY106" s="288">
        <v>368846.15</v>
      </c>
      <c r="AZ106" s="288">
        <v>35506</v>
      </c>
      <c r="BA106" s="288">
        <v>1131708.6599999999</v>
      </c>
      <c r="BB106" s="288">
        <v>1190194.94</v>
      </c>
      <c r="BC106" s="288">
        <v>1773695.6</v>
      </c>
      <c r="BD106" s="288">
        <v>896182.62</v>
      </c>
      <c r="BE106" s="288">
        <v>0</v>
      </c>
      <c r="BF106" s="288">
        <v>39533195.439999998</v>
      </c>
      <c r="BG106" s="288">
        <v>1543231.79</v>
      </c>
      <c r="BH106" s="288">
        <v>1607481.99</v>
      </c>
      <c r="BI106" s="288">
        <v>1546534.52</v>
      </c>
      <c r="BJ106" s="288">
        <v>1517438.79</v>
      </c>
      <c r="BK106" s="288">
        <v>1440201.54</v>
      </c>
      <c r="BL106" s="288">
        <v>1469600.71</v>
      </c>
      <c r="BM106" s="288">
        <v>549242.86</v>
      </c>
      <c r="BN106" s="288">
        <v>1593157.89</v>
      </c>
      <c r="BO106" s="288">
        <v>711222.86</v>
      </c>
      <c r="BP106" s="288">
        <v>544879.85</v>
      </c>
      <c r="BQ106" s="288">
        <v>1417772.39</v>
      </c>
      <c r="BR106" s="288">
        <v>2928966.54</v>
      </c>
      <c r="BS106" s="288">
        <v>1663502.11</v>
      </c>
      <c r="BT106" s="288">
        <v>1125073.9099999999</v>
      </c>
      <c r="BU106" s="288">
        <v>502193.12</v>
      </c>
      <c r="BV106" s="288">
        <v>512227.82</v>
      </c>
      <c r="BW106" s="288">
        <v>608043.29</v>
      </c>
      <c r="BX106" s="288">
        <v>680360.4</v>
      </c>
      <c r="BY106" s="288">
        <v>530290.26</v>
      </c>
      <c r="BZ106" s="288">
        <v>451159.65</v>
      </c>
      <c r="CA106" s="288">
        <v>540122.69999999995</v>
      </c>
      <c r="CB106" s="288">
        <v>650358.34</v>
      </c>
      <c r="CC106" s="288">
        <v>306099.36</v>
      </c>
      <c r="CD106" s="288">
        <v>429653.56</v>
      </c>
      <c r="CE106" s="288">
        <v>263839.27</v>
      </c>
      <c r="CF106" s="288">
        <v>362027.81</v>
      </c>
      <c r="CG106" s="288">
        <v>285114.75</v>
      </c>
      <c r="CH106" s="288">
        <v>457067.53</v>
      </c>
      <c r="CI106" s="288">
        <v>364921.82</v>
      </c>
      <c r="CJ106" s="288">
        <v>492645.03</v>
      </c>
      <c r="CK106" s="288">
        <v>118559.7</v>
      </c>
      <c r="CL106" s="288">
        <v>209738.48</v>
      </c>
      <c r="CM106" s="288">
        <v>140565.34</v>
      </c>
      <c r="CN106" s="288">
        <v>187467.66</v>
      </c>
      <c r="CO106" s="288">
        <v>209733.06</v>
      </c>
      <c r="CP106" s="288">
        <v>855464.87</v>
      </c>
      <c r="CQ106" s="288">
        <v>3801406.24</v>
      </c>
      <c r="CR106" s="288">
        <v>186976</v>
      </c>
      <c r="CS106" s="288">
        <v>186348.23</v>
      </c>
      <c r="CT106" s="288">
        <v>209412.12</v>
      </c>
      <c r="CU106" s="288">
        <v>233104.76</v>
      </c>
      <c r="CV106" s="288">
        <v>684890.44</v>
      </c>
      <c r="CW106" s="288">
        <v>388713.03</v>
      </c>
      <c r="CX106" s="288">
        <v>201747.15</v>
      </c>
      <c r="CY106" s="288">
        <v>182731.93</v>
      </c>
      <c r="CZ106" s="288">
        <v>150108.20000000001</v>
      </c>
      <c r="DA106" s="288">
        <v>198033.33</v>
      </c>
      <c r="DB106" s="288">
        <v>214145.26</v>
      </c>
      <c r="DC106" s="288">
        <v>186458.57</v>
      </c>
      <c r="DD106" s="288">
        <v>170393.29</v>
      </c>
      <c r="DE106" s="288">
        <v>171242.92</v>
      </c>
      <c r="DF106" s="288">
        <v>171572.1</v>
      </c>
      <c r="DG106" s="288">
        <v>129566.25</v>
      </c>
      <c r="DH106" s="288">
        <v>231502.62</v>
      </c>
      <c r="DI106" s="288">
        <v>122433.14</v>
      </c>
      <c r="DJ106" s="288">
        <v>118372.4</v>
      </c>
      <c r="DK106" s="288">
        <v>158067.53</v>
      </c>
      <c r="DL106" s="288">
        <v>151743.71</v>
      </c>
      <c r="DM106" s="288">
        <v>171753.39</v>
      </c>
      <c r="DN106" s="288">
        <v>279810.43</v>
      </c>
      <c r="DO106" s="288">
        <v>575020.15</v>
      </c>
      <c r="DP106" s="288">
        <v>237089.96</v>
      </c>
      <c r="DQ106" s="288">
        <v>353056.61</v>
      </c>
      <c r="DR106" s="288">
        <v>151897.65</v>
      </c>
      <c r="DS106" s="288">
        <v>524115.62</v>
      </c>
      <c r="DT106" s="288">
        <v>175520.84</v>
      </c>
      <c r="DX106" s="54"/>
      <c r="DY106" s="54"/>
      <c r="DZ106" s="54"/>
      <c r="EA106" s="54">
        <f t="shared" si="10"/>
        <v>-44524977.25999999</v>
      </c>
      <c r="EB106" s="54">
        <f t="shared" si="11"/>
        <v>3519944.0099999993</v>
      </c>
      <c r="EC106" s="54">
        <f t="shared" si="7"/>
        <v>78890870.040000066</v>
      </c>
      <c r="ED106" s="54">
        <f t="shared" si="5"/>
        <v>48826973.099999994</v>
      </c>
      <c r="EE106" s="54">
        <f t="shared" si="6"/>
        <v>-1375244.29</v>
      </c>
      <c r="EF106" s="54">
        <f t="shared" si="8"/>
        <v>6862372.4699999997</v>
      </c>
      <c r="EG106" s="54">
        <f t="shared" si="9"/>
        <v>-7028891.79</v>
      </c>
    </row>
    <row r="109" spans="1:137">
      <c r="B109" s="54">
        <v>218232967.97</v>
      </c>
    </row>
    <row r="110" spans="1:137">
      <c r="B110" s="54">
        <v>3757415.0599999996</v>
      </c>
    </row>
    <row r="111" spans="1:137">
      <c r="B111" s="54">
        <v>7038265.1000000006</v>
      </c>
    </row>
    <row r="112" spans="1:137">
      <c r="B112" s="54">
        <v>5253387.9000000004</v>
      </c>
    </row>
    <row r="113" spans="2:91">
      <c r="B113" s="54">
        <v>60823300.459999993</v>
      </c>
      <c r="CL113" s="54" t="s">
        <v>394</v>
      </c>
      <c r="CM113" s="54">
        <v>-285.79999999999927</v>
      </c>
    </row>
    <row r="114" spans="2:91">
      <c r="B114" s="54">
        <v>359744.37</v>
      </c>
      <c r="CL114" s="54" t="s">
        <v>395</v>
      </c>
      <c r="CM114" s="54">
        <v>-221.26999999999998</v>
      </c>
    </row>
    <row r="115" spans="2:91">
      <c r="B115" s="54">
        <v>4298338.5599999996</v>
      </c>
      <c r="CL115" s="54" t="s">
        <v>396</v>
      </c>
      <c r="CM115" s="54">
        <v>-188.16999999999962</v>
      </c>
    </row>
    <row r="116" spans="2:91">
      <c r="B116" s="54">
        <v>2730887.59</v>
      </c>
      <c r="CL116" s="54" t="s">
        <v>398</v>
      </c>
      <c r="CM116" s="54">
        <v>-158</v>
      </c>
    </row>
    <row r="117" spans="2:91">
      <c r="B117" s="54">
        <v>4184140.3800000004</v>
      </c>
      <c r="CL117" s="54" t="s">
        <v>400</v>
      </c>
      <c r="CM117" s="54">
        <v>-99.839999999999918</v>
      </c>
    </row>
    <row r="118" spans="2:91">
      <c r="B118" s="54">
        <v>18717459.079999998</v>
      </c>
      <c r="CL118" s="54" t="s">
        <v>401</v>
      </c>
      <c r="CM118" s="54">
        <v>-101.89999999999986</v>
      </c>
    </row>
    <row r="119" spans="2:91">
      <c r="B119" s="54">
        <v>325395906.47000003</v>
      </c>
      <c r="CL119" s="54" t="s">
        <v>402</v>
      </c>
      <c r="CM119" s="54">
        <v>7.4700000000000273</v>
      </c>
    </row>
    <row r="120" spans="2:91">
      <c r="CL120" s="54" t="s">
        <v>403</v>
      </c>
      <c r="CM120" s="54">
        <v>-65.009999999999991</v>
      </c>
    </row>
    <row r="121" spans="2:91">
      <c r="CL121" s="54" t="s">
        <v>404</v>
      </c>
      <c r="CM121" s="54">
        <v>-14.44999999999996</v>
      </c>
    </row>
    <row r="122" spans="2:91">
      <c r="CL122" s="54" t="s">
        <v>405</v>
      </c>
      <c r="CM122" s="54">
        <v>-111.50999999999976</v>
      </c>
    </row>
    <row r="123" spans="2:91">
      <c r="CL123" s="54" t="s">
        <v>406</v>
      </c>
      <c r="CM123" s="54">
        <v>-164.79000000000042</v>
      </c>
    </row>
    <row r="124" spans="2:91">
      <c r="CL124" s="54" t="s">
        <v>407</v>
      </c>
      <c r="CM124" s="54">
        <v>-188.98999999999978</v>
      </c>
    </row>
    <row r="125" spans="2:91">
      <c r="CL125" s="54" t="s">
        <v>408</v>
      </c>
      <c r="CM125" s="54">
        <v>-423.34999999999945</v>
      </c>
    </row>
    <row r="126" spans="2:91">
      <c r="CL126" s="54" t="s">
        <v>409</v>
      </c>
      <c r="CM126" s="54">
        <v>-209.12000000000035</v>
      </c>
    </row>
    <row r="127" spans="2:91">
      <c r="CL127" s="54" t="s">
        <v>410</v>
      </c>
      <c r="CM127" s="54">
        <v>-343.59999999999945</v>
      </c>
    </row>
    <row r="128" spans="2:91">
      <c r="CL128" s="54" t="s">
        <v>411</v>
      </c>
      <c r="CM128" s="54">
        <v>-28.199999999999989</v>
      </c>
    </row>
    <row r="129" spans="90:91">
      <c r="CL129" s="54" t="s">
        <v>412</v>
      </c>
      <c r="CM129" s="54">
        <v>-34.950000000000045</v>
      </c>
    </row>
    <row r="130" spans="90:91">
      <c r="CL130" s="54" t="s">
        <v>413</v>
      </c>
      <c r="CM130" s="54">
        <v>-169.84000000000015</v>
      </c>
    </row>
    <row r="131" spans="90:91">
      <c r="CL131" s="54" t="s">
        <v>414</v>
      </c>
      <c r="CM131" s="54">
        <v>-38.370000000000005</v>
      </c>
    </row>
    <row r="132" spans="90:91">
      <c r="CL132" s="54" t="s">
        <v>415</v>
      </c>
      <c r="CM132" s="54">
        <v>-58.650000000000091</v>
      </c>
    </row>
    <row r="133" spans="90:91">
      <c r="CL133" s="54" t="s">
        <v>487</v>
      </c>
      <c r="CM133" s="54">
        <v>-54.350000000000136</v>
      </c>
    </row>
    <row r="134" spans="90:91">
      <c r="CL134" s="54" t="s">
        <v>488</v>
      </c>
      <c r="CM134" s="54">
        <v>-1340.9099999999999</v>
      </c>
    </row>
    <row r="135" spans="90:91">
      <c r="CL135" s="54" t="s">
        <v>489</v>
      </c>
      <c r="CM135" s="54">
        <v>-172.13000000000011</v>
      </c>
    </row>
  </sheetData>
  <mergeCells count="1">
    <mergeCell ref="EA1:EF1"/>
  </mergeCells>
  <phoneticPr fontId="3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98"/>
  <sheetViews>
    <sheetView tabSelected="1" zoomScale="90" zoomScaleNormal="90" workbookViewId="0">
      <pane xSplit="2" ySplit="49" topLeftCell="C284" activePane="bottomRight" state="frozen"/>
      <selection pane="topRight"/>
      <selection pane="bottomLeft"/>
      <selection pane="bottomRight" activeCell="C296" sqref="C296"/>
    </sheetView>
  </sheetViews>
  <sheetFormatPr defaultColWidth="9" defaultRowHeight="16.5"/>
  <cols>
    <col min="1" max="1" width="6.875" style="124" customWidth="1"/>
    <col min="2" max="2" width="19.125" style="124" customWidth="1"/>
    <col min="3" max="3" width="16.875" style="125" customWidth="1"/>
    <col min="4" max="4" width="21.75" style="117" customWidth="1"/>
    <col min="5" max="5" width="17.125" style="117" customWidth="1"/>
    <col min="6" max="6" width="26.875" style="117" customWidth="1"/>
    <col min="7" max="7" width="16.375" style="117" customWidth="1"/>
    <col min="8" max="8" width="33.75" style="126" customWidth="1"/>
    <col min="9" max="9" width="27.625" style="122" customWidth="1"/>
    <col min="10" max="10" width="14" style="122" customWidth="1"/>
    <col min="11" max="11" width="14.625" style="122" customWidth="1"/>
    <col min="12" max="12" width="13.5" style="122" customWidth="1"/>
    <col min="13" max="15" width="14" style="122" customWidth="1"/>
    <col min="16" max="16" width="12.25" style="122" customWidth="1"/>
    <col min="17" max="19" width="9" style="122"/>
    <col min="20" max="20" width="15.125" style="122" customWidth="1"/>
    <col min="21" max="22" width="9" style="122"/>
    <col min="23" max="16384" width="9" style="117"/>
  </cols>
  <sheetData>
    <row r="1" spans="1:25" ht="21.75" hidden="1" customHeight="1">
      <c r="A1" s="117"/>
      <c r="B1" s="117"/>
      <c r="C1" s="121"/>
      <c r="H1" s="117"/>
      <c r="I1" s="122" t="s">
        <v>32</v>
      </c>
      <c r="K1" s="122" t="s">
        <v>5</v>
      </c>
      <c r="M1" s="122" t="s">
        <v>88</v>
      </c>
      <c r="N1" s="123"/>
      <c r="O1" s="123"/>
      <c r="R1" s="123"/>
      <c r="T1" s="122" t="s">
        <v>88</v>
      </c>
      <c r="U1" s="123">
        <f t="shared" ref="U1:U44" si="0">VLOOKUP(T1,$M$1:$Q$44,2,0)</f>
        <v>0</v>
      </c>
      <c r="V1" s="123">
        <v>0</v>
      </c>
      <c r="W1" s="122" t="s">
        <v>88</v>
      </c>
      <c r="X1" s="122" t="s">
        <v>137</v>
      </c>
      <c r="Y1" s="123">
        <f t="shared" ref="Y1:Y44" si="1">VLOOKUP(W1,$M$1:$O$44,3,0)</f>
        <v>0</v>
      </c>
    </row>
    <row r="2" spans="1:25" hidden="1">
      <c r="A2" s="117"/>
      <c r="B2" s="117"/>
      <c r="C2" s="121"/>
      <c r="H2" s="117"/>
      <c r="I2" s="122" t="s">
        <v>33</v>
      </c>
      <c r="K2" s="122" t="s">
        <v>6</v>
      </c>
      <c r="M2" s="122" t="s">
        <v>89</v>
      </c>
      <c r="N2" s="123"/>
      <c r="O2" s="123"/>
      <c r="R2" s="123"/>
      <c r="T2" s="122" t="s">
        <v>89</v>
      </c>
      <c r="U2" s="123">
        <f t="shared" si="0"/>
        <v>0</v>
      </c>
      <c r="V2" s="123">
        <v>0</v>
      </c>
      <c r="W2" s="122" t="s">
        <v>89</v>
      </c>
      <c r="X2" s="122" t="s">
        <v>137</v>
      </c>
      <c r="Y2" s="123">
        <f t="shared" si="1"/>
        <v>0</v>
      </c>
    </row>
    <row r="3" spans="1:25" hidden="1">
      <c r="A3" s="117"/>
      <c r="B3" s="117"/>
      <c r="C3" s="121"/>
      <c r="H3" s="117"/>
      <c r="I3" s="122" t="s">
        <v>34</v>
      </c>
      <c r="K3" s="122" t="s">
        <v>7</v>
      </c>
      <c r="M3" s="122" t="s">
        <v>90</v>
      </c>
      <c r="N3" s="123"/>
      <c r="O3" s="123"/>
      <c r="R3" s="123"/>
      <c r="T3" s="122" t="s">
        <v>90</v>
      </c>
      <c r="U3" s="123">
        <f t="shared" si="0"/>
        <v>0</v>
      </c>
      <c r="V3" s="123">
        <v>0</v>
      </c>
      <c r="W3" s="122" t="s">
        <v>90</v>
      </c>
      <c r="X3" s="122" t="s">
        <v>137</v>
      </c>
      <c r="Y3" s="123">
        <f t="shared" si="1"/>
        <v>0</v>
      </c>
    </row>
    <row r="4" spans="1:25" hidden="1">
      <c r="A4" s="117"/>
      <c r="B4" s="117"/>
      <c r="C4" s="121"/>
      <c r="H4" s="117"/>
      <c r="I4" s="122" t="s">
        <v>35</v>
      </c>
      <c r="K4" s="122" t="s">
        <v>9</v>
      </c>
      <c r="M4" s="122" t="s">
        <v>91</v>
      </c>
      <c r="N4" s="123"/>
      <c r="O4" s="123"/>
      <c r="R4" s="123"/>
      <c r="T4" s="122" t="s">
        <v>92</v>
      </c>
      <c r="U4" s="123">
        <f t="shared" si="0"/>
        <v>0</v>
      </c>
      <c r="V4" s="123">
        <v>0</v>
      </c>
      <c r="W4" s="122" t="s">
        <v>91</v>
      </c>
      <c r="X4" s="122" t="s">
        <v>137</v>
      </c>
      <c r="Y4" s="123">
        <f t="shared" si="1"/>
        <v>0</v>
      </c>
    </row>
    <row r="5" spans="1:25" hidden="1">
      <c r="A5" s="117"/>
      <c r="B5" s="117"/>
      <c r="C5" s="121"/>
      <c r="H5" s="117"/>
      <c r="I5" s="122" t="s">
        <v>36</v>
      </c>
      <c r="K5" s="122" t="s">
        <v>14</v>
      </c>
      <c r="M5" s="122" t="s">
        <v>92</v>
      </c>
      <c r="N5" s="123"/>
      <c r="O5" s="123"/>
      <c r="R5" s="123"/>
      <c r="T5" s="122" t="s">
        <v>93</v>
      </c>
      <c r="U5" s="123">
        <f t="shared" si="0"/>
        <v>0</v>
      </c>
      <c r="V5" s="123">
        <v>0</v>
      </c>
      <c r="W5" s="122" t="s">
        <v>92</v>
      </c>
      <c r="X5" s="122" t="s">
        <v>137</v>
      </c>
      <c r="Y5" s="123">
        <f t="shared" si="1"/>
        <v>0</v>
      </c>
    </row>
    <row r="6" spans="1:25" hidden="1">
      <c r="A6" s="117"/>
      <c r="B6" s="117"/>
      <c r="C6" s="121"/>
      <c r="H6" s="117"/>
      <c r="I6" s="122" t="s">
        <v>37</v>
      </c>
      <c r="K6" s="122" t="s">
        <v>17</v>
      </c>
      <c r="M6" s="122" t="s">
        <v>93</v>
      </c>
      <c r="N6" s="123"/>
      <c r="O6" s="123"/>
      <c r="R6" s="123"/>
      <c r="T6" s="122" t="s">
        <v>94</v>
      </c>
      <c r="U6" s="123">
        <f t="shared" si="0"/>
        <v>0</v>
      </c>
      <c r="V6" s="123">
        <v>0</v>
      </c>
      <c r="W6" s="122" t="s">
        <v>93</v>
      </c>
      <c r="X6" s="122" t="s">
        <v>137</v>
      </c>
      <c r="Y6" s="123">
        <f t="shared" si="1"/>
        <v>0</v>
      </c>
    </row>
    <row r="7" spans="1:25" hidden="1">
      <c r="A7" s="117"/>
      <c r="B7" s="117"/>
      <c r="C7" s="121"/>
      <c r="H7" s="117"/>
      <c r="I7" s="122" t="s">
        <v>39</v>
      </c>
      <c r="K7" s="122" t="s">
        <v>19</v>
      </c>
      <c r="M7" s="122" t="s">
        <v>94</v>
      </c>
      <c r="N7" s="123"/>
      <c r="O7" s="123"/>
      <c r="R7" s="123"/>
      <c r="T7" s="122" t="s">
        <v>95</v>
      </c>
      <c r="U7" s="123">
        <f t="shared" si="0"/>
        <v>0</v>
      </c>
      <c r="V7" s="123">
        <v>0</v>
      </c>
      <c r="W7" s="122" t="s">
        <v>94</v>
      </c>
      <c r="X7" s="122" t="s">
        <v>137</v>
      </c>
      <c r="Y7" s="123">
        <f t="shared" si="1"/>
        <v>0</v>
      </c>
    </row>
    <row r="8" spans="1:25" hidden="1">
      <c r="A8" s="117"/>
      <c r="B8" s="117"/>
      <c r="C8" s="121"/>
      <c r="H8" s="117"/>
      <c r="I8" s="122" t="s">
        <v>40</v>
      </c>
      <c r="K8" s="122" t="s">
        <v>76</v>
      </c>
      <c r="M8" s="122" t="s">
        <v>95</v>
      </c>
      <c r="N8" s="123"/>
      <c r="O8" s="123"/>
      <c r="R8" s="123"/>
      <c r="T8" s="122" t="s">
        <v>138</v>
      </c>
      <c r="U8" s="123" t="e">
        <f t="shared" si="0"/>
        <v>#N/A</v>
      </c>
      <c r="V8" s="123">
        <v>0</v>
      </c>
      <c r="W8" s="122" t="s">
        <v>95</v>
      </c>
      <c r="X8" s="122" t="s">
        <v>137</v>
      </c>
      <c r="Y8" s="123">
        <f t="shared" si="1"/>
        <v>0</v>
      </c>
    </row>
    <row r="9" spans="1:25" hidden="1">
      <c r="A9" s="117"/>
      <c r="B9" s="117"/>
      <c r="C9" s="121"/>
      <c r="H9" s="117"/>
      <c r="I9" s="122" t="s">
        <v>41</v>
      </c>
      <c r="K9" s="122" t="s">
        <v>77</v>
      </c>
      <c r="M9" s="122" t="s">
        <v>96</v>
      </c>
      <c r="N9" s="123"/>
      <c r="O9" s="123"/>
      <c r="R9" s="123"/>
      <c r="T9" s="122" t="s">
        <v>97</v>
      </c>
      <c r="U9" s="123">
        <f t="shared" si="0"/>
        <v>0</v>
      </c>
      <c r="V9" s="123">
        <v>0</v>
      </c>
      <c r="W9" s="122" t="s">
        <v>96</v>
      </c>
      <c r="X9" s="122" t="s">
        <v>137</v>
      </c>
      <c r="Y9" s="123">
        <f t="shared" si="1"/>
        <v>0</v>
      </c>
    </row>
    <row r="10" spans="1:25" hidden="1">
      <c r="A10" s="117"/>
      <c r="B10" s="117"/>
      <c r="C10" s="121"/>
      <c r="H10" s="122"/>
      <c r="I10" s="122" t="s">
        <v>447</v>
      </c>
      <c r="K10" s="122" t="s">
        <v>12</v>
      </c>
      <c r="M10" s="122" t="s">
        <v>97</v>
      </c>
      <c r="N10" s="123"/>
      <c r="O10" s="123"/>
      <c r="R10" s="123"/>
      <c r="T10" s="122" t="s">
        <v>100</v>
      </c>
      <c r="U10" s="123">
        <f t="shared" si="0"/>
        <v>0</v>
      </c>
      <c r="V10" s="123">
        <v>0</v>
      </c>
      <c r="W10" s="122" t="s">
        <v>97</v>
      </c>
      <c r="X10" s="122" t="s">
        <v>137</v>
      </c>
      <c r="Y10" s="123">
        <f t="shared" si="1"/>
        <v>0</v>
      </c>
    </row>
    <row r="11" spans="1:25" hidden="1">
      <c r="A11" s="117"/>
      <c r="B11" s="117"/>
      <c r="C11" s="121"/>
      <c r="H11" s="122"/>
      <c r="I11" s="122" t="s">
        <v>448</v>
      </c>
      <c r="K11" s="122" t="s">
        <v>22</v>
      </c>
      <c r="M11" s="122" t="s">
        <v>100</v>
      </c>
      <c r="N11" s="123"/>
      <c r="O11" s="123"/>
      <c r="R11" s="123"/>
      <c r="T11" s="122" t="s">
        <v>139</v>
      </c>
      <c r="U11" s="123" t="e">
        <f t="shared" si="0"/>
        <v>#N/A</v>
      </c>
      <c r="V11" s="123">
        <v>0</v>
      </c>
      <c r="W11" s="122" t="s">
        <v>100</v>
      </c>
      <c r="X11" s="122" t="s">
        <v>137</v>
      </c>
      <c r="Y11" s="123">
        <f t="shared" si="1"/>
        <v>0</v>
      </c>
    </row>
    <row r="12" spans="1:25" hidden="1">
      <c r="A12" s="117"/>
      <c r="B12" s="117"/>
      <c r="C12" s="121"/>
      <c r="H12" s="117"/>
      <c r="I12" s="122" t="s">
        <v>43</v>
      </c>
      <c r="K12" s="122" t="s">
        <v>80</v>
      </c>
      <c r="M12" s="122" t="s">
        <v>101</v>
      </c>
      <c r="N12" s="123"/>
      <c r="O12" s="123"/>
      <c r="R12" s="123"/>
      <c r="T12" s="122" t="s">
        <v>102</v>
      </c>
      <c r="U12" s="123">
        <f t="shared" si="0"/>
        <v>0</v>
      </c>
      <c r="V12" s="123">
        <v>0</v>
      </c>
      <c r="W12" s="122" t="s">
        <v>101</v>
      </c>
      <c r="X12" s="122" t="s">
        <v>137</v>
      </c>
      <c r="Y12" s="123">
        <f t="shared" si="1"/>
        <v>0</v>
      </c>
    </row>
    <row r="13" spans="1:25" hidden="1">
      <c r="A13" s="117"/>
      <c r="B13" s="117"/>
      <c r="C13" s="121"/>
      <c r="H13" s="117"/>
      <c r="I13" s="122" t="s">
        <v>44</v>
      </c>
      <c r="K13" s="122" t="s">
        <v>23</v>
      </c>
      <c r="M13" s="122" t="s">
        <v>102</v>
      </c>
      <c r="N13" s="123"/>
      <c r="O13" s="123"/>
      <c r="R13" s="123"/>
      <c r="T13" s="122" t="s">
        <v>104</v>
      </c>
      <c r="U13" s="123">
        <f t="shared" si="0"/>
        <v>0</v>
      </c>
      <c r="V13" s="123">
        <v>0</v>
      </c>
      <c r="W13" s="122" t="s">
        <v>102</v>
      </c>
      <c r="X13" s="122" t="s">
        <v>137</v>
      </c>
      <c r="Y13" s="123">
        <f t="shared" si="1"/>
        <v>0</v>
      </c>
    </row>
    <row r="14" spans="1:25" hidden="1">
      <c r="A14" s="117"/>
      <c r="B14" s="117"/>
      <c r="C14" s="121"/>
      <c r="H14" s="117"/>
      <c r="I14" s="122" t="s">
        <v>45</v>
      </c>
      <c r="K14" s="122" t="s">
        <v>24</v>
      </c>
      <c r="M14" s="122" t="s">
        <v>103</v>
      </c>
      <c r="N14" s="123"/>
      <c r="O14" s="123"/>
      <c r="R14" s="123"/>
      <c r="T14" s="122" t="s">
        <v>106</v>
      </c>
      <c r="U14" s="123">
        <f t="shared" si="0"/>
        <v>0</v>
      </c>
      <c r="V14" s="123">
        <v>0</v>
      </c>
      <c r="W14" s="122" t="s">
        <v>103</v>
      </c>
      <c r="X14" s="122" t="s">
        <v>137</v>
      </c>
      <c r="Y14" s="123">
        <f t="shared" si="1"/>
        <v>0</v>
      </c>
    </row>
    <row r="15" spans="1:25" hidden="1">
      <c r="A15" s="117"/>
      <c r="B15" s="117"/>
      <c r="C15" s="121"/>
      <c r="H15" s="117"/>
      <c r="I15" s="122" t="s">
        <v>46</v>
      </c>
      <c r="K15" s="122" t="s">
        <v>29</v>
      </c>
      <c r="M15" s="122" t="s">
        <v>104</v>
      </c>
      <c r="N15" s="123"/>
      <c r="O15" s="123"/>
      <c r="R15" s="123"/>
      <c r="T15" s="122" t="s">
        <v>107</v>
      </c>
      <c r="U15" s="123">
        <f t="shared" si="0"/>
        <v>0</v>
      </c>
      <c r="V15" s="123">
        <v>0</v>
      </c>
      <c r="W15" s="122" t="s">
        <v>104</v>
      </c>
      <c r="X15" s="122" t="s">
        <v>137</v>
      </c>
      <c r="Y15" s="123">
        <f t="shared" si="1"/>
        <v>0</v>
      </c>
    </row>
    <row r="16" spans="1:25" hidden="1">
      <c r="I16" s="122" t="s">
        <v>48</v>
      </c>
      <c r="K16" s="122" t="s">
        <v>82</v>
      </c>
      <c r="M16" s="122" t="s">
        <v>106</v>
      </c>
      <c r="N16" s="123"/>
      <c r="O16" s="123"/>
      <c r="R16" s="123"/>
      <c r="T16" s="122" t="s">
        <v>120</v>
      </c>
      <c r="U16" s="123">
        <f t="shared" si="0"/>
        <v>0</v>
      </c>
      <c r="V16" s="123">
        <v>0</v>
      </c>
      <c r="W16" s="122" t="s">
        <v>106</v>
      </c>
      <c r="X16" s="122" t="s">
        <v>137</v>
      </c>
      <c r="Y16" s="123">
        <f t="shared" si="1"/>
        <v>0</v>
      </c>
    </row>
    <row r="17" spans="9:25" hidden="1">
      <c r="I17" s="122" t="s">
        <v>49</v>
      </c>
      <c r="K17" s="122" t="s">
        <v>140</v>
      </c>
      <c r="M17" s="122" t="s">
        <v>107</v>
      </c>
      <c r="N17" s="123"/>
      <c r="O17" s="123"/>
      <c r="R17" s="123"/>
      <c r="T17" s="122" t="s">
        <v>121</v>
      </c>
      <c r="U17" s="123">
        <f t="shared" si="0"/>
        <v>0</v>
      </c>
      <c r="V17" s="123">
        <v>0</v>
      </c>
      <c r="W17" s="122" t="s">
        <v>107</v>
      </c>
      <c r="X17" s="122" t="s">
        <v>137</v>
      </c>
      <c r="Y17" s="123">
        <f t="shared" si="1"/>
        <v>0</v>
      </c>
    </row>
    <row r="18" spans="9:25" hidden="1">
      <c r="I18" s="122" t="s">
        <v>51</v>
      </c>
      <c r="K18" s="122" t="s">
        <v>141</v>
      </c>
      <c r="M18" s="122" t="s">
        <v>108</v>
      </c>
      <c r="N18" s="123"/>
      <c r="O18" s="123"/>
      <c r="R18" s="123"/>
      <c r="T18" s="122" t="s">
        <v>108</v>
      </c>
      <c r="U18" s="123">
        <f t="shared" si="0"/>
        <v>0</v>
      </c>
      <c r="V18" s="123">
        <v>0</v>
      </c>
      <c r="W18" s="122" t="s">
        <v>108</v>
      </c>
      <c r="X18" s="122" t="s">
        <v>137</v>
      </c>
      <c r="Y18" s="123">
        <f t="shared" si="1"/>
        <v>0</v>
      </c>
    </row>
    <row r="19" spans="9:25" hidden="1">
      <c r="I19" s="122" t="s">
        <v>53</v>
      </c>
      <c r="K19" s="122" t="s">
        <v>16</v>
      </c>
      <c r="M19" s="122" t="s">
        <v>109</v>
      </c>
      <c r="N19" s="123"/>
      <c r="O19" s="123"/>
      <c r="R19" s="123"/>
      <c r="T19" s="122" t="s">
        <v>109</v>
      </c>
      <c r="U19" s="123">
        <f t="shared" si="0"/>
        <v>0</v>
      </c>
      <c r="V19" s="123">
        <v>0</v>
      </c>
      <c r="W19" s="122" t="s">
        <v>109</v>
      </c>
      <c r="X19" s="122" t="s">
        <v>137</v>
      </c>
      <c r="Y19" s="123">
        <f t="shared" si="1"/>
        <v>0</v>
      </c>
    </row>
    <row r="20" spans="9:25" hidden="1">
      <c r="K20" s="122" t="s">
        <v>18</v>
      </c>
      <c r="M20" s="122" t="s">
        <v>110</v>
      </c>
      <c r="N20" s="123"/>
      <c r="O20" s="123"/>
      <c r="R20" s="123"/>
      <c r="T20" s="122" t="s">
        <v>91</v>
      </c>
      <c r="U20" s="123">
        <f t="shared" si="0"/>
        <v>0</v>
      </c>
      <c r="V20" s="123">
        <v>0</v>
      </c>
      <c r="W20" s="122" t="s">
        <v>110</v>
      </c>
      <c r="X20" s="122" t="s">
        <v>137</v>
      </c>
      <c r="Y20" s="123">
        <f t="shared" si="1"/>
        <v>0</v>
      </c>
    </row>
    <row r="21" spans="9:25" hidden="1">
      <c r="K21" s="122" t="s">
        <v>142</v>
      </c>
      <c r="M21" s="122" t="s">
        <v>111</v>
      </c>
      <c r="N21" s="123"/>
      <c r="O21" s="123"/>
      <c r="R21" s="123"/>
      <c r="T21" s="122" t="s">
        <v>122</v>
      </c>
      <c r="U21" s="123">
        <f t="shared" si="0"/>
        <v>0</v>
      </c>
      <c r="V21" s="123">
        <v>0</v>
      </c>
      <c r="W21" s="122" t="s">
        <v>111</v>
      </c>
      <c r="X21" s="122" t="s">
        <v>137</v>
      </c>
      <c r="Y21" s="123">
        <f t="shared" si="1"/>
        <v>0</v>
      </c>
    </row>
    <row r="22" spans="9:25" hidden="1">
      <c r="K22" s="122" t="s">
        <v>10</v>
      </c>
      <c r="M22" s="122" t="s">
        <v>112</v>
      </c>
      <c r="N22" s="123"/>
      <c r="O22" s="123"/>
      <c r="R22" s="123"/>
      <c r="T22" s="122" t="s">
        <v>110</v>
      </c>
      <c r="U22" s="123">
        <f t="shared" si="0"/>
        <v>0</v>
      </c>
      <c r="V22" s="123">
        <v>0</v>
      </c>
      <c r="W22" s="122" t="s">
        <v>112</v>
      </c>
      <c r="X22" s="122" t="s">
        <v>137</v>
      </c>
      <c r="Y22" s="123">
        <f t="shared" si="1"/>
        <v>0</v>
      </c>
    </row>
    <row r="23" spans="9:25" hidden="1">
      <c r="K23" s="122" t="s">
        <v>11</v>
      </c>
      <c r="M23" s="122" t="s">
        <v>113</v>
      </c>
      <c r="N23" s="123"/>
      <c r="O23" s="123"/>
      <c r="R23" s="123"/>
      <c r="T23" s="122" t="s">
        <v>117</v>
      </c>
      <c r="U23" s="123">
        <f t="shared" si="0"/>
        <v>0</v>
      </c>
      <c r="V23" s="123">
        <v>0</v>
      </c>
      <c r="W23" s="122" t="s">
        <v>113</v>
      </c>
      <c r="X23" s="122" t="s">
        <v>137</v>
      </c>
      <c r="Y23" s="123">
        <f t="shared" si="1"/>
        <v>0</v>
      </c>
    </row>
    <row r="24" spans="9:25" hidden="1">
      <c r="K24" s="122" t="s">
        <v>12</v>
      </c>
      <c r="M24" s="122" t="s">
        <v>114</v>
      </c>
      <c r="N24" s="123"/>
      <c r="O24" s="123"/>
      <c r="R24" s="123"/>
      <c r="T24" s="122" t="s">
        <v>111</v>
      </c>
      <c r="U24" s="123">
        <f t="shared" si="0"/>
        <v>0</v>
      </c>
      <c r="V24" s="123">
        <v>0</v>
      </c>
      <c r="W24" s="122" t="s">
        <v>114</v>
      </c>
      <c r="X24" s="122" t="s">
        <v>137</v>
      </c>
      <c r="Y24" s="123">
        <f t="shared" si="1"/>
        <v>0</v>
      </c>
    </row>
    <row r="25" spans="9:25" hidden="1">
      <c r="K25" s="122" t="s">
        <v>15</v>
      </c>
      <c r="M25" s="122" t="s">
        <v>115</v>
      </c>
      <c r="N25" s="123"/>
      <c r="O25" s="123"/>
      <c r="R25" s="123"/>
      <c r="T25" s="122" t="s">
        <v>123</v>
      </c>
      <c r="U25" s="123">
        <f t="shared" si="0"/>
        <v>0</v>
      </c>
      <c r="V25" s="123">
        <v>0</v>
      </c>
      <c r="W25" s="122" t="s">
        <v>115</v>
      </c>
      <c r="X25" s="122" t="s">
        <v>137</v>
      </c>
      <c r="Y25" s="123">
        <f t="shared" si="1"/>
        <v>0</v>
      </c>
    </row>
    <row r="26" spans="9:25" hidden="1">
      <c r="K26" s="122" t="s">
        <v>26</v>
      </c>
      <c r="M26" s="122" t="s">
        <v>116</v>
      </c>
      <c r="N26" s="123"/>
      <c r="O26" s="123"/>
      <c r="R26" s="123"/>
      <c r="T26" s="122" t="s">
        <v>112</v>
      </c>
      <c r="U26" s="123">
        <f t="shared" si="0"/>
        <v>0</v>
      </c>
      <c r="V26" s="123">
        <v>0</v>
      </c>
      <c r="W26" s="122" t="s">
        <v>116</v>
      </c>
      <c r="X26" s="122" t="s">
        <v>137</v>
      </c>
      <c r="Y26" s="123">
        <f t="shared" si="1"/>
        <v>0</v>
      </c>
    </row>
    <row r="27" spans="9:25" hidden="1">
      <c r="K27" s="122" t="s">
        <v>27</v>
      </c>
      <c r="M27" s="122" t="s">
        <v>117</v>
      </c>
      <c r="N27" s="123"/>
      <c r="O27" s="123"/>
      <c r="R27" s="123"/>
      <c r="T27" s="122" t="s">
        <v>113</v>
      </c>
      <c r="U27" s="123">
        <f t="shared" si="0"/>
        <v>0</v>
      </c>
      <c r="V27" s="123">
        <v>0</v>
      </c>
      <c r="W27" s="122" t="s">
        <v>117</v>
      </c>
      <c r="X27" s="122" t="s">
        <v>137</v>
      </c>
      <c r="Y27" s="123">
        <f t="shared" si="1"/>
        <v>0</v>
      </c>
    </row>
    <row r="28" spans="9:25" hidden="1">
      <c r="K28" s="122" t="s">
        <v>57</v>
      </c>
      <c r="M28" s="122" t="s">
        <v>118</v>
      </c>
      <c r="N28" s="123"/>
      <c r="O28" s="123"/>
      <c r="R28" s="123"/>
      <c r="T28" s="122" t="s">
        <v>116</v>
      </c>
      <c r="U28" s="123">
        <f t="shared" si="0"/>
        <v>0</v>
      </c>
      <c r="V28" s="123">
        <v>0</v>
      </c>
      <c r="W28" s="122" t="s">
        <v>118</v>
      </c>
      <c r="X28" s="122" t="s">
        <v>137</v>
      </c>
      <c r="Y28" s="123">
        <f t="shared" si="1"/>
        <v>0</v>
      </c>
    </row>
    <row r="29" spans="9:25" hidden="1">
      <c r="K29" s="122" t="s">
        <v>28</v>
      </c>
      <c r="M29" s="122" t="s">
        <v>120</v>
      </c>
      <c r="N29" s="123"/>
      <c r="O29" s="123"/>
      <c r="R29" s="123"/>
      <c r="T29" s="122" t="s">
        <v>124</v>
      </c>
      <c r="U29" s="123">
        <f t="shared" si="0"/>
        <v>0</v>
      </c>
      <c r="V29" s="123">
        <v>0</v>
      </c>
      <c r="W29" s="122" t="s">
        <v>120</v>
      </c>
      <c r="X29" s="122" t="s">
        <v>137</v>
      </c>
      <c r="Y29" s="123">
        <f t="shared" si="1"/>
        <v>0</v>
      </c>
    </row>
    <row r="30" spans="9:25" hidden="1">
      <c r="K30" s="122" t="s">
        <v>422</v>
      </c>
      <c r="M30" s="122" t="s">
        <v>121</v>
      </c>
      <c r="N30" s="123"/>
      <c r="O30" s="123"/>
      <c r="R30" s="123"/>
      <c r="T30" s="122" t="s">
        <v>125</v>
      </c>
      <c r="U30" s="123">
        <f t="shared" si="0"/>
        <v>0</v>
      </c>
      <c r="V30" s="123">
        <v>0</v>
      </c>
      <c r="W30" s="122" t="s">
        <v>121</v>
      </c>
      <c r="X30" s="122" t="s">
        <v>137</v>
      </c>
      <c r="Y30" s="123">
        <f t="shared" si="1"/>
        <v>0</v>
      </c>
    </row>
    <row r="31" spans="9:25" hidden="1">
      <c r="M31" s="122" t="s">
        <v>122</v>
      </c>
      <c r="N31" s="123"/>
      <c r="O31" s="123"/>
      <c r="R31" s="123"/>
      <c r="T31" s="122" t="s">
        <v>114</v>
      </c>
      <c r="U31" s="123">
        <f t="shared" si="0"/>
        <v>0</v>
      </c>
      <c r="V31" s="123">
        <v>0</v>
      </c>
      <c r="W31" s="122" t="s">
        <v>122</v>
      </c>
      <c r="X31" s="122" t="s">
        <v>137</v>
      </c>
      <c r="Y31" s="123">
        <f t="shared" si="1"/>
        <v>0</v>
      </c>
    </row>
    <row r="32" spans="9:25" hidden="1">
      <c r="M32" s="122" t="s">
        <v>123</v>
      </c>
      <c r="N32" s="123"/>
      <c r="O32" s="123"/>
      <c r="R32" s="123"/>
      <c r="T32" s="122" t="s">
        <v>115</v>
      </c>
      <c r="U32" s="123">
        <f t="shared" si="0"/>
        <v>0</v>
      </c>
      <c r="V32" s="123">
        <v>0</v>
      </c>
      <c r="W32" s="122" t="s">
        <v>123</v>
      </c>
      <c r="X32" s="122" t="s">
        <v>137</v>
      </c>
      <c r="Y32" s="123">
        <f t="shared" si="1"/>
        <v>0</v>
      </c>
    </row>
    <row r="33" spans="1:25" hidden="1">
      <c r="M33" s="122" t="s">
        <v>124</v>
      </c>
      <c r="N33" s="123"/>
      <c r="O33" s="123"/>
      <c r="R33" s="123"/>
      <c r="T33" s="122" t="s">
        <v>126</v>
      </c>
      <c r="U33" s="123">
        <f t="shared" si="0"/>
        <v>0</v>
      </c>
      <c r="V33" s="123">
        <v>0</v>
      </c>
      <c r="W33" s="122" t="s">
        <v>124</v>
      </c>
      <c r="X33" s="122" t="s">
        <v>137</v>
      </c>
      <c r="Y33" s="123">
        <f t="shared" si="1"/>
        <v>0</v>
      </c>
    </row>
    <row r="34" spans="1:25" hidden="1">
      <c r="M34" s="122" t="s">
        <v>125</v>
      </c>
      <c r="N34" s="123"/>
      <c r="O34" s="123"/>
      <c r="R34" s="123"/>
      <c r="T34" s="122" t="s">
        <v>103</v>
      </c>
      <c r="U34" s="123">
        <f t="shared" si="0"/>
        <v>0</v>
      </c>
      <c r="V34" s="123">
        <v>0</v>
      </c>
      <c r="W34" s="122" t="s">
        <v>125</v>
      </c>
      <c r="X34" s="122" t="s">
        <v>137</v>
      </c>
      <c r="Y34" s="123">
        <f t="shared" si="1"/>
        <v>0</v>
      </c>
    </row>
    <row r="35" spans="1:25" hidden="1">
      <c r="M35" s="122" t="s">
        <v>126</v>
      </c>
      <c r="N35" s="123"/>
      <c r="O35" s="123"/>
      <c r="R35" s="123"/>
      <c r="T35" s="122" t="s">
        <v>127</v>
      </c>
      <c r="U35" s="123">
        <f t="shared" si="0"/>
        <v>0</v>
      </c>
      <c r="V35" s="123">
        <v>0</v>
      </c>
      <c r="W35" s="122" t="s">
        <v>126</v>
      </c>
      <c r="X35" s="122" t="s">
        <v>137</v>
      </c>
      <c r="Y35" s="123">
        <f t="shared" si="1"/>
        <v>0</v>
      </c>
    </row>
    <row r="36" spans="1:25" hidden="1">
      <c r="M36" s="122" t="s">
        <v>127</v>
      </c>
      <c r="N36" s="123"/>
      <c r="O36" s="123"/>
      <c r="R36" s="123"/>
      <c r="T36" s="122" t="s">
        <v>128</v>
      </c>
      <c r="U36" s="123">
        <f t="shared" si="0"/>
        <v>0</v>
      </c>
      <c r="V36" s="123">
        <v>0</v>
      </c>
      <c r="W36" s="122" t="s">
        <v>127</v>
      </c>
      <c r="X36" s="122" t="s">
        <v>137</v>
      </c>
      <c r="Y36" s="123">
        <f t="shared" si="1"/>
        <v>0</v>
      </c>
    </row>
    <row r="37" spans="1:25" hidden="1">
      <c r="M37" s="122" t="s">
        <v>128</v>
      </c>
      <c r="N37" s="123"/>
      <c r="O37" s="123"/>
      <c r="R37" s="123"/>
      <c r="T37" s="122" t="s">
        <v>143</v>
      </c>
      <c r="U37" s="123" t="e">
        <f t="shared" si="0"/>
        <v>#N/A</v>
      </c>
      <c r="V37" s="123">
        <v>0</v>
      </c>
      <c r="W37" s="122" t="s">
        <v>128</v>
      </c>
      <c r="X37" s="122" t="s">
        <v>137</v>
      </c>
      <c r="Y37" s="123">
        <f t="shared" si="1"/>
        <v>0</v>
      </c>
    </row>
    <row r="38" spans="1:25" hidden="1">
      <c r="M38" s="122" t="s">
        <v>129</v>
      </c>
      <c r="N38" s="123"/>
      <c r="O38" s="123"/>
      <c r="R38" s="123"/>
      <c r="T38" s="122" t="s">
        <v>129</v>
      </c>
      <c r="U38" s="123">
        <f t="shared" si="0"/>
        <v>0</v>
      </c>
      <c r="V38" s="123">
        <v>0</v>
      </c>
      <c r="W38" s="122" t="s">
        <v>129</v>
      </c>
      <c r="X38" s="122" t="s">
        <v>137</v>
      </c>
      <c r="Y38" s="123">
        <f t="shared" si="1"/>
        <v>0</v>
      </c>
    </row>
    <row r="39" spans="1:25" hidden="1">
      <c r="M39" s="122" t="s">
        <v>130</v>
      </c>
      <c r="N39" s="123"/>
      <c r="O39" s="123"/>
      <c r="R39" s="123"/>
      <c r="T39" s="122" t="s">
        <v>130</v>
      </c>
      <c r="U39" s="123">
        <f t="shared" si="0"/>
        <v>0</v>
      </c>
      <c r="V39" s="123">
        <v>0</v>
      </c>
      <c r="W39" s="122" t="s">
        <v>130</v>
      </c>
      <c r="X39" s="122" t="s">
        <v>137</v>
      </c>
      <c r="Y39" s="123">
        <f t="shared" si="1"/>
        <v>0</v>
      </c>
    </row>
    <row r="40" spans="1:25" hidden="1">
      <c r="M40" s="122" t="s">
        <v>131</v>
      </c>
      <c r="N40" s="123"/>
      <c r="O40" s="123"/>
      <c r="R40" s="123"/>
      <c r="T40" s="122" t="s">
        <v>131</v>
      </c>
      <c r="U40" s="123">
        <f t="shared" si="0"/>
        <v>0</v>
      </c>
      <c r="V40" s="123">
        <v>0</v>
      </c>
      <c r="W40" s="122" t="s">
        <v>131</v>
      </c>
      <c r="X40" s="122" t="s">
        <v>137</v>
      </c>
      <c r="Y40" s="123">
        <f t="shared" si="1"/>
        <v>0</v>
      </c>
    </row>
    <row r="41" spans="1:25" hidden="1">
      <c r="C41" s="127"/>
      <c r="M41" s="122" t="s">
        <v>132</v>
      </c>
      <c r="N41" s="123"/>
      <c r="O41" s="123"/>
      <c r="R41" s="123"/>
      <c r="T41" s="122" t="s">
        <v>132</v>
      </c>
      <c r="U41" s="123">
        <f t="shared" si="0"/>
        <v>0</v>
      </c>
      <c r="V41" s="123">
        <v>0</v>
      </c>
      <c r="W41" s="122" t="s">
        <v>132</v>
      </c>
      <c r="X41" s="122" t="s">
        <v>137</v>
      </c>
      <c r="Y41" s="123">
        <f t="shared" si="1"/>
        <v>0</v>
      </c>
    </row>
    <row r="42" spans="1:25" hidden="1">
      <c r="M42" s="122" t="s">
        <v>133</v>
      </c>
      <c r="N42" s="123"/>
      <c r="O42" s="123"/>
      <c r="R42" s="123"/>
      <c r="T42" s="122" t="s">
        <v>133</v>
      </c>
      <c r="U42" s="123">
        <f t="shared" si="0"/>
        <v>0</v>
      </c>
      <c r="V42" s="123">
        <v>0</v>
      </c>
      <c r="W42" s="122" t="s">
        <v>133</v>
      </c>
      <c r="X42" s="122" t="s">
        <v>137</v>
      </c>
      <c r="Y42" s="123">
        <f t="shared" si="1"/>
        <v>0</v>
      </c>
    </row>
    <row r="43" spans="1:25" hidden="1">
      <c r="M43" s="122" t="s">
        <v>134</v>
      </c>
      <c r="N43" s="123"/>
      <c r="O43" s="123"/>
      <c r="R43" s="123"/>
      <c r="T43" s="122" t="s">
        <v>134</v>
      </c>
      <c r="U43" s="123">
        <f t="shared" si="0"/>
        <v>0</v>
      </c>
      <c r="V43" s="123">
        <v>0</v>
      </c>
      <c r="W43" s="122" t="s">
        <v>134</v>
      </c>
      <c r="X43" s="122" t="s">
        <v>137</v>
      </c>
      <c r="Y43" s="123">
        <f t="shared" si="1"/>
        <v>0</v>
      </c>
    </row>
    <row r="44" spans="1:25" hidden="1">
      <c r="M44" s="122" t="s">
        <v>135</v>
      </c>
      <c r="N44" s="123"/>
      <c r="O44" s="123"/>
      <c r="R44" s="123"/>
      <c r="T44" s="122" t="s">
        <v>144</v>
      </c>
      <c r="U44" s="123" t="e">
        <f t="shared" si="0"/>
        <v>#N/A</v>
      </c>
      <c r="V44" s="123">
        <v>0</v>
      </c>
      <c r="W44" s="122" t="s">
        <v>135</v>
      </c>
      <c r="X44" s="122" t="s">
        <v>137</v>
      </c>
      <c r="Y44" s="123">
        <f t="shared" si="1"/>
        <v>0</v>
      </c>
    </row>
    <row r="45" spans="1:25" ht="17.25" hidden="1">
      <c r="A45" s="128"/>
      <c r="B45" s="128"/>
      <c r="C45" s="129"/>
      <c r="D45" s="128"/>
      <c r="E45" s="128"/>
      <c r="F45" s="128"/>
      <c r="G45" s="128"/>
      <c r="H45" s="130"/>
    </row>
    <row r="46" spans="1:25" hidden="1">
      <c r="E46" s="122"/>
      <c r="F46" s="122"/>
      <c r="G46" s="122"/>
      <c r="H46" s="122" t="s">
        <v>2</v>
      </c>
    </row>
    <row r="47" spans="1:25" hidden="1">
      <c r="C47" s="131">
        <f>C71-[3]考核调整事项表!$C$63</f>
        <v>-2567592.62</v>
      </c>
      <c r="E47" s="122"/>
      <c r="F47" s="122"/>
      <c r="G47" s="122"/>
      <c r="H47" s="123"/>
    </row>
    <row r="48" spans="1:25" ht="20.25">
      <c r="A48" s="446" t="s">
        <v>425</v>
      </c>
      <c r="B48" s="446"/>
      <c r="C48" s="446"/>
      <c r="D48" s="446"/>
      <c r="E48" s="446"/>
      <c r="F48" s="446"/>
      <c r="G48" s="446"/>
      <c r="H48" s="446"/>
      <c r="I48" s="446"/>
    </row>
    <row r="49" spans="1:10">
      <c r="A49" s="143"/>
      <c r="B49" s="143" t="s">
        <v>3</v>
      </c>
      <c r="C49" s="143" t="s">
        <v>146</v>
      </c>
      <c r="D49" s="143" t="s">
        <v>147</v>
      </c>
      <c r="E49" s="143" t="s">
        <v>148</v>
      </c>
      <c r="F49" s="143" t="s">
        <v>149</v>
      </c>
      <c r="G49" s="143" t="s">
        <v>150</v>
      </c>
      <c r="H49" s="143" t="s">
        <v>151</v>
      </c>
      <c r="I49" s="143" t="s">
        <v>152</v>
      </c>
    </row>
    <row r="50" spans="1:10">
      <c r="A50" s="144"/>
      <c r="B50" s="144" t="s">
        <v>153</v>
      </c>
      <c r="C50" s="145"/>
      <c r="D50" s="146"/>
      <c r="E50" s="146"/>
      <c r="F50" s="146"/>
      <c r="G50" s="146"/>
      <c r="H50" s="146"/>
      <c r="I50" s="146"/>
    </row>
    <row r="51" spans="1:10">
      <c r="A51" s="171"/>
      <c r="B51" s="171" t="s">
        <v>429</v>
      </c>
      <c r="C51" s="172"/>
      <c r="D51" s="173"/>
      <c r="E51" s="172"/>
      <c r="F51" s="173"/>
      <c r="G51" s="171" t="s">
        <v>150</v>
      </c>
      <c r="H51" s="173" t="s">
        <v>151</v>
      </c>
      <c r="I51" s="173" t="s">
        <v>152</v>
      </c>
    </row>
    <row r="52" spans="1:10">
      <c r="A52" s="116" t="s">
        <v>137</v>
      </c>
      <c r="B52" s="116" t="s">
        <v>36</v>
      </c>
      <c r="C52" s="147">
        <v>-253988</v>
      </c>
      <c r="D52" s="71" t="s">
        <v>17</v>
      </c>
      <c r="E52" s="71">
        <f t="shared" ref="E52:E55" si="2">-C52</f>
        <v>253988</v>
      </c>
      <c r="F52" s="71" t="s">
        <v>6</v>
      </c>
      <c r="G52" s="71"/>
      <c r="H52" s="71" t="s">
        <v>528</v>
      </c>
      <c r="I52" s="71"/>
    </row>
    <row r="53" spans="1:10">
      <c r="A53" s="116" t="s">
        <v>154</v>
      </c>
      <c r="B53" s="116" t="s">
        <v>37</v>
      </c>
      <c r="C53" s="147">
        <v>39713.21</v>
      </c>
      <c r="D53" s="71" t="s">
        <v>17</v>
      </c>
      <c r="E53" s="71">
        <f t="shared" si="2"/>
        <v>-39713.21</v>
      </c>
      <c r="F53" s="71" t="s">
        <v>14</v>
      </c>
      <c r="G53" s="71"/>
      <c r="H53" s="71" t="s">
        <v>529</v>
      </c>
      <c r="I53" s="71"/>
    </row>
    <row r="54" spans="1:10">
      <c r="A54" s="116" t="s">
        <v>155</v>
      </c>
      <c r="B54" s="116" t="s">
        <v>37</v>
      </c>
      <c r="C54" s="147">
        <v>41413.17</v>
      </c>
      <c r="D54" s="71" t="s">
        <v>17</v>
      </c>
      <c r="E54" s="71">
        <f t="shared" si="2"/>
        <v>-41413.17</v>
      </c>
      <c r="F54" s="71" t="s">
        <v>19</v>
      </c>
      <c r="G54" s="71"/>
      <c r="H54" s="71" t="s">
        <v>530</v>
      </c>
      <c r="I54" s="71"/>
      <c r="J54" s="132"/>
    </row>
    <row r="55" spans="1:10">
      <c r="A55" s="116" t="s">
        <v>156</v>
      </c>
      <c r="B55" s="116" t="s">
        <v>39</v>
      </c>
      <c r="C55" s="147">
        <v>48692227.969999999</v>
      </c>
      <c r="D55" s="71" t="s">
        <v>18</v>
      </c>
      <c r="E55" s="71">
        <f t="shared" si="2"/>
        <v>-48692227.969999999</v>
      </c>
      <c r="F55" s="71" t="s">
        <v>5</v>
      </c>
      <c r="G55" s="71"/>
      <c r="H55" s="71" t="s">
        <v>565</v>
      </c>
      <c r="I55" s="71"/>
    </row>
    <row r="56" spans="1:10">
      <c r="A56" s="116" t="s">
        <v>157</v>
      </c>
      <c r="B56" s="116" t="s">
        <v>37</v>
      </c>
      <c r="C56" s="147">
        <v>-65850</v>
      </c>
      <c r="D56" s="71" t="s">
        <v>15</v>
      </c>
      <c r="E56" s="71">
        <f t="shared" ref="E56:E76" si="3">-C56</f>
        <v>65850</v>
      </c>
      <c r="F56" s="71" t="s">
        <v>6</v>
      </c>
      <c r="G56" s="71"/>
      <c r="H56" s="71" t="s">
        <v>531</v>
      </c>
      <c r="I56" s="71"/>
    </row>
    <row r="57" spans="1:10">
      <c r="A57" s="116" t="s">
        <v>158</v>
      </c>
      <c r="B57" s="116" t="s">
        <v>37</v>
      </c>
      <c r="C57" s="147">
        <v>-384657.53</v>
      </c>
      <c r="D57" s="71" t="s">
        <v>14</v>
      </c>
      <c r="E57" s="71">
        <f t="shared" si="3"/>
        <v>384657.53</v>
      </c>
      <c r="F57" s="71" t="s">
        <v>6</v>
      </c>
      <c r="G57" s="71"/>
      <c r="H57" s="71" t="s">
        <v>532</v>
      </c>
      <c r="I57" s="71"/>
    </row>
    <row r="58" spans="1:10">
      <c r="A58" s="116" t="s">
        <v>159</v>
      </c>
      <c r="B58" s="116" t="s">
        <v>35</v>
      </c>
      <c r="C58" s="147">
        <v>318574.37</v>
      </c>
      <c r="D58" s="71" t="s">
        <v>16</v>
      </c>
      <c r="E58" s="71">
        <f t="shared" si="3"/>
        <v>-318574.37</v>
      </c>
      <c r="F58" s="71" t="s">
        <v>11</v>
      </c>
      <c r="G58" s="71"/>
      <c r="H58" s="71" t="s">
        <v>533</v>
      </c>
      <c r="I58" s="71"/>
    </row>
    <row r="59" spans="1:10">
      <c r="A59" s="116" t="s">
        <v>160</v>
      </c>
      <c r="B59" s="116" t="s">
        <v>35</v>
      </c>
      <c r="C59" s="147">
        <v>59380.53</v>
      </c>
      <c r="D59" s="71" t="s">
        <v>16</v>
      </c>
      <c r="E59" s="71">
        <f t="shared" si="3"/>
        <v>-59380.53</v>
      </c>
      <c r="F59" s="71" t="s">
        <v>11</v>
      </c>
      <c r="G59" s="71"/>
      <c r="H59" s="71" t="s">
        <v>534</v>
      </c>
      <c r="I59" s="71"/>
    </row>
    <row r="60" spans="1:10">
      <c r="A60" s="116" t="s">
        <v>161</v>
      </c>
      <c r="B60" s="116" t="s">
        <v>35</v>
      </c>
      <c r="C60" s="71">
        <v>1783.02</v>
      </c>
      <c r="D60" s="71" t="s">
        <v>16</v>
      </c>
      <c r="E60" s="71">
        <f t="shared" si="3"/>
        <v>-1783.02</v>
      </c>
      <c r="F60" s="71" t="s">
        <v>11</v>
      </c>
      <c r="G60" s="71"/>
      <c r="H60" s="71" t="s">
        <v>535</v>
      </c>
      <c r="I60" s="71"/>
    </row>
    <row r="61" spans="1:10">
      <c r="A61" s="116" t="s">
        <v>162</v>
      </c>
      <c r="B61" s="116" t="s">
        <v>35</v>
      </c>
      <c r="C61" s="147">
        <v>138535.91</v>
      </c>
      <c r="D61" s="71" t="s">
        <v>16</v>
      </c>
      <c r="E61" s="71">
        <f t="shared" si="3"/>
        <v>-138535.91</v>
      </c>
      <c r="F61" s="71" t="s">
        <v>11</v>
      </c>
      <c r="G61" s="71"/>
      <c r="H61" s="71" t="s">
        <v>536</v>
      </c>
      <c r="I61" s="71"/>
    </row>
    <row r="62" spans="1:10">
      <c r="A62" s="116" t="s">
        <v>163</v>
      </c>
      <c r="B62" s="116" t="s">
        <v>35</v>
      </c>
      <c r="C62" s="147">
        <v>-11688.68</v>
      </c>
      <c r="D62" s="71" t="s">
        <v>11</v>
      </c>
      <c r="E62" s="71">
        <f t="shared" si="3"/>
        <v>11688.68</v>
      </c>
      <c r="F62" s="71" t="s">
        <v>7</v>
      </c>
      <c r="G62" s="71"/>
      <c r="H62" s="71" t="s">
        <v>537</v>
      </c>
      <c r="I62" s="71" t="s">
        <v>538</v>
      </c>
    </row>
    <row r="63" spans="1:10">
      <c r="A63" s="116" t="s">
        <v>164</v>
      </c>
      <c r="B63" s="116" t="s">
        <v>34</v>
      </c>
      <c r="C63" s="147">
        <v>-188679.25</v>
      </c>
      <c r="D63" s="71" t="s">
        <v>24</v>
      </c>
      <c r="E63" s="71">
        <f t="shared" si="3"/>
        <v>188679.25</v>
      </c>
      <c r="F63" s="71" t="s">
        <v>5</v>
      </c>
      <c r="G63" s="71"/>
      <c r="H63" s="71" t="s">
        <v>539</v>
      </c>
      <c r="I63" s="71"/>
    </row>
    <row r="64" spans="1:10">
      <c r="A64" s="116" t="s">
        <v>165</v>
      </c>
      <c r="B64" s="116" t="s">
        <v>34</v>
      </c>
      <c r="C64" s="147">
        <v>-35377.360000000001</v>
      </c>
      <c r="D64" s="71" t="s">
        <v>22</v>
      </c>
      <c r="E64" s="71">
        <f t="shared" si="3"/>
        <v>35377.360000000001</v>
      </c>
      <c r="F64" s="71" t="s">
        <v>5</v>
      </c>
      <c r="G64" s="71"/>
      <c r="H64" s="71" t="s">
        <v>539</v>
      </c>
      <c r="I64" s="71"/>
    </row>
    <row r="65" spans="1:11">
      <c r="A65" s="116" t="s">
        <v>166</v>
      </c>
      <c r="B65" s="150" t="s">
        <v>36</v>
      </c>
      <c r="C65" s="147">
        <v>2986333.3300000029</v>
      </c>
      <c r="D65" s="150" t="s">
        <v>7</v>
      </c>
      <c r="E65" s="150">
        <f t="shared" si="3"/>
        <v>-2986333.3300000029</v>
      </c>
      <c r="F65" s="150" t="s">
        <v>6</v>
      </c>
      <c r="H65" s="150" t="s">
        <v>585</v>
      </c>
      <c r="I65" s="71"/>
    </row>
    <row r="66" spans="1:11">
      <c r="A66" s="116" t="s">
        <v>167</v>
      </c>
      <c r="B66" s="71" t="s">
        <v>41</v>
      </c>
      <c r="C66" s="71">
        <v>62663.98000000001</v>
      </c>
      <c r="D66" s="71" t="s">
        <v>7</v>
      </c>
      <c r="E66" s="71">
        <f t="shared" si="3"/>
        <v>-62663.98000000001</v>
      </c>
      <c r="F66" s="71" t="s">
        <v>5</v>
      </c>
      <c r="G66" s="71"/>
      <c r="H66" s="71" t="s">
        <v>586</v>
      </c>
      <c r="I66" s="71"/>
      <c r="K66" s="123"/>
    </row>
    <row r="67" spans="1:11">
      <c r="A67" s="116" t="s">
        <v>168</v>
      </c>
      <c r="B67" s="116" t="s">
        <v>41</v>
      </c>
      <c r="C67" s="148">
        <v>211344.14</v>
      </c>
      <c r="D67" s="71" t="s">
        <v>7</v>
      </c>
      <c r="E67" s="71">
        <f t="shared" si="3"/>
        <v>-211344.14</v>
      </c>
      <c r="F67" s="71" t="s">
        <v>5</v>
      </c>
      <c r="G67" s="71"/>
      <c r="H67" s="71" t="s">
        <v>587</v>
      </c>
      <c r="I67" s="71"/>
    </row>
    <row r="68" spans="1:11">
      <c r="A68" s="116" t="s">
        <v>169</v>
      </c>
      <c r="B68" s="71" t="s">
        <v>37</v>
      </c>
      <c r="C68" s="71"/>
      <c r="D68" s="71" t="s">
        <v>14</v>
      </c>
      <c r="E68" s="71">
        <f t="shared" si="3"/>
        <v>0</v>
      </c>
      <c r="F68" s="71" t="s">
        <v>6</v>
      </c>
      <c r="G68" s="71"/>
      <c r="H68" s="149"/>
      <c r="I68" s="71"/>
    </row>
    <row r="69" spans="1:11">
      <c r="A69" s="116" t="s">
        <v>170</v>
      </c>
      <c r="B69" s="71" t="s">
        <v>34</v>
      </c>
      <c r="C69" s="71"/>
      <c r="D69" s="71" t="s">
        <v>7</v>
      </c>
      <c r="E69" s="71">
        <f t="shared" si="3"/>
        <v>0</v>
      </c>
      <c r="F69" s="71" t="s">
        <v>5</v>
      </c>
      <c r="G69" s="71"/>
      <c r="H69" s="150"/>
      <c r="I69" s="71"/>
    </row>
    <row r="70" spans="1:11">
      <c r="A70" s="116" t="s">
        <v>171</v>
      </c>
      <c r="B70" s="150" t="s">
        <v>36</v>
      </c>
      <c r="C70" s="147"/>
      <c r="D70" s="150" t="s">
        <v>19</v>
      </c>
      <c r="E70" s="150">
        <f t="shared" si="3"/>
        <v>0</v>
      </c>
      <c r="F70" s="150" t="s">
        <v>6</v>
      </c>
      <c r="G70" s="150"/>
      <c r="H70" s="150"/>
      <c r="I70" s="71"/>
      <c r="J70" s="133"/>
    </row>
    <row r="71" spans="1:11">
      <c r="A71" s="116" t="s">
        <v>172</v>
      </c>
      <c r="B71" s="71" t="s">
        <v>41</v>
      </c>
      <c r="C71" s="71"/>
      <c r="D71" s="71" t="s">
        <v>7</v>
      </c>
      <c r="E71" s="71">
        <f t="shared" si="3"/>
        <v>0</v>
      </c>
      <c r="F71" s="71" t="s">
        <v>5</v>
      </c>
      <c r="G71" s="71"/>
      <c r="H71" s="71"/>
      <c r="I71" s="71"/>
    </row>
    <row r="72" spans="1:11">
      <c r="A72" s="116" t="s">
        <v>173</v>
      </c>
      <c r="B72" s="71" t="s">
        <v>34</v>
      </c>
      <c r="C72" s="147"/>
      <c r="D72" s="71" t="s">
        <v>23</v>
      </c>
      <c r="E72" s="71">
        <f t="shared" si="3"/>
        <v>0</v>
      </c>
      <c r="F72" s="71" t="s">
        <v>29</v>
      </c>
      <c r="G72" s="71"/>
      <c r="H72" s="71"/>
      <c r="I72" s="71"/>
    </row>
    <row r="73" spans="1:11" ht="18.75" customHeight="1">
      <c r="A73" s="116" t="s">
        <v>174</v>
      </c>
      <c r="B73" s="71" t="s">
        <v>35</v>
      </c>
      <c r="C73" s="151"/>
      <c r="D73" s="71" t="s">
        <v>11</v>
      </c>
      <c r="E73" s="71">
        <f t="shared" si="3"/>
        <v>0</v>
      </c>
      <c r="F73" s="71" t="s">
        <v>7</v>
      </c>
      <c r="G73" s="71"/>
      <c r="H73" s="71"/>
      <c r="I73" s="152"/>
    </row>
    <row r="74" spans="1:11">
      <c r="A74" s="116" t="s">
        <v>175</v>
      </c>
      <c r="B74" s="116" t="s">
        <v>35</v>
      </c>
      <c r="C74" s="147"/>
      <c r="D74" s="71" t="s">
        <v>9</v>
      </c>
      <c r="E74" s="71">
        <f t="shared" si="3"/>
        <v>0</v>
      </c>
      <c r="F74" s="71" t="s">
        <v>7</v>
      </c>
      <c r="G74" s="71"/>
      <c r="H74" s="71"/>
      <c r="I74" s="71"/>
    </row>
    <row r="75" spans="1:11">
      <c r="A75" s="116" t="s">
        <v>176</v>
      </c>
      <c r="B75" s="71" t="s">
        <v>35</v>
      </c>
      <c r="C75" s="147"/>
      <c r="D75" s="71" t="s">
        <v>9</v>
      </c>
      <c r="E75" s="71">
        <f t="shared" si="3"/>
        <v>0</v>
      </c>
      <c r="F75" s="71" t="s">
        <v>5</v>
      </c>
      <c r="G75" s="71"/>
      <c r="H75" s="71"/>
      <c r="I75" s="71"/>
    </row>
    <row r="76" spans="1:11">
      <c r="A76" s="116" t="s">
        <v>177</v>
      </c>
      <c r="B76" s="71" t="s">
        <v>37</v>
      </c>
      <c r="C76" s="147"/>
      <c r="D76" s="71" t="s">
        <v>9</v>
      </c>
      <c r="E76" s="71">
        <f t="shared" si="3"/>
        <v>0</v>
      </c>
      <c r="F76" s="71" t="s">
        <v>5</v>
      </c>
      <c r="G76" s="71"/>
      <c r="H76" s="71"/>
      <c r="I76" s="71"/>
    </row>
    <row r="77" spans="1:11">
      <c r="A77" s="116" t="s">
        <v>178</v>
      </c>
      <c r="B77" s="71" t="s">
        <v>35</v>
      </c>
      <c r="C77" s="147"/>
      <c r="D77" s="71" t="s">
        <v>9</v>
      </c>
      <c r="E77" s="71">
        <f t="shared" ref="E77:E85" si="4">-C77</f>
        <v>0</v>
      </c>
      <c r="F77" s="71" t="s">
        <v>23</v>
      </c>
      <c r="G77" s="71"/>
      <c r="H77" s="71"/>
      <c r="I77" s="71"/>
    </row>
    <row r="78" spans="1:11">
      <c r="A78" s="116" t="s">
        <v>179</v>
      </c>
      <c r="B78" s="116" t="s">
        <v>39</v>
      </c>
      <c r="C78" s="147"/>
      <c r="D78" s="71" t="s">
        <v>18</v>
      </c>
      <c r="E78" s="71">
        <f t="shared" si="4"/>
        <v>0</v>
      </c>
      <c r="F78" s="71" t="s">
        <v>22</v>
      </c>
      <c r="G78" s="71"/>
      <c r="H78" s="71"/>
      <c r="I78" s="71"/>
    </row>
    <row r="79" spans="1:11">
      <c r="A79" s="116" t="s">
        <v>180</v>
      </c>
      <c r="B79" s="116" t="s">
        <v>37</v>
      </c>
      <c r="C79" s="147"/>
      <c r="D79" s="71" t="s">
        <v>18</v>
      </c>
      <c r="E79" s="71">
        <f t="shared" si="4"/>
        <v>0</v>
      </c>
      <c r="F79" s="71" t="s">
        <v>22</v>
      </c>
      <c r="G79" s="71"/>
      <c r="H79" s="71"/>
      <c r="I79" s="71"/>
    </row>
    <row r="80" spans="1:11">
      <c r="A80" s="116" t="s">
        <v>181</v>
      </c>
      <c r="B80" s="116" t="s">
        <v>39</v>
      </c>
      <c r="C80" s="147"/>
      <c r="D80" s="71" t="s">
        <v>14</v>
      </c>
      <c r="E80" s="71">
        <f t="shared" si="4"/>
        <v>0</v>
      </c>
      <c r="F80" s="71" t="s">
        <v>16</v>
      </c>
      <c r="G80" s="71"/>
      <c r="H80" s="119"/>
      <c r="I80" s="71"/>
    </row>
    <row r="81" spans="1:22">
      <c r="A81" s="116" t="s">
        <v>182</v>
      </c>
      <c r="B81" s="116" t="s">
        <v>35</v>
      </c>
      <c r="C81" s="147"/>
      <c r="D81" s="71" t="s">
        <v>11</v>
      </c>
      <c r="E81" s="71">
        <f t="shared" si="4"/>
        <v>0</v>
      </c>
      <c r="F81" s="71" t="s">
        <v>16</v>
      </c>
      <c r="G81" s="71"/>
      <c r="H81" s="71"/>
      <c r="I81" s="71"/>
    </row>
    <row r="82" spans="1:22">
      <c r="A82" s="116" t="s">
        <v>183</v>
      </c>
      <c r="B82" s="116" t="s">
        <v>35</v>
      </c>
      <c r="C82" s="147"/>
      <c r="D82" s="71" t="s">
        <v>11</v>
      </c>
      <c r="E82" s="71">
        <f t="shared" si="4"/>
        <v>0</v>
      </c>
      <c r="F82" s="71" t="s">
        <v>16</v>
      </c>
      <c r="G82" s="71"/>
      <c r="H82" s="150"/>
      <c r="I82" s="71"/>
    </row>
    <row r="83" spans="1:22">
      <c r="A83" s="116" t="s">
        <v>184</v>
      </c>
      <c r="B83" s="116" t="s">
        <v>35</v>
      </c>
      <c r="C83" s="147"/>
      <c r="D83" s="71" t="s">
        <v>11</v>
      </c>
      <c r="E83" s="71">
        <f t="shared" si="4"/>
        <v>0</v>
      </c>
      <c r="F83" s="71" t="s">
        <v>16</v>
      </c>
      <c r="G83" s="71"/>
      <c r="H83" s="71"/>
      <c r="I83" s="71"/>
    </row>
    <row r="84" spans="1:22">
      <c r="A84" s="116" t="s">
        <v>185</v>
      </c>
      <c r="B84" s="71" t="s">
        <v>35</v>
      </c>
      <c r="C84" s="153"/>
      <c r="D84" s="71" t="s">
        <v>11</v>
      </c>
      <c r="E84" s="71">
        <f t="shared" si="4"/>
        <v>0</v>
      </c>
      <c r="F84" s="71" t="s">
        <v>16</v>
      </c>
      <c r="G84" s="71"/>
      <c r="H84" s="71"/>
      <c r="I84" s="71"/>
      <c r="K84" s="123"/>
    </row>
    <row r="85" spans="1:22" s="136" customFormat="1" ht="16.5" customHeight="1">
      <c r="A85" s="116" t="s">
        <v>163</v>
      </c>
      <c r="B85" s="116" t="s">
        <v>35</v>
      </c>
      <c r="C85" s="71"/>
      <c r="D85" s="71" t="s">
        <v>7</v>
      </c>
      <c r="E85" s="71">
        <f t="shared" si="4"/>
        <v>0</v>
      </c>
      <c r="F85" s="71" t="s">
        <v>11</v>
      </c>
      <c r="G85" s="71"/>
      <c r="H85" s="71"/>
      <c r="I85" s="71"/>
      <c r="J85" s="134"/>
      <c r="K85" s="135"/>
      <c r="L85" s="134"/>
      <c r="M85" s="134"/>
      <c r="N85" s="134"/>
      <c r="O85" s="134"/>
      <c r="P85" s="134"/>
      <c r="Q85" s="134"/>
      <c r="R85" s="134"/>
      <c r="S85" s="134"/>
      <c r="T85" s="134"/>
      <c r="U85" s="134"/>
      <c r="V85" s="134"/>
    </row>
    <row r="86" spans="1:22">
      <c r="A86" s="116" t="s">
        <v>186</v>
      </c>
      <c r="B86" s="71" t="s">
        <v>35</v>
      </c>
      <c r="C86" s="71"/>
      <c r="D86" s="71" t="s">
        <v>9</v>
      </c>
      <c r="E86" s="71">
        <f t="shared" ref="E86:E102" si="5">-C86</f>
        <v>0</v>
      </c>
      <c r="F86" s="71" t="s">
        <v>7</v>
      </c>
      <c r="G86" s="71"/>
      <c r="H86" s="71"/>
      <c r="I86" s="71"/>
      <c r="K86" s="123"/>
    </row>
    <row r="87" spans="1:22">
      <c r="A87" s="116" t="s">
        <v>187</v>
      </c>
      <c r="B87" s="116" t="s">
        <v>35</v>
      </c>
      <c r="C87" s="71"/>
      <c r="D87" s="71" t="s">
        <v>9</v>
      </c>
      <c r="E87" s="71">
        <f t="shared" si="5"/>
        <v>0</v>
      </c>
      <c r="F87" s="71" t="s">
        <v>7</v>
      </c>
      <c r="G87" s="71"/>
      <c r="H87" s="71"/>
      <c r="I87" s="71"/>
      <c r="K87" s="123"/>
    </row>
    <row r="88" spans="1:22">
      <c r="A88" s="116" t="s">
        <v>188</v>
      </c>
      <c r="B88" s="116" t="s">
        <v>35</v>
      </c>
      <c r="C88" s="71"/>
      <c r="D88" s="71" t="s">
        <v>9</v>
      </c>
      <c r="E88" s="71">
        <f t="shared" si="5"/>
        <v>0</v>
      </c>
      <c r="F88" s="71" t="s">
        <v>7</v>
      </c>
      <c r="G88" s="71"/>
      <c r="H88" s="71"/>
      <c r="I88" s="71"/>
      <c r="K88" s="123"/>
    </row>
    <row r="89" spans="1:22">
      <c r="A89" s="116" t="s">
        <v>189</v>
      </c>
      <c r="B89" s="116" t="s">
        <v>35</v>
      </c>
      <c r="C89" s="71"/>
      <c r="D89" s="71" t="s">
        <v>9</v>
      </c>
      <c r="E89" s="71">
        <f t="shared" si="5"/>
        <v>0</v>
      </c>
      <c r="F89" s="71" t="s">
        <v>7</v>
      </c>
      <c r="G89" s="71"/>
      <c r="H89" s="71"/>
      <c r="I89" s="71"/>
      <c r="K89" s="123"/>
    </row>
    <row r="90" spans="1:22">
      <c r="A90" s="116" t="s">
        <v>190</v>
      </c>
      <c r="B90" s="116" t="s">
        <v>34</v>
      </c>
      <c r="C90" s="71"/>
      <c r="D90" s="71" t="s">
        <v>22</v>
      </c>
      <c r="E90" s="71">
        <f t="shared" si="5"/>
        <v>0</v>
      </c>
      <c r="F90" s="71" t="s">
        <v>5</v>
      </c>
      <c r="G90" s="71"/>
      <c r="H90" s="150"/>
      <c r="I90" s="71"/>
    </row>
    <row r="91" spans="1:22">
      <c r="A91" s="116" t="s">
        <v>192</v>
      </c>
      <c r="B91" s="116" t="s">
        <v>37</v>
      </c>
      <c r="C91" s="147"/>
      <c r="D91" s="71" t="s">
        <v>17</v>
      </c>
      <c r="E91" s="71">
        <f t="shared" si="5"/>
        <v>0</v>
      </c>
      <c r="F91" s="71" t="s">
        <v>12</v>
      </c>
      <c r="G91" s="71"/>
      <c r="H91" s="71"/>
      <c r="I91" s="71"/>
    </row>
    <row r="92" spans="1:22">
      <c r="A92" s="116" t="s">
        <v>193</v>
      </c>
      <c r="B92" s="71" t="s">
        <v>39</v>
      </c>
      <c r="C92" s="147"/>
      <c r="D92" s="71" t="s">
        <v>17</v>
      </c>
      <c r="E92" s="71">
        <f>-C92</f>
        <v>0</v>
      </c>
      <c r="F92" s="71" t="s">
        <v>12</v>
      </c>
      <c r="G92" s="71"/>
      <c r="H92" s="71"/>
      <c r="I92" s="71"/>
    </row>
    <row r="93" spans="1:22">
      <c r="A93" s="116" t="s">
        <v>194</v>
      </c>
      <c r="B93" s="71" t="s">
        <v>36</v>
      </c>
      <c r="C93" s="147"/>
      <c r="D93" s="71" t="s">
        <v>17</v>
      </c>
      <c r="E93" s="71">
        <f t="shared" si="5"/>
        <v>0</v>
      </c>
      <c r="F93" s="71" t="s">
        <v>12</v>
      </c>
      <c r="G93" s="71"/>
      <c r="H93" s="71"/>
      <c r="I93" s="71"/>
    </row>
    <row r="94" spans="1:22">
      <c r="A94" s="116" t="s">
        <v>195</v>
      </c>
      <c r="B94" s="71" t="s">
        <v>33</v>
      </c>
      <c r="C94" s="147"/>
      <c r="D94" s="71" t="s">
        <v>17</v>
      </c>
      <c r="E94" s="71">
        <f t="shared" si="5"/>
        <v>0</v>
      </c>
      <c r="F94" s="71" t="s">
        <v>12</v>
      </c>
      <c r="G94" s="71"/>
      <c r="H94" s="71"/>
      <c r="I94" s="71"/>
    </row>
    <row r="95" spans="1:22">
      <c r="A95" s="116" t="s">
        <v>196</v>
      </c>
      <c r="B95" s="116" t="s">
        <v>39</v>
      </c>
      <c r="C95" s="147"/>
      <c r="D95" s="71" t="s">
        <v>19</v>
      </c>
      <c r="E95" s="71">
        <f t="shared" si="5"/>
        <v>0</v>
      </c>
      <c r="F95" s="71" t="s">
        <v>5</v>
      </c>
      <c r="G95" s="71"/>
      <c r="H95" s="71"/>
      <c r="I95" s="71"/>
    </row>
    <row r="96" spans="1:22">
      <c r="A96" s="116"/>
      <c r="B96" s="116" t="s">
        <v>37</v>
      </c>
      <c r="C96" s="147"/>
      <c r="D96" s="71" t="s">
        <v>19</v>
      </c>
      <c r="E96" s="71">
        <f t="shared" si="5"/>
        <v>0</v>
      </c>
      <c r="F96" s="71" t="s">
        <v>7</v>
      </c>
      <c r="G96" s="71"/>
      <c r="H96" s="71"/>
      <c r="I96" s="71"/>
    </row>
    <row r="97" spans="1:22">
      <c r="A97" s="116" t="s">
        <v>197</v>
      </c>
      <c r="B97" s="116" t="s">
        <v>35</v>
      </c>
      <c r="C97" s="71"/>
      <c r="D97" s="71" t="s">
        <v>9</v>
      </c>
      <c r="E97" s="71">
        <f t="shared" si="5"/>
        <v>0</v>
      </c>
      <c r="F97" s="71" t="s">
        <v>7</v>
      </c>
      <c r="G97" s="71"/>
      <c r="H97" s="71"/>
      <c r="I97" s="71"/>
      <c r="K97" s="123"/>
    </row>
    <row r="98" spans="1:22">
      <c r="A98" s="116" t="s">
        <v>198</v>
      </c>
      <c r="B98" s="116" t="s">
        <v>35</v>
      </c>
      <c r="C98" s="154"/>
      <c r="D98" s="71" t="s">
        <v>9</v>
      </c>
      <c r="E98" s="71">
        <f t="shared" si="5"/>
        <v>0</v>
      </c>
      <c r="F98" s="71" t="s">
        <v>7</v>
      </c>
      <c r="G98" s="71"/>
      <c r="H98" s="71"/>
      <c r="I98" s="137"/>
      <c r="K98" s="123"/>
    </row>
    <row r="99" spans="1:22" s="136" customFormat="1">
      <c r="A99" s="116" t="s">
        <v>177</v>
      </c>
      <c r="B99" s="71" t="s">
        <v>32</v>
      </c>
      <c r="C99" s="154"/>
      <c r="D99" s="71" t="s">
        <v>15</v>
      </c>
      <c r="E99" s="71">
        <f t="shared" si="5"/>
        <v>0</v>
      </c>
      <c r="F99" s="71" t="s">
        <v>16</v>
      </c>
      <c r="G99" s="71"/>
      <c r="H99" s="71"/>
      <c r="I99" s="71"/>
      <c r="J99" s="134"/>
      <c r="K99" s="134"/>
      <c r="L99" s="134"/>
      <c r="M99" s="134"/>
      <c r="N99" s="134"/>
      <c r="O99" s="134"/>
      <c r="P99" s="134"/>
      <c r="Q99" s="134"/>
      <c r="R99" s="134"/>
      <c r="S99" s="134"/>
      <c r="T99" s="134"/>
      <c r="U99" s="134"/>
      <c r="V99" s="134"/>
    </row>
    <row r="100" spans="1:22">
      <c r="A100" s="116"/>
      <c r="B100" s="116" t="s">
        <v>33</v>
      </c>
      <c r="C100" s="154"/>
      <c r="D100" s="71" t="s">
        <v>16</v>
      </c>
      <c r="E100" s="71">
        <f t="shared" si="5"/>
        <v>0</v>
      </c>
      <c r="F100" s="71" t="s">
        <v>7</v>
      </c>
      <c r="G100" s="71"/>
      <c r="H100" s="71"/>
      <c r="I100" s="137"/>
    </row>
    <row r="101" spans="1:22" s="136" customFormat="1">
      <c r="A101" s="116"/>
      <c r="B101" s="116" t="s">
        <v>34</v>
      </c>
      <c r="C101" s="71"/>
      <c r="D101" s="71" t="s">
        <v>23</v>
      </c>
      <c r="E101" s="71">
        <f t="shared" si="5"/>
        <v>0</v>
      </c>
      <c r="F101" s="71" t="s">
        <v>5</v>
      </c>
      <c r="G101" s="71"/>
      <c r="H101" s="71"/>
      <c r="I101" s="71"/>
      <c r="J101" s="134"/>
      <c r="K101" s="134"/>
      <c r="L101" s="134"/>
      <c r="M101" s="134"/>
      <c r="N101" s="134"/>
      <c r="O101" s="134"/>
      <c r="P101" s="134"/>
      <c r="Q101" s="134"/>
      <c r="R101" s="134"/>
      <c r="S101" s="134"/>
      <c r="T101" s="134"/>
      <c r="U101" s="134"/>
      <c r="V101" s="134"/>
    </row>
    <row r="102" spans="1:22">
      <c r="A102" s="116" t="s">
        <v>199</v>
      </c>
      <c r="B102" s="71" t="s">
        <v>34</v>
      </c>
      <c r="C102" s="150"/>
      <c r="D102" s="71" t="s">
        <v>7</v>
      </c>
      <c r="E102" s="71">
        <f t="shared" si="5"/>
        <v>0</v>
      </c>
      <c r="F102" s="71" t="s">
        <v>23</v>
      </c>
      <c r="G102" s="71"/>
      <c r="H102" s="71"/>
      <c r="I102" s="71"/>
    </row>
    <row r="103" spans="1:22" s="136" customFormat="1">
      <c r="A103" s="116" t="s">
        <v>160</v>
      </c>
      <c r="B103" s="116" t="s">
        <v>39</v>
      </c>
      <c r="C103" s="71"/>
      <c r="D103" s="71" t="s">
        <v>25</v>
      </c>
      <c r="E103" s="71">
        <f t="shared" ref="E103:E119" si="6">-C103</f>
        <v>0</v>
      </c>
      <c r="F103" s="71" t="s">
        <v>18</v>
      </c>
      <c r="G103" s="71"/>
      <c r="H103" s="71"/>
      <c r="I103" s="71"/>
      <c r="J103" s="134"/>
      <c r="K103" s="134"/>
      <c r="L103" s="134"/>
      <c r="M103" s="134"/>
      <c r="N103" s="134"/>
      <c r="O103" s="134"/>
      <c r="P103" s="134"/>
      <c r="Q103" s="134"/>
      <c r="R103" s="134"/>
      <c r="S103" s="134"/>
      <c r="T103" s="134"/>
      <c r="U103" s="134"/>
      <c r="V103" s="134"/>
    </row>
    <row r="104" spans="1:22" s="134" customFormat="1">
      <c r="A104" s="116" t="s">
        <v>156</v>
      </c>
      <c r="B104" s="116" t="s">
        <v>34</v>
      </c>
      <c r="C104" s="71"/>
      <c r="D104" s="71" t="s">
        <v>23</v>
      </c>
      <c r="E104" s="71">
        <f t="shared" si="6"/>
        <v>0</v>
      </c>
      <c r="F104" s="71" t="s">
        <v>5</v>
      </c>
      <c r="G104" s="71"/>
      <c r="H104" s="71"/>
      <c r="I104" s="71"/>
    </row>
    <row r="105" spans="1:22" s="136" customFormat="1">
      <c r="A105" s="116" t="s">
        <v>161</v>
      </c>
      <c r="B105" s="116" t="s">
        <v>37</v>
      </c>
      <c r="C105" s="71"/>
      <c r="D105" s="71" t="s">
        <v>25</v>
      </c>
      <c r="E105" s="71">
        <f t="shared" si="6"/>
        <v>0</v>
      </c>
      <c r="F105" s="71" t="s">
        <v>18</v>
      </c>
      <c r="G105" s="71"/>
      <c r="H105" s="71"/>
      <c r="I105" s="71"/>
      <c r="J105" s="134"/>
      <c r="K105" s="134"/>
      <c r="L105" s="134"/>
      <c r="M105" s="134"/>
      <c r="N105" s="134"/>
      <c r="O105" s="134"/>
      <c r="P105" s="134"/>
      <c r="Q105" s="134"/>
      <c r="R105" s="134"/>
      <c r="S105" s="134"/>
      <c r="T105" s="134"/>
      <c r="U105" s="134"/>
      <c r="V105" s="134"/>
    </row>
    <row r="106" spans="1:22" s="136" customFormat="1" ht="16.5" customHeight="1">
      <c r="A106" s="116" t="s">
        <v>137</v>
      </c>
      <c r="B106" s="116" t="s">
        <v>35</v>
      </c>
      <c r="C106" s="71"/>
      <c r="D106" s="71" t="s">
        <v>15</v>
      </c>
      <c r="E106" s="71">
        <f t="shared" si="6"/>
        <v>0</v>
      </c>
      <c r="F106" s="71" t="s">
        <v>9</v>
      </c>
      <c r="G106" s="71"/>
      <c r="H106" s="71"/>
      <c r="I106" s="71"/>
      <c r="J106" s="138"/>
      <c r="K106" s="135"/>
      <c r="L106" s="134"/>
      <c r="M106" s="134"/>
      <c r="N106" s="134"/>
      <c r="O106" s="134"/>
      <c r="P106" s="134"/>
      <c r="Q106" s="134"/>
      <c r="R106" s="134"/>
      <c r="S106" s="134"/>
      <c r="T106" s="134"/>
      <c r="U106" s="134"/>
      <c r="V106" s="134"/>
    </row>
    <row r="107" spans="1:22" s="136" customFormat="1" ht="16.5" customHeight="1">
      <c r="A107" s="116" t="s">
        <v>154</v>
      </c>
      <c r="B107" s="116" t="s">
        <v>35</v>
      </c>
      <c r="C107" s="71"/>
      <c r="D107" s="71" t="s">
        <v>14</v>
      </c>
      <c r="E107" s="71">
        <f t="shared" si="6"/>
        <v>0</v>
      </c>
      <c r="F107" s="71" t="s">
        <v>9</v>
      </c>
      <c r="G107" s="71"/>
      <c r="H107" s="71"/>
      <c r="I107" s="71"/>
      <c r="J107" s="138"/>
      <c r="K107" s="135"/>
      <c r="L107" s="134"/>
      <c r="M107" s="134"/>
      <c r="N107" s="134"/>
      <c r="O107" s="134"/>
      <c r="P107" s="134"/>
      <c r="Q107" s="134"/>
      <c r="R107" s="134"/>
      <c r="S107" s="134"/>
      <c r="T107" s="134"/>
      <c r="U107" s="134"/>
      <c r="V107" s="134"/>
    </row>
    <row r="108" spans="1:22" s="136" customFormat="1" ht="16.5" customHeight="1">
      <c r="A108" s="116"/>
      <c r="B108" s="116" t="s">
        <v>35</v>
      </c>
      <c r="C108" s="71"/>
      <c r="D108" s="71" t="s">
        <v>16</v>
      </c>
      <c r="E108" s="71">
        <f t="shared" si="6"/>
        <v>0</v>
      </c>
      <c r="F108" s="71" t="s">
        <v>9</v>
      </c>
      <c r="G108" s="71"/>
      <c r="H108" s="71"/>
      <c r="I108" s="71"/>
      <c r="J108" s="138"/>
      <c r="K108" s="135"/>
      <c r="L108" s="134"/>
      <c r="M108" s="134"/>
      <c r="N108" s="134"/>
      <c r="O108" s="134"/>
      <c r="P108" s="134"/>
      <c r="Q108" s="134"/>
      <c r="R108" s="134"/>
      <c r="S108" s="134"/>
      <c r="T108" s="134"/>
      <c r="U108" s="134"/>
      <c r="V108" s="134"/>
    </row>
    <row r="109" spans="1:22" s="136" customFormat="1" ht="16.5" customHeight="1">
      <c r="A109" s="116"/>
      <c r="B109" s="116" t="s">
        <v>35</v>
      </c>
      <c r="C109" s="71"/>
      <c r="D109" s="71" t="s">
        <v>17</v>
      </c>
      <c r="E109" s="71">
        <f t="shared" si="6"/>
        <v>0</v>
      </c>
      <c r="F109" s="71" t="s">
        <v>9</v>
      </c>
      <c r="G109" s="71"/>
      <c r="H109" s="71"/>
      <c r="I109" s="71"/>
      <c r="J109" s="138"/>
      <c r="K109" s="135"/>
      <c r="L109" s="134"/>
      <c r="M109" s="134"/>
      <c r="N109" s="134"/>
      <c r="O109" s="134"/>
      <c r="P109" s="134"/>
      <c r="Q109" s="134"/>
      <c r="R109" s="134"/>
      <c r="S109" s="134"/>
      <c r="T109" s="134"/>
      <c r="U109" s="134"/>
      <c r="V109" s="134"/>
    </row>
    <row r="110" spans="1:22" s="136" customFormat="1" ht="16.5" customHeight="1">
      <c r="A110" s="116"/>
      <c r="B110" s="116" t="s">
        <v>35</v>
      </c>
      <c r="C110" s="71"/>
      <c r="D110" s="71" t="s">
        <v>19</v>
      </c>
      <c r="E110" s="71">
        <f t="shared" si="6"/>
        <v>0</v>
      </c>
      <c r="F110" s="71" t="s">
        <v>9</v>
      </c>
      <c r="G110" s="71"/>
      <c r="H110" s="71"/>
      <c r="I110" s="71"/>
      <c r="J110" s="138"/>
      <c r="K110" s="135"/>
      <c r="L110" s="134"/>
      <c r="M110" s="134"/>
      <c r="N110" s="134"/>
      <c r="O110" s="134"/>
      <c r="P110" s="134"/>
      <c r="Q110" s="134"/>
      <c r="R110" s="134"/>
      <c r="S110" s="134"/>
      <c r="T110" s="134"/>
      <c r="U110" s="134"/>
      <c r="V110" s="134"/>
    </row>
    <row r="111" spans="1:22" s="136" customFormat="1" ht="16.5" customHeight="1">
      <c r="A111" s="116"/>
      <c r="B111" s="116" t="s">
        <v>35</v>
      </c>
      <c r="C111" s="71"/>
      <c r="D111" s="71" t="s">
        <v>18</v>
      </c>
      <c r="E111" s="71">
        <f t="shared" si="6"/>
        <v>0</v>
      </c>
      <c r="F111" s="71" t="s">
        <v>9</v>
      </c>
      <c r="G111" s="71"/>
      <c r="H111" s="71"/>
      <c r="I111" s="71"/>
      <c r="J111" s="138"/>
      <c r="K111" s="135"/>
      <c r="L111" s="134"/>
      <c r="M111" s="134"/>
      <c r="N111" s="134"/>
      <c r="O111" s="134"/>
      <c r="P111" s="134"/>
      <c r="Q111" s="134"/>
      <c r="R111" s="134"/>
      <c r="S111" s="134"/>
      <c r="T111" s="134"/>
      <c r="U111" s="134"/>
      <c r="V111" s="134"/>
    </row>
    <row r="112" spans="1:22" s="136" customFormat="1" ht="16.5" customHeight="1">
      <c r="A112" s="116"/>
      <c r="B112" s="116" t="s">
        <v>37</v>
      </c>
      <c r="C112" s="155"/>
      <c r="D112" s="71" t="s">
        <v>17</v>
      </c>
      <c r="E112" s="71">
        <f t="shared" si="6"/>
        <v>0</v>
      </c>
      <c r="F112" s="71" t="s">
        <v>19</v>
      </c>
      <c r="G112" s="71"/>
      <c r="H112" s="71"/>
      <c r="I112" s="71"/>
      <c r="J112" s="138"/>
      <c r="K112" s="134"/>
      <c r="L112" s="134"/>
      <c r="M112" s="134"/>
      <c r="N112" s="134"/>
      <c r="O112" s="134"/>
      <c r="P112" s="134"/>
      <c r="Q112" s="134"/>
      <c r="R112" s="134"/>
      <c r="S112" s="134"/>
      <c r="T112" s="134"/>
      <c r="U112" s="134"/>
      <c r="V112" s="134"/>
    </row>
    <row r="113" spans="1:22" s="136" customFormat="1" ht="16.5" customHeight="1">
      <c r="A113" s="116"/>
      <c r="B113" s="116" t="s">
        <v>39</v>
      </c>
      <c r="C113" s="71"/>
      <c r="D113" s="71" t="s">
        <v>17</v>
      </c>
      <c r="E113" s="71">
        <f t="shared" si="6"/>
        <v>0</v>
      </c>
      <c r="F113" s="71" t="s">
        <v>14</v>
      </c>
      <c r="G113" s="71"/>
      <c r="H113" s="71"/>
      <c r="I113" s="71"/>
      <c r="J113" s="138"/>
      <c r="K113" s="134"/>
      <c r="L113" s="134"/>
      <c r="M113" s="134"/>
      <c r="N113" s="134"/>
      <c r="O113" s="134"/>
      <c r="P113" s="134"/>
      <c r="Q113" s="134"/>
      <c r="R113" s="134"/>
      <c r="S113" s="134"/>
      <c r="T113" s="134"/>
      <c r="U113" s="134"/>
      <c r="V113" s="134"/>
    </row>
    <row r="114" spans="1:22" s="136" customFormat="1">
      <c r="A114" s="116" t="s">
        <v>200</v>
      </c>
      <c r="B114" s="116" t="s">
        <v>35</v>
      </c>
      <c r="C114" s="71"/>
      <c r="D114" s="71" t="s">
        <v>12</v>
      </c>
      <c r="E114" s="71">
        <f t="shared" si="6"/>
        <v>0</v>
      </c>
      <c r="F114" s="71" t="s">
        <v>9</v>
      </c>
      <c r="G114" s="71"/>
      <c r="H114" s="71"/>
      <c r="I114" s="71"/>
      <c r="J114" s="134"/>
      <c r="K114" s="134"/>
      <c r="L114" s="134"/>
      <c r="M114" s="134"/>
      <c r="N114" s="134"/>
      <c r="O114" s="134"/>
      <c r="P114" s="134"/>
      <c r="Q114" s="134"/>
      <c r="R114" s="134"/>
      <c r="S114" s="134"/>
      <c r="T114" s="134"/>
      <c r="U114" s="134"/>
      <c r="V114" s="134"/>
    </row>
    <row r="115" spans="1:22" s="136" customFormat="1">
      <c r="A115" s="116" t="s">
        <v>186</v>
      </c>
      <c r="B115" s="116" t="s">
        <v>35</v>
      </c>
      <c r="C115" s="71"/>
      <c r="D115" s="71" t="s">
        <v>10</v>
      </c>
      <c r="E115" s="71">
        <f t="shared" si="6"/>
        <v>0</v>
      </c>
      <c r="F115" s="71" t="s">
        <v>9</v>
      </c>
      <c r="G115" s="71"/>
      <c r="H115" s="71"/>
      <c r="I115" s="71"/>
      <c r="J115" s="134"/>
      <c r="K115" s="134"/>
      <c r="L115" s="134"/>
      <c r="M115" s="134"/>
      <c r="N115" s="134"/>
      <c r="O115" s="134"/>
      <c r="P115" s="134"/>
      <c r="Q115" s="134"/>
      <c r="R115" s="134"/>
      <c r="S115" s="134"/>
      <c r="T115" s="134"/>
      <c r="U115" s="134"/>
      <c r="V115" s="134"/>
    </row>
    <row r="116" spans="1:22" s="136" customFormat="1">
      <c r="A116" s="116" t="s">
        <v>187</v>
      </c>
      <c r="B116" s="116" t="s">
        <v>35</v>
      </c>
      <c r="C116" s="71"/>
      <c r="D116" s="71" t="s">
        <v>11</v>
      </c>
      <c r="E116" s="71">
        <f t="shared" si="6"/>
        <v>0</v>
      </c>
      <c r="F116" s="71" t="s">
        <v>9</v>
      </c>
      <c r="G116" s="71"/>
      <c r="H116" s="71"/>
      <c r="I116" s="71"/>
      <c r="J116" s="134"/>
      <c r="K116" s="134"/>
      <c r="L116" s="134"/>
      <c r="M116" s="134"/>
      <c r="N116" s="134"/>
      <c r="O116" s="134"/>
      <c r="P116" s="134"/>
      <c r="Q116" s="134"/>
      <c r="R116" s="134"/>
      <c r="S116" s="134"/>
      <c r="T116" s="134"/>
      <c r="U116" s="134"/>
      <c r="V116" s="134"/>
    </row>
    <row r="117" spans="1:22" s="136" customFormat="1">
      <c r="A117" s="116"/>
      <c r="B117" s="116" t="s">
        <v>39</v>
      </c>
      <c r="C117" s="156"/>
      <c r="D117" s="71" t="s">
        <v>18</v>
      </c>
      <c r="E117" s="71">
        <f t="shared" si="6"/>
        <v>0</v>
      </c>
      <c r="F117" s="71" t="s">
        <v>5</v>
      </c>
      <c r="G117" s="71"/>
      <c r="H117" s="71"/>
      <c r="I117" s="71"/>
      <c r="J117" s="134"/>
      <c r="K117" s="134"/>
      <c r="L117" s="134"/>
      <c r="M117" s="134"/>
      <c r="N117" s="134"/>
      <c r="O117" s="134"/>
      <c r="P117" s="134"/>
      <c r="Q117" s="134"/>
      <c r="R117" s="134"/>
      <c r="S117" s="134"/>
      <c r="T117" s="134"/>
      <c r="U117" s="134"/>
      <c r="V117" s="134"/>
    </row>
    <row r="118" spans="1:22" s="136" customFormat="1">
      <c r="A118" s="116"/>
      <c r="B118" s="116" t="s">
        <v>39</v>
      </c>
      <c r="C118" s="71"/>
      <c r="D118" s="71" t="s">
        <v>18</v>
      </c>
      <c r="E118" s="71">
        <f t="shared" si="6"/>
        <v>0</v>
      </c>
      <c r="F118" s="71" t="s">
        <v>5</v>
      </c>
      <c r="G118" s="71"/>
      <c r="H118" s="71"/>
      <c r="I118" s="71"/>
      <c r="J118" s="134"/>
      <c r="K118" s="134"/>
      <c r="L118" s="134"/>
      <c r="M118" s="134"/>
      <c r="N118" s="134"/>
      <c r="O118" s="134"/>
      <c r="P118" s="134"/>
      <c r="Q118" s="134"/>
      <c r="R118" s="134"/>
      <c r="S118" s="134"/>
      <c r="T118" s="134"/>
      <c r="U118" s="134"/>
      <c r="V118" s="134"/>
    </row>
    <row r="119" spans="1:22" s="136" customFormat="1">
      <c r="A119" s="116"/>
      <c r="B119" s="116" t="s">
        <v>34</v>
      </c>
      <c r="C119" s="71"/>
      <c r="D119" s="71" t="s">
        <v>23</v>
      </c>
      <c r="E119" s="71">
        <f t="shared" si="6"/>
        <v>0</v>
      </c>
      <c r="F119" s="71" t="s">
        <v>7</v>
      </c>
      <c r="G119" s="71"/>
      <c r="H119" s="71"/>
      <c r="I119" s="71"/>
      <c r="J119" s="134"/>
      <c r="K119" s="134"/>
      <c r="L119" s="134"/>
      <c r="M119" s="134"/>
      <c r="N119" s="134"/>
      <c r="O119" s="134"/>
      <c r="P119" s="134"/>
      <c r="Q119" s="134"/>
      <c r="R119" s="134"/>
      <c r="S119" s="134"/>
      <c r="T119" s="134"/>
      <c r="U119" s="134"/>
      <c r="V119" s="134"/>
    </row>
    <row r="120" spans="1:22" s="136" customFormat="1">
      <c r="A120" s="116"/>
      <c r="B120" s="116" t="s">
        <v>34</v>
      </c>
      <c r="C120" s="71"/>
      <c r="D120" s="71" t="s">
        <v>23</v>
      </c>
      <c r="E120" s="71">
        <f t="shared" ref="E120:E122" si="7">-C120</f>
        <v>0</v>
      </c>
      <c r="F120" s="71" t="s">
        <v>5</v>
      </c>
      <c r="G120" s="71"/>
      <c r="H120" s="71"/>
      <c r="I120" s="71"/>
      <c r="J120" s="134"/>
      <c r="K120" s="134"/>
      <c r="L120" s="134"/>
      <c r="M120" s="134"/>
      <c r="N120" s="134"/>
      <c r="O120" s="134"/>
      <c r="P120" s="134"/>
      <c r="Q120" s="134"/>
      <c r="R120" s="134"/>
      <c r="S120" s="134"/>
      <c r="T120" s="134"/>
      <c r="U120" s="134"/>
      <c r="V120" s="134"/>
    </row>
    <row r="121" spans="1:22" s="136" customFormat="1">
      <c r="A121" s="116"/>
      <c r="B121" s="318" t="s">
        <v>35</v>
      </c>
      <c r="C121" s="319">
        <f>-资金!B3*资金!B22*资金!C19/12</f>
        <v>-7015.3524058749972</v>
      </c>
      <c r="D121" s="319" t="s">
        <v>14</v>
      </c>
      <c r="E121" s="319">
        <f t="shared" si="7"/>
        <v>7015.3524058749972</v>
      </c>
      <c r="F121" s="319" t="s">
        <v>9</v>
      </c>
      <c r="G121" s="71"/>
      <c r="H121" s="71"/>
      <c r="I121" s="71"/>
      <c r="J121" s="134"/>
      <c r="K121" s="134"/>
      <c r="L121" s="134"/>
      <c r="M121" s="134"/>
      <c r="N121" s="134"/>
      <c r="O121" s="134"/>
      <c r="P121" s="134"/>
      <c r="Q121" s="134"/>
      <c r="R121" s="134"/>
      <c r="S121" s="134"/>
      <c r="T121" s="134"/>
      <c r="U121" s="134"/>
      <c r="V121" s="134"/>
    </row>
    <row r="122" spans="1:22" s="136" customFormat="1">
      <c r="A122" s="116"/>
      <c r="B122" s="318" t="s">
        <v>35</v>
      </c>
      <c r="C122" s="319">
        <f>-资金!B4*资金!B22*资金!C19/12</f>
        <v>-8724.8087271088643</v>
      </c>
      <c r="D122" s="319" t="s">
        <v>15</v>
      </c>
      <c r="E122" s="319">
        <f t="shared" si="7"/>
        <v>8724.8087271088643</v>
      </c>
      <c r="F122" s="319" t="s">
        <v>9</v>
      </c>
      <c r="G122" s="71"/>
      <c r="H122" s="71"/>
      <c r="I122" s="71"/>
      <c r="J122" s="134"/>
      <c r="K122" s="134"/>
      <c r="L122" s="134"/>
      <c r="M122" s="134"/>
      <c r="N122" s="134"/>
      <c r="O122" s="134"/>
      <c r="P122" s="134"/>
      <c r="Q122" s="134"/>
      <c r="R122" s="134"/>
      <c r="S122" s="134"/>
      <c r="T122" s="134"/>
      <c r="U122" s="134"/>
      <c r="V122" s="134"/>
    </row>
    <row r="123" spans="1:22">
      <c r="A123" s="116" t="s">
        <v>159</v>
      </c>
      <c r="B123" s="318" t="s">
        <v>35</v>
      </c>
      <c r="C123" s="320">
        <f>-资金!B8*资金!B21*资金!C19/12</f>
        <v>-170923.34581866662</v>
      </c>
      <c r="D123" s="319" t="s">
        <v>17</v>
      </c>
      <c r="E123" s="319">
        <f t="shared" ref="E123:E128" si="8">-C123</f>
        <v>170923.34581866662</v>
      </c>
      <c r="F123" s="319" t="s">
        <v>9</v>
      </c>
      <c r="G123" s="71"/>
      <c r="H123" s="71"/>
      <c r="I123" s="71"/>
      <c r="J123" s="134"/>
      <c r="K123" s="134"/>
      <c r="L123" s="134"/>
      <c r="M123" s="134"/>
    </row>
    <row r="124" spans="1:22">
      <c r="A124" s="116" t="s">
        <v>202</v>
      </c>
      <c r="B124" s="318" t="s">
        <v>35</v>
      </c>
      <c r="C124" s="320">
        <f>-资金!B12*资金!B21*资金!C19/12</f>
        <v>-50683.028828172035</v>
      </c>
      <c r="D124" s="319" t="s">
        <v>18</v>
      </c>
      <c r="E124" s="319">
        <f t="shared" si="8"/>
        <v>50683.028828172035</v>
      </c>
      <c r="F124" s="319" t="s">
        <v>9</v>
      </c>
      <c r="G124" s="71"/>
      <c r="H124" s="71"/>
      <c r="I124" s="71"/>
      <c r="J124" s="134"/>
      <c r="K124" s="134"/>
      <c r="L124" s="134"/>
      <c r="M124" s="134"/>
    </row>
    <row r="125" spans="1:22">
      <c r="A125" s="116" t="s">
        <v>160</v>
      </c>
      <c r="B125" s="318" t="s">
        <v>35</v>
      </c>
      <c r="C125" s="320">
        <f>-资金!B13*资金!B21*资金!C19/12</f>
        <v>-25500.092816129036</v>
      </c>
      <c r="D125" s="319" t="s">
        <v>19</v>
      </c>
      <c r="E125" s="319">
        <f t="shared" si="8"/>
        <v>25500.092816129036</v>
      </c>
      <c r="F125" s="319" t="s">
        <v>9</v>
      </c>
      <c r="G125" s="71"/>
      <c r="H125" s="71"/>
      <c r="I125" s="71"/>
      <c r="J125" s="134"/>
      <c r="K125" s="134"/>
      <c r="L125" s="134"/>
      <c r="M125" s="134"/>
    </row>
    <row r="126" spans="1:22">
      <c r="A126" s="116" t="s">
        <v>161</v>
      </c>
      <c r="B126" s="116" t="s">
        <v>35</v>
      </c>
      <c r="C126" s="119"/>
      <c r="D126" s="71" t="s">
        <v>9</v>
      </c>
      <c r="E126" s="71">
        <f t="shared" si="8"/>
        <v>0</v>
      </c>
      <c r="F126" s="71" t="s">
        <v>9</v>
      </c>
      <c r="G126" s="71"/>
      <c r="H126" s="71"/>
      <c r="I126" s="71"/>
      <c r="J126" s="134"/>
      <c r="K126" s="134"/>
      <c r="L126" s="134"/>
      <c r="M126" s="134"/>
    </row>
    <row r="127" spans="1:22">
      <c r="A127" s="116" t="s">
        <v>162</v>
      </c>
      <c r="B127" s="116" t="s">
        <v>35</v>
      </c>
      <c r="C127" s="119"/>
      <c r="D127" s="71" t="s">
        <v>9</v>
      </c>
      <c r="E127" s="71">
        <f t="shared" si="8"/>
        <v>0</v>
      </c>
      <c r="F127" s="71" t="s">
        <v>9</v>
      </c>
      <c r="G127" s="71"/>
      <c r="H127" s="71"/>
      <c r="I127" s="71"/>
      <c r="J127" s="134"/>
      <c r="K127" s="134"/>
      <c r="L127" s="134"/>
      <c r="M127" s="134"/>
    </row>
    <row r="128" spans="1:22">
      <c r="A128" s="116"/>
      <c r="B128" s="116" t="s">
        <v>35</v>
      </c>
      <c r="C128" s="119"/>
      <c r="D128" s="71" t="s">
        <v>12</v>
      </c>
      <c r="E128" s="71">
        <f t="shared" si="8"/>
        <v>0</v>
      </c>
      <c r="F128" s="71" t="s">
        <v>9</v>
      </c>
      <c r="G128" s="71"/>
      <c r="H128" s="71"/>
      <c r="I128" s="71"/>
      <c r="J128" s="134"/>
      <c r="K128" s="134"/>
      <c r="L128" s="134"/>
      <c r="M128" s="134"/>
    </row>
    <row r="129" spans="1:9">
      <c r="A129" s="171"/>
      <c r="B129" s="171" t="s">
        <v>428</v>
      </c>
      <c r="C129" s="172"/>
      <c r="D129" s="173"/>
      <c r="E129" s="172"/>
      <c r="F129" s="173"/>
      <c r="G129" s="171" t="s">
        <v>150</v>
      </c>
      <c r="H129" s="173" t="s">
        <v>151</v>
      </c>
      <c r="I129" s="173" t="s">
        <v>152</v>
      </c>
    </row>
    <row r="130" spans="1:9">
      <c r="A130" s="116" t="s">
        <v>137</v>
      </c>
      <c r="B130" s="116" t="s">
        <v>43</v>
      </c>
      <c r="C130" s="158">
        <f>ROUND(IF(OR(LEFT(B52,1)="2",(LEFT(B52,1)="4")),0,C52*0.06*0.12),2)</f>
        <v>0</v>
      </c>
      <c r="D130" s="71" t="str">
        <f>D52</f>
        <v>证券投资部</v>
      </c>
      <c r="E130" s="71">
        <f>-C130</f>
        <v>0</v>
      </c>
      <c r="F130" s="71" t="str">
        <f t="shared" ref="F130:F193" si="9">F52</f>
        <v>总部中后台</v>
      </c>
      <c r="H130" s="117"/>
      <c r="I130" s="117"/>
    </row>
    <row r="131" spans="1:9">
      <c r="A131" s="116" t="s">
        <v>154</v>
      </c>
      <c r="B131" s="116" t="s">
        <v>43</v>
      </c>
      <c r="C131" s="158">
        <f t="shared" ref="C131:C194" si="10">ROUND(IF(OR(LEFT(B53,1)="2",(LEFT(B53,1)="4")),0,C53*0.06*0.12),2)</f>
        <v>285.94</v>
      </c>
      <c r="D131" s="71" t="str">
        <f t="shared" ref="D131:D194" si="11">D53</f>
        <v>证券投资部</v>
      </c>
      <c r="E131" s="71">
        <f t="shared" ref="E131:E194" si="12">-C131</f>
        <v>-285.94</v>
      </c>
      <c r="F131" s="71" t="str">
        <f t="shared" si="9"/>
        <v>固定收益投资部</v>
      </c>
      <c r="H131" s="117"/>
      <c r="I131" s="117"/>
    </row>
    <row r="132" spans="1:9">
      <c r="A132" s="116" t="s">
        <v>155</v>
      </c>
      <c r="B132" s="116" t="s">
        <v>43</v>
      </c>
      <c r="C132" s="158">
        <f t="shared" si="10"/>
        <v>298.17</v>
      </c>
      <c r="D132" s="71" t="str">
        <f t="shared" si="11"/>
        <v>证券投资部</v>
      </c>
      <c r="E132" s="71">
        <f t="shared" si="12"/>
        <v>-298.17</v>
      </c>
      <c r="F132" s="71" t="str">
        <f t="shared" si="9"/>
        <v>金融衍生品部</v>
      </c>
      <c r="H132" s="117"/>
      <c r="I132" s="117"/>
    </row>
    <row r="133" spans="1:9">
      <c r="A133" s="116" t="s">
        <v>156</v>
      </c>
      <c r="B133" s="116" t="s">
        <v>43</v>
      </c>
      <c r="C133" s="158">
        <f t="shared" si="10"/>
        <v>0</v>
      </c>
      <c r="D133" s="71" t="str">
        <f t="shared" si="11"/>
        <v>做市业务部</v>
      </c>
      <c r="E133" s="71">
        <f t="shared" si="12"/>
        <v>0</v>
      </c>
      <c r="F133" s="71" t="str">
        <f t="shared" si="9"/>
        <v>其他</v>
      </c>
      <c r="H133" s="117"/>
      <c r="I133" s="117"/>
    </row>
    <row r="134" spans="1:9">
      <c r="A134" s="116" t="s">
        <v>157</v>
      </c>
      <c r="B134" s="116" t="s">
        <v>43</v>
      </c>
      <c r="C134" s="158">
        <f t="shared" si="10"/>
        <v>-474.12</v>
      </c>
      <c r="D134" s="71" t="str">
        <f t="shared" si="11"/>
        <v>固定收益市场部</v>
      </c>
      <c r="E134" s="71">
        <f t="shared" si="12"/>
        <v>474.12</v>
      </c>
      <c r="F134" s="71" t="str">
        <f t="shared" si="9"/>
        <v>总部中后台</v>
      </c>
      <c r="H134" s="117"/>
      <c r="I134" s="117"/>
    </row>
    <row r="135" spans="1:9">
      <c r="A135" s="116" t="s">
        <v>158</v>
      </c>
      <c r="B135" s="116" t="s">
        <v>43</v>
      </c>
      <c r="C135" s="158">
        <f t="shared" si="10"/>
        <v>-2769.53</v>
      </c>
      <c r="D135" s="71" t="str">
        <f t="shared" si="11"/>
        <v>固定收益投资部</v>
      </c>
      <c r="E135" s="71">
        <f t="shared" si="12"/>
        <v>2769.53</v>
      </c>
      <c r="F135" s="71" t="str">
        <f t="shared" si="9"/>
        <v>总部中后台</v>
      </c>
      <c r="H135" s="117"/>
      <c r="I135" s="117"/>
    </row>
    <row r="136" spans="1:9">
      <c r="A136" s="116" t="s">
        <v>159</v>
      </c>
      <c r="B136" s="116" t="s">
        <v>43</v>
      </c>
      <c r="C136" s="158">
        <f t="shared" si="10"/>
        <v>2293.7399999999998</v>
      </c>
      <c r="D136" s="71" t="str">
        <f t="shared" si="11"/>
        <v>投顾业务部</v>
      </c>
      <c r="E136" s="71">
        <f t="shared" si="12"/>
        <v>-2293.7399999999998</v>
      </c>
      <c r="F136" s="71" t="str">
        <f t="shared" si="9"/>
        <v>固收产品投资部</v>
      </c>
      <c r="H136" s="117"/>
      <c r="I136" s="117"/>
    </row>
    <row r="137" spans="1:9">
      <c r="A137" s="116" t="s">
        <v>201</v>
      </c>
      <c r="B137" s="116" t="s">
        <v>43</v>
      </c>
      <c r="C137" s="158">
        <f t="shared" si="10"/>
        <v>427.54</v>
      </c>
      <c r="D137" s="71" t="str">
        <f t="shared" si="11"/>
        <v>投顾业务部</v>
      </c>
      <c r="E137" s="71">
        <f t="shared" si="12"/>
        <v>-427.54</v>
      </c>
      <c r="F137" s="71" t="str">
        <f t="shared" si="9"/>
        <v>固收产品投资部</v>
      </c>
      <c r="H137" s="117"/>
      <c r="I137" s="117"/>
    </row>
    <row r="138" spans="1:9">
      <c r="A138" s="116" t="s">
        <v>202</v>
      </c>
      <c r="B138" s="116" t="s">
        <v>43</v>
      </c>
      <c r="C138" s="158">
        <f t="shared" si="10"/>
        <v>12.84</v>
      </c>
      <c r="D138" s="71" t="str">
        <f t="shared" si="11"/>
        <v>投顾业务部</v>
      </c>
      <c r="E138" s="71">
        <f t="shared" si="12"/>
        <v>-12.84</v>
      </c>
      <c r="F138" s="71" t="str">
        <f t="shared" si="9"/>
        <v>固收产品投资部</v>
      </c>
      <c r="H138" s="117"/>
      <c r="I138" s="117"/>
    </row>
    <row r="139" spans="1:9">
      <c r="A139" s="116" t="s">
        <v>160</v>
      </c>
      <c r="B139" s="116" t="s">
        <v>43</v>
      </c>
      <c r="C139" s="158">
        <f t="shared" si="10"/>
        <v>997.46</v>
      </c>
      <c r="D139" s="71" t="str">
        <f t="shared" si="11"/>
        <v>投顾业务部</v>
      </c>
      <c r="E139" s="71">
        <f t="shared" si="12"/>
        <v>-997.46</v>
      </c>
      <c r="F139" s="71" t="str">
        <f t="shared" si="9"/>
        <v>固收产品投资部</v>
      </c>
      <c r="H139" s="117"/>
      <c r="I139" s="117"/>
    </row>
    <row r="140" spans="1:9">
      <c r="A140" s="116" t="s">
        <v>161</v>
      </c>
      <c r="B140" s="116" t="s">
        <v>43</v>
      </c>
      <c r="C140" s="158">
        <f t="shared" si="10"/>
        <v>-84.16</v>
      </c>
      <c r="D140" s="71" t="str">
        <f t="shared" si="11"/>
        <v>固收产品投资部</v>
      </c>
      <c r="E140" s="71">
        <f t="shared" si="12"/>
        <v>84.16</v>
      </c>
      <c r="F140" s="71" t="str">
        <f t="shared" si="9"/>
        <v>经纪业务部</v>
      </c>
      <c r="H140" s="117"/>
      <c r="I140" s="117"/>
    </row>
    <row r="141" spans="1:9">
      <c r="A141" s="116" t="s">
        <v>162</v>
      </c>
      <c r="B141" s="116" t="s">
        <v>43</v>
      </c>
      <c r="C141" s="158">
        <f t="shared" si="10"/>
        <v>-1358.49</v>
      </c>
      <c r="D141" s="71" t="str">
        <f t="shared" si="11"/>
        <v>投资银行二部</v>
      </c>
      <c r="E141" s="71">
        <f t="shared" si="12"/>
        <v>1358.49</v>
      </c>
      <c r="F141" s="71" t="str">
        <f t="shared" si="9"/>
        <v>其他</v>
      </c>
      <c r="H141" s="117"/>
      <c r="I141" s="117"/>
    </row>
    <row r="142" spans="1:9">
      <c r="A142" s="116" t="s">
        <v>163</v>
      </c>
      <c r="B142" s="116" t="s">
        <v>43</v>
      </c>
      <c r="C142" s="158">
        <f t="shared" si="10"/>
        <v>-254.72</v>
      </c>
      <c r="D142" s="71" t="str">
        <f t="shared" si="11"/>
        <v>投资银行三部</v>
      </c>
      <c r="E142" s="71">
        <f t="shared" si="12"/>
        <v>254.72</v>
      </c>
      <c r="F142" s="71" t="str">
        <f t="shared" si="9"/>
        <v>其他</v>
      </c>
      <c r="H142" s="117"/>
      <c r="I142" s="117"/>
    </row>
    <row r="143" spans="1:9">
      <c r="A143" s="116" t="s">
        <v>164</v>
      </c>
      <c r="B143" s="116" t="s">
        <v>43</v>
      </c>
      <c r="C143" s="158">
        <f t="shared" si="10"/>
        <v>0</v>
      </c>
      <c r="D143" s="71" t="str">
        <f t="shared" si="11"/>
        <v>经纪业务部</v>
      </c>
      <c r="E143" s="71">
        <f t="shared" si="12"/>
        <v>0</v>
      </c>
      <c r="F143" s="71" t="str">
        <f t="shared" si="9"/>
        <v>总部中后台</v>
      </c>
      <c r="H143" s="71"/>
      <c r="I143" s="117"/>
    </row>
    <row r="144" spans="1:9">
      <c r="A144" s="116" t="s">
        <v>165</v>
      </c>
      <c r="B144" s="116" t="s">
        <v>43</v>
      </c>
      <c r="C144" s="158"/>
      <c r="D144" s="71" t="str">
        <f t="shared" si="11"/>
        <v>经纪业务部</v>
      </c>
      <c r="E144" s="71">
        <f t="shared" si="12"/>
        <v>0</v>
      </c>
      <c r="F144" s="71" t="str">
        <f t="shared" si="9"/>
        <v>其他</v>
      </c>
      <c r="H144" s="117" t="s">
        <v>589</v>
      </c>
      <c r="I144" s="117"/>
    </row>
    <row r="145" spans="1:9">
      <c r="A145" s="116" t="s">
        <v>166</v>
      </c>
      <c r="B145" s="116" t="s">
        <v>43</v>
      </c>
      <c r="C145" s="158"/>
      <c r="D145" s="71" t="str">
        <f t="shared" si="11"/>
        <v>经纪业务部</v>
      </c>
      <c r="E145" s="71">
        <f t="shared" si="12"/>
        <v>0</v>
      </c>
      <c r="F145" s="71" t="str">
        <f t="shared" si="9"/>
        <v>其他</v>
      </c>
      <c r="H145" s="117" t="s">
        <v>588</v>
      </c>
      <c r="I145" s="117"/>
    </row>
    <row r="146" spans="1:9">
      <c r="A146" s="116" t="s">
        <v>167</v>
      </c>
      <c r="B146" s="116" t="s">
        <v>43</v>
      </c>
      <c r="C146" s="158">
        <f t="shared" si="10"/>
        <v>0</v>
      </c>
      <c r="D146" s="71" t="str">
        <f t="shared" si="11"/>
        <v>固定收益投资部</v>
      </c>
      <c r="E146" s="71">
        <f t="shared" si="12"/>
        <v>0</v>
      </c>
      <c r="F146" s="71" t="str">
        <f t="shared" si="9"/>
        <v>总部中后台</v>
      </c>
      <c r="H146" s="117"/>
      <c r="I146" s="117"/>
    </row>
    <row r="147" spans="1:9">
      <c r="A147" s="116" t="s">
        <v>177</v>
      </c>
      <c r="B147" s="116" t="s">
        <v>43</v>
      </c>
      <c r="C147" s="158">
        <f t="shared" si="10"/>
        <v>0</v>
      </c>
      <c r="D147" s="71" t="str">
        <f t="shared" si="11"/>
        <v>经纪业务部</v>
      </c>
      <c r="E147" s="71">
        <f t="shared" si="12"/>
        <v>0</v>
      </c>
      <c r="F147" s="71" t="str">
        <f t="shared" si="9"/>
        <v>其他</v>
      </c>
      <c r="H147" s="117"/>
      <c r="I147" s="117"/>
    </row>
    <row r="148" spans="1:9">
      <c r="A148" s="116" t="s">
        <v>168</v>
      </c>
      <c r="B148" s="116" t="s">
        <v>43</v>
      </c>
      <c r="C148" s="158">
        <f t="shared" si="10"/>
        <v>0</v>
      </c>
      <c r="D148" s="71" t="str">
        <f t="shared" si="11"/>
        <v>金融衍生品部</v>
      </c>
      <c r="E148" s="71">
        <f t="shared" si="12"/>
        <v>0</v>
      </c>
      <c r="F148" s="71" t="str">
        <f t="shared" si="9"/>
        <v>总部中后台</v>
      </c>
      <c r="H148" s="117"/>
      <c r="I148" s="117"/>
    </row>
    <row r="149" spans="1:9">
      <c r="A149" s="116" t="s">
        <v>169</v>
      </c>
      <c r="B149" s="116" t="s">
        <v>43</v>
      </c>
      <c r="C149" s="158">
        <f t="shared" si="10"/>
        <v>0</v>
      </c>
      <c r="D149" s="71" t="str">
        <f t="shared" si="11"/>
        <v>经纪业务部</v>
      </c>
      <c r="E149" s="71">
        <f t="shared" si="12"/>
        <v>0</v>
      </c>
      <c r="F149" s="71" t="str">
        <f t="shared" si="9"/>
        <v>其他</v>
      </c>
      <c r="H149" s="117"/>
      <c r="I149" s="117"/>
    </row>
    <row r="150" spans="1:9">
      <c r="A150" s="116" t="s">
        <v>170</v>
      </c>
      <c r="B150" s="116" t="s">
        <v>43</v>
      </c>
      <c r="C150" s="158">
        <f t="shared" si="10"/>
        <v>0</v>
      </c>
      <c r="D150" s="71" t="str">
        <f t="shared" si="11"/>
        <v>投资银行一部</v>
      </c>
      <c r="E150" s="71">
        <f t="shared" si="12"/>
        <v>0</v>
      </c>
      <c r="F150" s="71" t="str">
        <f t="shared" si="9"/>
        <v>投资银行管理部</v>
      </c>
      <c r="H150" s="117"/>
      <c r="I150" s="117"/>
    </row>
    <row r="151" spans="1:9">
      <c r="A151" s="116" t="s">
        <v>171</v>
      </c>
      <c r="B151" s="116" t="s">
        <v>43</v>
      </c>
      <c r="C151" s="158">
        <f t="shared" si="10"/>
        <v>0</v>
      </c>
      <c r="D151" s="71" t="str">
        <f t="shared" si="11"/>
        <v>固收产品投资部</v>
      </c>
      <c r="E151" s="71">
        <f t="shared" si="12"/>
        <v>0</v>
      </c>
      <c r="F151" s="71" t="str">
        <f t="shared" si="9"/>
        <v>经纪业务部</v>
      </c>
      <c r="H151" s="117"/>
      <c r="I151" s="117"/>
    </row>
    <row r="152" spans="1:9">
      <c r="A152" s="116" t="s">
        <v>172</v>
      </c>
      <c r="B152" s="116" t="s">
        <v>43</v>
      </c>
      <c r="C152" s="158">
        <f t="shared" si="10"/>
        <v>0</v>
      </c>
      <c r="D152" s="71" t="str">
        <f t="shared" si="11"/>
        <v>资产管理部</v>
      </c>
      <c r="E152" s="71">
        <f t="shared" si="12"/>
        <v>0</v>
      </c>
      <c r="F152" s="71" t="str">
        <f t="shared" si="9"/>
        <v>经纪业务部</v>
      </c>
      <c r="H152" s="117"/>
      <c r="I152" s="117"/>
    </row>
    <row r="153" spans="1:9">
      <c r="A153" s="116" t="s">
        <v>173</v>
      </c>
      <c r="B153" s="116" t="s">
        <v>43</v>
      </c>
      <c r="C153" s="158">
        <f t="shared" si="10"/>
        <v>0</v>
      </c>
      <c r="D153" s="71" t="str">
        <f t="shared" si="11"/>
        <v>资产管理部</v>
      </c>
      <c r="E153" s="71">
        <f t="shared" si="12"/>
        <v>0</v>
      </c>
      <c r="F153" s="71" t="str">
        <f t="shared" si="9"/>
        <v>其他</v>
      </c>
      <c r="H153" s="117"/>
      <c r="I153" s="117"/>
    </row>
    <row r="154" spans="1:9">
      <c r="A154" s="116" t="s">
        <v>174</v>
      </c>
      <c r="B154" s="116" t="s">
        <v>43</v>
      </c>
      <c r="C154" s="158">
        <f t="shared" si="10"/>
        <v>0</v>
      </c>
      <c r="D154" s="71" t="str">
        <f t="shared" si="11"/>
        <v>资产管理部</v>
      </c>
      <c r="E154" s="71">
        <f t="shared" si="12"/>
        <v>0</v>
      </c>
      <c r="F154" s="71" t="str">
        <f t="shared" si="9"/>
        <v>其他</v>
      </c>
      <c r="H154" s="117"/>
      <c r="I154" s="117"/>
    </row>
    <row r="155" spans="1:9">
      <c r="A155" s="116" t="s">
        <v>175</v>
      </c>
      <c r="B155" s="116" t="s">
        <v>43</v>
      </c>
      <c r="C155" s="158">
        <f t="shared" si="10"/>
        <v>0</v>
      </c>
      <c r="D155" s="71" t="str">
        <f t="shared" si="11"/>
        <v>资产管理部</v>
      </c>
      <c r="E155" s="71">
        <f t="shared" si="12"/>
        <v>0</v>
      </c>
      <c r="F155" s="71" t="str">
        <f t="shared" si="9"/>
        <v>投资银行一部</v>
      </c>
      <c r="H155" s="117"/>
      <c r="I155" s="117"/>
    </row>
    <row r="156" spans="1:9">
      <c r="A156" s="116" t="s">
        <v>176</v>
      </c>
      <c r="B156" s="116" t="s">
        <v>43</v>
      </c>
      <c r="C156" s="158">
        <f t="shared" si="10"/>
        <v>0</v>
      </c>
      <c r="D156" s="71" t="str">
        <f t="shared" si="11"/>
        <v>做市业务部</v>
      </c>
      <c r="E156" s="71">
        <f t="shared" si="12"/>
        <v>0</v>
      </c>
      <c r="F156" s="71" t="str">
        <f t="shared" si="9"/>
        <v>投资银行三部</v>
      </c>
      <c r="H156" s="117"/>
      <c r="I156" s="117"/>
    </row>
    <row r="157" spans="1:9">
      <c r="A157" s="116" t="s">
        <v>203</v>
      </c>
      <c r="B157" s="116" t="s">
        <v>43</v>
      </c>
      <c r="C157" s="158">
        <f t="shared" si="10"/>
        <v>0</v>
      </c>
      <c r="D157" s="71" t="str">
        <f t="shared" si="11"/>
        <v>做市业务部</v>
      </c>
      <c r="E157" s="71">
        <f t="shared" si="12"/>
        <v>0</v>
      </c>
      <c r="F157" s="71" t="str">
        <f t="shared" si="9"/>
        <v>投资银行三部</v>
      </c>
      <c r="H157" s="117"/>
      <c r="I157" s="117"/>
    </row>
    <row r="158" spans="1:9">
      <c r="A158" s="116" t="s">
        <v>204</v>
      </c>
      <c r="B158" s="116" t="s">
        <v>43</v>
      </c>
      <c r="C158" s="158">
        <f t="shared" si="10"/>
        <v>0</v>
      </c>
      <c r="D158" s="71" t="str">
        <f t="shared" si="11"/>
        <v>固定收益投资部</v>
      </c>
      <c r="E158" s="71">
        <f t="shared" si="12"/>
        <v>0</v>
      </c>
      <c r="F158" s="71" t="str">
        <f t="shared" si="9"/>
        <v>投顾业务部</v>
      </c>
      <c r="H158" s="117"/>
      <c r="I158" s="117"/>
    </row>
    <row r="159" spans="1:9">
      <c r="A159" s="116" t="s">
        <v>178</v>
      </c>
      <c r="B159" s="116" t="s">
        <v>43</v>
      </c>
      <c r="C159" s="158">
        <f t="shared" si="10"/>
        <v>0</v>
      </c>
      <c r="D159" s="71" t="str">
        <f t="shared" si="11"/>
        <v>固收产品投资部</v>
      </c>
      <c r="E159" s="71">
        <f t="shared" si="12"/>
        <v>0</v>
      </c>
      <c r="F159" s="71" t="str">
        <f t="shared" si="9"/>
        <v>投顾业务部</v>
      </c>
      <c r="H159" s="117"/>
      <c r="I159" s="117"/>
    </row>
    <row r="160" spans="1:9">
      <c r="A160" s="116" t="s">
        <v>179</v>
      </c>
      <c r="B160" s="116" t="s">
        <v>43</v>
      </c>
      <c r="C160" s="158">
        <f t="shared" si="10"/>
        <v>0</v>
      </c>
      <c r="D160" s="71" t="str">
        <f t="shared" si="11"/>
        <v>固收产品投资部</v>
      </c>
      <c r="E160" s="71">
        <f t="shared" si="12"/>
        <v>0</v>
      </c>
      <c r="F160" s="71" t="str">
        <f t="shared" si="9"/>
        <v>投顾业务部</v>
      </c>
      <c r="H160" s="117"/>
      <c r="I160" s="117"/>
    </row>
    <row r="161" spans="1:9">
      <c r="A161" s="116" t="s">
        <v>180</v>
      </c>
      <c r="B161" s="116" t="s">
        <v>43</v>
      </c>
      <c r="C161" s="158">
        <f t="shared" si="10"/>
        <v>0</v>
      </c>
      <c r="D161" s="71" t="str">
        <f t="shared" si="11"/>
        <v>固收产品投资部</v>
      </c>
      <c r="E161" s="71">
        <f t="shared" si="12"/>
        <v>0</v>
      </c>
      <c r="F161" s="71" t="str">
        <f t="shared" si="9"/>
        <v>投顾业务部</v>
      </c>
      <c r="H161" s="117"/>
      <c r="I161" s="117"/>
    </row>
    <row r="162" spans="1:9">
      <c r="A162" s="116" t="s">
        <v>205</v>
      </c>
      <c r="B162" s="116" t="s">
        <v>43</v>
      </c>
      <c r="C162" s="158">
        <f t="shared" si="10"/>
        <v>0</v>
      </c>
      <c r="D162" s="71" t="str">
        <f t="shared" si="11"/>
        <v>固收产品投资部</v>
      </c>
      <c r="E162" s="71">
        <f t="shared" si="12"/>
        <v>0</v>
      </c>
      <c r="F162" s="71" t="str">
        <f t="shared" si="9"/>
        <v>投顾业务部</v>
      </c>
      <c r="H162" s="117"/>
      <c r="I162" s="117"/>
    </row>
    <row r="163" spans="1:9">
      <c r="A163" s="116" t="s">
        <v>181</v>
      </c>
      <c r="B163" s="116" t="s">
        <v>43</v>
      </c>
      <c r="C163" s="158">
        <f t="shared" si="10"/>
        <v>0</v>
      </c>
      <c r="D163" s="71" t="str">
        <f t="shared" si="11"/>
        <v>经纪业务部</v>
      </c>
      <c r="E163" s="71">
        <f t="shared" si="12"/>
        <v>0</v>
      </c>
      <c r="F163" s="71" t="str">
        <f t="shared" si="9"/>
        <v>固收产品投资部</v>
      </c>
      <c r="H163" s="117"/>
      <c r="I163" s="117"/>
    </row>
    <row r="164" spans="1:9">
      <c r="A164" s="116"/>
      <c r="B164" s="116" t="s">
        <v>43</v>
      </c>
      <c r="C164" s="158">
        <f t="shared" si="10"/>
        <v>0</v>
      </c>
      <c r="D164" s="71" t="str">
        <f t="shared" si="11"/>
        <v>资产管理部</v>
      </c>
      <c r="E164" s="71">
        <f t="shared" si="12"/>
        <v>0</v>
      </c>
      <c r="F164" s="71" t="str">
        <f t="shared" si="9"/>
        <v>经纪业务部</v>
      </c>
      <c r="H164" s="117"/>
      <c r="I164" s="117"/>
    </row>
    <row r="165" spans="1:9">
      <c r="A165" s="116" t="s">
        <v>182</v>
      </c>
      <c r="B165" s="116" t="s">
        <v>43</v>
      </c>
      <c r="C165" s="158">
        <f t="shared" si="10"/>
        <v>0</v>
      </c>
      <c r="D165" s="71" t="str">
        <f t="shared" si="11"/>
        <v>资产管理部</v>
      </c>
      <c r="E165" s="71">
        <f t="shared" si="12"/>
        <v>0</v>
      </c>
      <c r="F165" s="71" t="str">
        <f t="shared" si="9"/>
        <v>经纪业务部</v>
      </c>
      <c r="H165" s="117"/>
      <c r="I165" s="117"/>
    </row>
    <row r="166" spans="1:9">
      <c r="A166" s="116" t="s">
        <v>183</v>
      </c>
      <c r="B166" s="116" t="s">
        <v>43</v>
      </c>
      <c r="C166" s="158">
        <f t="shared" si="10"/>
        <v>0</v>
      </c>
      <c r="D166" s="71" t="str">
        <f t="shared" si="11"/>
        <v>资产管理部</v>
      </c>
      <c r="E166" s="71">
        <f t="shared" si="12"/>
        <v>0</v>
      </c>
      <c r="F166" s="71" t="str">
        <f t="shared" si="9"/>
        <v>经纪业务部</v>
      </c>
      <c r="H166" s="117"/>
      <c r="I166" s="117"/>
    </row>
    <row r="167" spans="1:9">
      <c r="A167" s="116" t="s">
        <v>184</v>
      </c>
      <c r="B167" s="116" t="s">
        <v>43</v>
      </c>
      <c r="C167" s="158">
        <f t="shared" si="10"/>
        <v>0</v>
      </c>
      <c r="D167" s="71" t="str">
        <f t="shared" si="11"/>
        <v>资产管理部</v>
      </c>
      <c r="E167" s="71">
        <f t="shared" si="12"/>
        <v>0</v>
      </c>
      <c r="F167" s="71" t="str">
        <f t="shared" si="9"/>
        <v>经纪业务部</v>
      </c>
      <c r="H167" s="117"/>
      <c r="I167" s="117"/>
    </row>
    <row r="168" spans="1:9">
      <c r="A168" s="116" t="s">
        <v>185</v>
      </c>
      <c r="B168" s="116" t="s">
        <v>43</v>
      </c>
      <c r="C168" s="158">
        <f t="shared" si="10"/>
        <v>0</v>
      </c>
      <c r="D168" s="71" t="str">
        <f t="shared" si="11"/>
        <v>投资银行三部</v>
      </c>
      <c r="E168" s="71">
        <f t="shared" si="12"/>
        <v>0</v>
      </c>
      <c r="F168" s="71" t="str">
        <f t="shared" si="9"/>
        <v>其他</v>
      </c>
      <c r="H168" s="159"/>
      <c r="I168" s="117"/>
    </row>
    <row r="169" spans="1:9">
      <c r="A169" s="116" t="s">
        <v>200</v>
      </c>
      <c r="B169" s="116" t="s">
        <v>43</v>
      </c>
      <c r="C169" s="158">
        <f t="shared" si="10"/>
        <v>0</v>
      </c>
      <c r="D169" s="71" t="str">
        <f t="shared" si="11"/>
        <v>证券投资部</v>
      </c>
      <c r="E169" s="71">
        <f t="shared" si="12"/>
        <v>0</v>
      </c>
      <c r="F169" s="71" t="str">
        <f t="shared" si="9"/>
        <v>量化产品投资部</v>
      </c>
      <c r="H169" s="117"/>
      <c r="I169" s="117"/>
    </row>
    <row r="170" spans="1:9">
      <c r="A170" s="116" t="s">
        <v>186</v>
      </c>
      <c r="B170" s="116" t="s">
        <v>43</v>
      </c>
      <c r="C170" s="158">
        <f t="shared" si="10"/>
        <v>0</v>
      </c>
      <c r="D170" s="71" t="str">
        <f t="shared" si="11"/>
        <v>证券投资部</v>
      </c>
      <c r="E170" s="71">
        <f t="shared" ref="E170:E171" si="13">-C170</f>
        <v>0</v>
      </c>
      <c r="F170" s="71" t="str">
        <f t="shared" si="9"/>
        <v>量化产品投资部</v>
      </c>
      <c r="H170" s="117"/>
      <c r="I170" s="117"/>
    </row>
    <row r="171" spans="1:9">
      <c r="A171" s="116" t="s">
        <v>187</v>
      </c>
      <c r="B171" s="116" t="s">
        <v>43</v>
      </c>
      <c r="C171" s="158">
        <f t="shared" si="10"/>
        <v>0</v>
      </c>
      <c r="D171" s="71" t="str">
        <f t="shared" si="11"/>
        <v>证券投资部</v>
      </c>
      <c r="E171" s="71">
        <f t="shared" si="13"/>
        <v>0</v>
      </c>
      <c r="F171" s="71" t="str">
        <f t="shared" si="9"/>
        <v>量化产品投资部</v>
      </c>
      <c r="H171" s="117"/>
      <c r="I171" s="117"/>
    </row>
    <row r="172" spans="1:9">
      <c r="A172" s="116" t="s">
        <v>188</v>
      </c>
      <c r="B172" s="116" t="s">
        <v>43</v>
      </c>
      <c r="C172" s="158">
        <f t="shared" si="10"/>
        <v>0</v>
      </c>
      <c r="D172" s="71" t="str">
        <f t="shared" si="11"/>
        <v>证券投资部</v>
      </c>
      <c r="E172" s="71">
        <f t="shared" si="12"/>
        <v>0</v>
      </c>
      <c r="F172" s="71" t="str">
        <f t="shared" si="9"/>
        <v>量化产品投资部</v>
      </c>
      <c r="H172" s="117"/>
      <c r="I172" s="117"/>
    </row>
    <row r="173" spans="1:9">
      <c r="A173" s="116" t="s">
        <v>189</v>
      </c>
      <c r="B173" s="116" t="s">
        <v>43</v>
      </c>
      <c r="C173" s="158">
        <f t="shared" si="10"/>
        <v>0</v>
      </c>
      <c r="D173" s="71" t="str">
        <f t="shared" si="11"/>
        <v>金融衍生品部</v>
      </c>
      <c r="E173" s="71">
        <f t="shared" si="12"/>
        <v>0</v>
      </c>
      <c r="F173" s="71" t="str">
        <f t="shared" si="9"/>
        <v>其他</v>
      </c>
      <c r="H173" s="117"/>
      <c r="I173" s="117"/>
    </row>
    <row r="174" spans="1:9">
      <c r="A174" s="116" t="s">
        <v>206</v>
      </c>
      <c r="B174" s="116" t="s">
        <v>43</v>
      </c>
      <c r="C174" s="158">
        <f t="shared" si="10"/>
        <v>0</v>
      </c>
      <c r="D174" s="71" t="str">
        <f t="shared" si="11"/>
        <v>金融衍生品部</v>
      </c>
      <c r="E174" s="71">
        <f t="shared" si="12"/>
        <v>0</v>
      </c>
      <c r="F174" s="71" t="str">
        <f t="shared" si="9"/>
        <v>经纪业务部</v>
      </c>
      <c r="H174" s="117"/>
      <c r="I174" s="117"/>
    </row>
    <row r="175" spans="1:9">
      <c r="A175" s="116" t="s">
        <v>190</v>
      </c>
      <c r="B175" s="116" t="s">
        <v>43</v>
      </c>
      <c r="C175" s="158">
        <f t="shared" si="10"/>
        <v>0</v>
      </c>
      <c r="D175" s="71" t="str">
        <f t="shared" si="11"/>
        <v>资产管理部</v>
      </c>
      <c r="E175" s="71">
        <f t="shared" si="12"/>
        <v>0</v>
      </c>
      <c r="F175" s="71" t="str">
        <f t="shared" si="9"/>
        <v>经纪业务部</v>
      </c>
      <c r="H175" s="117"/>
      <c r="I175" s="117"/>
    </row>
    <row r="176" spans="1:9">
      <c r="A176" s="116" t="s">
        <v>191</v>
      </c>
      <c r="B176" s="116" t="s">
        <v>43</v>
      </c>
      <c r="C176" s="158">
        <f t="shared" si="10"/>
        <v>0</v>
      </c>
      <c r="D176" s="71" t="str">
        <f t="shared" si="11"/>
        <v>资产管理部</v>
      </c>
      <c r="E176" s="71">
        <f t="shared" si="12"/>
        <v>0</v>
      </c>
      <c r="F176" s="71" t="str">
        <f t="shared" si="9"/>
        <v>经纪业务部</v>
      </c>
      <c r="H176" s="117"/>
      <c r="I176" s="117"/>
    </row>
    <row r="177" spans="1:9">
      <c r="A177" s="116" t="s">
        <v>192</v>
      </c>
      <c r="B177" s="116" t="s">
        <v>43</v>
      </c>
      <c r="C177" s="158">
        <f t="shared" si="10"/>
        <v>0</v>
      </c>
      <c r="D177" s="71" t="str">
        <f t="shared" si="11"/>
        <v>固定收益市场部</v>
      </c>
      <c r="E177" s="71">
        <f t="shared" si="12"/>
        <v>0</v>
      </c>
      <c r="F177" s="71" t="str">
        <f t="shared" si="9"/>
        <v>投顾业务部</v>
      </c>
      <c r="H177" s="117"/>
      <c r="I177" s="117"/>
    </row>
    <row r="178" spans="1:9">
      <c r="A178" s="116" t="s">
        <v>193</v>
      </c>
      <c r="B178" s="116" t="s">
        <v>43</v>
      </c>
      <c r="C178" s="158">
        <f t="shared" si="10"/>
        <v>0</v>
      </c>
      <c r="D178" s="71" t="str">
        <f t="shared" si="11"/>
        <v>投顾业务部</v>
      </c>
      <c r="E178" s="71">
        <f t="shared" si="12"/>
        <v>0</v>
      </c>
      <c r="F178" s="71" t="str">
        <f t="shared" si="9"/>
        <v>经纪业务部</v>
      </c>
      <c r="H178" s="117"/>
      <c r="I178" s="117"/>
    </row>
    <row r="179" spans="1:9">
      <c r="A179" s="116" t="s">
        <v>194</v>
      </c>
      <c r="B179" s="116" t="s">
        <v>43</v>
      </c>
      <c r="C179" s="158">
        <f t="shared" si="10"/>
        <v>0</v>
      </c>
      <c r="D179" s="71" t="str">
        <f t="shared" si="11"/>
        <v>投资银行一部</v>
      </c>
      <c r="E179" s="71">
        <f t="shared" si="12"/>
        <v>0</v>
      </c>
      <c r="F179" s="71" t="str">
        <f t="shared" si="9"/>
        <v>其他</v>
      </c>
      <c r="H179" s="117"/>
      <c r="I179" s="117"/>
    </row>
    <row r="180" spans="1:9">
      <c r="A180" s="116" t="s">
        <v>195</v>
      </c>
      <c r="B180" s="116" t="s">
        <v>43</v>
      </c>
      <c r="C180" s="158">
        <f t="shared" si="10"/>
        <v>0</v>
      </c>
      <c r="D180" s="71" t="str">
        <f t="shared" si="11"/>
        <v>经纪业务部</v>
      </c>
      <c r="E180" s="71">
        <f t="shared" si="12"/>
        <v>0</v>
      </c>
      <c r="F180" s="71" t="str">
        <f t="shared" si="9"/>
        <v>投资银行一部</v>
      </c>
      <c r="H180" s="117"/>
      <c r="I180" s="117"/>
    </row>
    <row r="181" spans="1:9">
      <c r="A181" s="116" t="s">
        <v>196</v>
      </c>
      <c r="B181" s="116" t="s">
        <v>43</v>
      </c>
      <c r="C181" s="158">
        <f t="shared" si="10"/>
        <v>0</v>
      </c>
      <c r="D181" s="71" t="str">
        <f t="shared" si="11"/>
        <v>投资银行四部</v>
      </c>
      <c r="E181" s="71">
        <f t="shared" si="12"/>
        <v>0</v>
      </c>
      <c r="F181" s="71" t="str">
        <f t="shared" si="9"/>
        <v>做市业务部</v>
      </c>
      <c r="H181" s="117"/>
      <c r="I181" s="117"/>
    </row>
    <row r="182" spans="1:9">
      <c r="A182" s="116" t="s">
        <v>207</v>
      </c>
      <c r="B182" s="116" t="s">
        <v>43</v>
      </c>
      <c r="C182" s="158">
        <f t="shared" si="10"/>
        <v>0</v>
      </c>
      <c r="D182" s="71" t="str">
        <f t="shared" si="11"/>
        <v>投资银行一部</v>
      </c>
      <c r="E182" s="71">
        <f t="shared" si="12"/>
        <v>0</v>
      </c>
      <c r="F182" s="71" t="str">
        <f t="shared" si="9"/>
        <v>其他</v>
      </c>
      <c r="H182" s="117"/>
      <c r="I182" s="117"/>
    </row>
    <row r="183" spans="1:9">
      <c r="A183" s="116" t="s">
        <v>208</v>
      </c>
      <c r="B183" s="116" t="s">
        <v>43</v>
      </c>
      <c r="C183" s="158">
        <f t="shared" si="10"/>
        <v>0</v>
      </c>
      <c r="D183" s="71" t="str">
        <f t="shared" si="11"/>
        <v>投资银行四部</v>
      </c>
      <c r="E183" s="71">
        <f t="shared" si="12"/>
        <v>0</v>
      </c>
      <c r="F183" s="71" t="str">
        <f t="shared" si="9"/>
        <v>做市业务部</v>
      </c>
      <c r="H183" s="117"/>
      <c r="I183" s="117"/>
    </row>
    <row r="184" spans="1:9">
      <c r="A184" s="116" t="s">
        <v>209</v>
      </c>
      <c r="B184" s="116" t="s">
        <v>43</v>
      </c>
      <c r="C184" s="158">
        <f t="shared" si="10"/>
        <v>0</v>
      </c>
      <c r="D184" s="71" t="str">
        <f t="shared" si="11"/>
        <v>固定收益市场部</v>
      </c>
      <c r="E184" s="71">
        <f t="shared" si="12"/>
        <v>0</v>
      </c>
      <c r="F184" s="71" t="str">
        <f t="shared" si="9"/>
        <v>资产管理部</v>
      </c>
      <c r="H184" s="117"/>
      <c r="I184" s="117"/>
    </row>
    <row r="185" spans="1:9">
      <c r="A185" s="116" t="s">
        <v>197</v>
      </c>
      <c r="B185" s="116" t="s">
        <v>43</v>
      </c>
      <c r="C185" s="158">
        <f t="shared" si="10"/>
        <v>0</v>
      </c>
      <c r="D185" s="71" t="str">
        <f t="shared" si="11"/>
        <v>固定收益投资部</v>
      </c>
      <c r="E185" s="71">
        <f t="shared" si="12"/>
        <v>0</v>
      </c>
      <c r="F185" s="71" t="str">
        <f t="shared" si="9"/>
        <v>资产管理部</v>
      </c>
      <c r="H185" s="117"/>
      <c r="I185" s="117"/>
    </row>
    <row r="186" spans="1:9">
      <c r="A186" s="116" t="s">
        <v>198</v>
      </c>
      <c r="B186" s="116" t="s">
        <v>43</v>
      </c>
      <c r="C186" s="158">
        <f t="shared" si="10"/>
        <v>0</v>
      </c>
      <c r="D186" s="71" t="str">
        <f t="shared" si="11"/>
        <v>投顾业务部</v>
      </c>
      <c r="E186" s="71">
        <f t="shared" si="12"/>
        <v>0</v>
      </c>
      <c r="F186" s="71" t="str">
        <f t="shared" si="9"/>
        <v>资产管理部</v>
      </c>
      <c r="H186" s="117"/>
      <c r="I186" s="117"/>
    </row>
    <row r="187" spans="1:9">
      <c r="A187" s="116" t="s">
        <v>210</v>
      </c>
      <c r="B187" s="116" t="s">
        <v>43</v>
      </c>
      <c r="C187" s="158">
        <f t="shared" si="10"/>
        <v>0</v>
      </c>
      <c r="D187" s="71" t="str">
        <f t="shared" si="11"/>
        <v>证券投资部</v>
      </c>
      <c r="E187" s="71">
        <f t="shared" si="12"/>
        <v>0</v>
      </c>
      <c r="F187" s="71" t="str">
        <f t="shared" si="9"/>
        <v>资产管理部</v>
      </c>
      <c r="H187" s="117"/>
      <c r="I187" s="117"/>
    </row>
    <row r="188" spans="1:9">
      <c r="A188" s="116" t="s">
        <v>199</v>
      </c>
      <c r="B188" s="116" t="s">
        <v>43</v>
      </c>
      <c r="C188" s="158">
        <f t="shared" si="10"/>
        <v>0</v>
      </c>
      <c r="D188" s="71" t="str">
        <f t="shared" si="11"/>
        <v>金融衍生品部</v>
      </c>
      <c r="E188" s="71">
        <f t="shared" si="12"/>
        <v>0</v>
      </c>
      <c r="F188" s="71" t="str">
        <f t="shared" si="9"/>
        <v>资产管理部</v>
      </c>
      <c r="H188" s="117"/>
      <c r="I188" s="117"/>
    </row>
    <row r="189" spans="1:9">
      <c r="A189" s="116" t="s">
        <v>211</v>
      </c>
      <c r="B189" s="116" t="s">
        <v>43</v>
      </c>
      <c r="C189" s="158">
        <f t="shared" si="10"/>
        <v>0</v>
      </c>
      <c r="D189" s="71" t="str">
        <f t="shared" si="11"/>
        <v>做市业务部</v>
      </c>
      <c r="E189" s="71">
        <f t="shared" si="12"/>
        <v>0</v>
      </c>
      <c r="F189" s="71" t="str">
        <f t="shared" si="9"/>
        <v>资产管理部</v>
      </c>
      <c r="G189" s="136"/>
      <c r="H189" s="136" t="s">
        <v>212</v>
      </c>
      <c r="I189" s="117"/>
    </row>
    <row r="190" spans="1:9">
      <c r="A190" s="116" t="s">
        <v>213</v>
      </c>
      <c r="B190" s="116" t="s">
        <v>43</v>
      </c>
      <c r="C190" s="158">
        <f t="shared" si="10"/>
        <v>0</v>
      </c>
      <c r="D190" s="71" t="str">
        <f t="shared" si="11"/>
        <v>证券投资部</v>
      </c>
      <c r="E190" s="71">
        <f t="shared" si="12"/>
        <v>0</v>
      </c>
      <c r="F190" s="71" t="str">
        <f t="shared" si="9"/>
        <v>金融衍生品部</v>
      </c>
      <c r="G190" s="136"/>
      <c r="H190" s="136" t="s">
        <v>212</v>
      </c>
      <c r="I190" s="117"/>
    </row>
    <row r="191" spans="1:9">
      <c r="A191" s="116" t="s">
        <v>214</v>
      </c>
      <c r="B191" s="116" t="s">
        <v>43</v>
      </c>
      <c r="C191" s="158">
        <f t="shared" si="10"/>
        <v>0</v>
      </c>
      <c r="D191" s="71" t="str">
        <f t="shared" si="11"/>
        <v>证券投资部</v>
      </c>
      <c r="E191" s="71">
        <f t="shared" si="12"/>
        <v>0</v>
      </c>
      <c r="F191" s="71" t="str">
        <f t="shared" si="9"/>
        <v>固定收益投资部</v>
      </c>
      <c r="G191" s="136"/>
      <c r="H191" s="136"/>
      <c r="I191" s="117"/>
    </row>
    <row r="192" spans="1:9">
      <c r="A192" s="116" t="s">
        <v>215</v>
      </c>
      <c r="B192" s="116" t="s">
        <v>43</v>
      </c>
      <c r="C192" s="158">
        <f t="shared" si="10"/>
        <v>0</v>
      </c>
      <c r="D192" s="71" t="str">
        <f t="shared" si="11"/>
        <v>量化产品投资部</v>
      </c>
      <c r="E192" s="71">
        <f t="shared" si="12"/>
        <v>0</v>
      </c>
      <c r="F192" s="71" t="str">
        <f t="shared" si="9"/>
        <v>资产管理部</v>
      </c>
      <c r="G192" s="136"/>
      <c r="H192" s="136"/>
      <c r="I192" s="117"/>
    </row>
    <row r="193" spans="1:22">
      <c r="A193" s="116" t="s">
        <v>216</v>
      </c>
      <c r="B193" s="116" t="s">
        <v>43</v>
      </c>
      <c r="C193" s="158">
        <f t="shared" si="10"/>
        <v>0</v>
      </c>
      <c r="D193" s="71" t="str">
        <f t="shared" si="11"/>
        <v>权益产品投资部</v>
      </c>
      <c r="E193" s="71">
        <f t="shared" si="12"/>
        <v>0</v>
      </c>
      <c r="F193" s="71" t="str">
        <f t="shared" si="9"/>
        <v>资产管理部</v>
      </c>
      <c r="G193" s="136"/>
      <c r="H193" s="136"/>
      <c r="I193" s="117"/>
    </row>
    <row r="194" spans="1:22">
      <c r="A194" s="116" t="s">
        <v>217</v>
      </c>
      <c r="B194" s="116" t="s">
        <v>43</v>
      </c>
      <c r="C194" s="158">
        <f t="shared" si="10"/>
        <v>0</v>
      </c>
      <c r="D194" s="71" t="str">
        <f t="shared" si="11"/>
        <v>固收产品投资部</v>
      </c>
      <c r="E194" s="71">
        <f t="shared" si="12"/>
        <v>0</v>
      </c>
      <c r="F194" s="71" t="str">
        <f t="shared" ref="F194:F206" si="14">F116</f>
        <v>资产管理部</v>
      </c>
      <c r="G194" s="136"/>
      <c r="H194" s="136"/>
      <c r="I194" s="117"/>
    </row>
    <row r="195" spans="1:22" s="136" customFormat="1">
      <c r="A195" s="116"/>
      <c r="B195" s="116" t="s">
        <v>43</v>
      </c>
      <c r="C195" s="158">
        <f t="shared" ref="C195:C206" si="15">ROUND(IF(OR(LEFT(B117,1)="2",(LEFT(B117,1)="4")),0,C117*0.06*0.12),2)</f>
        <v>0</v>
      </c>
      <c r="D195" s="71" t="str">
        <f t="shared" ref="D195:D206" si="16">D117</f>
        <v>做市业务部</v>
      </c>
      <c r="E195" s="71">
        <f t="shared" ref="E195:E206" si="17">-C195</f>
        <v>0</v>
      </c>
      <c r="F195" s="71" t="str">
        <f t="shared" si="14"/>
        <v>其他</v>
      </c>
      <c r="G195" s="71"/>
      <c r="H195" s="71"/>
      <c r="I195" s="71"/>
      <c r="J195" s="134"/>
      <c r="K195" s="134"/>
      <c r="L195" s="134"/>
      <c r="M195" s="134"/>
      <c r="N195" s="134"/>
      <c r="O195" s="134"/>
      <c r="P195" s="134"/>
      <c r="Q195" s="134"/>
      <c r="R195" s="134"/>
      <c r="S195" s="134"/>
      <c r="T195" s="134"/>
      <c r="U195" s="134"/>
      <c r="V195" s="134"/>
    </row>
    <row r="196" spans="1:22" s="136" customFormat="1">
      <c r="A196" s="116"/>
      <c r="B196" s="116" t="s">
        <v>43</v>
      </c>
      <c r="C196" s="158">
        <f t="shared" si="15"/>
        <v>0</v>
      </c>
      <c r="D196" s="71" t="str">
        <f t="shared" si="16"/>
        <v>做市业务部</v>
      </c>
      <c r="E196" s="71">
        <f t="shared" si="17"/>
        <v>0</v>
      </c>
      <c r="F196" s="71" t="str">
        <f t="shared" si="14"/>
        <v>其他</v>
      </c>
      <c r="G196" s="71"/>
      <c r="H196" s="71"/>
      <c r="I196" s="71"/>
      <c r="J196" s="134"/>
      <c r="K196" s="134"/>
      <c r="L196" s="134"/>
      <c r="M196" s="134"/>
      <c r="N196" s="134"/>
      <c r="O196" s="134"/>
      <c r="P196" s="134"/>
      <c r="Q196" s="134"/>
      <c r="R196" s="134"/>
      <c r="S196" s="134"/>
      <c r="T196" s="134"/>
      <c r="U196" s="134"/>
      <c r="V196" s="134"/>
    </row>
    <row r="197" spans="1:22" s="136" customFormat="1">
      <c r="A197" s="116"/>
      <c r="B197" s="116" t="s">
        <v>43</v>
      </c>
      <c r="C197" s="158">
        <f t="shared" si="15"/>
        <v>0</v>
      </c>
      <c r="D197" s="71" t="str">
        <f t="shared" si="16"/>
        <v>投资银行一部</v>
      </c>
      <c r="E197" s="71">
        <f t="shared" si="17"/>
        <v>0</v>
      </c>
      <c r="F197" s="71" t="str">
        <f t="shared" si="14"/>
        <v>经纪业务部</v>
      </c>
      <c r="G197" s="71"/>
      <c r="H197" s="71"/>
      <c r="I197" s="71"/>
      <c r="J197" s="134"/>
      <c r="K197" s="134"/>
      <c r="L197" s="134"/>
      <c r="M197" s="134"/>
      <c r="N197" s="134"/>
      <c r="O197" s="134"/>
      <c r="P197" s="134"/>
      <c r="Q197" s="134"/>
      <c r="R197" s="134"/>
      <c r="S197" s="134"/>
      <c r="T197" s="134"/>
      <c r="U197" s="134"/>
      <c r="V197" s="134"/>
    </row>
    <row r="198" spans="1:22" s="136" customFormat="1">
      <c r="A198" s="116" t="s">
        <v>211</v>
      </c>
      <c r="B198" s="116" t="s">
        <v>43</v>
      </c>
      <c r="C198" s="158">
        <f t="shared" si="15"/>
        <v>0</v>
      </c>
      <c r="D198" s="71" t="str">
        <f t="shared" si="16"/>
        <v>投资银行一部</v>
      </c>
      <c r="E198" s="71">
        <f t="shared" si="17"/>
        <v>0</v>
      </c>
      <c r="F198" s="71" t="str">
        <f t="shared" si="14"/>
        <v>其他</v>
      </c>
      <c r="G198" s="71"/>
      <c r="H198" s="71"/>
      <c r="I198" s="71"/>
      <c r="J198" s="134"/>
      <c r="K198" s="134"/>
      <c r="L198" s="134"/>
      <c r="M198" s="134"/>
      <c r="N198" s="134"/>
      <c r="O198" s="134"/>
      <c r="P198" s="134"/>
      <c r="Q198" s="134"/>
      <c r="R198" s="134"/>
      <c r="S198" s="134"/>
      <c r="T198" s="134"/>
      <c r="U198" s="134"/>
      <c r="V198" s="134"/>
    </row>
    <row r="199" spans="1:22" s="136" customFormat="1">
      <c r="A199" s="116" t="s">
        <v>211</v>
      </c>
      <c r="B199" s="116" t="s">
        <v>43</v>
      </c>
      <c r="C199" s="158">
        <f t="shared" si="15"/>
        <v>-50.51</v>
      </c>
      <c r="D199" s="71" t="str">
        <f t="shared" si="16"/>
        <v>固定收益投资部</v>
      </c>
      <c r="E199" s="71">
        <f t="shared" si="17"/>
        <v>50.51</v>
      </c>
      <c r="F199" s="71" t="str">
        <f t="shared" si="14"/>
        <v>资产管理部</v>
      </c>
      <c r="G199" s="71"/>
      <c r="H199" s="71"/>
      <c r="I199" s="71"/>
      <c r="J199" s="134"/>
      <c r="K199" s="134"/>
      <c r="L199" s="134"/>
      <c r="M199" s="134"/>
      <c r="N199" s="134"/>
      <c r="O199" s="134"/>
      <c r="P199" s="134"/>
      <c r="Q199" s="134"/>
      <c r="R199" s="134"/>
      <c r="S199" s="134"/>
      <c r="T199" s="134"/>
      <c r="U199" s="134"/>
      <c r="V199" s="134"/>
    </row>
    <row r="200" spans="1:22">
      <c r="A200" s="116" t="s">
        <v>211</v>
      </c>
      <c r="B200" s="116" t="s">
        <v>43</v>
      </c>
      <c r="C200" s="158">
        <f t="shared" si="15"/>
        <v>-62.82</v>
      </c>
      <c r="D200" s="71" t="str">
        <f t="shared" si="16"/>
        <v>固定收益市场部</v>
      </c>
      <c r="E200" s="71">
        <f t="shared" si="17"/>
        <v>62.82</v>
      </c>
      <c r="F200" s="71" t="str">
        <f t="shared" si="14"/>
        <v>资产管理部</v>
      </c>
      <c r="G200" s="136"/>
      <c r="H200" s="136"/>
      <c r="I200" s="117"/>
    </row>
    <row r="201" spans="1:22">
      <c r="A201" s="116" t="s">
        <v>211</v>
      </c>
      <c r="B201" s="116" t="s">
        <v>43</v>
      </c>
      <c r="C201" s="158">
        <f t="shared" si="15"/>
        <v>-1230.6500000000001</v>
      </c>
      <c r="D201" s="71" t="str">
        <f t="shared" si="16"/>
        <v>证券投资部</v>
      </c>
      <c r="E201" s="71">
        <f t="shared" si="17"/>
        <v>1230.6500000000001</v>
      </c>
      <c r="F201" s="71" t="str">
        <f t="shared" si="14"/>
        <v>资产管理部</v>
      </c>
      <c r="G201" s="71"/>
      <c r="H201" s="136"/>
      <c r="I201" s="117"/>
    </row>
    <row r="202" spans="1:22">
      <c r="A202" s="116" t="s">
        <v>211</v>
      </c>
      <c r="B202" s="116" t="s">
        <v>43</v>
      </c>
      <c r="C202" s="158">
        <f t="shared" si="15"/>
        <v>-364.92</v>
      </c>
      <c r="D202" s="71" t="str">
        <f t="shared" si="16"/>
        <v>做市业务部</v>
      </c>
      <c r="E202" s="71">
        <f t="shared" si="17"/>
        <v>364.92</v>
      </c>
      <c r="F202" s="71" t="str">
        <f t="shared" si="14"/>
        <v>资产管理部</v>
      </c>
      <c r="G202" s="136"/>
      <c r="H202" s="136"/>
      <c r="I202" s="117"/>
    </row>
    <row r="203" spans="1:22">
      <c r="A203" s="116"/>
      <c r="B203" s="116" t="s">
        <v>43</v>
      </c>
      <c r="C203" s="158">
        <f t="shared" si="15"/>
        <v>-183.6</v>
      </c>
      <c r="D203" s="71" t="str">
        <f t="shared" si="16"/>
        <v>金融衍生品部</v>
      </c>
      <c r="E203" s="71">
        <f t="shared" si="17"/>
        <v>183.6</v>
      </c>
      <c r="F203" s="71" t="str">
        <f t="shared" si="14"/>
        <v>资产管理部</v>
      </c>
      <c r="G203" s="136"/>
      <c r="H203" s="136"/>
      <c r="I203" s="117"/>
    </row>
    <row r="204" spans="1:22">
      <c r="A204" s="116"/>
      <c r="B204" s="116" t="s">
        <v>43</v>
      </c>
      <c r="C204" s="158">
        <f t="shared" si="15"/>
        <v>0</v>
      </c>
      <c r="D204" s="71" t="str">
        <f t="shared" si="16"/>
        <v>资产管理部</v>
      </c>
      <c r="E204" s="71">
        <f t="shared" si="17"/>
        <v>0</v>
      </c>
      <c r="F204" s="71" t="str">
        <f t="shared" si="14"/>
        <v>资产管理部</v>
      </c>
      <c r="G204" s="136"/>
      <c r="H204" s="160"/>
      <c r="I204" s="117"/>
    </row>
    <row r="205" spans="1:22">
      <c r="A205" s="116"/>
      <c r="B205" s="116" t="s">
        <v>43</v>
      </c>
      <c r="C205" s="158">
        <f t="shared" si="15"/>
        <v>0</v>
      </c>
      <c r="D205" s="71" t="str">
        <f t="shared" si="16"/>
        <v>资产管理部</v>
      </c>
      <c r="E205" s="71">
        <f t="shared" si="17"/>
        <v>0</v>
      </c>
      <c r="F205" s="71" t="str">
        <f t="shared" si="14"/>
        <v>资产管理部</v>
      </c>
      <c r="G205" s="136"/>
      <c r="H205" s="136"/>
      <c r="I205" s="117"/>
    </row>
    <row r="206" spans="1:22">
      <c r="A206" s="116"/>
      <c r="B206" s="116" t="s">
        <v>43</v>
      </c>
      <c r="C206" s="158">
        <f t="shared" si="15"/>
        <v>0</v>
      </c>
      <c r="D206" s="71" t="str">
        <f t="shared" si="16"/>
        <v>量化产品投资部</v>
      </c>
      <c r="E206" s="71">
        <f t="shared" si="17"/>
        <v>0</v>
      </c>
      <c r="F206" s="71" t="str">
        <f t="shared" si="14"/>
        <v>资产管理部</v>
      </c>
      <c r="G206" s="136"/>
      <c r="H206" s="136"/>
      <c r="I206" s="117"/>
    </row>
    <row r="207" spans="1:22">
      <c r="A207" s="171"/>
      <c r="B207" s="171" t="s">
        <v>427</v>
      </c>
      <c r="C207" s="172"/>
      <c r="D207" s="173"/>
      <c r="E207" s="172"/>
      <c r="F207" s="173"/>
      <c r="G207" s="171" t="s">
        <v>150</v>
      </c>
      <c r="H207" s="173" t="s">
        <v>151</v>
      </c>
      <c r="I207" s="173" t="s">
        <v>152</v>
      </c>
    </row>
    <row r="208" spans="1:22">
      <c r="A208" s="116" t="s">
        <v>137</v>
      </c>
      <c r="B208" s="116" t="s">
        <v>44</v>
      </c>
      <c r="C208" s="153">
        <f t="shared" ref="C208:C271" si="18">ROUND(C52*0.0175,2)</f>
        <v>-4444.79</v>
      </c>
      <c r="D208" s="71" t="str">
        <f>D52</f>
        <v>证券投资部</v>
      </c>
      <c r="E208" s="71">
        <f>-C208</f>
        <v>4444.79</v>
      </c>
      <c r="F208" s="71" t="str">
        <f>F52</f>
        <v>总部中后台</v>
      </c>
      <c r="G208" s="71" t="s">
        <v>102</v>
      </c>
      <c r="H208" s="71"/>
      <c r="I208" s="71"/>
    </row>
    <row r="209" spans="1:9">
      <c r="A209" s="116" t="s">
        <v>154</v>
      </c>
      <c r="B209" s="116" t="s">
        <v>44</v>
      </c>
      <c r="C209" s="153">
        <f t="shared" si="18"/>
        <v>694.98</v>
      </c>
      <c r="D209" s="71" t="str">
        <f t="shared" ref="D209:D272" si="19">D53</f>
        <v>证券投资部</v>
      </c>
      <c r="E209" s="71">
        <f t="shared" ref="E209:E272" si="20">-C209</f>
        <v>-694.98</v>
      </c>
      <c r="F209" s="71" t="str">
        <f t="shared" ref="F209:F272" si="21">F53</f>
        <v>固定收益投资部</v>
      </c>
      <c r="G209" s="71" t="s">
        <v>102</v>
      </c>
      <c r="H209" s="71"/>
      <c r="I209" s="71"/>
    </row>
    <row r="210" spans="1:9">
      <c r="A210" s="116" t="s">
        <v>155</v>
      </c>
      <c r="B210" s="116" t="s">
        <v>44</v>
      </c>
      <c r="C210" s="153">
        <f t="shared" si="18"/>
        <v>724.73</v>
      </c>
      <c r="D210" s="71" t="str">
        <f t="shared" si="19"/>
        <v>证券投资部</v>
      </c>
      <c r="E210" s="71">
        <f t="shared" si="20"/>
        <v>-724.73</v>
      </c>
      <c r="F210" s="71" t="str">
        <f t="shared" si="21"/>
        <v>金融衍生品部</v>
      </c>
      <c r="G210" s="71" t="s">
        <v>102</v>
      </c>
      <c r="H210" s="71"/>
      <c r="I210" s="71"/>
    </row>
    <row r="211" spans="1:9">
      <c r="A211" s="116" t="s">
        <v>156</v>
      </c>
      <c r="B211" s="116" t="s">
        <v>44</v>
      </c>
      <c r="C211" s="153">
        <f t="shared" si="18"/>
        <v>852113.99</v>
      </c>
      <c r="D211" s="71" t="str">
        <f t="shared" si="19"/>
        <v>做市业务部</v>
      </c>
      <c r="E211" s="71">
        <f t="shared" si="20"/>
        <v>-852113.99</v>
      </c>
      <c r="F211" s="71" t="str">
        <f t="shared" si="21"/>
        <v>其他</v>
      </c>
      <c r="G211" s="71" t="s">
        <v>102</v>
      </c>
      <c r="H211" s="71"/>
      <c r="I211" s="71"/>
    </row>
    <row r="212" spans="1:9">
      <c r="A212" s="116" t="s">
        <v>157</v>
      </c>
      <c r="B212" s="116" t="s">
        <v>44</v>
      </c>
      <c r="C212" s="153">
        <f t="shared" si="18"/>
        <v>-1152.3800000000001</v>
      </c>
      <c r="D212" s="71" t="str">
        <f t="shared" si="19"/>
        <v>固定收益市场部</v>
      </c>
      <c r="E212" s="71">
        <f t="shared" si="20"/>
        <v>1152.3800000000001</v>
      </c>
      <c r="F212" s="71" t="str">
        <f t="shared" si="21"/>
        <v>总部中后台</v>
      </c>
      <c r="G212" s="71" t="s">
        <v>102</v>
      </c>
      <c r="H212" s="71"/>
      <c r="I212" s="71"/>
    </row>
    <row r="213" spans="1:9">
      <c r="A213" s="116" t="s">
        <v>158</v>
      </c>
      <c r="B213" s="116" t="s">
        <v>44</v>
      </c>
      <c r="C213" s="153">
        <f t="shared" si="18"/>
        <v>-6731.51</v>
      </c>
      <c r="D213" s="71" t="str">
        <f t="shared" si="19"/>
        <v>固定收益投资部</v>
      </c>
      <c r="E213" s="71">
        <f t="shared" si="20"/>
        <v>6731.51</v>
      </c>
      <c r="F213" s="71" t="str">
        <f t="shared" si="21"/>
        <v>总部中后台</v>
      </c>
      <c r="G213" s="71" t="s">
        <v>102</v>
      </c>
      <c r="H213" s="71"/>
      <c r="I213" s="71"/>
    </row>
    <row r="214" spans="1:9">
      <c r="A214" s="116" t="s">
        <v>159</v>
      </c>
      <c r="B214" s="116" t="s">
        <v>44</v>
      </c>
      <c r="C214" s="153">
        <f t="shared" si="18"/>
        <v>5575.05</v>
      </c>
      <c r="D214" s="71" t="str">
        <f t="shared" si="19"/>
        <v>投顾业务部</v>
      </c>
      <c r="E214" s="71">
        <f t="shared" si="20"/>
        <v>-5575.05</v>
      </c>
      <c r="F214" s="71" t="str">
        <f t="shared" si="21"/>
        <v>固收产品投资部</v>
      </c>
      <c r="G214" s="71" t="s">
        <v>102</v>
      </c>
      <c r="H214" s="71"/>
      <c r="I214" s="71"/>
    </row>
    <row r="215" spans="1:9">
      <c r="A215" s="116" t="s">
        <v>201</v>
      </c>
      <c r="B215" s="116" t="s">
        <v>44</v>
      </c>
      <c r="C215" s="153">
        <f t="shared" si="18"/>
        <v>1039.1600000000001</v>
      </c>
      <c r="D215" s="71" t="str">
        <f t="shared" si="19"/>
        <v>投顾业务部</v>
      </c>
      <c r="E215" s="71">
        <f t="shared" si="20"/>
        <v>-1039.1600000000001</v>
      </c>
      <c r="F215" s="71" t="str">
        <f t="shared" si="21"/>
        <v>固收产品投资部</v>
      </c>
      <c r="G215" s="71" t="s">
        <v>102</v>
      </c>
      <c r="H215" s="71"/>
      <c r="I215" s="71"/>
    </row>
    <row r="216" spans="1:9">
      <c r="A216" s="116" t="s">
        <v>202</v>
      </c>
      <c r="B216" s="116" t="s">
        <v>44</v>
      </c>
      <c r="C216" s="153">
        <f t="shared" si="18"/>
        <v>31.2</v>
      </c>
      <c r="D216" s="71" t="str">
        <f t="shared" si="19"/>
        <v>投顾业务部</v>
      </c>
      <c r="E216" s="71">
        <f t="shared" si="20"/>
        <v>-31.2</v>
      </c>
      <c r="F216" s="71" t="str">
        <f t="shared" si="21"/>
        <v>固收产品投资部</v>
      </c>
      <c r="G216" s="71" t="s">
        <v>102</v>
      </c>
      <c r="H216" s="71"/>
      <c r="I216" s="71"/>
    </row>
    <row r="217" spans="1:9">
      <c r="A217" s="116" t="s">
        <v>160</v>
      </c>
      <c r="B217" s="116" t="s">
        <v>44</v>
      </c>
      <c r="C217" s="153">
        <f t="shared" si="18"/>
        <v>2424.38</v>
      </c>
      <c r="D217" s="71" t="str">
        <f t="shared" si="19"/>
        <v>投顾业务部</v>
      </c>
      <c r="E217" s="71">
        <f t="shared" si="20"/>
        <v>-2424.38</v>
      </c>
      <c r="F217" s="71" t="str">
        <f t="shared" si="21"/>
        <v>固收产品投资部</v>
      </c>
      <c r="G217" s="71" t="s">
        <v>102</v>
      </c>
      <c r="H217" s="71"/>
      <c r="I217" s="71"/>
    </row>
    <row r="218" spans="1:9">
      <c r="A218" s="116" t="s">
        <v>161</v>
      </c>
      <c r="B218" s="116" t="s">
        <v>44</v>
      </c>
      <c r="C218" s="153">
        <f t="shared" si="18"/>
        <v>-204.55</v>
      </c>
      <c r="D218" s="71" t="str">
        <f t="shared" si="19"/>
        <v>固收产品投资部</v>
      </c>
      <c r="E218" s="71">
        <f t="shared" si="20"/>
        <v>204.55</v>
      </c>
      <c r="F218" s="71" t="str">
        <f t="shared" si="21"/>
        <v>经纪业务部</v>
      </c>
      <c r="G218" s="71" t="s">
        <v>102</v>
      </c>
      <c r="H218" s="71"/>
      <c r="I218" s="71"/>
    </row>
    <row r="219" spans="1:9">
      <c r="A219" s="116" t="s">
        <v>162</v>
      </c>
      <c r="B219" s="116" t="s">
        <v>44</v>
      </c>
      <c r="C219" s="153">
        <f t="shared" si="18"/>
        <v>-3301.89</v>
      </c>
      <c r="D219" s="71" t="str">
        <f t="shared" si="19"/>
        <v>投资银行二部</v>
      </c>
      <c r="E219" s="71">
        <f t="shared" si="20"/>
        <v>3301.89</v>
      </c>
      <c r="F219" s="71" t="str">
        <f t="shared" si="21"/>
        <v>其他</v>
      </c>
      <c r="G219" s="71" t="s">
        <v>102</v>
      </c>
      <c r="H219" s="71"/>
      <c r="I219" s="71"/>
    </row>
    <row r="220" spans="1:9">
      <c r="A220" s="116" t="s">
        <v>163</v>
      </c>
      <c r="B220" s="116" t="s">
        <v>44</v>
      </c>
      <c r="C220" s="153">
        <f t="shared" si="18"/>
        <v>-619.1</v>
      </c>
      <c r="D220" s="71" t="str">
        <f t="shared" si="19"/>
        <v>投资银行三部</v>
      </c>
      <c r="E220" s="71">
        <f t="shared" si="20"/>
        <v>619.1</v>
      </c>
      <c r="F220" s="71" t="str">
        <f t="shared" si="21"/>
        <v>其他</v>
      </c>
      <c r="G220" s="71" t="s">
        <v>102</v>
      </c>
      <c r="H220" s="71"/>
      <c r="I220" s="71"/>
    </row>
    <row r="221" spans="1:9">
      <c r="A221" s="116" t="s">
        <v>164</v>
      </c>
      <c r="B221" s="116" t="s">
        <v>44</v>
      </c>
      <c r="C221" s="153">
        <f t="shared" si="18"/>
        <v>52260.83</v>
      </c>
      <c r="D221" s="71" t="str">
        <f t="shared" si="19"/>
        <v>经纪业务部</v>
      </c>
      <c r="E221" s="71">
        <f t="shared" si="20"/>
        <v>-52260.83</v>
      </c>
      <c r="F221" s="71" t="str">
        <f t="shared" si="21"/>
        <v>总部中后台</v>
      </c>
      <c r="G221" s="71" t="s">
        <v>102</v>
      </c>
      <c r="H221" s="71"/>
      <c r="I221" s="71"/>
    </row>
    <row r="222" spans="1:9">
      <c r="A222" s="116" t="s">
        <v>165</v>
      </c>
      <c r="B222" s="116" t="s">
        <v>44</v>
      </c>
      <c r="C222" s="153"/>
      <c r="D222" s="71" t="str">
        <f t="shared" si="19"/>
        <v>经纪业务部</v>
      </c>
      <c r="E222" s="71">
        <f t="shared" si="20"/>
        <v>0</v>
      </c>
      <c r="F222" s="71" t="str">
        <f t="shared" si="21"/>
        <v>其他</v>
      </c>
      <c r="G222" s="71" t="s">
        <v>102</v>
      </c>
      <c r="H222" s="117" t="s">
        <v>588</v>
      </c>
      <c r="I222" s="71"/>
    </row>
    <row r="223" spans="1:9">
      <c r="A223" s="116" t="s">
        <v>166</v>
      </c>
      <c r="B223" s="116" t="s">
        <v>44</v>
      </c>
      <c r="C223" s="153"/>
      <c r="D223" s="71" t="str">
        <f t="shared" si="19"/>
        <v>经纪业务部</v>
      </c>
      <c r="E223" s="71">
        <f t="shared" si="20"/>
        <v>0</v>
      </c>
      <c r="F223" s="71" t="str">
        <f t="shared" si="21"/>
        <v>其他</v>
      </c>
      <c r="G223" s="71" t="s">
        <v>102</v>
      </c>
      <c r="H223" s="117" t="s">
        <v>588</v>
      </c>
      <c r="I223" s="71"/>
    </row>
    <row r="224" spans="1:9">
      <c r="A224" s="116" t="s">
        <v>167</v>
      </c>
      <c r="B224" s="116" t="s">
        <v>44</v>
      </c>
      <c r="C224" s="153">
        <f t="shared" si="18"/>
        <v>0</v>
      </c>
      <c r="D224" s="71" t="str">
        <f t="shared" si="19"/>
        <v>固定收益投资部</v>
      </c>
      <c r="E224" s="71">
        <f t="shared" si="20"/>
        <v>0</v>
      </c>
      <c r="F224" s="71" t="str">
        <f t="shared" si="21"/>
        <v>总部中后台</v>
      </c>
      <c r="G224" s="71" t="s">
        <v>102</v>
      </c>
      <c r="H224" s="71"/>
      <c r="I224" s="71"/>
    </row>
    <row r="225" spans="1:9">
      <c r="A225" s="116" t="s">
        <v>177</v>
      </c>
      <c r="B225" s="116" t="s">
        <v>44</v>
      </c>
      <c r="C225" s="153">
        <f t="shared" si="18"/>
        <v>0</v>
      </c>
      <c r="D225" s="71" t="str">
        <f t="shared" si="19"/>
        <v>经纪业务部</v>
      </c>
      <c r="E225" s="71">
        <f t="shared" si="20"/>
        <v>0</v>
      </c>
      <c r="F225" s="71" t="str">
        <f t="shared" si="21"/>
        <v>其他</v>
      </c>
      <c r="G225" s="71" t="s">
        <v>102</v>
      </c>
      <c r="H225" s="71"/>
      <c r="I225" s="71"/>
    </row>
    <row r="226" spans="1:9">
      <c r="A226" s="116" t="s">
        <v>168</v>
      </c>
      <c r="B226" s="116" t="s">
        <v>44</v>
      </c>
      <c r="C226" s="153">
        <f t="shared" si="18"/>
        <v>0</v>
      </c>
      <c r="D226" s="71" t="str">
        <f t="shared" si="19"/>
        <v>金融衍生品部</v>
      </c>
      <c r="E226" s="71">
        <f t="shared" si="20"/>
        <v>0</v>
      </c>
      <c r="F226" s="71" t="str">
        <f t="shared" si="21"/>
        <v>总部中后台</v>
      </c>
      <c r="G226" s="71" t="s">
        <v>102</v>
      </c>
      <c r="H226" s="71"/>
      <c r="I226" s="71"/>
    </row>
    <row r="227" spans="1:9">
      <c r="A227" s="116" t="s">
        <v>169</v>
      </c>
      <c r="B227" s="116" t="s">
        <v>44</v>
      </c>
      <c r="C227" s="153">
        <f t="shared" si="18"/>
        <v>0</v>
      </c>
      <c r="D227" s="71" t="str">
        <f t="shared" si="19"/>
        <v>经纪业务部</v>
      </c>
      <c r="E227" s="71">
        <f t="shared" si="20"/>
        <v>0</v>
      </c>
      <c r="F227" s="71" t="str">
        <f t="shared" si="21"/>
        <v>其他</v>
      </c>
      <c r="G227" s="71" t="s">
        <v>102</v>
      </c>
      <c r="H227" s="71"/>
      <c r="I227" s="71"/>
    </row>
    <row r="228" spans="1:9">
      <c r="A228" s="116" t="s">
        <v>170</v>
      </c>
      <c r="B228" s="116" t="s">
        <v>44</v>
      </c>
      <c r="C228" s="153">
        <f t="shared" si="18"/>
        <v>0</v>
      </c>
      <c r="D228" s="71" t="str">
        <f t="shared" si="19"/>
        <v>投资银行一部</v>
      </c>
      <c r="E228" s="71">
        <f t="shared" si="20"/>
        <v>0</v>
      </c>
      <c r="F228" s="71" t="str">
        <f t="shared" si="21"/>
        <v>投资银行管理部</v>
      </c>
      <c r="G228" s="71" t="s">
        <v>102</v>
      </c>
      <c r="H228" s="71"/>
      <c r="I228" s="71"/>
    </row>
    <row r="229" spans="1:9">
      <c r="A229" s="116" t="s">
        <v>171</v>
      </c>
      <c r="B229" s="116" t="s">
        <v>44</v>
      </c>
      <c r="C229" s="153">
        <f t="shared" si="18"/>
        <v>0</v>
      </c>
      <c r="D229" s="71" t="str">
        <f t="shared" si="19"/>
        <v>固收产品投资部</v>
      </c>
      <c r="E229" s="71">
        <f t="shared" si="20"/>
        <v>0</v>
      </c>
      <c r="F229" s="71" t="str">
        <f t="shared" si="21"/>
        <v>经纪业务部</v>
      </c>
      <c r="G229" s="71" t="s">
        <v>102</v>
      </c>
      <c r="H229" s="71"/>
      <c r="I229" s="71"/>
    </row>
    <row r="230" spans="1:9">
      <c r="A230" s="116" t="s">
        <v>172</v>
      </c>
      <c r="B230" s="116" t="s">
        <v>44</v>
      </c>
      <c r="C230" s="153">
        <f t="shared" si="18"/>
        <v>0</v>
      </c>
      <c r="D230" s="71" t="str">
        <f t="shared" si="19"/>
        <v>资产管理部</v>
      </c>
      <c r="E230" s="71">
        <f t="shared" si="20"/>
        <v>0</v>
      </c>
      <c r="F230" s="71" t="str">
        <f t="shared" si="21"/>
        <v>经纪业务部</v>
      </c>
      <c r="G230" s="71" t="s">
        <v>102</v>
      </c>
      <c r="H230" s="71"/>
      <c r="I230" s="71"/>
    </row>
    <row r="231" spans="1:9">
      <c r="A231" s="116" t="s">
        <v>173</v>
      </c>
      <c r="B231" s="116" t="s">
        <v>44</v>
      </c>
      <c r="C231" s="153">
        <f t="shared" si="18"/>
        <v>0</v>
      </c>
      <c r="D231" s="71" t="str">
        <f t="shared" si="19"/>
        <v>资产管理部</v>
      </c>
      <c r="E231" s="71">
        <f t="shared" si="20"/>
        <v>0</v>
      </c>
      <c r="F231" s="71" t="str">
        <f t="shared" si="21"/>
        <v>其他</v>
      </c>
      <c r="G231" s="71" t="s">
        <v>102</v>
      </c>
      <c r="H231" s="71"/>
      <c r="I231" s="71"/>
    </row>
    <row r="232" spans="1:9">
      <c r="A232" s="116" t="s">
        <v>174</v>
      </c>
      <c r="B232" s="116" t="s">
        <v>44</v>
      </c>
      <c r="C232" s="153">
        <f t="shared" si="18"/>
        <v>0</v>
      </c>
      <c r="D232" s="71" t="str">
        <f t="shared" si="19"/>
        <v>资产管理部</v>
      </c>
      <c r="E232" s="71">
        <f t="shared" si="20"/>
        <v>0</v>
      </c>
      <c r="F232" s="71" t="str">
        <f t="shared" si="21"/>
        <v>其他</v>
      </c>
      <c r="G232" s="71" t="s">
        <v>102</v>
      </c>
      <c r="H232" s="71"/>
      <c r="I232" s="71"/>
    </row>
    <row r="233" spans="1:9">
      <c r="A233" s="116" t="s">
        <v>175</v>
      </c>
      <c r="B233" s="116" t="s">
        <v>44</v>
      </c>
      <c r="C233" s="153">
        <f t="shared" si="18"/>
        <v>0</v>
      </c>
      <c r="D233" s="71" t="str">
        <f t="shared" si="19"/>
        <v>资产管理部</v>
      </c>
      <c r="E233" s="71">
        <f t="shared" si="20"/>
        <v>0</v>
      </c>
      <c r="F233" s="71" t="str">
        <f t="shared" si="21"/>
        <v>投资银行一部</v>
      </c>
      <c r="G233" s="71" t="s">
        <v>102</v>
      </c>
      <c r="H233" s="71"/>
      <c r="I233" s="71"/>
    </row>
    <row r="234" spans="1:9">
      <c r="A234" s="116" t="s">
        <v>176</v>
      </c>
      <c r="B234" s="116" t="s">
        <v>44</v>
      </c>
      <c r="C234" s="153">
        <f t="shared" si="18"/>
        <v>0</v>
      </c>
      <c r="D234" s="71" t="str">
        <f t="shared" si="19"/>
        <v>做市业务部</v>
      </c>
      <c r="E234" s="71">
        <f t="shared" si="20"/>
        <v>0</v>
      </c>
      <c r="F234" s="71" t="str">
        <f t="shared" si="21"/>
        <v>投资银行三部</v>
      </c>
      <c r="G234" s="71" t="s">
        <v>102</v>
      </c>
      <c r="H234" s="71"/>
      <c r="I234" s="71"/>
    </row>
    <row r="235" spans="1:9">
      <c r="A235" s="116" t="s">
        <v>203</v>
      </c>
      <c r="B235" s="116" t="s">
        <v>44</v>
      </c>
      <c r="C235" s="153">
        <f t="shared" si="18"/>
        <v>0</v>
      </c>
      <c r="D235" s="71" t="str">
        <f t="shared" si="19"/>
        <v>做市业务部</v>
      </c>
      <c r="E235" s="71">
        <f t="shared" si="20"/>
        <v>0</v>
      </c>
      <c r="F235" s="71" t="str">
        <f t="shared" si="21"/>
        <v>投资银行三部</v>
      </c>
      <c r="G235" s="71" t="s">
        <v>102</v>
      </c>
      <c r="H235" s="71"/>
      <c r="I235" s="71"/>
    </row>
    <row r="236" spans="1:9">
      <c r="A236" s="116" t="s">
        <v>204</v>
      </c>
      <c r="B236" s="116" t="s">
        <v>44</v>
      </c>
      <c r="C236" s="153">
        <f t="shared" si="18"/>
        <v>0</v>
      </c>
      <c r="D236" s="71" t="str">
        <f t="shared" si="19"/>
        <v>固定收益投资部</v>
      </c>
      <c r="E236" s="71">
        <f t="shared" si="20"/>
        <v>0</v>
      </c>
      <c r="F236" s="71" t="str">
        <f t="shared" si="21"/>
        <v>投顾业务部</v>
      </c>
      <c r="G236" s="71" t="s">
        <v>102</v>
      </c>
      <c r="H236" s="71"/>
      <c r="I236" s="71"/>
    </row>
    <row r="237" spans="1:9">
      <c r="A237" s="116" t="s">
        <v>178</v>
      </c>
      <c r="B237" s="116" t="s">
        <v>44</v>
      </c>
      <c r="C237" s="153">
        <f t="shared" si="18"/>
        <v>0</v>
      </c>
      <c r="D237" s="71" t="str">
        <f t="shared" si="19"/>
        <v>固收产品投资部</v>
      </c>
      <c r="E237" s="71">
        <f t="shared" si="20"/>
        <v>0</v>
      </c>
      <c r="F237" s="71" t="str">
        <f t="shared" si="21"/>
        <v>投顾业务部</v>
      </c>
      <c r="G237" s="71" t="s">
        <v>102</v>
      </c>
      <c r="H237" s="71"/>
      <c r="I237" s="71"/>
    </row>
    <row r="238" spans="1:9">
      <c r="A238" s="116" t="s">
        <v>179</v>
      </c>
      <c r="B238" s="116" t="s">
        <v>44</v>
      </c>
      <c r="C238" s="153">
        <f t="shared" si="18"/>
        <v>0</v>
      </c>
      <c r="D238" s="71" t="str">
        <f t="shared" si="19"/>
        <v>固收产品投资部</v>
      </c>
      <c r="E238" s="71">
        <f t="shared" si="20"/>
        <v>0</v>
      </c>
      <c r="F238" s="71" t="str">
        <f t="shared" si="21"/>
        <v>投顾业务部</v>
      </c>
      <c r="G238" s="71" t="s">
        <v>102</v>
      </c>
      <c r="H238" s="71"/>
      <c r="I238" s="71"/>
    </row>
    <row r="239" spans="1:9">
      <c r="A239" s="116" t="s">
        <v>180</v>
      </c>
      <c r="B239" s="116" t="s">
        <v>44</v>
      </c>
      <c r="C239" s="153">
        <f t="shared" si="18"/>
        <v>0</v>
      </c>
      <c r="D239" s="71" t="str">
        <f t="shared" si="19"/>
        <v>固收产品投资部</v>
      </c>
      <c r="E239" s="71">
        <f t="shared" si="20"/>
        <v>0</v>
      </c>
      <c r="F239" s="71" t="str">
        <f t="shared" si="21"/>
        <v>投顾业务部</v>
      </c>
      <c r="G239" s="71" t="s">
        <v>102</v>
      </c>
      <c r="H239" s="71"/>
      <c r="I239" s="71"/>
    </row>
    <row r="240" spans="1:9">
      <c r="A240" s="116" t="s">
        <v>205</v>
      </c>
      <c r="B240" s="116" t="s">
        <v>44</v>
      </c>
      <c r="C240" s="153">
        <f t="shared" si="18"/>
        <v>0</v>
      </c>
      <c r="D240" s="71" t="str">
        <f t="shared" si="19"/>
        <v>固收产品投资部</v>
      </c>
      <c r="E240" s="71">
        <f t="shared" si="20"/>
        <v>0</v>
      </c>
      <c r="F240" s="71" t="str">
        <f t="shared" si="21"/>
        <v>投顾业务部</v>
      </c>
      <c r="G240" s="71" t="s">
        <v>102</v>
      </c>
      <c r="H240" s="71"/>
      <c r="I240" s="71"/>
    </row>
    <row r="241" spans="1:9">
      <c r="A241" s="116" t="s">
        <v>181</v>
      </c>
      <c r="B241" s="116" t="s">
        <v>44</v>
      </c>
      <c r="C241" s="153">
        <f t="shared" si="18"/>
        <v>0</v>
      </c>
      <c r="D241" s="71" t="str">
        <f t="shared" si="19"/>
        <v>经纪业务部</v>
      </c>
      <c r="E241" s="71">
        <f t="shared" si="20"/>
        <v>0</v>
      </c>
      <c r="F241" s="71" t="str">
        <f t="shared" si="21"/>
        <v>固收产品投资部</v>
      </c>
      <c r="G241" s="71" t="s">
        <v>102</v>
      </c>
      <c r="H241" s="71"/>
      <c r="I241" s="71"/>
    </row>
    <row r="242" spans="1:9">
      <c r="A242" s="116" t="s">
        <v>182</v>
      </c>
      <c r="B242" s="116" t="s">
        <v>44</v>
      </c>
      <c r="C242" s="153">
        <f t="shared" si="18"/>
        <v>0</v>
      </c>
      <c r="D242" s="71" t="str">
        <f t="shared" si="19"/>
        <v>资产管理部</v>
      </c>
      <c r="E242" s="71">
        <f t="shared" si="20"/>
        <v>0</v>
      </c>
      <c r="F242" s="71" t="str">
        <f t="shared" si="21"/>
        <v>经纪业务部</v>
      </c>
      <c r="G242" s="71" t="s">
        <v>102</v>
      </c>
      <c r="H242" s="71"/>
      <c r="I242" s="71"/>
    </row>
    <row r="243" spans="1:9">
      <c r="A243" s="116" t="s">
        <v>182</v>
      </c>
      <c r="B243" s="116" t="s">
        <v>44</v>
      </c>
      <c r="C243" s="153">
        <f t="shared" si="18"/>
        <v>0</v>
      </c>
      <c r="D243" s="71" t="str">
        <f t="shared" si="19"/>
        <v>资产管理部</v>
      </c>
      <c r="E243" s="71">
        <f t="shared" si="20"/>
        <v>0</v>
      </c>
      <c r="F243" s="71" t="str">
        <f t="shared" si="21"/>
        <v>经纪业务部</v>
      </c>
      <c r="G243" s="71" t="s">
        <v>102</v>
      </c>
      <c r="H243" s="71"/>
      <c r="I243" s="71"/>
    </row>
    <row r="244" spans="1:9">
      <c r="A244" s="116" t="s">
        <v>183</v>
      </c>
      <c r="B244" s="116" t="s">
        <v>44</v>
      </c>
      <c r="C244" s="153">
        <f t="shared" si="18"/>
        <v>0</v>
      </c>
      <c r="D244" s="71" t="str">
        <f t="shared" si="19"/>
        <v>资产管理部</v>
      </c>
      <c r="E244" s="71">
        <f t="shared" si="20"/>
        <v>0</v>
      </c>
      <c r="F244" s="71" t="str">
        <f t="shared" si="21"/>
        <v>经纪业务部</v>
      </c>
      <c r="G244" s="71" t="s">
        <v>102</v>
      </c>
      <c r="H244" s="71"/>
      <c r="I244" s="71"/>
    </row>
    <row r="245" spans="1:9">
      <c r="A245" s="116" t="s">
        <v>184</v>
      </c>
      <c r="B245" s="116" t="s">
        <v>44</v>
      </c>
      <c r="C245" s="153">
        <f t="shared" si="18"/>
        <v>0</v>
      </c>
      <c r="D245" s="71" t="str">
        <f t="shared" si="19"/>
        <v>资产管理部</v>
      </c>
      <c r="E245" s="71">
        <f t="shared" si="20"/>
        <v>0</v>
      </c>
      <c r="F245" s="71" t="str">
        <f t="shared" si="21"/>
        <v>经纪业务部</v>
      </c>
      <c r="G245" s="71" t="s">
        <v>102</v>
      </c>
      <c r="H245" s="71"/>
      <c r="I245" s="71"/>
    </row>
    <row r="246" spans="1:9">
      <c r="A246" s="116" t="s">
        <v>185</v>
      </c>
      <c r="B246" s="116" t="s">
        <v>44</v>
      </c>
      <c r="C246" s="153">
        <f t="shared" si="18"/>
        <v>0</v>
      </c>
      <c r="D246" s="71" t="str">
        <f t="shared" si="19"/>
        <v>投资银行三部</v>
      </c>
      <c r="E246" s="71">
        <f t="shared" si="20"/>
        <v>0</v>
      </c>
      <c r="F246" s="71" t="str">
        <f t="shared" si="21"/>
        <v>其他</v>
      </c>
      <c r="G246" s="71" t="s">
        <v>102</v>
      </c>
      <c r="H246" s="71"/>
      <c r="I246" s="71"/>
    </row>
    <row r="247" spans="1:9">
      <c r="A247" s="116" t="s">
        <v>200</v>
      </c>
      <c r="B247" s="116" t="s">
        <v>44</v>
      </c>
      <c r="C247" s="153">
        <f t="shared" si="18"/>
        <v>0</v>
      </c>
      <c r="D247" s="71" t="str">
        <f t="shared" si="19"/>
        <v>证券投资部</v>
      </c>
      <c r="E247" s="71">
        <f t="shared" si="20"/>
        <v>0</v>
      </c>
      <c r="F247" s="71" t="str">
        <f t="shared" si="21"/>
        <v>量化产品投资部</v>
      </c>
      <c r="G247" s="71" t="s">
        <v>102</v>
      </c>
      <c r="H247" s="71"/>
      <c r="I247" s="71"/>
    </row>
    <row r="248" spans="1:9">
      <c r="A248" s="116" t="s">
        <v>186</v>
      </c>
      <c r="B248" s="116" t="s">
        <v>44</v>
      </c>
      <c r="C248" s="153">
        <f t="shared" si="18"/>
        <v>0</v>
      </c>
      <c r="D248" s="71" t="str">
        <f t="shared" si="19"/>
        <v>证券投资部</v>
      </c>
      <c r="E248" s="71">
        <f t="shared" si="20"/>
        <v>0</v>
      </c>
      <c r="F248" s="71" t="str">
        <f t="shared" si="21"/>
        <v>量化产品投资部</v>
      </c>
      <c r="G248" s="71" t="s">
        <v>102</v>
      </c>
      <c r="H248" s="71"/>
      <c r="I248" s="71"/>
    </row>
    <row r="249" spans="1:9">
      <c r="A249" s="116" t="s">
        <v>187</v>
      </c>
      <c r="B249" s="116" t="s">
        <v>44</v>
      </c>
      <c r="C249" s="153">
        <f t="shared" si="18"/>
        <v>0</v>
      </c>
      <c r="D249" s="71" t="str">
        <f t="shared" si="19"/>
        <v>证券投资部</v>
      </c>
      <c r="E249" s="71">
        <f t="shared" si="20"/>
        <v>0</v>
      </c>
      <c r="F249" s="71" t="str">
        <f t="shared" si="21"/>
        <v>量化产品投资部</v>
      </c>
      <c r="G249" s="71" t="s">
        <v>102</v>
      </c>
      <c r="H249" s="71"/>
      <c r="I249" s="71"/>
    </row>
    <row r="250" spans="1:9">
      <c r="A250" s="116" t="s">
        <v>188</v>
      </c>
      <c r="B250" s="116" t="s">
        <v>44</v>
      </c>
      <c r="C250" s="153">
        <f t="shared" si="18"/>
        <v>0</v>
      </c>
      <c r="D250" s="71" t="str">
        <f t="shared" si="19"/>
        <v>证券投资部</v>
      </c>
      <c r="E250" s="71">
        <f t="shared" si="20"/>
        <v>0</v>
      </c>
      <c r="F250" s="71" t="str">
        <f t="shared" si="21"/>
        <v>量化产品投资部</v>
      </c>
      <c r="G250" s="71" t="s">
        <v>102</v>
      </c>
      <c r="H250" s="71"/>
      <c r="I250" s="71"/>
    </row>
    <row r="251" spans="1:9">
      <c r="A251" s="116" t="s">
        <v>189</v>
      </c>
      <c r="B251" s="116" t="s">
        <v>44</v>
      </c>
      <c r="C251" s="153">
        <f t="shared" si="18"/>
        <v>0</v>
      </c>
      <c r="D251" s="71" t="str">
        <f t="shared" si="19"/>
        <v>金融衍生品部</v>
      </c>
      <c r="E251" s="71">
        <f t="shared" si="20"/>
        <v>0</v>
      </c>
      <c r="F251" s="71" t="str">
        <f t="shared" si="21"/>
        <v>其他</v>
      </c>
      <c r="G251" s="71" t="s">
        <v>102</v>
      </c>
      <c r="H251" s="71"/>
      <c r="I251" s="71"/>
    </row>
    <row r="252" spans="1:9">
      <c r="A252" s="116" t="s">
        <v>206</v>
      </c>
      <c r="B252" s="116" t="s">
        <v>44</v>
      </c>
      <c r="C252" s="153">
        <f t="shared" si="18"/>
        <v>0</v>
      </c>
      <c r="D252" s="71" t="str">
        <f t="shared" si="19"/>
        <v>金融衍生品部</v>
      </c>
      <c r="E252" s="71">
        <f t="shared" si="20"/>
        <v>0</v>
      </c>
      <c r="F252" s="71" t="str">
        <f t="shared" si="21"/>
        <v>经纪业务部</v>
      </c>
      <c r="G252" s="71" t="s">
        <v>102</v>
      </c>
      <c r="H252" s="71"/>
      <c r="I252" s="71"/>
    </row>
    <row r="253" spans="1:9">
      <c r="A253" s="116" t="s">
        <v>190</v>
      </c>
      <c r="B253" s="116" t="s">
        <v>44</v>
      </c>
      <c r="C253" s="153">
        <f t="shared" si="18"/>
        <v>0</v>
      </c>
      <c r="D253" s="71" t="str">
        <f t="shared" si="19"/>
        <v>资产管理部</v>
      </c>
      <c r="E253" s="71">
        <f t="shared" si="20"/>
        <v>0</v>
      </c>
      <c r="F253" s="71" t="str">
        <f t="shared" si="21"/>
        <v>经纪业务部</v>
      </c>
      <c r="G253" s="71" t="s">
        <v>102</v>
      </c>
      <c r="H253" s="71"/>
      <c r="I253" s="71"/>
    </row>
    <row r="254" spans="1:9">
      <c r="A254" s="116" t="s">
        <v>191</v>
      </c>
      <c r="B254" s="116" t="s">
        <v>44</v>
      </c>
      <c r="C254" s="153">
        <f t="shared" si="18"/>
        <v>0</v>
      </c>
      <c r="D254" s="71" t="str">
        <f t="shared" si="19"/>
        <v>资产管理部</v>
      </c>
      <c r="E254" s="71">
        <f t="shared" si="20"/>
        <v>0</v>
      </c>
      <c r="F254" s="71" t="str">
        <f t="shared" si="21"/>
        <v>经纪业务部</v>
      </c>
      <c r="G254" s="71" t="s">
        <v>102</v>
      </c>
      <c r="H254" s="71"/>
      <c r="I254" s="71"/>
    </row>
    <row r="255" spans="1:9">
      <c r="A255" s="116" t="s">
        <v>192</v>
      </c>
      <c r="B255" s="116" t="s">
        <v>44</v>
      </c>
      <c r="C255" s="153">
        <f t="shared" si="18"/>
        <v>0</v>
      </c>
      <c r="D255" s="71" t="str">
        <f t="shared" si="19"/>
        <v>固定收益市场部</v>
      </c>
      <c r="E255" s="71">
        <f t="shared" si="20"/>
        <v>0</v>
      </c>
      <c r="F255" s="71" t="str">
        <f t="shared" si="21"/>
        <v>投顾业务部</v>
      </c>
      <c r="G255" s="71" t="s">
        <v>102</v>
      </c>
      <c r="H255" s="71"/>
      <c r="I255" s="71"/>
    </row>
    <row r="256" spans="1:9">
      <c r="A256" s="116" t="s">
        <v>193</v>
      </c>
      <c r="B256" s="116" t="s">
        <v>44</v>
      </c>
      <c r="C256" s="153">
        <f t="shared" si="18"/>
        <v>0</v>
      </c>
      <c r="D256" s="71" t="str">
        <f t="shared" si="19"/>
        <v>投顾业务部</v>
      </c>
      <c r="E256" s="71">
        <f t="shared" si="20"/>
        <v>0</v>
      </c>
      <c r="F256" s="71" t="str">
        <f t="shared" si="21"/>
        <v>经纪业务部</v>
      </c>
      <c r="G256" s="71" t="s">
        <v>102</v>
      </c>
      <c r="H256" s="71"/>
      <c r="I256" s="71"/>
    </row>
    <row r="257" spans="1:9">
      <c r="A257" s="116" t="s">
        <v>194</v>
      </c>
      <c r="B257" s="116" t="s">
        <v>44</v>
      </c>
      <c r="C257" s="153">
        <f t="shared" si="18"/>
        <v>0</v>
      </c>
      <c r="D257" s="71" t="str">
        <f t="shared" si="19"/>
        <v>投资银行一部</v>
      </c>
      <c r="E257" s="71">
        <f t="shared" si="20"/>
        <v>0</v>
      </c>
      <c r="F257" s="71" t="str">
        <f t="shared" si="21"/>
        <v>其他</v>
      </c>
      <c r="G257" s="71" t="s">
        <v>102</v>
      </c>
      <c r="H257" s="71"/>
      <c r="I257" s="71"/>
    </row>
    <row r="258" spans="1:9">
      <c r="A258" s="116" t="s">
        <v>195</v>
      </c>
      <c r="B258" s="116" t="s">
        <v>44</v>
      </c>
      <c r="C258" s="153">
        <f t="shared" si="18"/>
        <v>0</v>
      </c>
      <c r="D258" s="71" t="str">
        <f t="shared" si="19"/>
        <v>经纪业务部</v>
      </c>
      <c r="E258" s="71">
        <f t="shared" si="20"/>
        <v>0</v>
      </c>
      <c r="F258" s="71" t="str">
        <f t="shared" si="21"/>
        <v>投资银行一部</v>
      </c>
      <c r="G258" s="71" t="s">
        <v>102</v>
      </c>
      <c r="H258" s="71"/>
      <c r="I258" s="71"/>
    </row>
    <row r="259" spans="1:9">
      <c r="A259" s="116" t="s">
        <v>196</v>
      </c>
      <c r="B259" s="116" t="s">
        <v>44</v>
      </c>
      <c r="C259" s="153">
        <f t="shared" si="18"/>
        <v>0</v>
      </c>
      <c r="D259" s="71" t="str">
        <f t="shared" si="19"/>
        <v>投资银行四部</v>
      </c>
      <c r="E259" s="71">
        <f t="shared" si="20"/>
        <v>0</v>
      </c>
      <c r="F259" s="71" t="str">
        <f t="shared" si="21"/>
        <v>做市业务部</v>
      </c>
      <c r="G259" s="71" t="s">
        <v>102</v>
      </c>
      <c r="H259" s="71"/>
      <c r="I259" s="71"/>
    </row>
    <row r="260" spans="1:9">
      <c r="A260" s="116" t="s">
        <v>207</v>
      </c>
      <c r="B260" s="116" t="s">
        <v>44</v>
      </c>
      <c r="C260" s="153">
        <f t="shared" si="18"/>
        <v>0</v>
      </c>
      <c r="D260" s="71" t="str">
        <f t="shared" si="19"/>
        <v>投资银行一部</v>
      </c>
      <c r="E260" s="71">
        <f t="shared" si="20"/>
        <v>0</v>
      </c>
      <c r="F260" s="71" t="str">
        <f t="shared" si="21"/>
        <v>其他</v>
      </c>
      <c r="G260" s="71" t="s">
        <v>102</v>
      </c>
      <c r="H260" s="71"/>
      <c r="I260" s="71"/>
    </row>
    <row r="261" spans="1:9">
      <c r="A261" s="116" t="s">
        <v>208</v>
      </c>
      <c r="B261" s="116" t="s">
        <v>44</v>
      </c>
      <c r="C261" s="153">
        <f t="shared" si="18"/>
        <v>0</v>
      </c>
      <c r="D261" s="71" t="str">
        <f t="shared" si="19"/>
        <v>投资银行四部</v>
      </c>
      <c r="E261" s="71">
        <f t="shared" si="20"/>
        <v>0</v>
      </c>
      <c r="F261" s="71" t="str">
        <f t="shared" si="21"/>
        <v>做市业务部</v>
      </c>
      <c r="G261" s="71" t="s">
        <v>102</v>
      </c>
      <c r="H261" s="71"/>
      <c r="I261" s="71"/>
    </row>
    <row r="262" spans="1:9">
      <c r="A262" s="116" t="s">
        <v>209</v>
      </c>
      <c r="B262" s="116" t="s">
        <v>44</v>
      </c>
      <c r="C262" s="153">
        <f t="shared" si="18"/>
        <v>0</v>
      </c>
      <c r="D262" s="71" t="str">
        <f t="shared" si="19"/>
        <v>固定收益市场部</v>
      </c>
      <c r="E262" s="71">
        <f t="shared" si="20"/>
        <v>0</v>
      </c>
      <c r="F262" s="71" t="str">
        <f t="shared" si="21"/>
        <v>资产管理部</v>
      </c>
      <c r="G262" s="71" t="s">
        <v>102</v>
      </c>
      <c r="H262" s="71"/>
      <c r="I262" s="71"/>
    </row>
    <row r="263" spans="1:9">
      <c r="A263" s="116" t="s">
        <v>197</v>
      </c>
      <c r="B263" s="116" t="s">
        <v>44</v>
      </c>
      <c r="C263" s="153">
        <f t="shared" si="18"/>
        <v>0</v>
      </c>
      <c r="D263" s="71" t="str">
        <f t="shared" si="19"/>
        <v>固定收益投资部</v>
      </c>
      <c r="E263" s="71">
        <f t="shared" si="20"/>
        <v>0</v>
      </c>
      <c r="F263" s="71" t="str">
        <f t="shared" si="21"/>
        <v>资产管理部</v>
      </c>
      <c r="G263" s="71" t="s">
        <v>102</v>
      </c>
      <c r="H263" s="71"/>
      <c r="I263" s="71"/>
    </row>
    <row r="264" spans="1:9">
      <c r="A264" s="116" t="s">
        <v>198</v>
      </c>
      <c r="B264" s="116" t="s">
        <v>44</v>
      </c>
      <c r="C264" s="153">
        <f t="shared" si="18"/>
        <v>0</v>
      </c>
      <c r="D264" s="71" t="str">
        <f t="shared" si="19"/>
        <v>投顾业务部</v>
      </c>
      <c r="E264" s="71">
        <f t="shared" si="20"/>
        <v>0</v>
      </c>
      <c r="F264" s="71" t="str">
        <f t="shared" si="21"/>
        <v>资产管理部</v>
      </c>
      <c r="G264" s="71" t="s">
        <v>102</v>
      </c>
      <c r="H264" s="71"/>
      <c r="I264" s="71"/>
    </row>
    <row r="265" spans="1:9">
      <c r="A265" s="116" t="s">
        <v>210</v>
      </c>
      <c r="B265" s="116" t="s">
        <v>44</v>
      </c>
      <c r="C265" s="153">
        <f t="shared" si="18"/>
        <v>0</v>
      </c>
      <c r="D265" s="71" t="str">
        <f t="shared" si="19"/>
        <v>证券投资部</v>
      </c>
      <c r="E265" s="71">
        <f t="shared" si="20"/>
        <v>0</v>
      </c>
      <c r="F265" s="71" t="str">
        <f t="shared" si="21"/>
        <v>资产管理部</v>
      </c>
      <c r="G265" s="71" t="s">
        <v>102</v>
      </c>
      <c r="H265" s="71"/>
      <c r="I265" s="71"/>
    </row>
    <row r="266" spans="1:9">
      <c r="A266" s="116" t="s">
        <v>199</v>
      </c>
      <c r="B266" s="116" t="s">
        <v>44</v>
      </c>
      <c r="C266" s="153">
        <f t="shared" si="18"/>
        <v>0</v>
      </c>
      <c r="D266" s="71" t="str">
        <f t="shared" si="19"/>
        <v>金融衍生品部</v>
      </c>
      <c r="E266" s="71">
        <f t="shared" si="20"/>
        <v>0</v>
      </c>
      <c r="F266" s="71" t="str">
        <f t="shared" si="21"/>
        <v>资产管理部</v>
      </c>
      <c r="G266" s="71" t="s">
        <v>102</v>
      </c>
      <c r="H266" s="71"/>
      <c r="I266" s="71"/>
    </row>
    <row r="267" spans="1:9">
      <c r="A267" s="116" t="s">
        <v>211</v>
      </c>
      <c r="B267" s="116" t="s">
        <v>44</v>
      </c>
      <c r="C267" s="153">
        <f t="shared" si="18"/>
        <v>0</v>
      </c>
      <c r="D267" s="71" t="str">
        <f t="shared" si="19"/>
        <v>做市业务部</v>
      </c>
      <c r="E267" s="71">
        <f t="shared" si="20"/>
        <v>0</v>
      </c>
      <c r="F267" s="71" t="str">
        <f t="shared" si="21"/>
        <v>资产管理部</v>
      </c>
      <c r="G267" s="71" t="s">
        <v>102</v>
      </c>
      <c r="H267" s="71"/>
      <c r="I267" s="71"/>
    </row>
    <row r="268" spans="1:9">
      <c r="A268" s="116" t="s">
        <v>213</v>
      </c>
      <c r="B268" s="116" t="s">
        <v>44</v>
      </c>
      <c r="C268" s="153">
        <f t="shared" si="18"/>
        <v>0</v>
      </c>
      <c r="D268" s="71" t="str">
        <f t="shared" si="19"/>
        <v>证券投资部</v>
      </c>
      <c r="E268" s="71">
        <f t="shared" si="20"/>
        <v>0</v>
      </c>
      <c r="F268" s="71" t="str">
        <f t="shared" si="21"/>
        <v>金融衍生品部</v>
      </c>
      <c r="G268" s="71" t="s">
        <v>102</v>
      </c>
      <c r="H268" s="71"/>
      <c r="I268" s="71"/>
    </row>
    <row r="269" spans="1:9">
      <c r="A269" s="116" t="s">
        <v>214</v>
      </c>
      <c r="B269" s="116" t="s">
        <v>44</v>
      </c>
      <c r="C269" s="153">
        <f t="shared" si="18"/>
        <v>0</v>
      </c>
      <c r="D269" s="71" t="str">
        <f t="shared" si="19"/>
        <v>证券投资部</v>
      </c>
      <c r="E269" s="71">
        <f t="shared" si="20"/>
        <v>0</v>
      </c>
      <c r="F269" s="71" t="str">
        <f t="shared" si="21"/>
        <v>固定收益投资部</v>
      </c>
      <c r="G269" s="71" t="s">
        <v>102</v>
      </c>
      <c r="H269" s="71"/>
      <c r="I269" s="71"/>
    </row>
    <row r="270" spans="1:9">
      <c r="A270" s="116" t="s">
        <v>215</v>
      </c>
      <c r="B270" s="116" t="s">
        <v>44</v>
      </c>
      <c r="C270" s="153">
        <f t="shared" si="18"/>
        <v>0</v>
      </c>
      <c r="D270" s="71" t="str">
        <f t="shared" si="19"/>
        <v>量化产品投资部</v>
      </c>
      <c r="E270" s="71">
        <f t="shared" si="20"/>
        <v>0</v>
      </c>
      <c r="F270" s="71" t="str">
        <f t="shared" si="21"/>
        <v>资产管理部</v>
      </c>
      <c r="G270" s="71" t="s">
        <v>102</v>
      </c>
      <c r="H270" s="71"/>
      <c r="I270" s="71"/>
    </row>
    <row r="271" spans="1:9">
      <c r="A271" s="116"/>
      <c r="B271" s="116" t="s">
        <v>44</v>
      </c>
      <c r="C271" s="153">
        <f t="shared" si="18"/>
        <v>0</v>
      </c>
      <c r="D271" s="71" t="str">
        <f t="shared" si="19"/>
        <v>权益产品投资部</v>
      </c>
      <c r="E271" s="71">
        <f t="shared" si="20"/>
        <v>0</v>
      </c>
      <c r="F271" s="71" t="str">
        <f t="shared" si="21"/>
        <v>资产管理部</v>
      </c>
      <c r="G271" s="71" t="s">
        <v>102</v>
      </c>
      <c r="H271" s="71"/>
      <c r="I271" s="71"/>
    </row>
    <row r="272" spans="1:9">
      <c r="A272" s="116"/>
      <c r="B272" s="116" t="s">
        <v>44</v>
      </c>
      <c r="C272" s="153">
        <f t="shared" ref="C272:C284" si="22">ROUND(C116*0.0175,2)</f>
        <v>0</v>
      </c>
      <c r="D272" s="71" t="str">
        <f t="shared" si="19"/>
        <v>固收产品投资部</v>
      </c>
      <c r="E272" s="71">
        <f t="shared" si="20"/>
        <v>0</v>
      </c>
      <c r="F272" s="71" t="str">
        <f t="shared" si="21"/>
        <v>资产管理部</v>
      </c>
      <c r="G272" s="71" t="s">
        <v>102</v>
      </c>
      <c r="H272" s="71"/>
      <c r="I272" s="71"/>
    </row>
    <row r="273" spans="1:9">
      <c r="A273" s="116"/>
      <c r="B273" s="116" t="s">
        <v>44</v>
      </c>
      <c r="C273" s="153">
        <f t="shared" si="22"/>
        <v>0</v>
      </c>
      <c r="D273" s="71" t="str">
        <f t="shared" ref="D273:D284" si="23">D117</f>
        <v>做市业务部</v>
      </c>
      <c r="E273" s="71">
        <f t="shared" ref="E273:E284" si="24">-C273</f>
        <v>0</v>
      </c>
      <c r="F273" s="71" t="str">
        <f t="shared" ref="F273:F284" si="25">F117</f>
        <v>其他</v>
      </c>
      <c r="G273" s="71" t="s">
        <v>102</v>
      </c>
      <c r="H273" s="71"/>
      <c r="I273" s="71"/>
    </row>
    <row r="274" spans="1:9">
      <c r="A274" s="116"/>
      <c r="B274" s="116" t="s">
        <v>44</v>
      </c>
      <c r="C274" s="153">
        <f t="shared" si="22"/>
        <v>0</v>
      </c>
      <c r="D274" s="71" t="str">
        <f t="shared" si="23"/>
        <v>做市业务部</v>
      </c>
      <c r="E274" s="71">
        <f t="shared" si="24"/>
        <v>0</v>
      </c>
      <c r="F274" s="71" t="str">
        <f t="shared" si="25"/>
        <v>其他</v>
      </c>
      <c r="G274" s="71" t="s">
        <v>102</v>
      </c>
      <c r="H274" s="71"/>
      <c r="I274" s="71"/>
    </row>
    <row r="275" spans="1:9">
      <c r="A275" s="116" t="s">
        <v>216</v>
      </c>
      <c r="B275" s="116" t="s">
        <v>44</v>
      </c>
      <c r="C275" s="153">
        <f t="shared" si="22"/>
        <v>0</v>
      </c>
      <c r="D275" s="71" t="str">
        <f t="shared" si="23"/>
        <v>投资银行一部</v>
      </c>
      <c r="E275" s="71">
        <f t="shared" si="24"/>
        <v>0</v>
      </c>
      <c r="F275" s="71" t="str">
        <f t="shared" si="25"/>
        <v>经纪业务部</v>
      </c>
      <c r="G275" s="71" t="s">
        <v>102</v>
      </c>
      <c r="H275" s="71"/>
      <c r="I275" s="71"/>
    </row>
    <row r="276" spans="1:9">
      <c r="A276" s="116"/>
      <c r="B276" s="116" t="s">
        <v>44</v>
      </c>
      <c r="C276" s="153">
        <f t="shared" si="22"/>
        <v>0</v>
      </c>
      <c r="D276" s="71" t="str">
        <f t="shared" si="23"/>
        <v>投资银行一部</v>
      </c>
      <c r="E276" s="71">
        <f t="shared" si="24"/>
        <v>0</v>
      </c>
      <c r="F276" s="71" t="str">
        <f t="shared" si="25"/>
        <v>其他</v>
      </c>
      <c r="G276" s="71" t="s">
        <v>102</v>
      </c>
      <c r="H276" s="71"/>
      <c r="I276" s="71"/>
    </row>
    <row r="277" spans="1:9">
      <c r="A277" s="116"/>
      <c r="B277" s="116" t="s">
        <v>44</v>
      </c>
      <c r="C277" s="153">
        <f t="shared" si="22"/>
        <v>-122.77</v>
      </c>
      <c r="D277" s="71" t="str">
        <f t="shared" si="23"/>
        <v>固定收益投资部</v>
      </c>
      <c r="E277" s="71">
        <f t="shared" si="24"/>
        <v>122.77</v>
      </c>
      <c r="F277" s="71" t="str">
        <f t="shared" si="25"/>
        <v>资产管理部</v>
      </c>
      <c r="G277" s="71" t="s">
        <v>102</v>
      </c>
      <c r="H277" s="71"/>
      <c r="I277" s="71"/>
    </row>
    <row r="278" spans="1:9">
      <c r="A278" s="116"/>
      <c r="B278" s="116" t="s">
        <v>44</v>
      </c>
      <c r="C278" s="153">
        <f t="shared" si="22"/>
        <v>-152.68</v>
      </c>
      <c r="D278" s="71" t="str">
        <f t="shared" si="23"/>
        <v>固定收益市场部</v>
      </c>
      <c r="E278" s="71">
        <f t="shared" si="24"/>
        <v>152.68</v>
      </c>
      <c r="F278" s="71" t="str">
        <f t="shared" si="25"/>
        <v>资产管理部</v>
      </c>
      <c r="G278" s="71" t="s">
        <v>102</v>
      </c>
      <c r="H278" s="71"/>
      <c r="I278" s="71"/>
    </row>
    <row r="279" spans="1:9">
      <c r="A279" s="116"/>
      <c r="B279" s="116" t="s">
        <v>44</v>
      </c>
      <c r="C279" s="153">
        <f t="shared" si="22"/>
        <v>-2991.16</v>
      </c>
      <c r="D279" s="71" t="str">
        <f t="shared" si="23"/>
        <v>证券投资部</v>
      </c>
      <c r="E279" s="71">
        <f t="shared" si="24"/>
        <v>2991.16</v>
      </c>
      <c r="F279" s="71" t="str">
        <f t="shared" si="25"/>
        <v>资产管理部</v>
      </c>
      <c r="G279" s="71" t="s">
        <v>102</v>
      </c>
      <c r="H279" s="71"/>
      <c r="I279" s="71"/>
    </row>
    <row r="280" spans="1:9">
      <c r="A280" s="116"/>
      <c r="B280" s="116" t="s">
        <v>44</v>
      </c>
      <c r="C280" s="153">
        <f t="shared" si="22"/>
        <v>-886.95</v>
      </c>
      <c r="D280" s="71" t="str">
        <f t="shared" si="23"/>
        <v>做市业务部</v>
      </c>
      <c r="E280" s="71">
        <f t="shared" si="24"/>
        <v>886.95</v>
      </c>
      <c r="F280" s="71" t="str">
        <f t="shared" si="25"/>
        <v>资产管理部</v>
      </c>
      <c r="G280" s="71" t="s">
        <v>102</v>
      </c>
      <c r="H280" s="71"/>
      <c r="I280" s="71"/>
    </row>
    <row r="281" spans="1:9">
      <c r="A281" s="116"/>
      <c r="B281" s="116" t="s">
        <v>44</v>
      </c>
      <c r="C281" s="153">
        <f t="shared" si="22"/>
        <v>-446.25</v>
      </c>
      <c r="D281" s="71" t="str">
        <f t="shared" si="23"/>
        <v>金融衍生品部</v>
      </c>
      <c r="E281" s="71">
        <f t="shared" si="24"/>
        <v>446.25</v>
      </c>
      <c r="F281" s="71" t="str">
        <f t="shared" si="25"/>
        <v>资产管理部</v>
      </c>
      <c r="G281" s="71" t="s">
        <v>102</v>
      </c>
      <c r="H281" s="71"/>
      <c r="I281" s="71"/>
    </row>
    <row r="282" spans="1:9">
      <c r="A282" s="116"/>
      <c r="B282" s="116" t="s">
        <v>44</v>
      </c>
      <c r="C282" s="153">
        <f t="shared" si="22"/>
        <v>0</v>
      </c>
      <c r="D282" s="71" t="str">
        <f t="shared" si="23"/>
        <v>资产管理部</v>
      </c>
      <c r="E282" s="71">
        <f t="shared" si="24"/>
        <v>0</v>
      </c>
      <c r="F282" s="71" t="str">
        <f t="shared" si="25"/>
        <v>资产管理部</v>
      </c>
      <c r="G282" s="71" t="s">
        <v>102</v>
      </c>
      <c r="H282" s="71"/>
      <c r="I282" s="71"/>
    </row>
    <row r="283" spans="1:9">
      <c r="A283" s="116"/>
      <c r="B283" s="116" t="s">
        <v>44</v>
      </c>
      <c r="C283" s="153">
        <f t="shared" si="22"/>
        <v>0</v>
      </c>
      <c r="D283" s="71" t="str">
        <f t="shared" si="23"/>
        <v>资产管理部</v>
      </c>
      <c r="E283" s="71">
        <f t="shared" si="24"/>
        <v>0</v>
      </c>
      <c r="F283" s="71" t="str">
        <f t="shared" si="25"/>
        <v>资产管理部</v>
      </c>
      <c r="G283" s="71" t="s">
        <v>102</v>
      </c>
      <c r="H283" s="71"/>
      <c r="I283" s="71"/>
    </row>
    <row r="284" spans="1:9">
      <c r="A284" s="116"/>
      <c r="B284" s="116" t="s">
        <v>44</v>
      </c>
      <c r="C284" s="153">
        <f t="shared" si="22"/>
        <v>0</v>
      </c>
      <c r="D284" s="71" t="str">
        <f t="shared" si="23"/>
        <v>量化产品投资部</v>
      </c>
      <c r="E284" s="71">
        <f t="shared" si="24"/>
        <v>0</v>
      </c>
      <c r="F284" s="71" t="str">
        <f t="shared" si="25"/>
        <v>资产管理部</v>
      </c>
      <c r="G284" s="71" t="s">
        <v>102</v>
      </c>
      <c r="H284" s="71"/>
      <c r="I284" s="71"/>
    </row>
    <row r="285" spans="1:9">
      <c r="A285" s="168"/>
      <c r="B285" s="168" t="s">
        <v>426</v>
      </c>
      <c r="C285" s="169"/>
      <c r="D285" s="170"/>
      <c r="E285" s="170"/>
      <c r="F285" s="170"/>
      <c r="G285" s="170" t="s">
        <v>150</v>
      </c>
      <c r="H285" s="170" t="s">
        <v>151</v>
      </c>
      <c r="I285" s="170" t="s">
        <v>152</v>
      </c>
    </row>
    <row r="286" spans="1:9" ht="18" customHeight="1">
      <c r="A286" s="144"/>
      <c r="B286" s="274" t="s">
        <v>44</v>
      </c>
      <c r="C286" s="275">
        <v>285</v>
      </c>
      <c r="D286" s="276" t="s">
        <v>9</v>
      </c>
      <c r="E286" s="71">
        <f t="shared" ref="E286:E294" si="26">-C286</f>
        <v>-285</v>
      </c>
      <c r="F286" s="276" t="s">
        <v>6</v>
      </c>
      <c r="G286" s="276" t="s">
        <v>106</v>
      </c>
      <c r="H286" s="277" t="s">
        <v>724</v>
      </c>
      <c r="I286" s="157"/>
    </row>
    <row r="287" spans="1:9">
      <c r="A287" s="116" t="s">
        <v>137</v>
      </c>
      <c r="B287" s="116" t="s">
        <v>44</v>
      </c>
      <c r="C287" s="71">
        <v>5400</v>
      </c>
      <c r="D287" s="71" t="s">
        <v>22</v>
      </c>
      <c r="E287" s="71">
        <f t="shared" si="26"/>
        <v>-5400</v>
      </c>
      <c r="F287" s="276" t="s">
        <v>6</v>
      </c>
      <c r="G287" s="276" t="s">
        <v>106</v>
      </c>
      <c r="H287" s="277" t="s">
        <v>724</v>
      </c>
      <c r="I287" s="71"/>
    </row>
    <row r="288" spans="1:9">
      <c r="A288" s="116" t="s">
        <v>154</v>
      </c>
      <c r="B288" s="116" t="s">
        <v>44</v>
      </c>
      <c r="C288" s="71">
        <v>1680</v>
      </c>
      <c r="D288" s="71" t="s">
        <v>7</v>
      </c>
      <c r="E288" s="71">
        <f t="shared" si="26"/>
        <v>-1680</v>
      </c>
      <c r="F288" s="276" t="s">
        <v>6</v>
      </c>
      <c r="G288" s="276" t="s">
        <v>106</v>
      </c>
      <c r="H288" s="277" t="s">
        <v>724</v>
      </c>
      <c r="I288" s="71"/>
    </row>
    <row r="289" spans="1:9">
      <c r="A289" s="116" t="s">
        <v>155</v>
      </c>
      <c r="B289" s="311" t="s">
        <v>44</v>
      </c>
      <c r="C289" s="310">
        <v>211344.14</v>
      </c>
      <c r="D289" s="312" t="s">
        <v>11</v>
      </c>
      <c r="E289" s="71">
        <f t="shared" si="26"/>
        <v>-211344.14</v>
      </c>
      <c r="F289" s="312" t="s">
        <v>5</v>
      </c>
      <c r="G289" s="312" t="s">
        <v>100</v>
      </c>
      <c r="H289" s="313" t="s">
        <v>563</v>
      </c>
      <c r="I289" s="71"/>
    </row>
    <row r="290" spans="1:9">
      <c r="A290" s="116" t="s">
        <v>177</v>
      </c>
      <c r="B290" s="311" t="s">
        <v>44</v>
      </c>
      <c r="C290" s="310">
        <v>55668.56</v>
      </c>
      <c r="D290" s="312" t="s">
        <v>11</v>
      </c>
      <c r="E290" s="71">
        <f t="shared" si="26"/>
        <v>-55668.56</v>
      </c>
      <c r="F290" s="312" t="s">
        <v>9</v>
      </c>
      <c r="G290" s="314" t="s">
        <v>100</v>
      </c>
      <c r="H290" s="313" t="s">
        <v>564</v>
      </c>
      <c r="I290" s="71"/>
    </row>
    <row r="291" spans="1:9">
      <c r="A291" s="116" t="s">
        <v>168</v>
      </c>
      <c r="B291" s="116" t="s">
        <v>44</v>
      </c>
      <c r="C291" s="147">
        <v>-10930.68</v>
      </c>
      <c r="D291" s="71" t="s">
        <v>7</v>
      </c>
      <c r="E291" s="71">
        <f t="shared" si="26"/>
        <v>10930.68</v>
      </c>
      <c r="F291" s="71" t="s">
        <v>6</v>
      </c>
      <c r="G291" s="71" t="s">
        <v>134</v>
      </c>
      <c r="H291" s="71" t="s">
        <v>590</v>
      </c>
      <c r="I291" s="71"/>
    </row>
    <row r="292" spans="1:9">
      <c r="A292" s="116" t="s">
        <v>169</v>
      </c>
      <c r="B292" s="116" t="s">
        <v>44</v>
      </c>
      <c r="C292" s="147">
        <v>833333.33</v>
      </c>
      <c r="D292" s="71" t="s">
        <v>7</v>
      </c>
      <c r="E292" s="71">
        <f t="shared" si="26"/>
        <v>-833333.33</v>
      </c>
      <c r="F292" s="71" t="s">
        <v>5</v>
      </c>
      <c r="G292" s="71" t="s">
        <v>132</v>
      </c>
      <c r="H292" s="313" t="s">
        <v>591</v>
      </c>
      <c r="I292" s="71"/>
    </row>
    <row r="293" spans="1:9">
      <c r="A293" s="116" t="s">
        <v>170</v>
      </c>
      <c r="B293" s="116" t="s">
        <v>44</v>
      </c>
      <c r="C293" s="71"/>
      <c r="D293" s="71" t="s">
        <v>22</v>
      </c>
      <c r="E293" s="71">
        <f t="shared" si="26"/>
        <v>0</v>
      </c>
      <c r="F293" s="71" t="s">
        <v>6</v>
      </c>
      <c r="G293" s="71" t="s">
        <v>106</v>
      </c>
      <c r="H293" s="71"/>
      <c r="I293" s="71"/>
    </row>
    <row r="294" spans="1:9">
      <c r="A294" s="116" t="s">
        <v>171</v>
      </c>
      <c r="B294" s="116" t="s">
        <v>44</v>
      </c>
      <c r="C294" s="71"/>
      <c r="D294" s="71" t="s">
        <v>23</v>
      </c>
      <c r="E294" s="71">
        <f t="shared" si="26"/>
        <v>0</v>
      </c>
      <c r="F294" s="71" t="s">
        <v>6</v>
      </c>
      <c r="G294" s="71" t="s">
        <v>106</v>
      </c>
      <c r="H294" s="71"/>
      <c r="I294" s="71"/>
    </row>
    <row r="295" spans="1:9">
      <c r="A295" s="116" t="s">
        <v>172</v>
      </c>
      <c r="B295" s="116" t="s">
        <v>44</v>
      </c>
      <c r="C295" s="71"/>
      <c r="D295" s="71" t="s">
        <v>18</v>
      </c>
      <c r="E295" s="71">
        <f t="shared" ref="E295:E306" si="27">-C295</f>
        <v>0</v>
      </c>
      <c r="F295" s="71" t="s">
        <v>6</v>
      </c>
      <c r="G295" s="71" t="s">
        <v>106</v>
      </c>
      <c r="H295" s="71"/>
      <c r="I295" s="71"/>
    </row>
    <row r="296" spans="1:9">
      <c r="A296" s="116" t="s">
        <v>174</v>
      </c>
      <c r="B296" s="116" t="s">
        <v>44</v>
      </c>
      <c r="C296" s="71"/>
      <c r="D296" s="71" t="s">
        <v>14</v>
      </c>
      <c r="E296" s="71">
        <f t="shared" si="27"/>
        <v>0</v>
      </c>
      <c r="F296" s="71" t="s">
        <v>6</v>
      </c>
      <c r="G296" s="71" t="s">
        <v>106</v>
      </c>
      <c r="H296" s="71"/>
      <c r="I296" s="71"/>
    </row>
    <row r="297" spans="1:9">
      <c r="A297" s="116" t="s">
        <v>175</v>
      </c>
      <c r="B297" s="116" t="s">
        <v>44</v>
      </c>
      <c r="C297" s="71"/>
      <c r="D297" s="71" t="s">
        <v>15</v>
      </c>
      <c r="E297" s="71">
        <f t="shared" si="27"/>
        <v>0</v>
      </c>
      <c r="F297" s="71" t="s">
        <v>6</v>
      </c>
      <c r="G297" s="71" t="s">
        <v>106</v>
      </c>
      <c r="H297" s="71"/>
      <c r="I297" s="71"/>
    </row>
    <row r="298" spans="1:9">
      <c r="A298" s="116" t="s">
        <v>176</v>
      </c>
      <c r="B298" s="116" t="s">
        <v>44</v>
      </c>
      <c r="C298" s="71"/>
      <c r="D298" s="71" t="s">
        <v>16</v>
      </c>
      <c r="E298" s="71">
        <f t="shared" si="27"/>
        <v>0</v>
      </c>
      <c r="F298" s="71" t="s">
        <v>6</v>
      </c>
      <c r="G298" s="71" t="s">
        <v>106</v>
      </c>
      <c r="H298" s="71"/>
      <c r="I298" s="71"/>
    </row>
    <row r="299" spans="1:9">
      <c r="A299" s="116" t="s">
        <v>203</v>
      </c>
      <c r="B299" s="116" t="s">
        <v>44</v>
      </c>
      <c r="C299" s="161"/>
      <c r="D299" s="71" t="s">
        <v>11</v>
      </c>
      <c r="E299" s="71">
        <f t="shared" si="27"/>
        <v>0</v>
      </c>
      <c r="F299" s="71" t="s">
        <v>6</v>
      </c>
      <c r="G299" s="71" t="s">
        <v>106</v>
      </c>
      <c r="H299" s="71"/>
      <c r="I299" s="71"/>
    </row>
    <row r="300" spans="1:9">
      <c r="A300" s="116" t="s">
        <v>202</v>
      </c>
      <c r="B300" s="116" t="s">
        <v>44</v>
      </c>
      <c r="C300" s="71"/>
      <c r="D300" s="71" t="s">
        <v>12</v>
      </c>
      <c r="E300" s="71">
        <f t="shared" si="27"/>
        <v>0</v>
      </c>
      <c r="F300" s="71" t="s">
        <v>5</v>
      </c>
      <c r="G300" s="71" t="s">
        <v>111</v>
      </c>
      <c r="H300" s="71"/>
      <c r="I300" s="71"/>
    </row>
    <row r="301" spans="1:9">
      <c r="A301" s="116" t="s">
        <v>178</v>
      </c>
      <c r="B301" s="116" t="s">
        <v>44</v>
      </c>
      <c r="C301" s="71"/>
      <c r="D301" s="71" t="s">
        <v>12</v>
      </c>
      <c r="E301" s="71">
        <f t="shared" si="27"/>
        <v>0</v>
      </c>
      <c r="F301" s="71" t="s">
        <v>5</v>
      </c>
      <c r="G301" s="71" t="s">
        <v>100</v>
      </c>
      <c r="H301" s="71"/>
      <c r="I301" s="71"/>
    </row>
    <row r="302" spans="1:9">
      <c r="A302" s="116" t="s">
        <v>179</v>
      </c>
      <c r="B302" s="116" t="s">
        <v>44</v>
      </c>
      <c r="C302" s="71"/>
      <c r="D302" s="71" t="s">
        <v>12</v>
      </c>
      <c r="E302" s="71">
        <f t="shared" si="27"/>
        <v>0</v>
      </c>
      <c r="F302" s="71" t="s">
        <v>5</v>
      </c>
      <c r="G302" s="71" t="s">
        <v>100</v>
      </c>
      <c r="H302" s="71"/>
      <c r="I302" s="71"/>
    </row>
    <row r="303" spans="1:9">
      <c r="A303" s="116" t="s">
        <v>180</v>
      </c>
      <c r="B303" s="116" t="s">
        <v>44</v>
      </c>
      <c r="C303" s="71"/>
      <c r="D303" s="71" t="s">
        <v>12</v>
      </c>
      <c r="E303" s="71">
        <f t="shared" si="27"/>
        <v>0</v>
      </c>
      <c r="F303" s="71" t="s">
        <v>5</v>
      </c>
      <c r="G303" s="71" t="s">
        <v>100</v>
      </c>
      <c r="H303" s="71"/>
      <c r="I303" s="71"/>
    </row>
    <row r="304" spans="1:9">
      <c r="A304" s="116" t="s">
        <v>205</v>
      </c>
      <c r="B304" s="116" t="s">
        <v>44</v>
      </c>
      <c r="C304" s="71"/>
      <c r="D304" s="71" t="s">
        <v>12</v>
      </c>
      <c r="E304" s="71">
        <f t="shared" si="27"/>
        <v>0</v>
      </c>
      <c r="F304" s="71" t="s">
        <v>5</v>
      </c>
      <c r="G304" s="71" t="s">
        <v>100</v>
      </c>
      <c r="H304" s="71"/>
      <c r="I304" s="71"/>
    </row>
    <row r="305" spans="1:9">
      <c r="A305" s="116" t="s">
        <v>181</v>
      </c>
      <c r="B305" s="116" t="s">
        <v>44</v>
      </c>
      <c r="C305" s="71"/>
      <c r="D305" s="71" t="s">
        <v>12</v>
      </c>
      <c r="E305" s="71">
        <f t="shared" si="27"/>
        <v>0</v>
      </c>
      <c r="F305" s="71" t="s">
        <v>5</v>
      </c>
      <c r="G305" s="71" t="s">
        <v>106</v>
      </c>
      <c r="H305" s="71"/>
      <c r="I305" s="71"/>
    </row>
    <row r="306" spans="1:9">
      <c r="A306" s="116" t="s">
        <v>182</v>
      </c>
      <c r="B306" s="116" t="s">
        <v>44</v>
      </c>
      <c r="C306" s="71"/>
      <c r="D306" s="71" t="s">
        <v>12</v>
      </c>
      <c r="E306" s="71">
        <f t="shared" si="27"/>
        <v>0</v>
      </c>
      <c r="F306" s="71" t="s">
        <v>5</v>
      </c>
      <c r="G306" s="71" t="s">
        <v>101</v>
      </c>
      <c r="H306" s="71"/>
      <c r="I306" s="71"/>
    </row>
    <row r="307" spans="1:9">
      <c r="A307" s="116" t="s">
        <v>182</v>
      </c>
      <c r="B307" s="116" t="s">
        <v>44</v>
      </c>
      <c r="C307" s="71"/>
      <c r="D307" s="71" t="s">
        <v>12</v>
      </c>
      <c r="E307" s="71">
        <f t="shared" ref="E307:E313" si="28">-C307</f>
        <v>0</v>
      </c>
      <c r="F307" s="71" t="s">
        <v>5</v>
      </c>
      <c r="G307" s="71" t="s">
        <v>107</v>
      </c>
      <c r="H307" s="71"/>
      <c r="I307" s="71"/>
    </row>
    <row r="308" spans="1:9">
      <c r="A308" s="116" t="s">
        <v>183</v>
      </c>
      <c r="B308" s="116" t="s">
        <v>44</v>
      </c>
      <c r="C308" s="71"/>
      <c r="D308" s="71" t="s">
        <v>5</v>
      </c>
      <c r="E308" s="71">
        <f t="shared" si="28"/>
        <v>0</v>
      </c>
      <c r="F308" s="71" t="s">
        <v>7</v>
      </c>
      <c r="G308" s="71" t="s">
        <v>132</v>
      </c>
      <c r="H308" s="71"/>
      <c r="I308" s="71"/>
    </row>
    <row r="309" spans="1:9">
      <c r="A309" s="116" t="s">
        <v>184</v>
      </c>
      <c r="B309" s="116" t="s">
        <v>44</v>
      </c>
      <c r="C309" s="71"/>
      <c r="D309" s="71" t="s">
        <v>424</v>
      </c>
      <c r="E309" s="71">
        <f t="shared" si="28"/>
        <v>0</v>
      </c>
      <c r="F309" s="71" t="s">
        <v>5</v>
      </c>
      <c r="G309" s="71" t="s">
        <v>131</v>
      </c>
      <c r="H309" s="71"/>
      <c r="I309" s="71"/>
    </row>
    <row r="310" spans="1:9">
      <c r="A310" s="116" t="s">
        <v>185</v>
      </c>
      <c r="B310" s="116" t="s">
        <v>44</v>
      </c>
      <c r="C310" s="71"/>
      <c r="D310" s="71" t="s">
        <v>424</v>
      </c>
      <c r="E310" s="71">
        <f t="shared" si="28"/>
        <v>0</v>
      </c>
      <c r="F310" s="71" t="s">
        <v>7</v>
      </c>
      <c r="G310" s="71" t="s">
        <v>131</v>
      </c>
      <c r="H310" s="71"/>
      <c r="I310" s="71"/>
    </row>
    <row r="311" spans="1:9">
      <c r="A311" s="116" t="s">
        <v>162</v>
      </c>
      <c r="B311" s="116" t="s">
        <v>44</v>
      </c>
      <c r="C311" s="71"/>
      <c r="D311" s="71" t="s">
        <v>11</v>
      </c>
      <c r="E311" s="71">
        <f t="shared" si="28"/>
        <v>0</v>
      </c>
      <c r="F311" s="71" t="s">
        <v>5</v>
      </c>
      <c r="G311" s="71" t="s">
        <v>100</v>
      </c>
      <c r="H311" s="71"/>
      <c r="I311" s="71"/>
    </row>
    <row r="312" spans="1:9">
      <c r="A312" s="116" t="s">
        <v>163</v>
      </c>
      <c r="B312" s="116" t="s">
        <v>44</v>
      </c>
      <c r="C312" s="162"/>
      <c r="D312" s="71" t="s">
        <v>11</v>
      </c>
      <c r="E312" s="71">
        <f t="shared" si="28"/>
        <v>0</v>
      </c>
      <c r="F312" s="71" t="s">
        <v>5</v>
      </c>
      <c r="G312" s="71" t="s">
        <v>100</v>
      </c>
      <c r="H312" s="71"/>
      <c r="I312" s="71"/>
    </row>
    <row r="313" spans="1:9">
      <c r="A313" s="116" t="s">
        <v>164</v>
      </c>
      <c r="B313" s="116" t="s">
        <v>44</v>
      </c>
      <c r="C313" s="71"/>
      <c r="D313" s="71" t="s">
        <v>11</v>
      </c>
      <c r="E313" s="71">
        <f t="shared" si="28"/>
        <v>0</v>
      </c>
      <c r="F313" s="71" t="s">
        <v>5</v>
      </c>
      <c r="G313" s="71" t="s">
        <v>100</v>
      </c>
      <c r="H313" s="71"/>
      <c r="I313" s="71"/>
    </row>
    <row r="314" spans="1:9">
      <c r="A314" s="116" t="s">
        <v>189</v>
      </c>
      <c r="B314" s="116" t="s">
        <v>44</v>
      </c>
      <c r="C314" s="71"/>
      <c r="D314" s="71" t="s">
        <v>10</v>
      </c>
      <c r="E314" s="71">
        <f t="shared" ref="E314:E322" si="29">-C314</f>
        <v>0</v>
      </c>
      <c r="F314" s="71" t="s">
        <v>6</v>
      </c>
      <c r="G314" s="150" t="s">
        <v>106</v>
      </c>
      <c r="H314" s="71"/>
      <c r="I314" s="71"/>
    </row>
    <row r="315" spans="1:9">
      <c r="A315" s="116" t="s">
        <v>191</v>
      </c>
      <c r="B315" s="116" t="s">
        <v>44</v>
      </c>
      <c r="C315" s="71"/>
      <c r="D315" s="71" t="s">
        <v>24</v>
      </c>
      <c r="E315" s="71">
        <f t="shared" si="29"/>
        <v>0</v>
      </c>
      <c r="F315" s="71" t="s">
        <v>28</v>
      </c>
      <c r="G315" s="71" t="s">
        <v>107</v>
      </c>
      <c r="H315" s="71"/>
      <c r="I315" s="71"/>
    </row>
    <row r="316" spans="1:9">
      <c r="A316" s="116" t="s">
        <v>192</v>
      </c>
      <c r="B316" s="116" t="s">
        <v>44</v>
      </c>
      <c r="C316" s="71"/>
      <c r="D316" s="71" t="s">
        <v>24</v>
      </c>
      <c r="E316" s="71">
        <f t="shared" si="29"/>
        <v>0</v>
      </c>
      <c r="F316" s="71" t="s">
        <v>28</v>
      </c>
      <c r="G316" s="71" t="s">
        <v>106</v>
      </c>
      <c r="H316" s="71"/>
      <c r="I316" s="71"/>
    </row>
    <row r="317" spans="1:9">
      <c r="A317" s="116" t="s">
        <v>193</v>
      </c>
      <c r="B317" s="116" t="s">
        <v>44</v>
      </c>
      <c r="C317" s="71"/>
      <c r="D317" s="71" t="s">
        <v>24</v>
      </c>
      <c r="E317" s="71">
        <f t="shared" si="29"/>
        <v>0</v>
      </c>
      <c r="F317" s="71" t="s">
        <v>28</v>
      </c>
      <c r="G317" s="71" t="s">
        <v>91</v>
      </c>
      <c r="H317" s="71"/>
      <c r="I317" s="71"/>
    </row>
    <row r="318" spans="1:9" ht="20.25" customHeight="1">
      <c r="A318" s="116" t="s">
        <v>166</v>
      </c>
      <c r="B318" s="116" t="s">
        <v>44</v>
      </c>
      <c r="C318" s="71"/>
      <c r="D318" s="71" t="s">
        <v>7</v>
      </c>
      <c r="E318" s="71">
        <f t="shared" si="29"/>
        <v>0</v>
      </c>
      <c r="F318" s="71" t="s">
        <v>5</v>
      </c>
      <c r="G318" s="150" t="s">
        <v>101</v>
      </c>
      <c r="H318" s="149"/>
      <c r="I318" s="71"/>
    </row>
    <row r="319" spans="1:9">
      <c r="A319" s="116" t="s">
        <v>167</v>
      </c>
      <c r="B319" s="116" t="s">
        <v>44</v>
      </c>
      <c r="C319" s="71"/>
      <c r="D319" s="71" t="s">
        <v>7</v>
      </c>
      <c r="E319" s="71">
        <f t="shared" si="29"/>
        <v>0</v>
      </c>
      <c r="F319" s="71" t="s">
        <v>6</v>
      </c>
      <c r="G319" s="150" t="s">
        <v>132</v>
      </c>
      <c r="H319" s="71"/>
      <c r="I319" s="71"/>
    </row>
    <row r="320" spans="1:9">
      <c r="A320" s="116" t="s">
        <v>161</v>
      </c>
      <c r="B320" s="116" t="s">
        <v>44</v>
      </c>
      <c r="C320" s="148"/>
      <c r="D320" s="71" t="s">
        <v>7</v>
      </c>
      <c r="E320" s="71">
        <f t="shared" si="29"/>
        <v>0</v>
      </c>
      <c r="F320" s="71" t="s">
        <v>5</v>
      </c>
      <c r="G320" s="71" t="s">
        <v>132</v>
      </c>
      <c r="H320" s="71"/>
      <c r="I320" s="71"/>
    </row>
    <row r="321" spans="1:22">
      <c r="A321" s="116" t="s">
        <v>196</v>
      </c>
      <c r="B321" s="116" t="s">
        <v>44</v>
      </c>
      <c r="C321" s="71"/>
      <c r="D321" s="71" t="s">
        <v>7</v>
      </c>
      <c r="E321" s="71">
        <f t="shared" si="29"/>
        <v>0</v>
      </c>
      <c r="F321" s="71" t="s">
        <v>6</v>
      </c>
      <c r="G321" s="71" t="s">
        <v>106</v>
      </c>
      <c r="H321" s="71"/>
      <c r="I321" s="71"/>
      <c r="J321" s="71"/>
    </row>
    <row r="322" spans="1:22">
      <c r="A322" s="116" t="s">
        <v>207</v>
      </c>
      <c r="B322" s="116" t="s">
        <v>44</v>
      </c>
      <c r="C322" s="71"/>
      <c r="D322" s="71" t="s">
        <v>7</v>
      </c>
      <c r="E322" s="71">
        <f t="shared" si="29"/>
        <v>0</v>
      </c>
      <c r="F322" s="71" t="s">
        <v>6</v>
      </c>
      <c r="G322" s="71" t="s">
        <v>106</v>
      </c>
      <c r="H322" s="71"/>
      <c r="I322" s="71"/>
    </row>
    <row r="323" spans="1:22">
      <c r="A323" s="116" t="s">
        <v>211</v>
      </c>
      <c r="B323" s="116" t="s">
        <v>44</v>
      </c>
      <c r="C323" s="71"/>
      <c r="D323" s="71" t="s">
        <v>7</v>
      </c>
      <c r="E323" s="71">
        <f t="shared" ref="E323:E350" si="30">-C323</f>
        <v>0</v>
      </c>
      <c r="F323" s="71" t="s">
        <v>6</v>
      </c>
      <c r="G323" s="71" t="s">
        <v>106</v>
      </c>
      <c r="H323" s="71"/>
      <c r="I323" s="71"/>
    </row>
    <row r="324" spans="1:22">
      <c r="A324" s="116" t="s">
        <v>213</v>
      </c>
      <c r="B324" s="116" t="s">
        <v>44</v>
      </c>
      <c r="C324" s="71"/>
      <c r="D324" s="71" t="s">
        <v>7</v>
      </c>
      <c r="E324" s="71">
        <f t="shared" si="30"/>
        <v>0</v>
      </c>
      <c r="F324" s="71" t="s">
        <v>22</v>
      </c>
      <c r="G324" s="71" t="s">
        <v>101</v>
      </c>
      <c r="H324" s="71"/>
      <c r="I324" s="71"/>
    </row>
    <row r="325" spans="1:22">
      <c r="A325" s="116" t="s">
        <v>214</v>
      </c>
      <c r="B325" s="116" t="s">
        <v>44</v>
      </c>
      <c r="C325" s="71"/>
      <c r="D325" s="71" t="s">
        <v>7</v>
      </c>
      <c r="E325" s="71">
        <f t="shared" si="30"/>
        <v>0</v>
      </c>
      <c r="F325" s="71" t="s">
        <v>6</v>
      </c>
      <c r="G325" s="71" t="s">
        <v>88</v>
      </c>
      <c r="H325" s="71"/>
      <c r="I325" s="71"/>
    </row>
    <row r="326" spans="1:22">
      <c r="A326" s="116" t="s">
        <v>215</v>
      </c>
      <c r="B326" s="116" t="s">
        <v>44</v>
      </c>
      <c r="C326" s="71"/>
      <c r="D326" s="71" t="s">
        <v>12</v>
      </c>
      <c r="E326" s="71">
        <f t="shared" si="30"/>
        <v>0</v>
      </c>
      <c r="F326" s="71" t="s">
        <v>5</v>
      </c>
      <c r="G326" s="71" t="s">
        <v>100</v>
      </c>
      <c r="H326" s="71"/>
      <c r="I326" s="71"/>
    </row>
    <row r="327" spans="1:22">
      <c r="A327" s="116"/>
      <c r="B327" s="116" t="s">
        <v>44</v>
      </c>
      <c r="C327" s="71"/>
      <c r="D327" s="71" t="s">
        <v>23</v>
      </c>
      <c r="E327" s="71">
        <f t="shared" si="30"/>
        <v>0</v>
      </c>
      <c r="F327" s="71" t="s">
        <v>6</v>
      </c>
      <c r="G327" s="71" t="s">
        <v>101</v>
      </c>
      <c r="H327" s="71"/>
      <c r="I327" s="71"/>
    </row>
    <row r="328" spans="1:22">
      <c r="A328" s="116"/>
      <c r="B328" s="116" t="s">
        <v>44</v>
      </c>
      <c r="C328" s="71"/>
      <c r="D328" s="71" t="s">
        <v>24</v>
      </c>
      <c r="E328" s="71">
        <f t="shared" si="30"/>
        <v>0</v>
      </c>
      <c r="F328" s="71" t="s">
        <v>6</v>
      </c>
      <c r="G328" s="71" t="s">
        <v>101</v>
      </c>
      <c r="H328" s="71"/>
      <c r="I328" s="71"/>
    </row>
    <row r="329" spans="1:22">
      <c r="A329" s="116"/>
      <c r="B329" s="116" t="s">
        <v>44</v>
      </c>
      <c r="C329" s="71"/>
      <c r="D329" s="71" t="s">
        <v>28</v>
      </c>
      <c r="E329" s="71">
        <f t="shared" si="30"/>
        <v>0</v>
      </c>
      <c r="F329" s="71" t="s">
        <v>6</v>
      </c>
      <c r="G329" s="71" t="s">
        <v>106</v>
      </c>
      <c r="H329" s="71"/>
      <c r="I329" s="71"/>
    </row>
    <row r="330" spans="1:22">
      <c r="A330" s="116"/>
      <c r="B330" s="116" t="s">
        <v>44</v>
      </c>
      <c r="C330" s="71"/>
      <c r="D330" s="71" t="s">
        <v>29</v>
      </c>
      <c r="E330" s="71">
        <f t="shared" si="30"/>
        <v>0</v>
      </c>
      <c r="F330" s="71" t="s">
        <v>24</v>
      </c>
      <c r="G330" s="71" t="s">
        <v>88</v>
      </c>
      <c r="H330" s="71"/>
      <c r="I330" s="71"/>
    </row>
    <row r="331" spans="1:22">
      <c r="A331" s="116"/>
      <c r="B331" s="116" t="s">
        <v>44</v>
      </c>
      <c r="C331" s="71"/>
      <c r="D331" s="71" t="s">
        <v>12</v>
      </c>
      <c r="E331" s="71">
        <f t="shared" si="30"/>
        <v>0</v>
      </c>
      <c r="F331" s="71" t="s">
        <v>9</v>
      </c>
      <c r="G331" s="71" t="s">
        <v>100</v>
      </c>
      <c r="H331" s="117"/>
      <c r="I331" s="71"/>
    </row>
    <row r="332" spans="1:22">
      <c r="A332" s="116"/>
      <c r="B332" s="116" t="s">
        <v>44</v>
      </c>
      <c r="C332" s="71"/>
      <c r="D332" s="71" t="s">
        <v>11</v>
      </c>
      <c r="E332" s="71">
        <f t="shared" si="30"/>
        <v>0</v>
      </c>
      <c r="F332" s="71" t="s">
        <v>9</v>
      </c>
      <c r="G332" s="150" t="s">
        <v>100</v>
      </c>
      <c r="H332" s="71"/>
      <c r="I332" s="71"/>
    </row>
    <row r="333" spans="1:22" s="136" customFormat="1" ht="16.5" customHeight="1">
      <c r="A333" s="116" t="s">
        <v>156</v>
      </c>
      <c r="B333" s="116" t="s">
        <v>44</v>
      </c>
      <c r="C333" s="71"/>
      <c r="D333" s="71" t="s">
        <v>7</v>
      </c>
      <c r="E333" s="71">
        <f t="shared" si="30"/>
        <v>0</v>
      </c>
      <c r="F333" s="71" t="s">
        <v>5</v>
      </c>
      <c r="G333" s="71" t="s">
        <v>134</v>
      </c>
      <c r="H333" s="71"/>
      <c r="I333" s="71"/>
      <c r="J333" s="134"/>
      <c r="K333" s="134"/>
      <c r="L333" s="134"/>
      <c r="M333" s="134"/>
      <c r="N333" s="134"/>
      <c r="O333" s="134"/>
      <c r="P333" s="134"/>
      <c r="Q333" s="134"/>
      <c r="R333" s="134"/>
      <c r="S333" s="134"/>
      <c r="T333" s="134"/>
      <c r="U333" s="134"/>
      <c r="V333" s="134"/>
    </row>
    <row r="334" spans="1:22" s="136" customFormat="1" ht="16.5" customHeight="1">
      <c r="A334" s="116" t="s">
        <v>157</v>
      </c>
      <c r="B334" s="116" t="s">
        <v>44</v>
      </c>
      <c r="C334" s="71"/>
      <c r="D334" s="71" t="s">
        <v>7</v>
      </c>
      <c r="E334" s="71">
        <f t="shared" si="30"/>
        <v>0</v>
      </c>
      <c r="F334" s="71" t="s">
        <v>9</v>
      </c>
      <c r="G334" s="71" t="s">
        <v>111</v>
      </c>
      <c r="H334" s="71"/>
      <c r="I334" s="71"/>
      <c r="J334" s="134"/>
      <c r="K334" s="134"/>
      <c r="L334" s="134"/>
      <c r="M334" s="134"/>
      <c r="N334" s="134"/>
      <c r="O334" s="134"/>
      <c r="P334" s="134"/>
      <c r="Q334" s="134"/>
      <c r="R334" s="134"/>
      <c r="S334" s="134"/>
      <c r="T334" s="134"/>
      <c r="U334" s="134"/>
      <c r="V334" s="134"/>
    </row>
    <row r="335" spans="1:22" s="136" customFormat="1">
      <c r="A335" s="116" t="s">
        <v>166</v>
      </c>
      <c r="B335" s="116" t="s">
        <v>44</v>
      </c>
      <c r="C335" s="71"/>
      <c r="D335" s="71" t="s">
        <v>24</v>
      </c>
      <c r="E335" s="71">
        <f t="shared" si="30"/>
        <v>0</v>
      </c>
      <c r="F335" s="71" t="s">
        <v>28</v>
      </c>
      <c r="G335" s="71" t="s">
        <v>92</v>
      </c>
      <c r="H335" s="71"/>
      <c r="I335" s="71"/>
      <c r="J335" s="134"/>
      <c r="K335" s="134"/>
      <c r="L335" s="134"/>
      <c r="M335" s="134"/>
      <c r="N335" s="134"/>
      <c r="O335" s="134"/>
      <c r="P335" s="134"/>
      <c r="Q335" s="134"/>
      <c r="R335" s="134"/>
      <c r="S335" s="134"/>
      <c r="T335" s="134"/>
      <c r="U335" s="134"/>
      <c r="V335" s="134"/>
    </row>
    <row r="336" spans="1:22" s="136" customFormat="1">
      <c r="A336" s="116" t="s">
        <v>167</v>
      </c>
      <c r="B336" s="116" t="s">
        <v>44</v>
      </c>
      <c r="C336" s="71"/>
      <c r="D336" s="71" t="s">
        <v>24</v>
      </c>
      <c r="E336" s="71">
        <f t="shared" si="30"/>
        <v>0</v>
      </c>
      <c r="F336" s="71" t="s">
        <v>28</v>
      </c>
      <c r="G336" s="71" t="s">
        <v>92</v>
      </c>
      <c r="H336" s="71"/>
      <c r="I336" s="71"/>
      <c r="J336" s="134"/>
      <c r="K336" s="134"/>
      <c r="L336" s="134"/>
      <c r="M336" s="134"/>
      <c r="N336" s="134"/>
      <c r="O336" s="134"/>
      <c r="P336" s="134"/>
      <c r="Q336" s="134"/>
      <c r="R336" s="134"/>
      <c r="S336" s="134"/>
      <c r="T336" s="134"/>
      <c r="U336" s="134"/>
      <c r="V336" s="134"/>
    </row>
    <row r="337" spans="1:22" s="136" customFormat="1">
      <c r="A337" s="116" t="s">
        <v>177</v>
      </c>
      <c r="B337" s="116" t="s">
        <v>44</v>
      </c>
      <c r="C337" s="71"/>
      <c r="D337" s="71" t="s">
        <v>24</v>
      </c>
      <c r="E337" s="71">
        <f t="shared" si="30"/>
        <v>0</v>
      </c>
      <c r="F337" s="71" t="s">
        <v>28</v>
      </c>
      <c r="G337" s="71" t="s">
        <v>88</v>
      </c>
      <c r="H337" s="71"/>
      <c r="I337" s="71"/>
      <c r="J337" s="134"/>
      <c r="K337" s="134"/>
      <c r="L337" s="134"/>
      <c r="M337" s="134"/>
      <c r="N337" s="134"/>
      <c r="O337" s="134"/>
      <c r="P337" s="134"/>
      <c r="Q337" s="134"/>
      <c r="R337" s="134"/>
      <c r="S337" s="134"/>
      <c r="T337" s="134"/>
      <c r="U337" s="134"/>
      <c r="V337" s="134"/>
    </row>
    <row r="338" spans="1:22" s="136" customFormat="1">
      <c r="A338" s="116" t="s">
        <v>168</v>
      </c>
      <c r="B338" s="116" t="s">
        <v>44</v>
      </c>
      <c r="C338" s="71"/>
      <c r="D338" s="71" t="s">
        <v>29</v>
      </c>
      <c r="E338" s="71">
        <f t="shared" si="30"/>
        <v>0</v>
      </c>
      <c r="F338" s="71" t="s">
        <v>28</v>
      </c>
      <c r="G338" s="71" t="s">
        <v>88</v>
      </c>
      <c r="H338" s="71"/>
      <c r="I338" s="71"/>
    </row>
    <row r="339" spans="1:22" s="136" customFormat="1">
      <c r="A339" s="116" t="s">
        <v>169</v>
      </c>
      <c r="B339" s="116" t="s">
        <v>44</v>
      </c>
      <c r="C339" s="71"/>
      <c r="D339" s="71" t="s">
        <v>23</v>
      </c>
      <c r="E339" s="71">
        <f t="shared" si="30"/>
        <v>0</v>
      </c>
      <c r="F339" s="71" t="s">
        <v>6</v>
      </c>
      <c r="G339" s="71" t="s">
        <v>134</v>
      </c>
      <c r="H339" s="71"/>
      <c r="I339" s="71"/>
    </row>
    <row r="340" spans="1:22" s="136" customFormat="1">
      <c r="A340" s="116" t="s">
        <v>170</v>
      </c>
      <c r="B340" s="116" t="s">
        <v>44</v>
      </c>
      <c r="C340" s="71"/>
      <c r="D340" s="71" t="s">
        <v>24</v>
      </c>
      <c r="E340" s="71">
        <f t="shared" si="30"/>
        <v>0</v>
      </c>
      <c r="F340" s="71" t="s">
        <v>6</v>
      </c>
      <c r="G340" s="71" t="s">
        <v>134</v>
      </c>
      <c r="H340" s="71"/>
      <c r="I340" s="71"/>
    </row>
    <row r="341" spans="1:22" s="136" customFormat="1">
      <c r="A341" s="116" t="s">
        <v>171</v>
      </c>
      <c r="B341" s="116" t="s">
        <v>44</v>
      </c>
      <c r="C341" s="71"/>
      <c r="D341" s="71" t="s">
        <v>22</v>
      </c>
      <c r="E341" s="71">
        <f t="shared" si="30"/>
        <v>0</v>
      </c>
      <c r="F341" s="71" t="s">
        <v>6</v>
      </c>
      <c r="G341" s="71" t="s">
        <v>134</v>
      </c>
      <c r="H341" s="71"/>
      <c r="I341" s="71"/>
    </row>
    <row r="342" spans="1:22" s="136" customFormat="1">
      <c r="A342" s="116" t="s">
        <v>172</v>
      </c>
      <c r="B342" s="116" t="s">
        <v>44</v>
      </c>
      <c r="C342" s="71"/>
      <c r="D342" s="71" t="s">
        <v>25</v>
      </c>
      <c r="E342" s="71">
        <f t="shared" si="30"/>
        <v>0</v>
      </c>
      <c r="F342" s="71" t="s">
        <v>6</v>
      </c>
      <c r="G342" s="71" t="s">
        <v>134</v>
      </c>
      <c r="H342" s="71"/>
      <c r="I342" s="71"/>
    </row>
    <row r="343" spans="1:22" s="136" customFormat="1">
      <c r="A343" s="116" t="s">
        <v>173</v>
      </c>
      <c r="B343" s="116" t="s">
        <v>44</v>
      </c>
      <c r="C343" s="71"/>
      <c r="D343" s="71" t="s">
        <v>26</v>
      </c>
      <c r="E343" s="71">
        <f t="shared" si="30"/>
        <v>0</v>
      </c>
      <c r="F343" s="71" t="s">
        <v>6</v>
      </c>
      <c r="G343" s="71" t="s">
        <v>134</v>
      </c>
      <c r="H343" s="71"/>
      <c r="I343" s="71"/>
    </row>
    <row r="344" spans="1:22" s="136" customFormat="1">
      <c r="A344" s="116" t="s">
        <v>174</v>
      </c>
      <c r="B344" s="116" t="s">
        <v>44</v>
      </c>
      <c r="C344" s="71"/>
      <c r="D344" s="71" t="s">
        <v>27</v>
      </c>
      <c r="E344" s="71">
        <f t="shared" si="30"/>
        <v>0</v>
      </c>
      <c r="F344" s="71" t="s">
        <v>6</v>
      </c>
      <c r="G344" s="71" t="s">
        <v>134</v>
      </c>
      <c r="H344" s="71"/>
      <c r="I344" s="71"/>
    </row>
    <row r="345" spans="1:22">
      <c r="A345" s="116" t="s">
        <v>174</v>
      </c>
      <c r="B345" s="116" t="s">
        <v>44</v>
      </c>
      <c r="C345" s="71"/>
      <c r="D345" s="71" t="s">
        <v>11</v>
      </c>
      <c r="E345" s="71">
        <f t="shared" si="30"/>
        <v>0</v>
      </c>
      <c r="F345" s="71" t="s">
        <v>424</v>
      </c>
      <c r="G345" s="71" t="s">
        <v>132</v>
      </c>
      <c r="H345" s="71"/>
      <c r="I345" s="71"/>
    </row>
    <row r="346" spans="1:22">
      <c r="A346" s="116" t="s">
        <v>175</v>
      </c>
      <c r="B346" s="116" t="s">
        <v>44</v>
      </c>
      <c r="C346" s="71"/>
      <c r="D346" s="71" t="s">
        <v>10</v>
      </c>
      <c r="E346" s="71">
        <f t="shared" si="30"/>
        <v>0</v>
      </c>
      <c r="F346" s="71" t="s">
        <v>77</v>
      </c>
      <c r="G346" s="71" t="s">
        <v>132</v>
      </c>
      <c r="H346" s="71"/>
      <c r="I346" s="71"/>
    </row>
    <row r="347" spans="1:22">
      <c r="A347" s="116" t="s">
        <v>176</v>
      </c>
      <c r="B347" s="116" t="s">
        <v>44</v>
      </c>
      <c r="C347" s="71"/>
      <c r="D347" s="71" t="s">
        <v>12</v>
      </c>
      <c r="E347" s="71">
        <f t="shared" si="30"/>
        <v>0</v>
      </c>
      <c r="F347" s="71" t="s">
        <v>77</v>
      </c>
      <c r="G347" s="71" t="s">
        <v>132</v>
      </c>
      <c r="H347" s="71"/>
      <c r="I347" s="71"/>
    </row>
    <row r="348" spans="1:22" s="136" customFormat="1" ht="16.5" customHeight="1">
      <c r="A348" s="116" t="s">
        <v>162</v>
      </c>
      <c r="B348" s="116" t="s">
        <v>44</v>
      </c>
      <c r="C348" s="71"/>
      <c r="D348" s="71" t="s">
        <v>14</v>
      </c>
      <c r="E348" s="71">
        <f t="shared" si="30"/>
        <v>0</v>
      </c>
      <c r="F348" s="71" t="s">
        <v>6</v>
      </c>
      <c r="G348" s="71" t="s">
        <v>133</v>
      </c>
      <c r="H348" s="71"/>
      <c r="I348" s="71"/>
      <c r="J348" s="138"/>
      <c r="K348" s="134"/>
      <c r="L348" s="134"/>
      <c r="M348" s="134"/>
      <c r="N348" s="134"/>
      <c r="O348" s="134"/>
      <c r="P348" s="134"/>
      <c r="Q348" s="134"/>
      <c r="R348" s="134"/>
      <c r="S348" s="134"/>
      <c r="T348" s="134"/>
      <c r="U348" s="134"/>
      <c r="V348" s="134"/>
    </row>
    <row r="349" spans="1:22" s="136" customFormat="1" ht="16.5" customHeight="1">
      <c r="A349" s="116" t="s">
        <v>163</v>
      </c>
      <c r="B349" s="116" t="s">
        <v>44</v>
      </c>
      <c r="C349" s="71"/>
      <c r="D349" s="71" t="s">
        <v>15</v>
      </c>
      <c r="E349" s="71">
        <f t="shared" si="30"/>
        <v>0</v>
      </c>
      <c r="F349" s="71" t="s">
        <v>6</v>
      </c>
      <c r="G349" s="71" t="s">
        <v>133</v>
      </c>
      <c r="H349" s="71"/>
      <c r="I349" s="71"/>
      <c r="J349" s="138"/>
      <c r="K349" s="134"/>
      <c r="L349" s="134"/>
      <c r="M349" s="134"/>
      <c r="N349" s="134"/>
      <c r="O349" s="134"/>
      <c r="P349" s="134"/>
      <c r="Q349" s="134"/>
      <c r="R349" s="134"/>
      <c r="S349" s="134"/>
      <c r="T349" s="134"/>
      <c r="U349" s="134"/>
      <c r="V349" s="134"/>
    </row>
    <row r="350" spans="1:22" s="136" customFormat="1" ht="16.5" customHeight="1">
      <c r="A350" s="116" t="s">
        <v>164</v>
      </c>
      <c r="B350" s="116" t="s">
        <v>44</v>
      </c>
      <c r="C350" s="71"/>
      <c r="D350" s="71" t="s">
        <v>16</v>
      </c>
      <c r="E350" s="71">
        <f t="shared" si="30"/>
        <v>0</v>
      </c>
      <c r="F350" s="71" t="s">
        <v>6</v>
      </c>
      <c r="G350" s="71" t="s">
        <v>133</v>
      </c>
      <c r="H350" s="71"/>
      <c r="I350" s="71"/>
      <c r="J350" s="138"/>
      <c r="K350" s="134"/>
      <c r="L350" s="134"/>
      <c r="M350" s="134"/>
      <c r="N350" s="134"/>
      <c r="O350" s="134"/>
      <c r="P350" s="134"/>
      <c r="Q350" s="134"/>
      <c r="R350" s="134"/>
      <c r="S350" s="134"/>
      <c r="T350" s="134"/>
      <c r="U350" s="134"/>
      <c r="V350" s="134"/>
    </row>
    <row r="351" spans="1:22">
      <c r="A351" s="116"/>
      <c r="B351" s="71" t="s">
        <v>44</v>
      </c>
      <c r="C351" s="150"/>
      <c r="D351" s="71" t="s">
        <v>7</v>
      </c>
      <c r="E351" s="71">
        <f t="shared" ref="E351:E362" si="31">-C351</f>
        <v>0</v>
      </c>
      <c r="F351" s="71" t="s">
        <v>5</v>
      </c>
      <c r="G351" s="71" t="s">
        <v>101</v>
      </c>
      <c r="H351" s="71"/>
      <c r="I351" s="71"/>
    </row>
    <row r="352" spans="1:22">
      <c r="A352" s="116"/>
      <c r="B352" s="71" t="s">
        <v>44</v>
      </c>
      <c r="C352" s="150"/>
      <c r="D352" s="71" t="s">
        <v>7</v>
      </c>
      <c r="E352" s="71">
        <f t="shared" si="31"/>
        <v>0</v>
      </c>
      <c r="F352" s="71" t="s">
        <v>5</v>
      </c>
      <c r="G352" s="71" t="s">
        <v>101</v>
      </c>
      <c r="H352" s="71"/>
      <c r="I352" s="71"/>
    </row>
    <row r="353" spans="1:10">
      <c r="A353" s="116"/>
      <c r="B353" s="71" t="s">
        <v>44</v>
      </c>
      <c r="C353" s="150"/>
      <c r="D353" s="71" t="s">
        <v>15</v>
      </c>
      <c r="E353" s="71">
        <f t="shared" si="31"/>
        <v>0</v>
      </c>
      <c r="F353" s="71" t="s">
        <v>5</v>
      </c>
      <c r="G353" s="71" t="s">
        <v>101</v>
      </c>
      <c r="H353" s="71"/>
      <c r="I353" s="71"/>
    </row>
    <row r="354" spans="1:10">
      <c r="A354" s="116"/>
      <c r="B354" s="116" t="s">
        <v>44</v>
      </c>
      <c r="C354" s="163"/>
      <c r="D354" s="71" t="s">
        <v>17</v>
      </c>
      <c r="E354" s="71">
        <f t="shared" si="31"/>
        <v>0</v>
      </c>
      <c r="F354" s="71" t="s">
        <v>6</v>
      </c>
      <c r="G354" s="71" t="s">
        <v>134</v>
      </c>
      <c r="H354" s="71"/>
      <c r="I354" s="71"/>
    </row>
    <row r="355" spans="1:10">
      <c r="A355" s="116"/>
      <c r="B355" s="116" t="s">
        <v>44</v>
      </c>
      <c r="C355" s="163"/>
      <c r="D355" s="71" t="s">
        <v>18</v>
      </c>
      <c r="E355" s="71">
        <f t="shared" si="31"/>
        <v>0</v>
      </c>
      <c r="F355" s="71" t="s">
        <v>6</v>
      </c>
      <c r="G355" s="71" t="s">
        <v>134</v>
      </c>
      <c r="H355" s="71"/>
      <c r="I355" s="71"/>
    </row>
    <row r="356" spans="1:10">
      <c r="A356" s="116"/>
      <c r="B356" s="116" t="s">
        <v>44</v>
      </c>
      <c r="C356" s="163"/>
      <c r="D356" s="71" t="s">
        <v>19</v>
      </c>
      <c r="E356" s="71">
        <f t="shared" si="31"/>
        <v>0</v>
      </c>
      <c r="F356" s="71" t="s">
        <v>6</v>
      </c>
      <c r="G356" s="71" t="s">
        <v>134</v>
      </c>
      <c r="H356" s="71"/>
      <c r="I356" s="71"/>
    </row>
    <row r="357" spans="1:10">
      <c r="A357" s="118"/>
      <c r="B357" s="116" t="s">
        <v>44</v>
      </c>
      <c r="C357" s="120"/>
      <c r="D357" s="115" t="s">
        <v>22</v>
      </c>
      <c r="E357" s="71">
        <f t="shared" si="31"/>
        <v>0</v>
      </c>
      <c r="F357" s="115" t="s">
        <v>25</v>
      </c>
      <c r="G357" s="118" t="s">
        <v>423</v>
      </c>
      <c r="H357" s="115"/>
      <c r="I357" s="115"/>
    </row>
    <row r="358" spans="1:10">
      <c r="A358" s="118"/>
      <c r="B358" s="116" t="s">
        <v>44</v>
      </c>
      <c r="C358" s="120"/>
      <c r="D358" s="115" t="s">
        <v>7</v>
      </c>
      <c r="E358" s="71">
        <f t="shared" si="31"/>
        <v>0</v>
      </c>
      <c r="F358" s="115" t="s">
        <v>6</v>
      </c>
      <c r="G358" s="118" t="s">
        <v>134</v>
      </c>
      <c r="H358" s="115"/>
      <c r="I358" s="115"/>
    </row>
    <row r="359" spans="1:10">
      <c r="A359" s="118"/>
      <c r="B359" s="116" t="s">
        <v>44</v>
      </c>
      <c r="C359" s="120"/>
      <c r="D359" s="115" t="s">
        <v>9</v>
      </c>
      <c r="E359" s="71">
        <f t="shared" si="31"/>
        <v>0</v>
      </c>
      <c r="F359" s="115" t="s">
        <v>11</v>
      </c>
      <c r="G359" s="118" t="s">
        <v>104</v>
      </c>
      <c r="H359" s="139"/>
      <c r="I359" s="115"/>
    </row>
    <row r="360" spans="1:10">
      <c r="A360" s="118"/>
      <c r="B360" s="116" t="s">
        <v>44</v>
      </c>
      <c r="C360" s="120"/>
      <c r="D360" s="115" t="s">
        <v>9</v>
      </c>
      <c r="E360" s="71">
        <f t="shared" si="31"/>
        <v>0</v>
      </c>
      <c r="F360" s="115" t="s">
        <v>10</v>
      </c>
      <c r="G360" s="118" t="s">
        <v>104</v>
      </c>
      <c r="H360" s="139"/>
      <c r="I360" s="115"/>
    </row>
    <row r="361" spans="1:10">
      <c r="A361" s="118"/>
      <c r="B361" s="116" t="s">
        <v>44</v>
      </c>
      <c r="C361" s="120"/>
      <c r="D361" s="115" t="s">
        <v>9</v>
      </c>
      <c r="E361" s="71">
        <f t="shared" si="31"/>
        <v>0</v>
      </c>
      <c r="F361" s="115" t="s">
        <v>12</v>
      </c>
      <c r="G361" s="118" t="s">
        <v>104</v>
      </c>
      <c r="H361" s="139"/>
      <c r="I361" s="115"/>
    </row>
    <row r="362" spans="1:10">
      <c r="B362" s="124" t="s">
        <v>44</v>
      </c>
      <c r="C362" s="140"/>
      <c r="D362" s="141" t="s">
        <v>9</v>
      </c>
      <c r="E362" s="71">
        <f t="shared" si="31"/>
        <v>0</v>
      </c>
      <c r="F362" s="117" t="s">
        <v>16</v>
      </c>
      <c r="G362" s="117" t="s">
        <v>104</v>
      </c>
      <c r="H362" s="139"/>
      <c r="I362" s="71"/>
      <c r="J362" s="123"/>
    </row>
    <row r="363" spans="1:10">
      <c r="A363" s="144"/>
      <c r="B363" s="144" t="s">
        <v>70</v>
      </c>
      <c r="C363" s="71"/>
      <c r="D363" s="157" t="s">
        <v>7</v>
      </c>
      <c r="E363" s="157"/>
      <c r="F363" s="157"/>
      <c r="G363" s="157"/>
      <c r="H363" s="71"/>
      <c r="I363" s="71"/>
      <c r="J363" s="123"/>
    </row>
    <row r="364" spans="1:10">
      <c r="A364" s="144"/>
      <c r="B364" s="144" t="s">
        <v>70</v>
      </c>
      <c r="C364" s="153"/>
      <c r="D364" s="157" t="s">
        <v>14</v>
      </c>
      <c r="E364" s="157"/>
      <c r="F364" s="157"/>
      <c r="G364" s="157"/>
      <c r="H364" s="71"/>
      <c r="I364" s="71"/>
      <c r="J364" s="123"/>
    </row>
    <row r="365" spans="1:10">
      <c r="A365" s="144"/>
      <c r="B365" s="144" t="s">
        <v>70</v>
      </c>
      <c r="C365" s="153"/>
      <c r="D365" s="157" t="s">
        <v>17</v>
      </c>
      <c r="E365" s="157"/>
      <c r="F365" s="157"/>
      <c r="G365" s="157"/>
      <c r="H365" s="71"/>
      <c r="I365" s="71"/>
      <c r="J365" s="123"/>
    </row>
    <row r="366" spans="1:10">
      <c r="A366" s="144"/>
      <c r="B366" s="144" t="s">
        <v>70</v>
      </c>
      <c r="C366" s="153"/>
      <c r="D366" s="157" t="s">
        <v>19</v>
      </c>
      <c r="E366" s="157"/>
      <c r="F366" s="157"/>
      <c r="G366" s="157"/>
      <c r="H366" s="71"/>
      <c r="I366" s="71"/>
      <c r="J366" s="123"/>
    </row>
    <row r="367" spans="1:10">
      <c r="A367" s="144"/>
      <c r="B367" s="144" t="s">
        <v>70</v>
      </c>
      <c r="C367" s="153"/>
      <c r="D367" s="157" t="s">
        <v>12</v>
      </c>
      <c r="E367" s="157"/>
      <c r="F367" s="157"/>
      <c r="G367" s="157"/>
      <c r="H367" s="71"/>
      <c r="I367" s="71"/>
      <c r="J367" s="123"/>
    </row>
    <row r="368" spans="1:10">
      <c r="A368" s="144"/>
      <c r="B368" s="144" t="s">
        <v>70</v>
      </c>
      <c r="C368" s="153"/>
      <c r="D368" s="157" t="s">
        <v>16</v>
      </c>
      <c r="E368" s="157"/>
      <c r="F368" s="157"/>
      <c r="G368" s="157"/>
      <c r="H368" s="71"/>
      <c r="I368" s="71"/>
      <c r="J368" s="123"/>
    </row>
    <row r="369" spans="1:22">
      <c r="A369" s="144"/>
      <c r="B369" s="144" t="s">
        <v>70</v>
      </c>
      <c r="C369" s="153"/>
      <c r="D369" s="157" t="s">
        <v>10</v>
      </c>
      <c r="E369" s="157"/>
      <c r="F369" s="157"/>
      <c r="G369" s="157"/>
      <c r="H369" s="71"/>
      <c r="I369" s="71"/>
      <c r="J369" s="123"/>
    </row>
    <row r="370" spans="1:22">
      <c r="A370" s="144"/>
      <c r="B370" s="144" t="s">
        <v>70</v>
      </c>
      <c r="C370" s="153"/>
      <c r="D370" s="157" t="s">
        <v>11</v>
      </c>
      <c r="E370" s="157"/>
      <c r="F370" s="157"/>
      <c r="G370" s="157"/>
      <c r="H370" s="71"/>
      <c r="I370" s="71"/>
      <c r="J370" s="123"/>
    </row>
    <row r="371" spans="1:22">
      <c r="A371" s="144"/>
      <c r="B371" s="144" t="s">
        <v>70</v>
      </c>
      <c r="C371" s="153"/>
      <c r="D371" s="157" t="s">
        <v>9</v>
      </c>
      <c r="E371" s="157"/>
      <c r="F371" s="157"/>
      <c r="G371" s="157"/>
      <c r="H371" s="71"/>
      <c r="I371" s="71"/>
      <c r="J371" s="123"/>
    </row>
    <row r="372" spans="1:22">
      <c r="A372" s="144"/>
      <c r="B372" s="144" t="s">
        <v>70</v>
      </c>
      <c r="C372" s="153"/>
      <c r="D372" s="157" t="s">
        <v>23</v>
      </c>
      <c r="E372" s="157"/>
      <c r="F372" s="157"/>
      <c r="G372" s="157"/>
      <c r="H372" s="71"/>
      <c r="I372" s="71"/>
      <c r="J372" s="123"/>
    </row>
    <row r="373" spans="1:22">
      <c r="A373" s="144"/>
      <c r="B373" s="144" t="s">
        <v>70</v>
      </c>
      <c r="C373" s="153"/>
      <c r="D373" s="157" t="s">
        <v>18</v>
      </c>
      <c r="E373" s="157"/>
      <c r="F373" s="157"/>
      <c r="G373" s="157"/>
      <c r="H373" s="71"/>
      <c r="I373" s="71"/>
      <c r="J373" s="123"/>
    </row>
    <row r="374" spans="1:22">
      <c r="A374" s="144"/>
      <c r="B374" s="144" t="s">
        <v>70</v>
      </c>
      <c r="C374" s="153"/>
      <c r="D374" s="157" t="s">
        <v>15</v>
      </c>
      <c r="E374" s="157"/>
      <c r="F374" s="157"/>
      <c r="G374" s="157"/>
      <c r="H374" s="71"/>
      <c r="I374" s="71"/>
    </row>
    <row r="375" spans="1:22" ht="18">
      <c r="A375" s="118"/>
      <c r="B375" s="118"/>
      <c r="C375" s="165"/>
      <c r="D375" s="115"/>
      <c r="E375" s="166"/>
      <c r="F375" s="115"/>
      <c r="G375" s="115"/>
      <c r="H375" s="115"/>
      <c r="I375" s="115"/>
    </row>
    <row r="376" spans="1:22" ht="18">
      <c r="A376" s="118"/>
      <c r="B376" s="118"/>
      <c r="C376" s="164"/>
      <c r="D376" s="115"/>
      <c r="E376" s="166" t="s">
        <v>219</v>
      </c>
      <c r="F376" s="115"/>
      <c r="G376" s="115"/>
      <c r="H376" s="115"/>
      <c r="I376" s="115"/>
    </row>
    <row r="377" spans="1:22">
      <c r="A377" s="143" t="s">
        <v>145</v>
      </c>
      <c r="B377" s="143" t="s">
        <v>3</v>
      </c>
      <c r="C377" s="167" t="s">
        <v>146</v>
      </c>
      <c r="D377" s="143" t="s">
        <v>147</v>
      </c>
      <c r="E377" s="143" t="s">
        <v>148</v>
      </c>
      <c r="F377" s="143" t="s">
        <v>149</v>
      </c>
      <c r="G377" s="143" t="s">
        <v>220</v>
      </c>
      <c r="H377" s="143" t="s">
        <v>151</v>
      </c>
      <c r="I377" s="143" t="s">
        <v>152</v>
      </c>
    </row>
    <row r="378" spans="1:22" s="305" customFormat="1">
      <c r="A378" s="302"/>
      <c r="B378" s="302" t="s">
        <v>221</v>
      </c>
      <c r="C378" s="303">
        <f>SUM(C379:C390)</f>
        <v>67470592.560000002</v>
      </c>
      <c r="D378" s="302"/>
      <c r="E378" s="302">
        <f>SUM(E379:E388)</f>
        <v>-67778486.070000008</v>
      </c>
      <c r="F378" s="302"/>
      <c r="G378" s="302"/>
      <c r="H378" s="302"/>
      <c r="I378" s="302"/>
      <c r="J378" s="304"/>
      <c r="K378" s="304"/>
      <c r="L378" s="304"/>
      <c r="M378" s="304"/>
      <c r="N378" s="304"/>
      <c r="O378" s="304"/>
      <c r="P378" s="304"/>
      <c r="Q378" s="304"/>
      <c r="R378" s="304"/>
      <c r="S378" s="304"/>
      <c r="T378" s="304"/>
      <c r="U378" s="304"/>
      <c r="V378" s="304"/>
    </row>
    <row r="379" spans="1:22">
      <c r="A379" s="116" t="s">
        <v>137</v>
      </c>
      <c r="B379" s="116" t="s">
        <v>53</v>
      </c>
      <c r="C379" s="71">
        <f>-累计利润调整表!J28/0.75-C388</f>
        <v>1179153.9466666665</v>
      </c>
      <c r="D379" s="71" t="s">
        <v>17</v>
      </c>
      <c r="E379" s="71">
        <f>-C379</f>
        <v>-1179153.9466666665</v>
      </c>
      <c r="F379" s="71" t="s">
        <v>17</v>
      </c>
      <c r="G379" s="71" t="s">
        <v>39</v>
      </c>
      <c r="H379" s="71"/>
      <c r="I379" s="71"/>
    </row>
    <row r="380" spans="1:22">
      <c r="A380" s="116" t="s">
        <v>154</v>
      </c>
      <c r="B380" s="116" t="s">
        <v>53</v>
      </c>
      <c r="C380" s="71">
        <f>-累计利润调整表!H28/0.75</f>
        <v>72293920.893333331</v>
      </c>
      <c r="D380" s="71" t="s">
        <v>10</v>
      </c>
      <c r="E380" s="71">
        <f>-C380</f>
        <v>-72293920.893333331</v>
      </c>
      <c r="F380" s="71" t="s">
        <v>10</v>
      </c>
      <c r="G380" s="71" t="s">
        <v>39</v>
      </c>
      <c r="H380" s="71"/>
      <c r="I380" s="71"/>
    </row>
    <row r="381" spans="1:22">
      <c r="A381" s="116" t="s">
        <v>155</v>
      </c>
      <c r="B381" s="116" t="s">
        <v>53</v>
      </c>
      <c r="C381" s="153">
        <f>-累计利润调整表!I28/0.75</f>
        <v>2573735.08</v>
      </c>
      <c r="D381" s="71" t="s">
        <v>12</v>
      </c>
      <c r="E381" s="71">
        <f t="shared" ref="E381:E390" si="32">-C381</f>
        <v>-2573735.08</v>
      </c>
      <c r="F381" s="71" t="s">
        <v>12</v>
      </c>
      <c r="G381" s="71" t="s">
        <v>39</v>
      </c>
      <c r="H381" s="71"/>
      <c r="I381" s="71"/>
    </row>
    <row r="382" spans="1:22">
      <c r="A382" s="116" t="s">
        <v>156</v>
      </c>
      <c r="B382" s="116" t="s">
        <v>53</v>
      </c>
      <c r="C382" s="71">
        <f>-6703795.21</f>
        <v>-6703795.21</v>
      </c>
      <c r="D382" s="71" t="s">
        <v>14</v>
      </c>
      <c r="E382" s="71">
        <f t="shared" si="32"/>
        <v>6703795.21</v>
      </c>
      <c r="F382" s="71" t="s">
        <v>14</v>
      </c>
      <c r="G382" s="71" t="s">
        <v>39</v>
      </c>
      <c r="H382" s="117"/>
      <c r="I382" s="117"/>
    </row>
    <row r="383" spans="1:22">
      <c r="A383" s="116" t="s">
        <v>157</v>
      </c>
      <c r="B383" s="116" t="s">
        <v>53</v>
      </c>
      <c r="C383" s="153">
        <f>-357585.86</f>
        <v>-357585.86</v>
      </c>
      <c r="D383" s="71" t="s">
        <v>11</v>
      </c>
      <c r="E383" s="71">
        <f t="shared" si="32"/>
        <v>357585.86</v>
      </c>
      <c r="F383" s="71" t="s">
        <v>16</v>
      </c>
      <c r="G383" s="71" t="s">
        <v>39</v>
      </c>
      <c r="H383" s="71"/>
      <c r="I383" s="71"/>
      <c r="J383" s="123"/>
    </row>
    <row r="384" spans="1:22">
      <c r="A384" s="116" t="s">
        <v>158</v>
      </c>
      <c r="B384" s="116" t="s">
        <v>53</v>
      </c>
      <c r="C384" s="153">
        <f>-累计利润调整表!O28/0.75</f>
        <v>0</v>
      </c>
      <c r="D384" s="71" t="s">
        <v>16</v>
      </c>
      <c r="E384" s="119">
        <f t="shared" si="32"/>
        <v>0</v>
      </c>
      <c r="F384" s="71" t="s">
        <v>16</v>
      </c>
      <c r="G384" s="71" t="s">
        <v>39</v>
      </c>
      <c r="H384" s="71"/>
      <c r="I384" s="71"/>
    </row>
    <row r="385" spans="1:10">
      <c r="A385" s="116" t="s">
        <v>159</v>
      </c>
      <c r="B385" s="116" t="s">
        <v>53</v>
      </c>
      <c r="C385" s="161">
        <f>-累计利润调整表!N28/0.75-C383</f>
        <v>-1043299.4466666667</v>
      </c>
      <c r="D385" s="71" t="s">
        <v>11</v>
      </c>
      <c r="E385" s="71">
        <f t="shared" si="32"/>
        <v>1043299.4466666667</v>
      </c>
      <c r="F385" s="71" t="s">
        <v>11</v>
      </c>
      <c r="G385" s="71" t="s">
        <v>39</v>
      </c>
      <c r="H385" s="71"/>
      <c r="I385" s="71"/>
    </row>
    <row r="386" spans="1:10">
      <c r="A386" s="116" t="s">
        <v>201</v>
      </c>
      <c r="B386" s="116" t="s">
        <v>561</v>
      </c>
      <c r="C386" s="147">
        <f>-累计利润调整表!F28/0.75</f>
        <v>9910.6533333333336</v>
      </c>
      <c r="D386" s="71" t="s">
        <v>560</v>
      </c>
      <c r="E386" s="71">
        <f t="shared" si="32"/>
        <v>-9910.6533333333336</v>
      </c>
      <c r="F386" s="71" t="s">
        <v>9</v>
      </c>
      <c r="G386" s="71" t="s">
        <v>39</v>
      </c>
      <c r="H386" s="71"/>
      <c r="I386" s="117"/>
    </row>
    <row r="387" spans="1:10">
      <c r="A387" s="116" t="s">
        <v>202</v>
      </c>
      <c r="B387" s="116" t="s">
        <v>53</v>
      </c>
      <c r="C387" s="153">
        <f>-累计利润调整表!E28/0.75</f>
        <v>-467999.98666666663</v>
      </c>
      <c r="D387" s="71" t="s">
        <v>7</v>
      </c>
      <c r="E387" s="71">
        <f t="shared" si="32"/>
        <v>467999.98666666663</v>
      </c>
      <c r="F387" s="71" t="s">
        <v>7</v>
      </c>
      <c r="G387" s="71" t="s">
        <v>39</v>
      </c>
      <c r="H387" s="117"/>
      <c r="I387" s="117"/>
    </row>
    <row r="388" spans="1:10">
      <c r="A388" s="116" t="s">
        <v>160</v>
      </c>
      <c r="B388" s="116" t="s">
        <v>53</v>
      </c>
      <c r="C388" s="309">
        <v>294446</v>
      </c>
      <c r="D388" s="71" t="s">
        <v>17</v>
      </c>
      <c r="E388" s="119">
        <f t="shared" si="32"/>
        <v>-294446</v>
      </c>
      <c r="F388" s="71" t="s">
        <v>10</v>
      </c>
      <c r="G388" s="71" t="s">
        <v>39</v>
      </c>
      <c r="H388" s="310" t="s">
        <v>562</v>
      </c>
      <c r="I388" s="117"/>
    </row>
    <row r="389" spans="1:10">
      <c r="A389" s="116" t="s">
        <v>161</v>
      </c>
      <c r="B389" s="116" t="s">
        <v>53</v>
      </c>
      <c r="C389" s="71">
        <v>-153946.76</v>
      </c>
      <c r="D389" s="71" t="s">
        <v>14</v>
      </c>
      <c r="E389" s="71">
        <f t="shared" si="32"/>
        <v>153946.76</v>
      </c>
      <c r="F389" s="71" t="s">
        <v>11</v>
      </c>
      <c r="G389" s="71" t="s">
        <v>39</v>
      </c>
      <c r="H389" s="71"/>
      <c r="I389" s="117"/>
    </row>
    <row r="390" spans="1:10">
      <c r="A390" s="116" t="s">
        <v>162</v>
      </c>
      <c r="B390" s="116" t="s">
        <v>53</v>
      </c>
      <c r="C390" s="71">
        <v>-153946.75</v>
      </c>
      <c r="D390" s="71" t="s">
        <v>14</v>
      </c>
      <c r="E390" s="71">
        <f t="shared" si="32"/>
        <v>153946.75</v>
      </c>
      <c r="F390" s="71" t="s">
        <v>16</v>
      </c>
      <c r="G390" s="71" t="s">
        <v>39</v>
      </c>
      <c r="H390" s="71"/>
      <c r="I390" s="117"/>
      <c r="J390" s="123"/>
    </row>
    <row r="391" spans="1:10">
      <c r="A391" s="122"/>
      <c r="B391" s="122" t="s">
        <v>222</v>
      </c>
      <c r="C391" s="142"/>
      <c r="D391" s="122"/>
      <c r="E391" s="122"/>
      <c r="F391" s="122"/>
      <c r="G391" s="122"/>
      <c r="H391" s="122"/>
    </row>
    <row r="392" spans="1:10">
      <c r="A392" s="122"/>
      <c r="B392" s="122" t="s">
        <v>430</v>
      </c>
      <c r="C392" s="142"/>
      <c r="D392" s="122"/>
      <c r="E392" s="122"/>
      <c r="F392" s="122"/>
      <c r="G392" s="122"/>
      <c r="H392" s="122"/>
    </row>
    <row r="393" spans="1:10">
      <c r="A393" s="122"/>
      <c r="B393" s="122" t="s">
        <v>431</v>
      </c>
      <c r="C393" s="142"/>
      <c r="D393" s="122"/>
      <c r="E393" s="122"/>
      <c r="F393" s="122"/>
      <c r="G393" s="122"/>
      <c r="H393" s="122"/>
    </row>
    <row r="394" spans="1:10">
      <c r="A394" s="122"/>
      <c r="B394" s="122" t="s">
        <v>432</v>
      </c>
      <c r="C394" s="142"/>
      <c r="D394" s="123"/>
      <c r="E394" s="123"/>
      <c r="F394" s="122"/>
      <c r="G394" s="122"/>
      <c r="H394" s="122"/>
    </row>
    <row r="395" spans="1:10">
      <c r="A395" s="122"/>
      <c r="B395" s="122"/>
      <c r="C395" s="142"/>
      <c r="D395" s="122"/>
      <c r="E395" s="122"/>
      <c r="F395" s="122"/>
      <c r="G395" s="123">
        <f>C389/2</f>
        <v>-76973.38</v>
      </c>
      <c r="H395" s="122"/>
    </row>
    <row r="396" spans="1:10">
      <c r="A396" s="122"/>
      <c r="B396" s="122" t="s">
        <v>55</v>
      </c>
      <c r="C396" s="153">
        <f>C378+累计利润调整表!B28/0.75</f>
        <v>1.3333335518836975E-2</v>
      </c>
      <c r="D396" s="119"/>
      <c r="E396" s="123"/>
      <c r="F396" s="122"/>
      <c r="G396" s="122"/>
      <c r="H396" s="122"/>
    </row>
    <row r="397" spans="1:10">
      <c r="C397" s="131"/>
    </row>
    <row r="398" spans="1:10">
      <c r="C398" s="147"/>
    </row>
  </sheetData>
  <mergeCells count="1">
    <mergeCell ref="A48:I48"/>
  </mergeCells>
  <phoneticPr fontId="36" type="noConversion"/>
  <dataValidations count="13">
    <dataValidation type="list" allowBlank="1" showInputMessage="1" showErrorMessage="1" sqref="D348:D350 D55">
      <formula1>$K$1:$K$31</formula1>
    </dataValidation>
    <dataValidation type="list" allowBlank="1" showInputMessage="1" showErrorMessage="1" sqref="D68 D81 D83 D329 F82:F85 D385:D386 D60:D62 D73:D74 D380">
      <formula1>$K$1:$K$30</formula1>
    </dataValidation>
    <dataValidation type="list" allowBlank="1" showInputMessage="1" showErrorMessage="1" sqref="F77 D286:D287 D123:D128 F386 D311:D313 D331:D332 D345:D347 F301:F307 F311:F313 F331:F332 F345:F347 F286:F290 F121:F128 F380 D289:D290">
      <formula1>$K$1:$K$24</formula1>
    </dataValidation>
    <dataValidation type="list" allowBlank="1" showInputMessage="1" showErrorMessage="1" sqref="D82 D84 D100 F100 D56:D59 D69:D72 D75:D80 F291:F300 D314:D326 D357:D379 D387:D388 F129:F284 F78:F81 F362:F379 F308:F310 F314:F326 F381:F385 F387:F388 F335:F338 F97:F98 F86:F94 F70:F76 D86:D98 F345 D129:D284 F391:F1048576 D381:D384 D63:D67 D288 D51:D54 F1:F67 D291:D310">
      <formula1>$K$1:$K$29</formula1>
    </dataValidation>
    <dataValidation type="list" allowBlank="1" showInputMessage="1" showErrorMessage="1" sqref="D85 F101 D112 D118 D330 F390 D327:D328 D333:D334 D354:D356 D389:D390 F110:F112 F327:F330 F333:F334 F348:F350 F354:F356 D338">
      <formula1>$K$1:$K$21</formula1>
    </dataValidation>
    <dataValidation type="list" allowBlank="1" showInputMessage="1" showErrorMessage="1" sqref="D99 F99 D102 F102 D113 F113 D106:D111 D351:D353 F68:F69 F95:F96 F106:F109 F351:F353">
      <formula1>$K$1:$K$25</formula1>
    </dataValidation>
    <dataValidation type="list" allowBlank="1" showInputMessage="1" showErrorMessage="1" sqref="D101 D103:D105 D114:D117 D119:D122 F339:F344 F103:F105 D339:D344 D335:D337 F114:F120">
      <formula1>$K$1:$K$26</formula1>
    </dataValidation>
    <dataValidation type="list" allowBlank="1" showInputMessage="1" showErrorMessage="1" sqref="F389 F357:F361">
      <formula1>$K$1:$K$35</formula1>
    </dataValidation>
    <dataValidation type="list" allowBlank="1" showInputMessage="1" showErrorMessage="1" sqref="E363:E374">
      <formula1>部门名称</formula1>
    </dataValidation>
    <dataValidation type="list" allowBlank="1" showInputMessage="1" showErrorMessage="1" sqref="G208:G284 G286:G356">
      <formula1>$M$1:$M$44</formula1>
    </dataValidation>
    <dataValidation type="list" allowBlank="1" showInputMessage="1" showErrorMessage="1" sqref="B379:B390 G379:G390 B208:B284 B130:B206 B287:B288 B291:B361">
      <formula1>$I$1:$I$19</formula1>
    </dataValidation>
    <dataValidation type="list" allowBlank="1" showInputMessage="1" showErrorMessage="1" sqref="B52:B128">
      <formula1>$I$1:$I$25</formula1>
    </dataValidation>
    <dataValidation type="list" allowBlank="1" showInputMessage="1" showErrorMessage="1" sqref="B286 B289:B290">
      <formula1>$I$1:$I$17</formula1>
    </dataValidation>
  </dataValidations>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5"/>
  <sheetViews>
    <sheetView topLeftCell="A13" workbookViewId="0">
      <selection sqref="A1:XFD1048576"/>
    </sheetView>
  </sheetViews>
  <sheetFormatPr defaultColWidth="14" defaultRowHeight="13.5"/>
  <cols>
    <col min="1" max="1" width="14" style="70"/>
    <col min="2" max="2" width="20.875" style="70" customWidth="1"/>
    <col min="3" max="3" width="11.125" style="70" customWidth="1"/>
    <col min="4" max="4" width="16.125" style="70" bestFit="1" customWidth="1"/>
    <col min="5" max="5" width="14" style="70"/>
    <col min="6" max="6" width="15.875" style="70" customWidth="1"/>
    <col min="7" max="7" width="11.75" style="70" customWidth="1"/>
    <col min="8" max="8" width="14" style="70"/>
    <col min="9" max="9" width="10.125" style="70" customWidth="1"/>
    <col min="10" max="10" width="8.625" style="70" customWidth="1"/>
    <col min="11" max="11" width="10.875" style="70" customWidth="1"/>
    <col min="12" max="12" width="8.5" style="70" customWidth="1"/>
    <col min="13" max="13" width="8.625" style="70" customWidth="1"/>
    <col min="14" max="14" width="10.625" style="70" customWidth="1"/>
    <col min="15" max="15" width="13.625" style="70" customWidth="1"/>
    <col min="16" max="16" width="10.75" style="70" customWidth="1"/>
    <col min="17" max="17" width="10.25" style="70" customWidth="1"/>
    <col min="18" max="18" width="10.875" style="70" customWidth="1"/>
    <col min="19" max="19" width="14" style="70"/>
    <col min="20" max="20" width="0" style="70" hidden="1" customWidth="1"/>
    <col min="21" max="21" width="22.625" style="70" bestFit="1" customWidth="1"/>
  </cols>
  <sheetData>
    <row r="2" spans="1:6">
      <c r="A2" s="428" t="s">
        <v>566</v>
      </c>
      <c r="B2" s="428" t="s">
        <v>567</v>
      </c>
      <c r="C2" s="428" t="s">
        <v>720</v>
      </c>
      <c r="D2" s="428" t="s">
        <v>711</v>
      </c>
      <c r="E2" s="428" t="s">
        <v>719</v>
      </c>
      <c r="F2" s="428" t="s">
        <v>722</v>
      </c>
    </row>
    <row r="3" spans="1:6">
      <c r="A3" s="429" t="s">
        <v>573</v>
      </c>
      <c r="B3" s="429">
        <f>[4]日均明细表!NE3</f>
        <v>561228192.46999979</v>
      </c>
      <c r="C3" s="431"/>
      <c r="D3" s="429">
        <f>B3*B22</f>
        <v>84184.228870499966</v>
      </c>
      <c r="E3" s="431"/>
      <c r="F3" s="429">
        <f>D3</f>
        <v>84184.228870499966</v>
      </c>
    </row>
    <row r="4" spans="1:6">
      <c r="A4" s="429" t="s">
        <v>574</v>
      </c>
      <c r="B4" s="429">
        <f>[4]日均明细表!NE4</f>
        <v>697984698.16870916</v>
      </c>
      <c r="C4" s="431"/>
      <c r="D4" s="429">
        <f>B4*B22</f>
        <v>104697.70472530636</v>
      </c>
      <c r="E4" s="431"/>
      <c r="F4" s="429">
        <f t="shared" ref="F4" si="0">D4</f>
        <v>104697.70472530636</v>
      </c>
    </row>
    <row r="5" spans="1:6">
      <c r="A5" s="429" t="s">
        <v>575</v>
      </c>
      <c r="B5" s="429">
        <f>[4]日均明细表!NE10</f>
        <v>186356332.06999996</v>
      </c>
      <c r="C5" s="431"/>
      <c r="D5" s="431"/>
      <c r="E5" s="431"/>
      <c r="F5" s="429">
        <f>U45</f>
        <v>25.8</v>
      </c>
    </row>
    <row r="6" spans="1:6">
      <c r="A6" s="429" t="s">
        <v>576</v>
      </c>
      <c r="B6" s="429">
        <f>[4]日均明细表!NE13</f>
        <v>90965951.269999996</v>
      </c>
      <c r="C6" s="431"/>
      <c r="D6" s="431"/>
      <c r="E6" s="431"/>
      <c r="F6" s="429">
        <f>U50</f>
        <v>10.754999999999999</v>
      </c>
    </row>
    <row r="7" spans="1:6">
      <c r="A7" s="431" t="s">
        <v>568</v>
      </c>
      <c r="B7" s="431">
        <f>SUM(B3:B6)</f>
        <v>1536535173.978709</v>
      </c>
      <c r="C7" s="431"/>
      <c r="D7" s="431"/>
      <c r="E7" s="431"/>
      <c r="F7" s="431">
        <f>SUM(F3:F6)</f>
        <v>188918.48859580632</v>
      </c>
    </row>
    <row r="8" spans="1:6">
      <c r="A8" s="429" t="s">
        <v>577</v>
      </c>
      <c r="B8" s="429">
        <f>[4]日均明细表!NE15</f>
        <v>1281925093.6399996</v>
      </c>
      <c r="C8" s="432"/>
      <c r="D8" s="429">
        <f>B8*B21</f>
        <v>2051080.1498239995</v>
      </c>
      <c r="E8" s="429">
        <f>C8*$C$21</f>
        <v>0</v>
      </c>
      <c r="F8" s="429">
        <f>D8+E8</f>
        <v>2051080.1498239995</v>
      </c>
    </row>
    <row r="9" spans="1:6">
      <c r="A9" s="429" t="s">
        <v>578</v>
      </c>
      <c r="B9" s="429">
        <f>[4]日均明细表!NE24</f>
        <v>74063391.5</v>
      </c>
      <c r="C9" s="429">
        <f>G60</f>
        <v>64185</v>
      </c>
      <c r="D9" s="431"/>
      <c r="E9" s="431"/>
      <c r="F9" s="429">
        <f>U60</f>
        <v>14.955750000000002</v>
      </c>
    </row>
    <row r="10" spans="1:6">
      <c r="A10" s="429" t="s">
        <v>579</v>
      </c>
      <c r="B10" s="429">
        <f>[4]日均明细表!NE30</f>
        <v>432633555.30999994</v>
      </c>
      <c r="C10" s="429">
        <f>G38</f>
        <v>591579</v>
      </c>
      <c r="D10" s="431"/>
      <c r="E10" s="431"/>
      <c r="F10" s="429">
        <f>U38</f>
        <v>582.38629999999989</v>
      </c>
    </row>
    <row r="11" spans="1:6">
      <c r="A11" s="431" t="s">
        <v>569</v>
      </c>
      <c r="B11" s="431">
        <f>SUM(B8:B10)</f>
        <v>1788622040.4499996</v>
      </c>
      <c r="C11" s="431"/>
      <c r="D11" s="431"/>
      <c r="E11" s="431"/>
      <c r="F11" s="431">
        <f>SUM(F8:F10)</f>
        <v>2051677.4918739994</v>
      </c>
    </row>
    <row r="12" spans="1:6">
      <c r="A12" s="429" t="s">
        <v>580</v>
      </c>
      <c r="B12" s="429">
        <f>[4]日均明细表!NE32</f>
        <v>380122716.21129024</v>
      </c>
      <c r="C12" s="432"/>
      <c r="D12" s="429">
        <f>B12*B21</f>
        <v>608196.34593806439</v>
      </c>
      <c r="E12" s="429">
        <f>C12*C21</f>
        <v>0</v>
      </c>
      <c r="F12" s="429">
        <f>D12+E12</f>
        <v>608196.34593806439</v>
      </c>
    </row>
    <row r="13" spans="1:6">
      <c r="A13" s="429" t="s">
        <v>581</v>
      </c>
      <c r="B13" s="429">
        <f>[4]日均明细表!NE33</f>
        <v>191250696.12096775</v>
      </c>
      <c r="C13" s="432"/>
      <c r="D13" s="429">
        <f>B13*B21</f>
        <v>306001.11379354843</v>
      </c>
      <c r="E13" s="429">
        <f>C13*C21</f>
        <v>0</v>
      </c>
      <c r="F13" s="429">
        <f>D13+E13</f>
        <v>306001.11379354843</v>
      </c>
    </row>
    <row r="14" spans="1:6">
      <c r="A14" s="431" t="s">
        <v>570</v>
      </c>
      <c r="B14" s="431">
        <f>SUM(B12:B13)</f>
        <v>571373412.33225799</v>
      </c>
      <c r="C14" s="431"/>
      <c r="D14" s="431"/>
      <c r="E14" s="431"/>
      <c r="F14" s="431">
        <f>SUM(F12:F13)</f>
        <v>914197.45973161282</v>
      </c>
    </row>
    <row r="15" spans="1:6">
      <c r="A15" s="430" t="s">
        <v>560</v>
      </c>
      <c r="B15" s="430">
        <f>[4]日均明细表!NE36</f>
        <v>1091435.5300000005</v>
      </c>
      <c r="C15" s="430"/>
      <c r="D15" s="433"/>
      <c r="E15" s="433"/>
      <c r="F15" s="433"/>
    </row>
    <row r="16" spans="1:6">
      <c r="A16" s="430" t="s">
        <v>582</v>
      </c>
      <c r="B16" s="430">
        <f>[4]日均明细表!NE37</f>
        <v>6685192258.0645161</v>
      </c>
      <c r="C16" s="430"/>
      <c r="D16" s="433"/>
      <c r="E16" s="433"/>
      <c r="F16" s="433"/>
    </row>
    <row r="17" spans="1:22">
      <c r="A17" s="434" t="s">
        <v>552</v>
      </c>
      <c r="B17" s="434">
        <f>B7+B11+B14+B15+B16</f>
        <v>10582814320.355482</v>
      </c>
      <c r="C17" s="434"/>
      <c r="D17" s="434"/>
      <c r="E17" s="434"/>
      <c r="F17" s="434"/>
    </row>
    <row r="19" spans="1:22">
      <c r="A19" s="416" t="s">
        <v>592</v>
      </c>
      <c r="B19" s="417" t="s">
        <v>598</v>
      </c>
      <c r="C19" s="418">
        <v>1</v>
      </c>
    </row>
    <row r="20" spans="1:22">
      <c r="A20" s="315"/>
      <c r="B20" s="315" t="s">
        <v>596</v>
      </c>
      <c r="C20" s="315" t="s">
        <v>597</v>
      </c>
    </row>
    <row r="21" spans="1:22">
      <c r="A21" s="315" t="s">
        <v>593</v>
      </c>
      <c r="B21" s="316">
        <v>1.6000000000000001E-3</v>
      </c>
      <c r="C21" s="316">
        <v>2.9999999999999997E-4</v>
      </c>
    </row>
    <row r="22" spans="1:22">
      <c r="A22" s="317" t="s">
        <v>594</v>
      </c>
      <c r="B22" s="316">
        <v>1.4999999999999999E-4</v>
      </c>
      <c r="C22" s="316">
        <v>0</v>
      </c>
    </row>
    <row r="23" spans="1:22">
      <c r="A23" s="317" t="s">
        <v>595</v>
      </c>
      <c r="B23" s="316">
        <v>1.6000000000000001E-4</v>
      </c>
      <c r="C23" s="316">
        <v>1.4999999999999999E-4</v>
      </c>
    </row>
    <row r="26" spans="1:22" ht="16.5">
      <c r="A26" s="456" t="s">
        <v>712</v>
      </c>
      <c r="B26" s="456" t="s">
        <v>600</v>
      </c>
      <c r="C26" s="321"/>
      <c r="D26" s="457" t="s">
        <v>601</v>
      </c>
      <c r="E26" s="458"/>
      <c r="F26" s="459"/>
      <c r="G26" s="458" t="s">
        <v>602</v>
      </c>
      <c r="H26" s="458"/>
      <c r="I26" s="459"/>
      <c r="J26" s="451" t="s">
        <v>603</v>
      </c>
      <c r="K26" s="451" t="s">
        <v>604</v>
      </c>
      <c r="L26" s="451" t="s">
        <v>605</v>
      </c>
      <c r="M26" s="451" t="s">
        <v>603</v>
      </c>
      <c r="N26" s="453" t="s">
        <v>606</v>
      </c>
      <c r="O26" s="454"/>
      <c r="P26" s="454"/>
      <c r="Q26" s="454"/>
      <c r="R26" s="454"/>
      <c r="S26" s="454"/>
      <c r="T26" s="455"/>
      <c r="U26" s="449" t="s">
        <v>723</v>
      </c>
      <c r="V26" s="449" t="s">
        <v>721</v>
      </c>
    </row>
    <row r="27" spans="1:22" ht="30">
      <c r="A27" s="456"/>
      <c r="B27" s="456"/>
      <c r="C27" s="322" t="s">
        <v>607</v>
      </c>
      <c r="D27" s="322" t="s">
        <v>608</v>
      </c>
      <c r="E27" s="322" t="s">
        <v>609</v>
      </c>
      <c r="F27" s="322" t="s">
        <v>604</v>
      </c>
      <c r="G27" s="323" t="s">
        <v>610</v>
      </c>
      <c r="H27" s="323" t="s">
        <v>611</v>
      </c>
      <c r="I27" s="322" t="s">
        <v>605</v>
      </c>
      <c r="J27" s="452"/>
      <c r="K27" s="452"/>
      <c r="L27" s="452"/>
      <c r="M27" s="452"/>
      <c r="N27" s="322" t="s">
        <v>612</v>
      </c>
      <c r="O27" s="322" t="s">
        <v>613</v>
      </c>
      <c r="P27" s="322" t="s">
        <v>614</v>
      </c>
      <c r="Q27" s="322" t="s">
        <v>615</v>
      </c>
      <c r="R27" s="322" t="s">
        <v>616</v>
      </c>
      <c r="S27" s="322" t="s">
        <v>617</v>
      </c>
      <c r="T27" s="322" t="s">
        <v>618</v>
      </c>
      <c r="U27" s="450"/>
      <c r="V27" s="450"/>
    </row>
    <row r="28" spans="1:22" ht="16.5">
      <c r="A28" s="419" t="s">
        <v>619</v>
      </c>
      <c r="B28" s="419" t="s">
        <v>620</v>
      </c>
      <c r="C28" s="325">
        <v>0</v>
      </c>
      <c r="D28" s="326">
        <v>30100</v>
      </c>
      <c r="E28" s="327">
        <v>2E-3</v>
      </c>
      <c r="F28" s="425">
        <f>D28*E28</f>
        <v>60.2</v>
      </c>
      <c r="G28" s="329">
        <v>0</v>
      </c>
      <c r="H28" s="330">
        <v>1.8E-3</v>
      </c>
      <c r="I28" s="424">
        <f>G28*H28</f>
        <v>0</v>
      </c>
      <c r="J28" s="421">
        <f t="shared" ref="J28:J33" si="1">F28+I28</f>
        <v>60.2</v>
      </c>
      <c r="K28" s="421">
        <f>D28*$B$21</f>
        <v>48.160000000000004</v>
      </c>
      <c r="L28" s="421">
        <f>G28*$C$21</f>
        <v>0</v>
      </c>
      <c r="M28" s="422">
        <f>K28+L28</f>
        <v>48.160000000000004</v>
      </c>
      <c r="N28" s="334"/>
      <c r="O28" s="335"/>
      <c r="P28" s="334"/>
      <c r="Q28" s="334"/>
      <c r="R28" s="336"/>
      <c r="S28" s="337">
        <f>O28/D28</f>
        <v>0</v>
      </c>
      <c r="T28" s="338">
        <f>O28*P28+O28*Q28*R28</f>
        <v>0</v>
      </c>
      <c r="U28" s="393">
        <f>IF(S28*M28-T28&gt;0,(1-S28)*M28+(S28*M28-T28),(1-S28)*M28)</f>
        <v>48.160000000000004</v>
      </c>
      <c r="V28" s="393">
        <f>D28*$B$21*$C$19/12</f>
        <v>4.0133333333333336</v>
      </c>
    </row>
    <row r="29" spans="1:22" ht="16.5">
      <c r="A29" s="419" t="s">
        <v>621</v>
      </c>
      <c r="B29" s="419" t="s">
        <v>620</v>
      </c>
      <c r="C29" s="325">
        <v>0</v>
      </c>
      <c r="D29" s="326">
        <v>46700</v>
      </c>
      <c r="E29" s="327">
        <v>1.4999999999999999E-2</v>
      </c>
      <c r="F29" s="425">
        <f t="shared" ref="F29:F59" si="2">D29*E29</f>
        <v>700.5</v>
      </c>
      <c r="G29" s="329">
        <v>79633</v>
      </c>
      <c r="H29" s="330">
        <v>1.8E-3</v>
      </c>
      <c r="I29" s="424">
        <f t="shared" ref="I29:I36" si="3">G29*H29</f>
        <v>143.33939999999998</v>
      </c>
      <c r="J29" s="421">
        <f t="shared" si="1"/>
        <v>843.83939999999996</v>
      </c>
      <c r="K29" s="421">
        <f t="shared" ref="K29:K37" si="4">D29*$B$21</f>
        <v>74.72</v>
      </c>
      <c r="L29" s="421">
        <f t="shared" ref="L29:L37" si="5">G29*$C$21</f>
        <v>23.889899999999997</v>
      </c>
      <c r="M29" s="422">
        <f t="shared" ref="M29:M59" si="6">K29+L29</f>
        <v>98.609899999999996</v>
      </c>
      <c r="N29" s="334"/>
      <c r="O29" s="335"/>
      <c r="P29" s="334"/>
      <c r="Q29" s="334"/>
      <c r="R29" s="336"/>
      <c r="S29" s="337">
        <f t="shared" ref="S29:S33" si="7">O29/D29</f>
        <v>0</v>
      </c>
      <c r="T29" s="338">
        <f t="shared" ref="T29:T59" si="8">O29*P29+O29*Q29*R29</f>
        <v>0</v>
      </c>
      <c r="U29" s="393">
        <f>IF(S29*M29-T29&gt;0,(1-S29)*M29+(S29*M29-T29),(1-S29)*M29)</f>
        <v>98.609899999999996</v>
      </c>
      <c r="V29" s="393">
        <f t="shared" ref="V29:V37" si="9">D29*$B$21*$C$19/12</f>
        <v>6.2266666666666666</v>
      </c>
    </row>
    <row r="30" spans="1:22" ht="16.5">
      <c r="A30" s="419" t="s">
        <v>622</v>
      </c>
      <c r="B30" s="419" t="s">
        <v>620</v>
      </c>
      <c r="C30" s="325">
        <v>0</v>
      </c>
      <c r="D30" s="326">
        <v>400</v>
      </c>
      <c r="E30" s="327">
        <v>5.0000000000000001E-3</v>
      </c>
      <c r="F30" s="425">
        <f t="shared" si="2"/>
        <v>2</v>
      </c>
      <c r="G30" s="329">
        <v>0</v>
      </c>
      <c r="H30" s="330">
        <v>1.8E-3</v>
      </c>
      <c r="I30" s="424">
        <f t="shared" si="3"/>
        <v>0</v>
      </c>
      <c r="J30" s="421">
        <f t="shared" si="1"/>
        <v>2</v>
      </c>
      <c r="K30" s="421">
        <f>D30*$B$21</f>
        <v>0.64</v>
      </c>
      <c r="L30" s="421">
        <f t="shared" si="5"/>
        <v>0</v>
      </c>
      <c r="M30" s="422">
        <f t="shared" si="6"/>
        <v>0.64</v>
      </c>
      <c r="N30" s="334"/>
      <c r="O30" s="335"/>
      <c r="P30" s="334"/>
      <c r="Q30" s="334"/>
      <c r="R30" s="336"/>
      <c r="S30" s="337">
        <f t="shared" si="7"/>
        <v>0</v>
      </c>
      <c r="T30" s="338">
        <f>O30*P30+O30*Q30*R30</f>
        <v>0</v>
      </c>
      <c r="U30" s="393">
        <f>IF(S30*M30-T30&gt;0,(1-S30)*M30+(S30*M30-T30),(1-S30)*M30)</f>
        <v>0.64</v>
      </c>
      <c r="V30" s="393">
        <f t="shared" si="9"/>
        <v>5.3333333333333337E-2</v>
      </c>
    </row>
    <row r="31" spans="1:22" ht="16.5">
      <c r="A31" s="419" t="s">
        <v>623</v>
      </c>
      <c r="B31" s="419" t="s">
        <v>620</v>
      </c>
      <c r="C31" s="325">
        <v>0</v>
      </c>
      <c r="D31" s="326">
        <v>23900</v>
      </c>
      <c r="E31" s="327">
        <v>5.0000000000000001E-3</v>
      </c>
      <c r="F31" s="425">
        <f t="shared" si="2"/>
        <v>119.5</v>
      </c>
      <c r="G31" s="329">
        <v>94838</v>
      </c>
      <c r="H31" s="330">
        <v>1.8E-3</v>
      </c>
      <c r="I31" s="424">
        <f t="shared" si="3"/>
        <v>170.70839999999998</v>
      </c>
      <c r="J31" s="421">
        <f t="shared" si="1"/>
        <v>290.20839999999998</v>
      </c>
      <c r="K31" s="421">
        <f t="shared" si="4"/>
        <v>38.24</v>
      </c>
      <c r="L31" s="421">
        <f t="shared" si="5"/>
        <v>28.451399999999996</v>
      </c>
      <c r="M31" s="422">
        <f t="shared" si="6"/>
        <v>66.691400000000002</v>
      </c>
      <c r="N31" s="334"/>
      <c r="O31" s="335"/>
      <c r="P31" s="334"/>
      <c r="Q31" s="334"/>
      <c r="R31" s="336"/>
      <c r="S31" s="337">
        <f t="shared" si="7"/>
        <v>0</v>
      </c>
      <c r="T31" s="338">
        <f t="shared" si="8"/>
        <v>0</v>
      </c>
      <c r="U31" s="393">
        <f t="shared" ref="U31:U59" si="10">IF(S31*M31-T31&gt;0,(1-S31)*M31+(S31*M31-T31),(1-S31)*M31)</f>
        <v>66.691400000000002</v>
      </c>
      <c r="V31" s="393">
        <f t="shared" si="9"/>
        <v>3.186666666666667</v>
      </c>
    </row>
    <row r="32" spans="1:22" ht="16.5">
      <c r="A32" s="419" t="s">
        <v>624</v>
      </c>
      <c r="B32" s="419" t="s">
        <v>620</v>
      </c>
      <c r="C32" s="325">
        <v>9</v>
      </c>
      <c r="D32" s="326">
        <v>1400</v>
      </c>
      <c r="E32" s="327">
        <v>5.0000000000000001E-3</v>
      </c>
      <c r="F32" s="425">
        <f t="shared" si="2"/>
        <v>7</v>
      </c>
      <c r="G32" s="339">
        <v>434</v>
      </c>
      <c r="H32" s="330">
        <v>1.8E-3</v>
      </c>
      <c r="I32" s="424">
        <f t="shared" si="3"/>
        <v>0.78120000000000001</v>
      </c>
      <c r="J32" s="421">
        <f t="shared" si="1"/>
        <v>7.7812000000000001</v>
      </c>
      <c r="K32" s="421">
        <f t="shared" si="4"/>
        <v>2.2400000000000002</v>
      </c>
      <c r="L32" s="421">
        <f t="shared" si="5"/>
        <v>0.13019999999999998</v>
      </c>
      <c r="M32" s="422">
        <f t="shared" si="6"/>
        <v>2.3702000000000001</v>
      </c>
      <c r="N32" s="334"/>
      <c r="O32" s="335"/>
      <c r="P32" s="334"/>
      <c r="Q32" s="340"/>
      <c r="R32" s="336"/>
      <c r="S32" s="337">
        <f t="shared" si="7"/>
        <v>0</v>
      </c>
      <c r="T32" s="338">
        <f t="shared" si="8"/>
        <v>0</v>
      </c>
      <c r="U32" s="393">
        <f t="shared" si="10"/>
        <v>2.3702000000000001</v>
      </c>
      <c r="V32" s="393">
        <f t="shared" si="9"/>
        <v>0.18666666666666668</v>
      </c>
    </row>
    <row r="33" spans="1:22" ht="16.5">
      <c r="A33" s="419" t="s">
        <v>625</v>
      </c>
      <c r="B33" s="419" t="s">
        <v>620</v>
      </c>
      <c r="C33" s="325">
        <v>0</v>
      </c>
      <c r="D33" s="326">
        <v>150000</v>
      </c>
      <c r="E33" s="327">
        <v>1.4999999999999999E-2</v>
      </c>
      <c r="F33" s="425">
        <f t="shared" si="2"/>
        <v>2250</v>
      </c>
      <c r="G33" s="341">
        <v>416516</v>
      </c>
      <c r="H33" s="330">
        <v>1.8E-3</v>
      </c>
      <c r="I33" s="424">
        <f t="shared" si="3"/>
        <v>749.72879999999998</v>
      </c>
      <c r="J33" s="421">
        <f t="shared" si="1"/>
        <v>2999.7287999999999</v>
      </c>
      <c r="K33" s="421">
        <f t="shared" si="4"/>
        <v>240</v>
      </c>
      <c r="L33" s="421">
        <f t="shared" si="5"/>
        <v>124.95479999999999</v>
      </c>
      <c r="M33" s="422">
        <f t="shared" si="6"/>
        <v>364.95479999999998</v>
      </c>
      <c r="N33" s="334"/>
      <c r="O33" s="335"/>
      <c r="P33" s="334"/>
      <c r="Q33" s="334"/>
      <c r="R33" s="336"/>
      <c r="S33" s="337">
        <f t="shared" si="7"/>
        <v>0</v>
      </c>
      <c r="T33" s="338">
        <f t="shared" si="8"/>
        <v>0</v>
      </c>
      <c r="U33" s="393">
        <f t="shared" si="10"/>
        <v>364.95479999999998</v>
      </c>
      <c r="V33" s="393">
        <f t="shared" si="9"/>
        <v>20</v>
      </c>
    </row>
    <row r="34" spans="1:22" ht="16.5">
      <c r="A34" s="419" t="s">
        <v>626</v>
      </c>
      <c r="B34" s="419" t="s">
        <v>620</v>
      </c>
      <c r="C34" s="325">
        <v>4</v>
      </c>
      <c r="D34" s="326">
        <v>6900</v>
      </c>
      <c r="E34" s="327"/>
      <c r="F34" s="425"/>
      <c r="G34" s="342">
        <v>125</v>
      </c>
      <c r="H34" s="330">
        <v>8.0000000000000004E-4</v>
      </c>
      <c r="I34" s="424">
        <f t="shared" si="3"/>
        <v>0.1</v>
      </c>
      <c r="J34" s="421"/>
      <c r="K34" s="421"/>
      <c r="L34" s="421"/>
      <c r="M34" s="422"/>
      <c r="N34" s="334"/>
      <c r="O34" s="335"/>
      <c r="P34" s="334"/>
      <c r="Q34" s="334"/>
      <c r="R34" s="336"/>
      <c r="S34" s="337"/>
      <c r="T34" s="338"/>
      <c r="U34" s="393"/>
      <c r="V34" s="393">
        <f t="shared" si="9"/>
        <v>0.92</v>
      </c>
    </row>
    <row r="35" spans="1:22" ht="16.5">
      <c r="A35" s="419" t="s">
        <v>627</v>
      </c>
      <c r="B35" s="419" t="s">
        <v>620</v>
      </c>
      <c r="C35" s="325">
        <v>5</v>
      </c>
      <c r="D35" s="326">
        <v>1800</v>
      </c>
      <c r="E35" s="327"/>
      <c r="F35" s="425"/>
      <c r="G35" s="342">
        <v>33</v>
      </c>
      <c r="H35" s="330">
        <v>8.0000000000000004E-4</v>
      </c>
      <c r="I35" s="424">
        <f t="shared" si="3"/>
        <v>2.64E-2</v>
      </c>
      <c r="J35" s="421"/>
      <c r="K35" s="421"/>
      <c r="L35" s="421"/>
      <c r="M35" s="422"/>
      <c r="N35" s="334"/>
      <c r="O35" s="335"/>
      <c r="P35" s="334"/>
      <c r="Q35" s="334"/>
      <c r="R35" s="336"/>
      <c r="S35" s="337"/>
      <c r="T35" s="338"/>
      <c r="U35" s="393"/>
      <c r="V35" s="393">
        <f t="shared" si="9"/>
        <v>0.24000000000000002</v>
      </c>
    </row>
    <row r="36" spans="1:22" ht="16.5">
      <c r="A36" s="419" t="s">
        <v>628</v>
      </c>
      <c r="B36" s="419" t="s">
        <v>620</v>
      </c>
      <c r="C36" s="325">
        <v>0</v>
      </c>
      <c r="D36" s="326">
        <v>500</v>
      </c>
      <c r="E36" s="327"/>
      <c r="F36" s="425"/>
      <c r="G36" s="329"/>
      <c r="H36" s="330">
        <v>1.8E-3</v>
      </c>
      <c r="I36" s="424">
        <f t="shared" si="3"/>
        <v>0</v>
      </c>
      <c r="J36" s="421">
        <f>F36+I36</f>
        <v>0</v>
      </c>
      <c r="K36" s="421">
        <f t="shared" si="4"/>
        <v>0.8</v>
      </c>
      <c r="L36" s="421">
        <f t="shared" si="5"/>
        <v>0</v>
      </c>
      <c r="M36" s="422">
        <f t="shared" si="6"/>
        <v>0.8</v>
      </c>
      <c r="N36" s="334"/>
      <c r="O36" s="335"/>
      <c r="P36" s="334"/>
      <c r="Q36" s="334"/>
      <c r="R36" s="336"/>
      <c r="S36" s="337">
        <f>O36/D36</f>
        <v>0</v>
      </c>
      <c r="T36" s="338">
        <f t="shared" si="8"/>
        <v>0</v>
      </c>
      <c r="U36" s="393">
        <f t="shared" si="10"/>
        <v>0.8</v>
      </c>
      <c r="V36" s="393">
        <f t="shared" si="9"/>
        <v>6.6666666666666666E-2</v>
      </c>
    </row>
    <row r="37" spans="1:22" ht="16.5">
      <c r="A37" s="419" t="s">
        <v>629</v>
      </c>
      <c r="B37" s="419" t="s">
        <v>620</v>
      </c>
      <c r="C37" s="325">
        <v>0</v>
      </c>
      <c r="D37" s="326">
        <v>100</v>
      </c>
      <c r="E37" s="327"/>
      <c r="F37" s="425"/>
      <c r="G37" s="329"/>
      <c r="H37" s="330">
        <v>1.8E-3</v>
      </c>
      <c r="I37" s="424">
        <f>G37*H37</f>
        <v>0</v>
      </c>
      <c r="J37" s="421">
        <f>F37+I37</f>
        <v>0</v>
      </c>
      <c r="K37" s="421">
        <f t="shared" si="4"/>
        <v>0.16</v>
      </c>
      <c r="L37" s="421">
        <f t="shared" si="5"/>
        <v>0</v>
      </c>
      <c r="M37" s="422">
        <f t="shared" si="6"/>
        <v>0.16</v>
      </c>
      <c r="N37" s="334"/>
      <c r="O37" s="335"/>
      <c r="P37" s="334"/>
      <c r="Q37" s="334"/>
      <c r="R37" s="336"/>
      <c r="S37" s="337">
        <f>O37/D37</f>
        <v>0</v>
      </c>
      <c r="T37" s="338">
        <f t="shared" si="8"/>
        <v>0</v>
      </c>
      <c r="U37" s="393">
        <f t="shared" si="10"/>
        <v>0.16</v>
      </c>
      <c r="V37" s="393">
        <f t="shared" si="9"/>
        <v>1.3333333333333334E-2</v>
      </c>
    </row>
    <row r="38" spans="1:22" ht="16.5">
      <c r="A38" s="447" t="s">
        <v>630</v>
      </c>
      <c r="B38" s="448"/>
      <c r="C38" s="344"/>
      <c r="D38" s="344">
        <f>SUM(D28:D37)</f>
        <v>261800</v>
      </c>
      <c r="E38" s="344">
        <f t="shared" ref="E38:T38" si="11">SUM(E28:E37)</f>
        <v>4.7E-2</v>
      </c>
      <c r="F38" s="344">
        <f t="shared" si="11"/>
        <v>3139.2</v>
      </c>
      <c r="G38" s="344">
        <f t="shared" si="11"/>
        <v>591579</v>
      </c>
      <c r="H38" s="344">
        <f t="shared" si="11"/>
        <v>1.6E-2</v>
      </c>
      <c r="I38" s="344">
        <f t="shared" si="11"/>
        <v>1064.6841999999999</v>
      </c>
      <c r="J38" s="344">
        <f t="shared" si="11"/>
        <v>4203.7577999999994</v>
      </c>
      <c r="K38" s="344">
        <f t="shared" si="11"/>
        <v>404.96000000000004</v>
      </c>
      <c r="L38" s="344">
        <f t="shared" si="11"/>
        <v>177.42629999999997</v>
      </c>
      <c r="M38" s="344">
        <f>SUM(M28:M37)</f>
        <v>582.38629999999989</v>
      </c>
      <c r="N38" s="344">
        <f t="shared" si="11"/>
        <v>0</v>
      </c>
      <c r="O38" s="335">
        <f>SUM(O28:O37)</f>
        <v>0</v>
      </c>
      <c r="P38" s="344">
        <f t="shared" si="11"/>
        <v>0</v>
      </c>
      <c r="Q38" s="344">
        <f t="shared" si="11"/>
        <v>0</v>
      </c>
      <c r="R38" s="345">
        <f t="shared" si="11"/>
        <v>0</v>
      </c>
      <c r="S38" s="344">
        <f t="shared" si="11"/>
        <v>0</v>
      </c>
      <c r="T38" s="344">
        <f t="shared" si="11"/>
        <v>0</v>
      </c>
      <c r="U38" s="344">
        <f>SUM(U28:U37)</f>
        <v>582.38629999999989</v>
      </c>
      <c r="V38" s="344">
        <f>SUM(V28:V37)</f>
        <v>34.90666666666668</v>
      </c>
    </row>
    <row r="39" spans="1:22" ht="16.5">
      <c r="A39" s="419" t="s">
        <v>631</v>
      </c>
      <c r="B39" s="419" t="s">
        <v>632</v>
      </c>
      <c r="C39" s="325">
        <v>0</v>
      </c>
      <c r="D39" s="326">
        <v>55900</v>
      </c>
      <c r="E39" s="327">
        <v>5.0000000000000001E-3</v>
      </c>
      <c r="F39" s="425">
        <f t="shared" si="2"/>
        <v>279.5</v>
      </c>
      <c r="G39" s="329">
        <v>0</v>
      </c>
      <c r="H39" s="330">
        <v>2E-3</v>
      </c>
      <c r="I39" s="424">
        <f>G39*H39</f>
        <v>0</v>
      </c>
      <c r="J39" s="421">
        <f t="shared" ref="J39:J44" si="12">F39+I39</f>
        <v>279.5</v>
      </c>
      <c r="K39" s="421">
        <f>D39*$B$22</f>
        <v>8.3849999999999998</v>
      </c>
      <c r="L39" s="421"/>
      <c r="M39" s="422">
        <f>K39+L39</f>
        <v>8.3849999999999998</v>
      </c>
      <c r="N39" s="335"/>
      <c r="O39" s="335"/>
      <c r="P39" s="346"/>
      <c r="Q39" s="334"/>
      <c r="R39" s="336"/>
      <c r="S39" s="337">
        <f t="shared" ref="S39:S44" si="13">O39/D39</f>
        <v>0</v>
      </c>
      <c r="T39" s="338">
        <f>O39*P39+O39*Q39*R39</f>
        <v>0</v>
      </c>
      <c r="U39" s="393">
        <f>IF(S39*M39-T39&gt;0,(1-S39)*M39+(S39*M39-T39),(1-S39)*M39)</f>
        <v>8.3849999999999998</v>
      </c>
      <c r="V39" s="393">
        <f>D39*$B$22*$C$19/12</f>
        <v>0.69874999999999998</v>
      </c>
    </row>
    <row r="40" spans="1:22" ht="16.5">
      <c r="A40" s="419" t="s">
        <v>633</v>
      </c>
      <c r="B40" s="419" t="s">
        <v>632</v>
      </c>
      <c r="C40" s="325">
        <v>3</v>
      </c>
      <c r="D40" s="326">
        <v>46100</v>
      </c>
      <c r="E40" s="327">
        <v>5.0000000000000001E-3</v>
      </c>
      <c r="F40" s="425">
        <f t="shared" si="2"/>
        <v>230.5</v>
      </c>
      <c r="G40" s="329">
        <v>0</v>
      </c>
      <c r="H40" s="330">
        <v>1E-3</v>
      </c>
      <c r="I40" s="424">
        <f t="shared" ref="I40:I59" si="14">G40*H40</f>
        <v>0</v>
      </c>
      <c r="J40" s="421">
        <f t="shared" si="12"/>
        <v>230.5</v>
      </c>
      <c r="K40" s="421">
        <f t="shared" ref="K40:K44" si="15">D40*$B$22</f>
        <v>6.9149999999999991</v>
      </c>
      <c r="L40" s="421"/>
      <c r="M40" s="422">
        <f t="shared" si="6"/>
        <v>6.9149999999999991</v>
      </c>
      <c r="N40" s="334"/>
      <c r="O40" s="335"/>
      <c r="P40" s="334"/>
      <c r="Q40" s="334"/>
      <c r="R40" s="336"/>
      <c r="S40" s="337">
        <f t="shared" si="13"/>
        <v>0</v>
      </c>
      <c r="T40" s="338">
        <f t="shared" si="8"/>
        <v>0</v>
      </c>
      <c r="U40" s="393">
        <f t="shared" si="10"/>
        <v>6.9149999999999991</v>
      </c>
      <c r="V40" s="393">
        <f t="shared" ref="V40:V49" si="16">D40*$B$22*$C$19/12</f>
        <v>0.57624999999999993</v>
      </c>
    </row>
    <row r="41" spans="1:22" ht="16.5">
      <c r="A41" s="419" t="s">
        <v>634</v>
      </c>
      <c r="B41" s="419" t="s">
        <v>632</v>
      </c>
      <c r="C41" s="325">
        <v>9</v>
      </c>
      <c r="D41" s="326">
        <v>4400</v>
      </c>
      <c r="E41" s="327">
        <v>5.0000000000000001E-3</v>
      </c>
      <c r="F41" s="425">
        <f t="shared" si="2"/>
        <v>22</v>
      </c>
      <c r="G41" s="329">
        <v>0</v>
      </c>
      <c r="H41" s="330">
        <v>2E-3</v>
      </c>
      <c r="I41" s="424">
        <f t="shared" si="14"/>
        <v>0</v>
      </c>
      <c r="J41" s="423">
        <f t="shared" si="12"/>
        <v>22</v>
      </c>
      <c r="K41" s="421">
        <f t="shared" si="15"/>
        <v>0.65999999999999992</v>
      </c>
      <c r="L41" s="421"/>
      <c r="M41" s="422">
        <f t="shared" si="6"/>
        <v>0.65999999999999992</v>
      </c>
      <c r="N41" s="334"/>
      <c r="O41" s="335"/>
      <c r="P41" s="346"/>
      <c r="Q41" s="334"/>
      <c r="R41" s="336"/>
      <c r="S41" s="337">
        <f t="shared" si="13"/>
        <v>0</v>
      </c>
      <c r="T41" s="338">
        <f>O41*P41+I41*0.3</f>
        <v>0</v>
      </c>
      <c r="U41" s="393">
        <f t="shared" si="10"/>
        <v>0.65999999999999992</v>
      </c>
      <c r="V41" s="393">
        <f t="shared" si="16"/>
        <v>5.4999999999999993E-2</v>
      </c>
    </row>
    <row r="42" spans="1:22" ht="16.5">
      <c r="A42" s="419" t="s">
        <v>636</v>
      </c>
      <c r="B42" s="419" t="s">
        <v>632</v>
      </c>
      <c r="C42" s="325">
        <v>10</v>
      </c>
      <c r="D42" s="326">
        <v>3000</v>
      </c>
      <c r="E42" s="327">
        <v>5.0000000000000001E-3</v>
      </c>
      <c r="F42" s="425">
        <f t="shared" si="2"/>
        <v>15</v>
      </c>
      <c r="G42" s="329">
        <v>0</v>
      </c>
      <c r="H42" s="330">
        <v>2E-3</v>
      </c>
      <c r="I42" s="424">
        <f t="shared" si="14"/>
        <v>0</v>
      </c>
      <c r="J42" s="421">
        <f t="shared" si="12"/>
        <v>15</v>
      </c>
      <c r="K42" s="421">
        <f t="shared" si="15"/>
        <v>0.44999999999999996</v>
      </c>
      <c r="L42" s="421"/>
      <c r="M42" s="422">
        <f t="shared" si="6"/>
        <v>0.44999999999999996</v>
      </c>
      <c r="N42" s="334"/>
      <c r="O42" s="335"/>
      <c r="P42" s="346"/>
      <c r="Q42" s="334"/>
      <c r="R42" s="336"/>
      <c r="S42" s="337">
        <f t="shared" si="13"/>
        <v>0</v>
      </c>
      <c r="T42" s="338">
        <f t="shared" si="8"/>
        <v>0</v>
      </c>
      <c r="U42" s="393">
        <f>IF(S42*M42-T42&gt;0,(1-S42)*M42+(S42*M42-T42),(1-S42)*M42)</f>
        <v>0.44999999999999996</v>
      </c>
      <c r="V42" s="393">
        <f t="shared" si="16"/>
        <v>3.7499999999999999E-2</v>
      </c>
    </row>
    <row r="43" spans="1:22" ht="16.5">
      <c r="A43" s="419" t="s">
        <v>637</v>
      </c>
      <c r="B43" s="419" t="s">
        <v>632</v>
      </c>
      <c r="C43" s="325">
        <v>8</v>
      </c>
      <c r="D43" s="326">
        <f>25200/2</f>
        <v>12600</v>
      </c>
      <c r="E43" s="327">
        <v>3.0000000000000001E-3</v>
      </c>
      <c r="F43" s="425">
        <f t="shared" si="2"/>
        <v>37.800000000000004</v>
      </c>
      <c r="G43" s="329">
        <v>0</v>
      </c>
      <c r="H43" s="330">
        <v>2.0000000000000001E-4</v>
      </c>
      <c r="I43" s="424">
        <f t="shared" si="14"/>
        <v>0</v>
      </c>
      <c r="J43" s="421">
        <f t="shared" si="12"/>
        <v>37.800000000000004</v>
      </c>
      <c r="K43" s="421">
        <f t="shared" si="15"/>
        <v>1.89</v>
      </c>
      <c r="L43" s="421"/>
      <c r="M43" s="422">
        <f t="shared" si="6"/>
        <v>1.89</v>
      </c>
      <c r="N43" s="334"/>
      <c r="O43" s="335"/>
      <c r="P43" s="334"/>
      <c r="Q43" s="334"/>
      <c r="R43" s="336"/>
      <c r="S43" s="337">
        <f t="shared" si="13"/>
        <v>0</v>
      </c>
      <c r="T43" s="338">
        <f t="shared" si="8"/>
        <v>0</v>
      </c>
      <c r="U43" s="393">
        <f t="shared" si="10"/>
        <v>1.89</v>
      </c>
      <c r="V43" s="393">
        <f t="shared" si="16"/>
        <v>0.1575</v>
      </c>
    </row>
    <row r="44" spans="1:22" ht="16.5">
      <c r="A44" s="419" t="s">
        <v>638</v>
      </c>
      <c r="B44" s="419" t="s">
        <v>632</v>
      </c>
      <c r="C44" s="325">
        <v>0</v>
      </c>
      <c r="D44" s="326">
        <v>50000</v>
      </c>
      <c r="E44" s="327">
        <v>2E-3</v>
      </c>
      <c r="F44" s="425">
        <f t="shared" si="2"/>
        <v>100</v>
      </c>
      <c r="G44" s="329">
        <v>0</v>
      </c>
      <c r="H44" s="330">
        <v>2.0000000000000001E-4</v>
      </c>
      <c r="I44" s="424">
        <f t="shared" si="14"/>
        <v>0</v>
      </c>
      <c r="J44" s="421">
        <f t="shared" si="12"/>
        <v>100</v>
      </c>
      <c r="K44" s="421">
        <f t="shared" si="15"/>
        <v>7.4999999999999991</v>
      </c>
      <c r="L44" s="421"/>
      <c r="M44" s="422">
        <f t="shared" si="6"/>
        <v>7.4999999999999991</v>
      </c>
      <c r="N44" s="335"/>
      <c r="O44" s="335"/>
      <c r="P44" s="340"/>
      <c r="Q44" s="334"/>
      <c r="R44" s="348"/>
      <c r="S44" s="337">
        <f t="shared" si="13"/>
        <v>0</v>
      </c>
      <c r="T44" s="338">
        <f>O44*P44+O44*Q44*R44</f>
        <v>0</v>
      </c>
      <c r="U44" s="393">
        <f t="shared" si="10"/>
        <v>7.4999999999999991</v>
      </c>
      <c r="V44" s="393">
        <f t="shared" si="16"/>
        <v>0.62499999999999989</v>
      </c>
    </row>
    <row r="45" spans="1:22" ht="16.5">
      <c r="A45" s="420" t="s">
        <v>713</v>
      </c>
      <c r="B45" s="420"/>
      <c r="C45" s="344"/>
      <c r="D45" s="344">
        <f t="shared" ref="D45:N45" si="17">SUM(D39:D44)</f>
        <v>172000</v>
      </c>
      <c r="E45" s="344">
        <f t="shared" si="17"/>
        <v>2.5000000000000001E-2</v>
      </c>
      <c r="F45" s="344">
        <f t="shared" si="17"/>
        <v>684.8</v>
      </c>
      <c r="G45" s="344">
        <f t="shared" si="17"/>
        <v>0</v>
      </c>
      <c r="H45" s="344">
        <f t="shared" si="17"/>
        <v>7.3999999999999995E-3</v>
      </c>
      <c r="I45" s="344">
        <f t="shared" si="17"/>
        <v>0</v>
      </c>
      <c r="J45" s="344">
        <f t="shared" si="17"/>
        <v>684.8</v>
      </c>
      <c r="K45" s="344">
        <f t="shared" si="17"/>
        <v>25.8</v>
      </c>
      <c r="L45" s="344">
        <f t="shared" si="17"/>
        <v>0</v>
      </c>
      <c r="M45" s="394">
        <f>SUM(M39:M44)</f>
        <v>25.8</v>
      </c>
      <c r="N45" s="344">
        <f t="shared" si="17"/>
        <v>0</v>
      </c>
      <c r="O45" s="335">
        <f t="shared" ref="O45" si="18">N45*(12-C45)/12</f>
        <v>0</v>
      </c>
      <c r="P45" s="344">
        <f t="shared" ref="P45:U45" si="19">SUM(P39:P44)</f>
        <v>0</v>
      </c>
      <c r="Q45" s="344">
        <f t="shared" si="19"/>
        <v>0</v>
      </c>
      <c r="R45" s="345">
        <f t="shared" si="19"/>
        <v>0</v>
      </c>
      <c r="S45" s="344">
        <f t="shared" si="19"/>
        <v>0</v>
      </c>
      <c r="T45" s="344">
        <f t="shared" si="19"/>
        <v>0</v>
      </c>
      <c r="U45" s="394">
        <f t="shared" si="19"/>
        <v>25.8</v>
      </c>
      <c r="V45" s="394">
        <f>SUM(V39:V44)</f>
        <v>2.15</v>
      </c>
    </row>
    <row r="46" spans="1:22" ht="16.5">
      <c r="A46" s="419" t="s">
        <v>637</v>
      </c>
      <c r="B46" s="419" t="s">
        <v>16</v>
      </c>
      <c r="C46" s="325">
        <v>8</v>
      </c>
      <c r="D46" s="326">
        <f>25200/2</f>
        <v>12600</v>
      </c>
      <c r="E46" s="327">
        <v>3.0000000000000001E-3</v>
      </c>
      <c r="F46" s="425">
        <f t="shared" ref="F46:F49" si="20">D46*E46</f>
        <v>37.800000000000004</v>
      </c>
      <c r="G46" s="329">
        <v>0</v>
      </c>
      <c r="H46" s="330">
        <v>2.0000000000000001E-4</v>
      </c>
      <c r="I46" s="424">
        <f t="shared" ref="I46:I49" si="21">G46*H46</f>
        <v>0</v>
      </c>
      <c r="J46" s="421">
        <f>F46+I46</f>
        <v>37.800000000000004</v>
      </c>
      <c r="K46" s="421">
        <f>D46*$B$22</f>
        <v>1.89</v>
      </c>
      <c r="L46" s="421"/>
      <c r="M46" s="422">
        <f t="shared" ref="M46:M49" si="22">K46+L46</f>
        <v>1.89</v>
      </c>
      <c r="N46" s="334"/>
      <c r="O46" s="335"/>
      <c r="P46" s="334"/>
      <c r="Q46" s="334"/>
      <c r="R46" s="336"/>
      <c r="S46" s="337">
        <f>O46/D46</f>
        <v>0</v>
      </c>
      <c r="T46" s="338">
        <f t="shared" ref="T46:T49" si="23">O46*P46+O46*Q46*R46</f>
        <v>0</v>
      </c>
      <c r="U46" s="393">
        <f t="shared" ref="U46:U49" si="24">IF(S46*M46-T46&gt;0,(1-S46)*M46+(S46*M46-T46),(1-S46)*M46)</f>
        <v>1.89</v>
      </c>
      <c r="V46" s="393">
        <f>D46*$B$22*$C$19/12</f>
        <v>0.1575</v>
      </c>
    </row>
    <row r="47" spans="1:22" ht="16.5">
      <c r="A47" s="419" t="s">
        <v>640</v>
      </c>
      <c r="B47" s="419" t="s">
        <v>16</v>
      </c>
      <c r="C47" s="325">
        <v>0</v>
      </c>
      <c r="D47" s="326">
        <v>42500</v>
      </c>
      <c r="E47" s="327">
        <v>2E-3</v>
      </c>
      <c r="F47" s="425">
        <f t="shared" si="20"/>
        <v>85</v>
      </c>
      <c r="G47" s="329">
        <v>0</v>
      </c>
      <c r="H47" s="350">
        <v>2.0000000000000002E-5</v>
      </c>
      <c r="I47" s="424">
        <f t="shared" si="21"/>
        <v>0</v>
      </c>
      <c r="J47" s="421">
        <f>F47+I47</f>
        <v>85</v>
      </c>
      <c r="K47" s="421">
        <f t="shared" ref="K47:K49" si="25">D47*$B$22</f>
        <v>6.3749999999999991</v>
      </c>
      <c r="L47" s="421"/>
      <c r="M47" s="422">
        <f t="shared" si="22"/>
        <v>6.3749999999999991</v>
      </c>
      <c r="N47" s="334"/>
      <c r="O47" s="335"/>
      <c r="P47" s="334"/>
      <c r="Q47" s="334"/>
      <c r="R47" s="336"/>
      <c r="S47" s="337">
        <f>O47/D47</f>
        <v>0</v>
      </c>
      <c r="T47" s="338">
        <f t="shared" si="23"/>
        <v>0</v>
      </c>
      <c r="U47" s="393">
        <f t="shared" si="24"/>
        <v>6.3749999999999991</v>
      </c>
      <c r="V47" s="393">
        <f t="shared" si="16"/>
        <v>0.53124999999999989</v>
      </c>
    </row>
    <row r="48" spans="1:22" ht="16.5">
      <c r="A48" s="419" t="s">
        <v>641</v>
      </c>
      <c r="B48" s="419" t="s">
        <v>16</v>
      </c>
      <c r="C48" s="325">
        <v>3</v>
      </c>
      <c r="D48" s="326">
        <v>16200</v>
      </c>
      <c r="E48" s="327">
        <v>1E-3</v>
      </c>
      <c r="F48" s="425">
        <f t="shared" si="20"/>
        <v>16.2</v>
      </c>
      <c r="G48" s="329">
        <v>0</v>
      </c>
      <c r="H48" s="350">
        <v>2.0000000000000002E-5</v>
      </c>
      <c r="I48" s="424">
        <f t="shared" si="21"/>
        <v>0</v>
      </c>
      <c r="J48" s="421">
        <f>F48+I48</f>
        <v>16.2</v>
      </c>
      <c r="K48" s="421">
        <f t="shared" si="25"/>
        <v>2.4299999999999997</v>
      </c>
      <c r="L48" s="421"/>
      <c r="M48" s="422">
        <f t="shared" si="22"/>
        <v>2.4299999999999997</v>
      </c>
      <c r="N48" s="334"/>
      <c r="O48" s="335"/>
      <c r="P48" s="334"/>
      <c r="Q48" s="334"/>
      <c r="R48" s="336"/>
      <c r="S48" s="337">
        <f>O48/D48</f>
        <v>0</v>
      </c>
      <c r="T48" s="338">
        <f t="shared" si="23"/>
        <v>0</v>
      </c>
      <c r="U48" s="393">
        <f t="shared" si="24"/>
        <v>2.4299999999999997</v>
      </c>
      <c r="V48" s="393">
        <f t="shared" si="16"/>
        <v>0.20249999999999999</v>
      </c>
    </row>
    <row r="49" spans="1:22" ht="16.5">
      <c r="A49" s="419" t="s">
        <v>642</v>
      </c>
      <c r="B49" s="419" t="s">
        <v>16</v>
      </c>
      <c r="C49" s="325">
        <v>6</v>
      </c>
      <c r="D49" s="326">
        <v>400</v>
      </c>
      <c r="E49" s="327">
        <v>1E-3</v>
      </c>
      <c r="F49" s="425">
        <f t="shared" si="20"/>
        <v>0.4</v>
      </c>
      <c r="G49" s="329">
        <v>0</v>
      </c>
      <c r="H49" s="330">
        <v>2.0000000000000001E-4</v>
      </c>
      <c r="I49" s="424">
        <f t="shared" si="21"/>
        <v>0</v>
      </c>
      <c r="J49" s="421">
        <f>F49+I49</f>
        <v>0.4</v>
      </c>
      <c r="K49" s="421">
        <f t="shared" si="25"/>
        <v>0.06</v>
      </c>
      <c r="L49" s="421"/>
      <c r="M49" s="422">
        <f t="shared" si="22"/>
        <v>0.06</v>
      </c>
      <c r="N49" s="334"/>
      <c r="O49" s="335"/>
      <c r="P49" s="334"/>
      <c r="Q49" s="334"/>
      <c r="R49" s="336"/>
      <c r="S49" s="337">
        <f>O49/D49</f>
        <v>0</v>
      </c>
      <c r="T49" s="338">
        <f t="shared" si="23"/>
        <v>0</v>
      </c>
      <c r="U49" s="393">
        <f t="shared" si="24"/>
        <v>0.06</v>
      </c>
      <c r="V49" s="393">
        <f t="shared" si="16"/>
        <v>5.0000000000000001E-3</v>
      </c>
    </row>
    <row r="50" spans="1:22" ht="15">
      <c r="A50" s="420" t="s">
        <v>714</v>
      </c>
      <c r="B50" s="420"/>
      <c r="C50" s="344"/>
      <c r="D50" s="344">
        <f>SUM(D46:D49)</f>
        <v>71700</v>
      </c>
      <c r="E50" s="344"/>
      <c r="F50" s="344">
        <f>SUM(F46:F49)</f>
        <v>139.4</v>
      </c>
      <c r="G50" s="344"/>
      <c r="H50" s="344"/>
      <c r="I50" s="344"/>
      <c r="J50" s="344">
        <f>SUM(J46:J49)</f>
        <v>139.4</v>
      </c>
      <c r="K50" s="344">
        <f t="shared" ref="K50:U50" si="26">SUM(K46:K49)</f>
        <v>10.754999999999999</v>
      </c>
      <c r="L50" s="344">
        <f t="shared" si="26"/>
        <v>0</v>
      </c>
      <c r="M50" s="394">
        <f t="shared" si="26"/>
        <v>10.754999999999999</v>
      </c>
      <c r="N50" s="344">
        <f t="shared" si="26"/>
        <v>0</v>
      </c>
      <c r="O50" s="344">
        <f t="shared" si="26"/>
        <v>0</v>
      </c>
      <c r="P50" s="344">
        <f t="shared" si="26"/>
        <v>0</v>
      </c>
      <c r="Q50" s="344">
        <f t="shared" si="26"/>
        <v>0</v>
      </c>
      <c r="R50" s="345">
        <f t="shared" si="26"/>
        <v>0</v>
      </c>
      <c r="S50" s="344">
        <f t="shared" si="26"/>
        <v>0</v>
      </c>
      <c r="T50" s="344">
        <f t="shared" si="26"/>
        <v>0</v>
      </c>
      <c r="U50" s="394">
        <f t="shared" si="26"/>
        <v>10.754999999999999</v>
      </c>
      <c r="V50" s="394">
        <f>SUM(V46:V49)</f>
        <v>0.89624999999999988</v>
      </c>
    </row>
    <row r="51" spans="1:22" ht="16.5">
      <c r="A51" s="419" t="s">
        <v>644</v>
      </c>
      <c r="B51" s="419" t="s">
        <v>645</v>
      </c>
      <c r="C51" s="325">
        <v>0</v>
      </c>
      <c r="D51" s="326">
        <v>1300</v>
      </c>
      <c r="E51" s="327">
        <v>2E-3</v>
      </c>
      <c r="F51" s="425">
        <f t="shared" si="2"/>
        <v>2.6</v>
      </c>
      <c r="G51" s="329">
        <v>0</v>
      </c>
      <c r="H51" s="330">
        <v>1.8E-3</v>
      </c>
      <c r="I51" s="424">
        <f t="shared" si="14"/>
        <v>0</v>
      </c>
      <c r="J51" s="421">
        <f t="shared" ref="J51:J59" si="27">F51+I51</f>
        <v>2.6</v>
      </c>
      <c r="K51" s="421">
        <f>D51*$B$23</f>
        <v>0.20800000000000002</v>
      </c>
      <c r="L51" s="421">
        <f>G51*$C$23</f>
        <v>0</v>
      </c>
      <c r="M51" s="422">
        <f t="shared" si="6"/>
        <v>0.20800000000000002</v>
      </c>
      <c r="N51" s="334"/>
      <c r="O51" s="335"/>
      <c r="P51" s="334"/>
      <c r="Q51" s="334"/>
      <c r="R51" s="336"/>
      <c r="S51" s="337">
        <f t="shared" ref="S51:S59" si="28">O51/D51</f>
        <v>0</v>
      </c>
      <c r="T51" s="338">
        <f t="shared" si="8"/>
        <v>0</v>
      </c>
      <c r="U51" s="393">
        <f t="shared" si="10"/>
        <v>0.20800000000000002</v>
      </c>
      <c r="V51" s="393">
        <f>D51*$B$23*$C$19/12</f>
        <v>1.7333333333333336E-2</v>
      </c>
    </row>
    <row r="52" spans="1:22" ht="16.5">
      <c r="A52" s="419" t="s">
        <v>646</v>
      </c>
      <c r="B52" s="419" t="s">
        <v>645</v>
      </c>
      <c r="C52" s="325">
        <v>6</v>
      </c>
      <c r="D52" s="326">
        <v>2000</v>
      </c>
      <c r="E52" s="327">
        <v>2.4500000000000001E-2</v>
      </c>
      <c r="F52" s="425">
        <f t="shared" si="2"/>
        <v>49</v>
      </c>
      <c r="G52" s="326">
        <v>0</v>
      </c>
      <c r="H52" s="330">
        <v>1E-3</v>
      </c>
      <c r="I52" s="424">
        <f t="shared" si="14"/>
        <v>0</v>
      </c>
      <c r="J52" s="421">
        <f t="shared" si="27"/>
        <v>49</v>
      </c>
      <c r="K52" s="421">
        <f t="shared" ref="K52:K59" si="29">D52*$B$23</f>
        <v>0.32</v>
      </c>
      <c r="L52" s="421">
        <f t="shared" ref="L52:L59" si="30">G52*$C$23</f>
        <v>0</v>
      </c>
      <c r="M52" s="422">
        <f t="shared" si="6"/>
        <v>0.32</v>
      </c>
      <c r="N52" s="334"/>
      <c r="O52" s="335"/>
      <c r="P52" s="334"/>
      <c r="Q52" s="340"/>
      <c r="R52" s="336"/>
      <c r="S52" s="337">
        <f t="shared" si="28"/>
        <v>0</v>
      </c>
      <c r="T52" s="338">
        <f t="shared" si="8"/>
        <v>0</v>
      </c>
      <c r="U52" s="393">
        <f t="shared" si="10"/>
        <v>0.32</v>
      </c>
      <c r="V52" s="393">
        <f t="shared" ref="V52:V59" si="31">D52*$B$23*$C$19/12</f>
        <v>2.6666666666666668E-2</v>
      </c>
    </row>
    <row r="53" spans="1:22" ht="16.5">
      <c r="A53" s="419" t="s">
        <v>647</v>
      </c>
      <c r="B53" s="419" t="s">
        <v>645</v>
      </c>
      <c r="C53" s="325">
        <v>3</v>
      </c>
      <c r="D53" s="326">
        <v>3000</v>
      </c>
      <c r="E53" s="327">
        <v>0.01</v>
      </c>
      <c r="F53" s="425">
        <f t="shared" si="2"/>
        <v>30</v>
      </c>
      <c r="G53" s="329">
        <v>1544</v>
      </c>
      <c r="H53" s="330">
        <v>1E-3</v>
      </c>
      <c r="I53" s="424">
        <f t="shared" si="14"/>
        <v>1.544</v>
      </c>
      <c r="J53" s="421">
        <f t="shared" si="27"/>
        <v>31.544</v>
      </c>
      <c r="K53" s="421">
        <f t="shared" si="29"/>
        <v>0.48000000000000004</v>
      </c>
      <c r="L53" s="421">
        <f t="shared" si="30"/>
        <v>0.23159999999999997</v>
      </c>
      <c r="M53" s="422">
        <f t="shared" si="6"/>
        <v>0.71160000000000001</v>
      </c>
      <c r="N53" s="334"/>
      <c r="O53" s="335"/>
      <c r="P53" s="334"/>
      <c r="Q53" s="334"/>
      <c r="R53" s="336"/>
      <c r="S53" s="337">
        <f t="shared" si="28"/>
        <v>0</v>
      </c>
      <c r="T53" s="338">
        <f>O53*P53+I53</f>
        <v>1.544</v>
      </c>
      <c r="U53" s="393">
        <f t="shared" si="10"/>
        <v>0.71160000000000001</v>
      </c>
      <c r="V53" s="393">
        <f t="shared" si="31"/>
        <v>0.04</v>
      </c>
    </row>
    <row r="54" spans="1:22" ht="16.5">
      <c r="A54" s="419" t="s">
        <v>649</v>
      </c>
      <c r="B54" s="419" t="s">
        <v>715</v>
      </c>
      <c r="C54" s="325">
        <v>8</v>
      </c>
      <c r="D54" s="326">
        <v>10400</v>
      </c>
      <c r="E54" s="327">
        <v>3.0000000000000001E-3</v>
      </c>
      <c r="F54" s="425">
        <f t="shared" si="2"/>
        <v>31.2</v>
      </c>
      <c r="G54" s="329">
        <v>32915</v>
      </c>
      <c r="H54" s="330">
        <v>2.0000000000000001E-4</v>
      </c>
      <c r="I54" s="424">
        <f t="shared" si="14"/>
        <v>6.5830000000000002</v>
      </c>
      <c r="J54" s="421">
        <f t="shared" si="27"/>
        <v>37.783000000000001</v>
      </c>
      <c r="K54" s="421">
        <f t="shared" si="29"/>
        <v>1.6640000000000001</v>
      </c>
      <c r="L54" s="421">
        <f t="shared" si="30"/>
        <v>4.9372499999999997</v>
      </c>
      <c r="M54" s="422">
        <f t="shared" si="6"/>
        <v>6.6012500000000003</v>
      </c>
      <c r="N54" s="334"/>
      <c r="O54" s="335"/>
      <c r="P54" s="334"/>
      <c r="Q54" s="334"/>
      <c r="R54" s="336"/>
      <c r="S54" s="337">
        <f t="shared" si="28"/>
        <v>0</v>
      </c>
      <c r="T54" s="338">
        <f t="shared" si="8"/>
        <v>0</v>
      </c>
      <c r="U54" s="393">
        <f t="shared" si="10"/>
        <v>6.6012500000000003</v>
      </c>
      <c r="V54" s="393">
        <f t="shared" si="31"/>
        <v>0.13866666666666669</v>
      </c>
    </row>
    <row r="55" spans="1:22" ht="16.5">
      <c r="A55" s="419" t="s">
        <v>651</v>
      </c>
      <c r="B55" s="419" t="s">
        <v>645</v>
      </c>
      <c r="C55" s="325">
        <v>8</v>
      </c>
      <c r="D55" s="326">
        <v>10400</v>
      </c>
      <c r="E55" s="327">
        <v>1E-3</v>
      </c>
      <c r="F55" s="425">
        <f t="shared" si="2"/>
        <v>10.4</v>
      </c>
      <c r="G55" s="329">
        <v>29726</v>
      </c>
      <c r="H55" s="330">
        <v>2.0000000000000001E-4</v>
      </c>
      <c r="I55" s="424">
        <f t="shared" si="14"/>
        <v>5.9452000000000007</v>
      </c>
      <c r="J55" s="421">
        <f t="shared" si="27"/>
        <v>16.345200000000002</v>
      </c>
      <c r="K55" s="421">
        <f t="shared" si="29"/>
        <v>1.6640000000000001</v>
      </c>
      <c r="L55" s="421">
        <f t="shared" si="30"/>
        <v>4.4588999999999999</v>
      </c>
      <c r="M55" s="422">
        <f t="shared" si="6"/>
        <v>6.1228999999999996</v>
      </c>
      <c r="N55" s="334"/>
      <c r="O55" s="335"/>
      <c r="P55" s="334"/>
      <c r="Q55" s="334"/>
      <c r="R55" s="336"/>
      <c r="S55" s="337">
        <f t="shared" si="28"/>
        <v>0</v>
      </c>
      <c r="T55" s="338">
        <f t="shared" si="8"/>
        <v>0</v>
      </c>
      <c r="U55" s="393">
        <f t="shared" si="10"/>
        <v>6.1228999999999996</v>
      </c>
      <c r="V55" s="393">
        <f t="shared" si="31"/>
        <v>0.13866666666666669</v>
      </c>
    </row>
    <row r="56" spans="1:22" ht="16.5">
      <c r="A56" s="419" t="s">
        <v>652</v>
      </c>
      <c r="B56" s="419" t="s">
        <v>645</v>
      </c>
      <c r="C56" s="325">
        <v>8</v>
      </c>
      <c r="D56" s="326">
        <v>1800</v>
      </c>
      <c r="E56" s="327">
        <v>2.4500000000000001E-2</v>
      </c>
      <c r="F56" s="425">
        <f t="shared" si="2"/>
        <v>44.1</v>
      </c>
      <c r="G56" s="339">
        <v>0</v>
      </c>
      <c r="H56" s="330">
        <v>1E-3</v>
      </c>
      <c r="I56" s="424">
        <f t="shared" si="14"/>
        <v>0</v>
      </c>
      <c r="J56" s="421">
        <f t="shared" si="27"/>
        <v>44.1</v>
      </c>
      <c r="K56" s="421">
        <f t="shared" si="29"/>
        <v>0.28800000000000003</v>
      </c>
      <c r="L56" s="421">
        <f t="shared" si="30"/>
        <v>0</v>
      </c>
      <c r="M56" s="422">
        <f t="shared" si="6"/>
        <v>0.28800000000000003</v>
      </c>
      <c r="N56" s="334"/>
      <c r="O56" s="335"/>
      <c r="P56" s="334"/>
      <c r="Q56" s="340"/>
      <c r="R56" s="336"/>
      <c r="S56" s="337">
        <f t="shared" si="28"/>
        <v>0</v>
      </c>
      <c r="T56" s="338">
        <f t="shared" si="8"/>
        <v>0</v>
      </c>
      <c r="U56" s="393">
        <f t="shared" si="10"/>
        <v>0.28800000000000003</v>
      </c>
      <c r="V56" s="393">
        <f t="shared" si="31"/>
        <v>2.4000000000000004E-2</v>
      </c>
    </row>
    <row r="57" spans="1:22" ht="16.5">
      <c r="A57" s="419" t="s">
        <v>653</v>
      </c>
      <c r="B57" s="419" t="s">
        <v>645</v>
      </c>
      <c r="C57" s="325">
        <v>8</v>
      </c>
      <c r="D57" s="326">
        <v>2300</v>
      </c>
      <c r="E57" s="327">
        <v>2.5000000000000001E-2</v>
      </c>
      <c r="F57" s="425">
        <f t="shared" si="2"/>
        <v>57.5</v>
      </c>
      <c r="G57" s="329">
        <v>0</v>
      </c>
      <c r="H57" s="330">
        <v>2.0000000000000001E-4</v>
      </c>
      <c r="I57" s="424">
        <f t="shared" si="14"/>
        <v>0</v>
      </c>
      <c r="J57" s="421">
        <f t="shared" si="27"/>
        <v>57.5</v>
      </c>
      <c r="K57" s="421">
        <f t="shared" si="29"/>
        <v>0.36800000000000005</v>
      </c>
      <c r="L57" s="421">
        <f t="shared" si="30"/>
        <v>0</v>
      </c>
      <c r="M57" s="422">
        <f t="shared" si="6"/>
        <v>0.36800000000000005</v>
      </c>
      <c r="N57" s="334"/>
      <c r="O57" s="335"/>
      <c r="P57" s="334"/>
      <c r="Q57" s="340"/>
      <c r="R57" s="336"/>
      <c r="S57" s="337">
        <f t="shared" si="28"/>
        <v>0</v>
      </c>
      <c r="T57" s="338">
        <f t="shared" si="8"/>
        <v>0</v>
      </c>
      <c r="U57" s="393">
        <f t="shared" si="10"/>
        <v>0.36800000000000005</v>
      </c>
      <c r="V57" s="393">
        <f t="shared" si="31"/>
        <v>3.0666666666666672E-2</v>
      </c>
    </row>
    <row r="58" spans="1:22" ht="16.5">
      <c r="A58" s="419" t="s">
        <v>716</v>
      </c>
      <c r="B58" s="419" t="s">
        <v>645</v>
      </c>
      <c r="C58" s="325">
        <v>11</v>
      </c>
      <c r="D58" s="326">
        <v>800</v>
      </c>
      <c r="E58" s="327">
        <v>8.0000000000000002E-3</v>
      </c>
      <c r="F58" s="425">
        <f t="shared" si="2"/>
        <v>6.4</v>
      </c>
      <c r="G58" s="329">
        <v>0</v>
      </c>
      <c r="H58" s="330">
        <v>5.0000000000000001E-4</v>
      </c>
      <c r="I58" s="424">
        <f t="shared" si="14"/>
        <v>0</v>
      </c>
      <c r="J58" s="421">
        <f t="shared" si="27"/>
        <v>6.4</v>
      </c>
      <c r="K58" s="421">
        <f t="shared" si="29"/>
        <v>0.128</v>
      </c>
      <c r="L58" s="421">
        <f t="shared" si="30"/>
        <v>0</v>
      </c>
      <c r="M58" s="422">
        <f t="shared" si="6"/>
        <v>0.128</v>
      </c>
      <c r="N58" s="334"/>
      <c r="O58" s="335"/>
      <c r="P58" s="334"/>
      <c r="Q58" s="340"/>
      <c r="R58" s="336"/>
      <c r="S58" s="337">
        <f t="shared" si="28"/>
        <v>0</v>
      </c>
      <c r="T58" s="338">
        <f t="shared" si="8"/>
        <v>0</v>
      </c>
      <c r="U58" s="393">
        <f t="shared" si="10"/>
        <v>0.128</v>
      </c>
      <c r="V58" s="393">
        <f t="shared" si="31"/>
        <v>1.0666666666666666E-2</v>
      </c>
    </row>
    <row r="59" spans="1:22" ht="16.5">
      <c r="A59" s="419" t="s">
        <v>655</v>
      </c>
      <c r="B59" s="419" t="s">
        <v>645</v>
      </c>
      <c r="C59" s="325">
        <v>8</v>
      </c>
      <c r="D59" s="326">
        <v>1300</v>
      </c>
      <c r="E59" s="327">
        <v>2.8000000000000001E-2</v>
      </c>
      <c r="F59" s="425">
        <f t="shared" si="2"/>
        <v>36.4</v>
      </c>
      <c r="G59" s="339">
        <v>0</v>
      </c>
      <c r="H59" s="330">
        <v>2.0000000000000001E-4</v>
      </c>
      <c r="I59" s="424">
        <f t="shared" si="14"/>
        <v>0</v>
      </c>
      <c r="J59" s="421">
        <f t="shared" si="27"/>
        <v>36.4</v>
      </c>
      <c r="K59" s="421">
        <f t="shared" si="29"/>
        <v>0.20800000000000002</v>
      </c>
      <c r="L59" s="421">
        <f t="shared" si="30"/>
        <v>0</v>
      </c>
      <c r="M59" s="422">
        <f t="shared" si="6"/>
        <v>0.20800000000000002</v>
      </c>
      <c r="N59" s="334"/>
      <c r="O59" s="335"/>
      <c r="P59" s="334"/>
      <c r="Q59" s="340"/>
      <c r="R59" s="336"/>
      <c r="S59" s="337">
        <f t="shared" si="28"/>
        <v>0</v>
      </c>
      <c r="T59" s="338">
        <f t="shared" si="8"/>
        <v>0</v>
      </c>
      <c r="U59" s="393">
        <f t="shared" si="10"/>
        <v>0.20800000000000002</v>
      </c>
      <c r="V59" s="393">
        <f t="shared" si="31"/>
        <v>1.7333333333333336E-2</v>
      </c>
    </row>
    <row r="60" spans="1:22" ht="15">
      <c r="A60" s="447" t="s">
        <v>717</v>
      </c>
      <c r="B60" s="448"/>
      <c r="C60" s="344"/>
      <c r="D60" s="344">
        <f>SUM(D51:D59)</f>
        <v>33300</v>
      </c>
      <c r="E60" s="344">
        <f t="shared" ref="E60:U60" si="32">SUM(E51:E59)</f>
        <v>0.126</v>
      </c>
      <c r="F60" s="344">
        <f t="shared" si="32"/>
        <v>267.60000000000002</v>
      </c>
      <c r="G60" s="344">
        <f t="shared" si="32"/>
        <v>64185</v>
      </c>
      <c r="H60" s="344">
        <f t="shared" si="32"/>
        <v>6.0999999999999987E-3</v>
      </c>
      <c r="I60" s="344">
        <f t="shared" si="32"/>
        <v>14.072200000000002</v>
      </c>
      <c r="J60" s="344">
        <f t="shared" si="32"/>
        <v>281.67219999999998</v>
      </c>
      <c r="K60" s="344">
        <f t="shared" si="32"/>
        <v>5.3280000000000012</v>
      </c>
      <c r="L60" s="344">
        <f t="shared" si="32"/>
        <v>9.6277499999999989</v>
      </c>
      <c r="M60" s="344">
        <f t="shared" si="32"/>
        <v>14.955750000000002</v>
      </c>
      <c r="N60" s="344">
        <f t="shared" si="32"/>
        <v>0</v>
      </c>
      <c r="O60" s="344">
        <f t="shared" si="32"/>
        <v>0</v>
      </c>
      <c r="P60" s="344">
        <f t="shared" si="32"/>
        <v>0</v>
      </c>
      <c r="Q60" s="344">
        <f t="shared" si="32"/>
        <v>0</v>
      </c>
      <c r="R60" s="345">
        <f t="shared" si="32"/>
        <v>0</v>
      </c>
      <c r="S60" s="344">
        <f t="shared" si="32"/>
        <v>0</v>
      </c>
      <c r="T60" s="344">
        <f t="shared" si="32"/>
        <v>1.544</v>
      </c>
      <c r="U60" s="344">
        <f t="shared" si="32"/>
        <v>14.955750000000002</v>
      </c>
      <c r="V60" s="394">
        <f>SUM(V51:V59)</f>
        <v>0.44400000000000006</v>
      </c>
    </row>
    <row r="61" spans="1:22" ht="18">
      <c r="A61" s="351" t="s">
        <v>718</v>
      </c>
      <c r="B61" s="352"/>
      <c r="C61" s="352"/>
      <c r="D61" s="344">
        <f t="shared" ref="D61:T61" si="33">D60+D45+D38</f>
        <v>467100</v>
      </c>
      <c r="E61" s="344">
        <f t="shared" si="33"/>
        <v>0.19800000000000001</v>
      </c>
      <c r="F61" s="344">
        <f t="shared" si="33"/>
        <v>4091.6</v>
      </c>
      <c r="G61" s="344">
        <f t="shared" si="33"/>
        <v>655764</v>
      </c>
      <c r="H61" s="344">
        <f t="shared" si="33"/>
        <v>2.9499999999999998E-2</v>
      </c>
      <c r="I61" s="344">
        <f t="shared" si="33"/>
        <v>1078.7564</v>
      </c>
      <c r="J61" s="344">
        <f t="shared" si="33"/>
        <v>5170.2299999999996</v>
      </c>
      <c r="K61" s="344">
        <f t="shared" si="33"/>
        <v>436.08800000000002</v>
      </c>
      <c r="L61" s="344">
        <f t="shared" si="33"/>
        <v>187.05404999999996</v>
      </c>
      <c r="M61" s="344">
        <f>M60+M45+M38+M50</f>
        <v>633.89704999999992</v>
      </c>
      <c r="N61" s="344">
        <f t="shared" si="33"/>
        <v>0</v>
      </c>
      <c r="O61" s="344">
        <f t="shared" si="33"/>
        <v>0</v>
      </c>
      <c r="P61" s="344">
        <f t="shared" si="33"/>
        <v>0</v>
      </c>
      <c r="Q61" s="344">
        <f t="shared" si="33"/>
        <v>0</v>
      </c>
      <c r="R61" s="345">
        <f t="shared" si="33"/>
        <v>0</v>
      </c>
      <c r="S61" s="344">
        <f>S60+S45+S38</f>
        <v>0</v>
      </c>
      <c r="T61" s="344">
        <f t="shared" si="33"/>
        <v>1.544</v>
      </c>
      <c r="U61" s="344">
        <f>U60+U50+U45+U38</f>
        <v>633.89704999999992</v>
      </c>
      <c r="V61" s="394">
        <f>V60+V50+V45+V38</f>
        <v>38.396916666666684</v>
      </c>
    </row>
    <row r="62" spans="1:22">
      <c r="V62" s="426"/>
    </row>
    <row r="65" spans="13:13">
      <c r="M65" s="427"/>
    </row>
  </sheetData>
  <mergeCells count="13">
    <mergeCell ref="A60:B60"/>
    <mergeCell ref="V26:V27"/>
    <mergeCell ref="K26:K27"/>
    <mergeCell ref="L26:L27"/>
    <mergeCell ref="M26:M27"/>
    <mergeCell ref="N26:T26"/>
    <mergeCell ref="U26:U27"/>
    <mergeCell ref="A38:B38"/>
    <mergeCell ref="A26:A27"/>
    <mergeCell ref="B26:B27"/>
    <mergeCell ref="D26:F26"/>
    <mergeCell ref="G26:I26"/>
    <mergeCell ref="J26:J27"/>
  </mergeCells>
  <phoneticPr fontId="36"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9"/>
  <sheetViews>
    <sheetView showGridLines="0" workbookViewId="0">
      <selection activeCell="N32" sqref="N32"/>
    </sheetView>
  </sheetViews>
  <sheetFormatPr defaultColWidth="9" defaultRowHeight="13.5"/>
  <cols>
    <col min="1" max="1" width="12.5" style="354" customWidth="1"/>
    <col min="2" max="2" width="15.125" style="354" customWidth="1"/>
    <col min="3" max="3" width="9.5" style="354" customWidth="1"/>
    <col min="4" max="4" width="10.625" style="354" customWidth="1"/>
    <col min="5" max="5" width="10" style="354" bestFit="1" customWidth="1"/>
    <col min="6" max="6" width="9" style="354"/>
    <col min="7" max="7" width="10.625" style="354" customWidth="1"/>
    <col min="8" max="8" width="9" style="354"/>
    <col min="9" max="9" width="10.125" style="354" customWidth="1"/>
    <col min="10" max="10" width="8.5" style="354" customWidth="1"/>
    <col min="11" max="11" width="16.25" style="354" customWidth="1"/>
    <col min="12" max="12" width="10.375" style="354" customWidth="1"/>
    <col min="13" max="13" width="11.125" style="355" customWidth="1"/>
    <col min="14" max="15" width="9" style="354"/>
    <col min="16" max="16" width="9" style="356"/>
    <col min="17" max="17" width="12.125" style="354" customWidth="1"/>
    <col min="18" max="18" width="17.375" style="357" customWidth="1"/>
    <col min="19" max="20" width="9" style="354"/>
    <col min="21" max="21" width="15" style="358" customWidth="1"/>
    <col min="22" max="16384" width="9" style="354"/>
  </cols>
  <sheetData>
    <row r="1" spans="1:15">
      <c r="A1" s="353" t="s">
        <v>657</v>
      </c>
    </row>
    <row r="2" spans="1:15" ht="16.5">
      <c r="A2" s="359" t="s">
        <v>658</v>
      </c>
      <c r="B2" s="359" t="s">
        <v>659</v>
      </c>
      <c r="C2" s="359" t="s">
        <v>660</v>
      </c>
      <c r="K2" s="360" t="s">
        <v>661</v>
      </c>
      <c r="L2" s="361"/>
      <c r="M2" s="362"/>
      <c r="N2" s="363"/>
      <c r="O2" s="363"/>
    </row>
    <row r="3" spans="1:15" ht="16.5">
      <c r="A3" s="364" t="s">
        <v>662</v>
      </c>
      <c r="B3" s="365">
        <v>1.6000000000000001E-3</v>
      </c>
      <c r="C3" s="366">
        <v>2.9999999999999997E-4</v>
      </c>
      <c r="K3" s="367" t="s">
        <v>566</v>
      </c>
      <c r="L3" s="367" t="s">
        <v>663</v>
      </c>
      <c r="M3" s="368" t="s">
        <v>664</v>
      </c>
    </row>
    <row r="4" spans="1:15" ht="16.5">
      <c r="A4" s="369" t="s">
        <v>665</v>
      </c>
      <c r="B4" s="365">
        <v>2.9999999999999997E-4</v>
      </c>
      <c r="C4" s="370"/>
      <c r="I4" s="371"/>
      <c r="K4" s="372" t="s">
        <v>666</v>
      </c>
      <c r="L4" s="373">
        <f>D32</f>
        <v>261800</v>
      </c>
      <c r="M4" s="374">
        <f>U32</f>
        <v>580.59045024999989</v>
      </c>
    </row>
    <row r="5" spans="1:15" ht="16.5">
      <c r="A5" s="369" t="s">
        <v>667</v>
      </c>
      <c r="B5" s="365">
        <v>1.6000000000000001E-4</v>
      </c>
      <c r="C5" s="365">
        <v>1.4999999999999999E-4</v>
      </c>
      <c r="K5" s="372" t="s">
        <v>17</v>
      </c>
      <c r="L5" s="373">
        <f>B10</f>
        <v>168870.43296399998</v>
      </c>
      <c r="M5" s="374">
        <f>F10</f>
        <v>512.11269274239999</v>
      </c>
    </row>
    <row r="6" spans="1:15" ht="16.5">
      <c r="K6" s="372" t="s">
        <v>668</v>
      </c>
      <c r="L6" s="373">
        <f>D54</f>
        <v>33300</v>
      </c>
      <c r="M6" s="374">
        <f>U54</f>
        <v>13.214336666666666</v>
      </c>
    </row>
    <row r="7" spans="1:15" ht="15">
      <c r="K7" s="375" t="s">
        <v>669</v>
      </c>
      <c r="L7" s="376">
        <f>SUM(L4:L6)</f>
        <v>463970.43296399998</v>
      </c>
      <c r="M7" s="377">
        <f>SUM(M4:M6)</f>
        <v>1105.9174796590667</v>
      </c>
    </row>
    <row r="8" spans="1:15" ht="16.5">
      <c r="A8" s="378" t="s">
        <v>670</v>
      </c>
      <c r="K8" s="372" t="s">
        <v>671</v>
      </c>
      <c r="L8" s="373">
        <f>B11</f>
        <v>78903.082355999999</v>
      </c>
      <c r="M8" s="374">
        <f>F11</f>
        <v>23.670924706799997</v>
      </c>
    </row>
    <row r="9" spans="1:15" ht="16.5">
      <c r="A9" s="359" t="s">
        <v>566</v>
      </c>
      <c r="B9" s="379" t="s">
        <v>672</v>
      </c>
      <c r="C9" s="359" t="s">
        <v>659</v>
      </c>
      <c r="D9" s="359" t="s">
        <v>673</v>
      </c>
      <c r="E9" s="359" t="s">
        <v>674</v>
      </c>
      <c r="F9" s="380" t="s">
        <v>4</v>
      </c>
      <c r="K9" s="372" t="s">
        <v>675</v>
      </c>
      <c r="L9" s="373">
        <f>B12</f>
        <v>76903.082356999992</v>
      </c>
      <c r="M9" s="374">
        <f>F12</f>
        <v>23.070924707099994</v>
      </c>
    </row>
    <row r="10" spans="1:15" ht="16.5">
      <c r="A10" s="381" t="s">
        <v>17</v>
      </c>
      <c r="B10" s="382">
        <f>[5]业务部门资金日均占用统计表!$L$9/10000</f>
        <v>168870.43296399998</v>
      </c>
      <c r="C10" s="383">
        <f>$B$3*B10</f>
        <v>270.19269274239997</v>
      </c>
      <c r="D10" s="382">
        <v>806400</v>
      </c>
      <c r="E10" s="383">
        <f>D10*C3</f>
        <v>241.92</v>
      </c>
      <c r="F10" s="383">
        <f>C10+E10</f>
        <v>512.11269274239999</v>
      </c>
      <c r="K10" s="372" t="s">
        <v>16</v>
      </c>
      <c r="L10" s="373">
        <f>D44</f>
        <v>71700</v>
      </c>
      <c r="M10" s="374">
        <f>U44</f>
        <v>21.509999999999998</v>
      </c>
    </row>
    <row r="11" spans="1:15" ht="16.5">
      <c r="A11" s="381" t="s">
        <v>671</v>
      </c>
      <c r="B11" s="382">
        <f>[5]业务部门资金日均占用统计表!$B$9/10000</f>
        <v>78903.082355999999</v>
      </c>
      <c r="C11" s="383">
        <f>B11*$B$4</f>
        <v>23.670924706799997</v>
      </c>
      <c r="D11" s="382"/>
      <c r="E11" s="383"/>
      <c r="F11" s="383">
        <f t="shared" ref="F11:F15" si="0">C11+E11</f>
        <v>23.670924706799997</v>
      </c>
      <c r="K11" s="372" t="s">
        <v>676</v>
      </c>
      <c r="L11" s="373">
        <f>D39</f>
        <v>172000</v>
      </c>
      <c r="M11" s="374">
        <f>U39</f>
        <v>21.508042999999997</v>
      </c>
    </row>
    <row r="12" spans="1:15" ht="16.5">
      <c r="A12" s="381" t="s">
        <v>675</v>
      </c>
      <c r="B12" s="382">
        <f>[5]业务部门资金日均占用统计表!$C$9/10000</f>
        <v>76903.082356999992</v>
      </c>
      <c r="C12" s="383">
        <f>B12*$B$4</f>
        <v>23.070924707099994</v>
      </c>
      <c r="D12" s="382"/>
      <c r="E12" s="383"/>
      <c r="F12" s="383">
        <f t="shared" si="0"/>
        <v>23.070924707099994</v>
      </c>
      <c r="K12" s="375" t="s">
        <v>677</v>
      </c>
      <c r="L12" s="376">
        <f>SUM(L8:L11)</f>
        <v>399506.16471300001</v>
      </c>
      <c r="M12" s="377">
        <f>SUM(M8:M11)</f>
        <v>89.759892413899991</v>
      </c>
    </row>
    <row r="13" spans="1:15" ht="16.5">
      <c r="A13" s="381"/>
      <c r="B13" s="384"/>
      <c r="C13" s="383"/>
      <c r="D13" s="369"/>
      <c r="E13" s="385"/>
      <c r="F13" s="383"/>
      <c r="K13" s="372" t="s">
        <v>18</v>
      </c>
      <c r="L13" s="373">
        <f>B15</f>
        <v>30729.508453999995</v>
      </c>
      <c r="M13" s="374">
        <f>F15</f>
        <v>56.6535605264</v>
      </c>
    </row>
    <row r="14" spans="1:15" ht="16.5">
      <c r="A14" s="381" t="s">
        <v>678</v>
      </c>
      <c r="B14" s="384">
        <f>[5]业务部门资金日均占用统计表!$G$9/10000</f>
        <v>5311.0297700000001</v>
      </c>
      <c r="C14" s="386">
        <f>E79</f>
        <v>0.70743360000000011</v>
      </c>
      <c r="D14" s="384">
        <v>91916.422500000001</v>
      </c>
      <c r="E14" s="385">
        <f>D14*C5</f>
        <v>13.787463375</v>
      </c>
      <c r="F14" s="383">
        <f t="shared" si="0"/>
        <v>14.494896975</v>
      </c>
      <c r="K14" s="372" t="s">
        <v>75</v>
      </c>
      <c r="L14" s="373">
        <f>B14</f>
        <v>5311.0297700000001</v>
      </c>
      <c r="M14" s="374">
        <f>F14</f>
        <v>14.494896975</v>
      </c>
    </row>
    <row r="15" spans="1:15" ht="16.5">
      <c r="A15" s="372" t="s">
        <v>18</v>
      </c>
      <c r="B15" s="387">
        <f>[5]业务部门资金日均占用统计表!$N$9/10000</f>
        <v>30729.508453999995</v>
      </c>
      <c r="C15" s="383">
        <f>$B$3*B15</f>
        <v>49.167213526399998</v>
      </c>
      <c r="D15" s="384">
        <f>24954.49</f>
        <v>24954.49</v>
      </c>
      <c r="E15" s="385">
        <f>D15*C3</f>
        <v>7.4863469999999994</v>
      </c>
      <c r="F15" s="383">
        <f t="shared" si="0"/>
        <v>56.6535605264</v>
      </c>
      <c r="K15" s="375" t="s">
        <v>679</v>
      </c>
      <c r="L15" s="376">
        <f>SUM(L13:L14)</f>
        <v>36040.538223999996</v>
      </c>
      <c r="M15" s="377">
        <f>SUM(M13:M14)</f>
        <v>71.148457501400003</v>
      </c>
    </row>
    <row r="16" spans="1:15" ht="15">
      <c r="A16" s="375" t="s">
        <v>4</v>
      </c>
      <c r="B16" s="388">
        <f>SUM(B10:B15)</f>
        <v>360717.135901</v>
      </c>
      <c r="C16" s="389">
        <f>SUM(C10:C15)</f>
        <v>366.8091892827</v>
      </c>
      <c r="D16" s="388">
        <f>SUM(D10:D15)</f>
        <v>923270.91249999998</v>
      </c>
      <c r="E16" s="389">
        <f>SUM(E10:E15)</f>
        <v>263.193810375</v>
      </c>
      <c r="F16" s="389">
        <f>SUM(F10:F15)</f>
        <v>630.00299965769989</v>
      </c>
      <c r="K16" s="390" t="s">
        <v>4</v>
      </c>
      <c r="L16" s="391">
        <f>L15+L12+L7</f>
        <v>899517.135901</v>
      </c>
      <c r="M16" s="392">
        <f>M15+M12+M7</f>
        <v>1266.8258295743667</v>
      </c>
    </row>
    <row r="19" spans="1:21">
      <c r="A19" s="378" t="s">
        <v>680</v>
      </c>
    </row>
    <row r="20" spans="1:21" ht="16.5" customHeight="1">
      <c r="A20" s="456" t="s">
        <v>599</v>
      </c>
      <c r="B20" s="456" t="s">
        <v>600</v>
      </c>
      <c r="C20" s="321"/>
      <c r="D20" s="457" t="s">
        <v>601</v>
      </c>
      <c r="E20" s="458"/>
      <c r="F20" s="459"/>
      <c r="G20" s="458" t="s">
        <v>602</v>
      </c>
      <c r="H20" s="458"/>
      <c r="I20" s="459"/>
      <c r="J20" s="451" t="s">
        <v>603</v>
      </c>
      <c r="K20" s="451" t="s">
        <v>604</v>
      </c>
      <c r="L20" s="451" t="s">
        <v>605</v>
      </c>
      <c r="M20" s="451" t="s">
        <v>603</v>
      </c>
      <c r="N20" s="453" t="s">
        <v>606</v>
      </c>
      <c r="O20" s="454"/>
      <c r="P20" s="454"/>
      <c r="Q20" s="454"/>
      <c r="R20" s="454"/>
      <c r="S20" s="454"/>
      <c r="T20" s="455"/>
      <c r="U20" s="449" t="s">
        <v>681</v>
      </c>
    </row>
    <row r="21" spans="1:21" ht="30">
      <c r="A21" s="456"/>
      <c r="B21" s="456"/>
      <c r="C21" s="322" t="s">
        <v>607</v>
      </c>
      <c r="D21" s="322" t="s">
        <v>608</v>
      </c>
      <c r="E21" s="322" t="s">
        <v>609</v>
      </c>
      <c r="F21" s="322" t="s">
        <v>604</v>
      </c>
      <c r="G21" s="323" t="s">
        <v>610</v>
      </c>
      <c r="H21" s="323" t="s">
        <v>611</v>
      </c>
      <c r="I21" s="322" t="s">
        <v>605</v>
      </c>
      <c r="J21" s="452"/>
      <c r="K21" s="452"/>
      <c r="L21" s="452"/>
      <c r="M21" s="452"/>
      <c r="N21" s="322" t="s">
        <v>612</v>
      </c>
      <c r="O21" s="322" t="s">
        <v>613</v>
      </c>
      <c r="P21" s="322" t="s">
        <v>614</v>
      </c>
      <c r="Q21" s="322" t="s">
        <v>615</v>
      </c>
      <c r="R21" s="322" t="s">
        <v>616</v>
      </c>
      <c r="S21" s="322" t="s">
        <v>617</v>
      </c>
      <c r="T21" s="322" t="s">
        <v>618</v>
      </c>
      <c r="U21" s="450"/>
    </row>
    <row r="22" spans="1:21" ht="16.5">
      <c r="A22" s="324" t="s">
        <v>619</v>
      </c>
      <c r="B22" s="324" t="s">
        <v>620</v>
      </c>
      <c r="C22" s="325">
        <v>0</v>
      </c>
      <c r="D22" s="326">
        <v>30100</v>
      </c>
      <c r="E22" s="327">
        <v>2E-3</v>
      </c>
      <c r="F22" s="328">
        <f>D22*E22</f>
        <v>60.2</v>
      </c>
      <c r="G22" s="329">
        <v>0</v>
      </c>
      <c r="H22" s="330">
        <v>1.8E-3</v>
      </c>
      <c r="I22" s="331">
        <f>G22*H22</f>
        <v>0</v>
      </c>
      <c r="J22" s="332">
        <f t="shared" ref="J22:J27" si="1">F22+I22</f>
        <v>60.2</v>
      </c>
      <c r="K22" s="332">
        <f>D22*$B$3</f>
        <v>48.160000000000004</v>
      </c>
      <c r="L22" s="332">
        <f>G22*$C$3</f>
        <v>0</v>
      </c>
      <c r="M22" s="333">
        <f>K22+L22</f>
        <v>48.160000000000004</v>
      </c>
      <c r="N22" s="334">
        <v>0</v>
      </c>
      <c r="O22" s="335">
        <f t="shared" ref="O22:O27" si="2">N22*(12-C22)/12</f>
        <v>0</v>
      </c>
      <c r="P22" s="334"/>
      <c r="Q22" s="334"/>
      <c r="R22" s="336"/>
      <c r="S22" s="337">
        <f t="shared" ref="S22:S27" si="3">O22/D22</f>
        <v>0</v>
      </c>
      <c r="T22" s="338">
        <f>O22*P22+O22*Q22*R22</f>
        <v>0</v>
      </c>
      <c r="U22" s="393">
        <f t="shared" ref="U22:U53" si="4">IF(S22*M22-T22&gt;0,(1-S22)*M22+(S22*M22-T22),(1-S22)*M22)</f>
        <v>48.160000000000004</v>
      </c>
    </row>
    <row r="23" spans="1:21" ht="16.5">
      <c r="A23" s="324" t="s">
        <v>621</v>
      </c>
      <c r="B23" s="324" t="s">
        <v>620</v>
      </c>
      <c r="C23" s="325">
        <v>0</v>
      </c>
      <c r="D23" s="326">
        <v>46700</v>
      </c>
      <c r="E23" s="327">
        <v>1.4999999999999999E-2</v>
      </c>
      <c r="F23" s="328">
        <f t="shared" ref="F23:F53" si="5">D23*E23</f>
        <v>700.5</v>
      </c>
      <c r="G23" s="329">
        <v>79633</v>
      </c>
      <c r="H23" s="330">
        <v>1.8E-3</v>
      </c>
      <c r="I23" s="331">
        <f t="shared" ref="I23:I30" si="6">G23*H23</f>
        <v>143.33939999999998</v>
      </c>
      <c r="J23" s="332">
        <f t="shared" si="1"/>
        <v>843.83939999999996</v>
      </c>
      <c r="K23" s="332">
        <f t="shared" ref="K23:K27" si="7">D23*$B$3</f>
        <v>74.72</v>
      </c>
      <c r="L23" s="332">
        <f>G23*$C$3</f>
        <v>23.889899999999997</v>
      </c>
      <c r="M23" s="333">
        <f t="shared" ref="M23:M53" si="8">K23+L23</f>
        <v>98.609899999999996</v>
      </c>
      <c r="N23" s="334">
        <v>0</v>
      </c>
      <c r="O23" s="335">
        <f t="shared" si="2"/>
        <v>0</v>
      </c>
      <c r="P23" s="334"/>
      <c r="Q23" s="334"/>
      <c r="R23" s="336"/>
      <c r="S23" s="337">
        <f t="shared" si="3"/>
        <v>0</v>
      </c>
      <c r="T23" s="338">
        <f t="shared" ref="T23:T53" si="9">O23*P23+O23*Q23*R23</f>
        <v>0</v>
      </c>
      <c r="U23" s="393">
        <f>IF(S23*M23-T23&gt;0,(1-S23)*M23+(S23*M23-T23),(1-S23)*M23)</f>
        <v>98.609899999999996</v>
      </c>
    </row>
    <row r="24" spans="1:21" ht="16.5">
      <c r="A24" s="324" t="s">
        <v>622</v>
      </c>
      <c r="B24" s="324" t="s">
        <v>620</v>
      </c>
      <c r="C24" s="325">
        <v>0</v>
      </c>
      <c r="D24" s="326">
        <v>400</v>
      </c>
      <c r="E24" s="327">
        <v>5.0000000000000001E-3</v>
      </c>
      <c r="F24" s="328">
        <f t="shared" si="5"/>
        <v>2</v>
      </c>
      <c r="G24" s="329">
        <v>0</v>
      </c>
      <c r="H24" s="330">
        <v>1.8E-3</v>
      </c>
      <c r="I24" s="331">
        <f t="shared" si="6"/>
        <v>0</v>
      </c>
      <c r="J24" s="332">
        <f t="shared" si="1"/>
        <v>2</v>
      </c>
      <c r="K24" s="332">
        <f t="shared" si="7"/>
        <v>0.64</v>
      </c>
      <c r="L24" s="332">
        <f t="shared" ref="L24:L31" si="10">G24*$C$3</f>
        <v>0</v>
      </c>
      <c r="M24" s="333">
        <f t="shared" si="8"/>
        <v>0.64</v>
      </c>
      <c r="N24" s="334">
        <v>0</v>
      </c>
      <c r="O24" s="335">
        <f t="shared" si="2"/>
        <v>0</v>
      </c>
      <c r="P24" s="334"/>
      <c r="Q24" s="334"/>
      <c r="R24" s="336"/>
      <c r="S24" s="337">
        <f t="shared" si="3"/>
        <v>0</v>
      </c>
      <c r="T24" s="338">
        <f>O24*P24+O24*Q24*R24</f>
        <v>0</v>
      </c>
      <c r="U24" s="393">
        <f>IF(S24*M24-T24&gt;0,(1-S24)*M24+(S24*M24-T24),(1-S24)*M24)</f>
        <v>0.64</v>
      </c>
    </row>
    <row r="25" spans="1:21" ht="16.5">
      <c r="A25" s="324" t="s">
        <v>623</v>
      </c>
      <c r="B25" s="324" t="s">
        <v>620</v>
      </c>
      <c r="C25" s="325">
        <v>0</v>
      </c>
      <c r="D25" s="326">
        <v>23900</v>
      </c>
      <c r="E25" s="327">
        <v>5.0000000000000001E-3</v>
      </c>
      <c r="F25" s="328">
        <f t="shared" si="5"/>
        <v>119.5</v>
      </c>
      <c r="G25" s="329">
        <v>94838</v>
      </c>
      <c r="H25" s="330">
        <v>1.8E-3</v>
      </c>
      <c r="I25" s="331">
        <f t="shared" si="6"/>
        <v>170.70839999999998</v>
      </c>
      <c r="J25" s="332">
        <f t="shared" si="1"/>
        <v>290.20839999999998</v>
      </c>
      <c r="K25" s="332">
        <f t="shared" si="7"/>
        <v>38.24</v>
      </c>
      <c r="L25" s="332">
        <f t="shared" si="10"/>
        <v>28.451399999999996</v>
      </c>
      <c r="M25" s="333">
        <f t="shared" si="8"/>
        <v>66.691400000000002</v>
      </c>
      <c r="N25" s="334">
        <v>0</v>
      </c>
      <c r="O25" s="335">
        <f t="shared" si="2"/>
        <v>0</v>
      </c>
      <c r="P25" s="334"/>
      <c r="Q25" s="334"/>
      <c r="R25" s="336"/>
      <c r="S25" s="337">
        <f t="shared" si="3"/>
        <v>0</v>
      </c>
      <c r="T25" s="338">
        <f t="shared" si="9"/>
        <v>0</v>
      </c>
      <c r="U25" s="393">
        <f t="shared" si="4"/>
        <v>66.691400000000002</v>
      </c>
    </row>
    <row r="26" spans="1:21" ht="16.5">
      <c r="A26" s="324" t="s">
        <v>624</v>
      </c>
      <c r="B26" s="324" t="s">
        <v>620</v>
      </c>
      <c r="C26" s="325">
        <v>9</v>
      </c>
      <c r="D26" s="326">
        <v>1400</v>
      </c>
      <c r="E26" s="327">
        <v>5.0000000000000001E-3</v>
      </c>
      <c r="F26" s="328">
        <f t="shared" si="5"/>
        <v>7</v>
      </c>
      <c r="G26" s="339">
        <v>434</v>
      </c>
      <c r="H26" s="330">
        <v>1.8E-3</v>
      </c>
      <c r="I26" s="331">
        <f t="shared" si="6"/>
        <v>0.78120000000000001</v>
      </c>
      <c r="J26" s="332">
        <f t="shared" si="1"/>
        <v>7.7812000000000001</v>
      </c>
      <c r="K26" s="332">
        <f t="shared" si="7"/>
        <v>2.2400000000000002</v>
      </c>
      <c r="L26" s="332">
        <f t="shared" si="10"/>
        <v>0.13019999999999998</v>
      </c>
      <c r="M26" s="333">
        <f t="shared" si="8"/>
        <v>2.3702000000000001</v>
      </c>
      <c r="N26" s="334">
        <v>4243</v>
      </c>
      <c r="O26" s="335">
        <f t="shared" si="2"/>
        <v>1060.75</v>
      </c>
      <c r="P26" s="334"/>
      <c r="Q26" s="340">
        <v>5.0000000000000001E-4</v>
      </c>
      <c r="R26" s="336">
        <v>20</v>
      </c>
      <c r="S26" s="337">
        <f t="shared" si="3"/>
        <v>0.75767857142857142</v>
      </c>
      <c r="T26" s="338">
        <f t="shared" si="9"/>
        <v>10.607500000000002</v>
      </c>
      <c r="U26" s="393">
        <f t="shared" si="4"/>
        <v>0.57435025000000006</v>
      </c>
    </row>
    <row r="27" spans="1:21" ht="16.5">
      <c r="A27" s="324" t="s">
        <v>625</v>
      </c>
      <c r="B27" s="324" t="s">
        <v>620</v>
      </c>
      <c r="C27" s="325">
        <v>0</v>
      </c>
      <c r="D27" s="326">
        <v>150000</v>
      </c>
      <c r="E27" s="327">
        <v>1.4999999999999999E-2</v>
      </c>
      <c r="F27" s="328">
        <f t="shared" si="5"/>
        <v>2250</v>
      </c>
      <c r="G27" s="341">
        <v>416516</v>
      </c>
      <c r="H27" s="330">
        <v>1.8E-3</v>
      </c>
      <c r="I27" s="331">
        <f t="shared" si="6"/>
        <v>749.72879999999998</v>
      </c>
      <c r="J27" s="332">
        <f t="shared" si="1"/>
        <v>2999.7287999999999</v>
      </c>
      <c r="K27" s="332">
        <f t="shared" si="7"/>
        <v>240</v>
      </c>
      <c r="L27" s="332">
        <f t="shared" si="10"/>
        <v>124.95479999999999</v>
      </c>
      <c r="M27" s="333">
        <f t="shared" si="8"/>
        <v>364.95479999999998</v>
      </c>
      <c r="N27" s="334">
        <v>0</v>
      </c>
      <c r="O27" s="335">
        <f t="shared" si="2"/>
        <v>0</v>
      </c>
      <c r="P27" s="334"/>
      <c r="Q27" s="334"/>
      <c r="R27" s="336"/>
      <c r="S27" s="337">
        <f t="shared" si="3"/>
        <v>0</v>
      </c>
      <c r="T27" s="338">
        <f t="shared" si="9"/>
        <v>0</v>
      </c>
      <c r="U27" s="393">
        <f t="shared" si="4"/>
        <v>364.95479999999998</v>
      </c>
    </row>
    <row r="28" spans="1:21" ht="16.5">
      <c r="A28" s="324" t="s">
        <v>626</v>
      </c>
      <c r="B28" s="324" t="s">
        <v>620</v>
      </c>
      <c r="C28" s="325">
        <v>4</v>
      </c>
      <c r="D28" s="326">
        <v>6900</v>
      </c>
      <c r="E28" s="327"/>
      <c r="F28" s="328"/>
      <c r="G28" s="342">
        <v>125</v>
      </c>
      <c r="H28" s="330">
        <v>8.0000000000000004E-4</v>
      </c>
      <c r="I28" s="331">
        <f t="shared" si="6"/>
        <v>0.1</v>
      </c>
      <c r="J28" s="332"/>
      <c r="K28" s="332"/>
      <c r="L28" s="332">
        <f t="shared" si="10"/>
        <v>3.7499999999999999E-2</v>
      </c>
      <c r="M28" s="343"/>
      <c r="N28" s="334"/>
      <c r="O28" s="335"/>
      <c r="P28" s="334"/>
      <c r="Q28" s="334"/>
      <c r="R28" s="336"/>
      <c r="S28" s="337"/>
      <c r="T28" s="338"/>
      <c r="U28" s="393"/>
    </row>
    <row r="29" spans="1:21" ht="16.5">
      <c r="A29" s="324" t="s">
        <v>627</v>
      </c>
      <c r="B29" s="324" t="s">
        <v>620</v>
      </c>
      <c r="C29" s="325">
        <v>5</v>
      </c>
      <c r="D29" s="326">
        <v>1800</v>
      </c>
      <c r="E29" s="327"/>
      <c r="F29" s="328"/>
      <c r="G29" s="342">
        <v>33</v>
      </c>
      <c r="H29" s="330">
        <v>8.0000000000000004E-4</v>
      </c>
      <c r="I29" s="331">
        <f t="shared" si="6"/>
        <v>2.64E-2</v>
      </c>
      <c r="J29" s="332"/>
      <c r="K29" s="332"/>
      <c r="L29" s="332">
        <f t="shared" si="10"/>
        <v>9.8999999999999991E-3</v>
      </c>
      <c r="M29" s="343"/>
      <c r="N29" s="334"/>
      <c r="O29" s="335"/>
      <c r="P29" s="334"/>
      <c r="Q29" s="334"/>
      <c r="R29" s="336"/>
      <c r="S29" s="337"/>
      <c r="T29" s="338"/>
      <c r="U29" s="393"/>
    </row>
    <row r="30" spans="1:21" ht="16.5">
      <c r="A30" s="324" t="s">
        <v>628</v>
      </c>
      <c r="B30" s="324" t="s">
        <v>620</v>
      </c>
      <c r="C30" s="325">
        <v>0</v>
      </c>
      <c r="D30" s="326">
        <v>500</v>
      </c>
      <c r="E30" s="327"/>
      <c r="F30" s="328"/>
      <c r="G30" s="329"/>
      <c r="H30" s="330">
        <v>1.8E-3</v>
      </c>
      <c r="I30" s="331">
        <f t="shared" si="6"/>
        <v>0</v>
      </c>
      <c r="J30" s="332">
        <f>F30+I30</f>
        <v>0</v>
      </c>
      <c r="K30" s="332">
        <f>D30*$B$3</f>
        <v>0.8</v>
      </c>
      <c r="L30" s="332">
        <f t="shared" si="10"/>
        <v>0</v>
      </c>
      <c r="M30" s="333">
        <f t="shared" si="8"/>
        <v>0.8</v>
      </c>
      <c r="N30" s="334">
        <v>0</v>
      </c>
      <c r="O30" s="335">
        <f>N30*(12-C30)/12</f>
        <v>0</v>
      </c>
      <c r="P30" s="334"/>
      <c r="Q30" s="334"/>
      <c r="R30" s="336"/>
      <c r="S30" s="337">
        <f>O30/D30</f>
        <v>0</v>
      </c>
      <c r="T30" s="338">
        <f t="shared" si="9"/>
        <v>0</v>
      </c>
      <c r="U30" s="393">
        <f t="shared" si="4"/>
        <v>0.8</v>
      </c>
    </row>
    <row r="31" spans="1:21" ht="16.5">
      <c r="A31" s="324" t="s">
        <v>629</v>
      </c>
      <c r="B31" s="324" t="s">
        <v>620</v>
      </c>
      <c r="C31" s="325">
        <v>0</v>
      </c>
      <c r="D31" s="326">
        <v>100</v>
      </c>
      <c r="E31" s="327"/>
      <c r="F31" s="328"/>
      <c r="G31" s="329"/>
      <c r="H31" s="330">
        <v>1.8E-3</v>
      </c>
      <c r="I31" s="331">
        <f>G31*H31</f>
        <v>0</v>
      </c>
      <c r="J31" s="332">
        <f>F31+I31</f>
        <v>0</v>
      </c>
      <c r="K31" s="332">
        <f>D31*$B$3</f>
        <v>0.16</v>
      </c>
      <c r="L31" s="332">
        <f t="shared" si="10"/>
        <v>0</v>
      </c>
      <c r="M31" s="333">
        <f t="shared" si="8"/>
        <v>0.16</v>
      </c>
      <c r="N31" s="334">
        <v>0</v>
      </c>
      <c r="O31" s="335">
        <f>N31*(12-C31)/12</f>
        <v>0</v>
      </c>
      <c r="P31" s="334"/>
      <c r="Q31" s="334"/>
      <c r="R31" s="336"/>
      <c r="S31" s="337">
        <f>O31/D31</f>
        <v>0</v>
      </c>
      <c r="T31" s="338">
        <f t="shared" si="9"/>
        <v>0</v>
      </c>
      <c r="U31" s="393">
        <f t="shared" si="4"/>
        <v>0.16</v>
      </c>
    </row>
    <row r="32" spans="1:21" ht="16.5">
      <c r="A32" s="447" t="s">
        <v>630</v>
      </c>
      <c r="B32" s="448"/>
      <c r="C32" s="344"/>
      <c r="D32" s="344">
        <f>SUM(D22:D31)</f>
        <v>261800</v>
      </c>
      <c r="E32" s="344">
        <f t="shared" ref="E32:T32" si="11">SUM(E22:E31)</f>
        <v>4.7E-2</v>
      </c>
      <c r="F32" s="344">
        <f t="shared" si="11"/>
        <v>3139.2</v>
      </c>
      <c r="G32" s="344">
        <f t="shared" si="11"/>
        <v>591579</v>
      </c>
      <c r="H32" s="344">
        <f t="shared" si="11"/>
        <v>1.6E-2</v>
      </c>
      <c r="I32" s="344">
        <f t="shared" si="11"/>
        <v>1064.6841999999999</v>
      </c>
      <c r="J32" s="344">
        <f t="shared" si="11"/>
        <v>4203.7577999999994</v>
      </c>
      <c r="K32" s="344">
        <f t="shared" si="11"/>
        <v>404.96000000000004</v>
      </c>
      <c r="L32" s="344">
        <f t="shared" si="11"/>
        <v>177.47369999999995</v>
      </c>
      <c r="M32" s="344">
        <f>SUM(M22:M31)</f>
        <v>582.38629999999989</v>
      </c>
      <c r="N32" s="344">
        <f t="shared" si="11"/>
        <v>4243</v>
      </c>
      <c r="O32" s="335">
        <f>SUM(O22:O31)</f>
        <v>1060.75</v>
      </c>
      <c r="P32" s="344">
        <f t="shared" si="11"/>
        <v>0</v>
      </c>
      <c r="Q32" s="344">
        <f t="shared" si="11"/>
        <v>5.0000000000000001E-4</v>
      </c>
      <c r="R32" s="345">
        <f t="shared" si="11"/>
        <v>20</v>
      </c>
      <c r="S32" s="344">
        <f t="shared" si="11"/>
        <v>0.75767857142857142</v>
      </c>
      <c r="T32" s="344">
        <f t="shared" si="11"/>
        <v>10.607500000000002</v>
      </c>
      <c r="U32" s="344">
        <f>SUM(U22:U31)</f>
        <v>580.59045024999989</v>
      </c>
    </row>
    <row r="33" spans="1:21" ht="16.5">
      <c r="A33" s="324" t="s">
        <v>631</v>
      </c>
      <c r="B33" s="324" t="s">
        <v>632</v>
      </c>
      <c r="C33" s="325">
        <v>0</v>
      </c>
      <c r="D33" s="326">
        <v>55900</v>
      </c>
      <c r="E33" s="327">
        <v>5.0000000000000001E-3</v>
      </c>
      <c r="F33" s="328">
        <f t="shared" si="5"/>
        <v>279.5</v>
      </c>
      <c r="G33" s="329">
        <v>0</v>
      </c>
      <c r="H33" s="330">
        <v>2E-3</v>
      </c>
      <c r="I33" s="331">
        <f>G33*H33</f>
        <v>0</v>
      </c>
      <c r="J33" s="332">
        <f t="shared" ref="J33:J38" si="12">F33+I33</f>
        <v>279.5</v>
      </c>
      <c r="K33" s="332">
        <f t="shared" ref="K33:K38" si="13">D33*$B$4</f>
        <v>16.77</v>
      </c>
      <c r="L33" s="332"/>
      <c r="M33" s="333">
        <f>K33+L33</f>
        <v>16.77</v>
      </c>
      <c r="N33" s="335">
        <v>42906.523333333345</v>
      </c>
      <c r="O33" s="335">
        <f>N33*(12-C33)/12</f>
        <v>42906.523333333345</v>
      </c>
      <c r="P33" s="346">
        <v>3.0000000000000001E-3</v>
      </c>
      <c r="Q33" s="334"/>
      <c r="R33" s="336"/>
      <c r="S33" s="337">
        <f t="shared" ref="S33:S38" si="14">O33/D33</f>
        <v>0.7675585569469292</v>
      </c>
      <c r="T33" s="338">
        <f>O33*P33+O33*Q33*R33</f>
        <v>128.71957000000003</v>
      </c>
      <c r="U33" s="393">
        <f>IF(S33*M33-T33&gt;0,(1-S33)*M33+(S33*M33-T33),(1-S33)*M33)</f>
        <v>3.8980429999999973</v>
      </c>
    </row>
    <row r="34" spans="1:21" ht="16.5">
      <c r="A34" s="324" t="s">
        <v>633</v>
      </c>
      <c r="B34" s="324" t="s">
        <v>632</v>
      </c>
      <c r="C34" s="325">
        <v>3</v>
      </c>
      <c r="D34" s="326">
        <v>46100</v>
      </c>
      <c r="E34" s="327">
        <v>5.0000000000000001E-3</v>
      </c>
      <c r="F34" s="328">
        <f t="shared" si="5"/>
        <v>230.5</v>
      </c>
      <c r="G34" s="329">
        <v>0</v>
      </c>
      <c r="H34" s="330">
        <v>1E-3</v>
      </c>
      <c r="I34" s="331">
        <f t="shared" ref="I34:I53" si="15">G34*H34</f>
        <v>0</v>
      </c>
      <c r="J34" s="332">
        <f t="shared" si="12"/>
        <v>230.5</v>
      </c>
      <c r="K34" s="332">
        <f t="shared" si="13"/>
        <v>13.829999999999998</v>
      </c>
      <c r="L34" s="332"/>
      <c r="M34" s="333">
        <f t="shared" si="8"/>
        <v>13.829999999999998</v>
      </c>
      <c r="N34" s="334">
        <v>0</v>
      </c>
      <c r="O34" s="335">
        <f>N34*(12-C34)/12</f>
        <v>0</v>
      </c>
      <c r="P34" s="334"/>
      <c r="Q34" s="334"/>
      <c r="R34" s="336"/>
      <c r="S34" s="337">
        <f t="shared" si="14"/>
        <v>0</v>
      </c>
      <c r="T34" s="338">
        <f t="shared" si="9"/>
        <v>0</v>
      </c>
      <c r="U34" s="393">
        <f t="shared" si="4"/>
        <v>13.829999999999998</v>
      </c>
    </row>
    <row r="35" spans="1:21" ht="20.25" customHeight="1">
      <c r="A35" s="324" t="s">
        <v>634</v>
      </c>
      <c r="B35" s="324" t="s">
        <v>632</v>
      </c>
      <c r="C35" s="325">
        <v>9</v>
      </c>
      <c r="D35" s="326">
        <v>4400</v>
      </c>
      <c r="E35" s="327">
        <v>5.0000000000000001E-3</v>
      </c>
      <c r="F35" s="328">
        <f t="shared" si="5"/>
        <v>22</v>
      </c>
      <c r="G35" s="329">
        <v>0</v>
      </c>
      <c r="H35" s="330">
        <v>2E-3</v>
      </c>
      <c r="I35" s="331">
        <f t="shared" si="15"/>
        <v>0</v>
      </c>
      <c r="J35" s="347">
        <f t="shared" si="12"/>
        <v>22</v>
      </c>
      <c r="K35" s="347">
        <f t="shared" si="13"/>
        <v>1.3199999999999998</v>
      </c>
      <c r="L35" s="332"/>
      <c r="M35" s="333">
        <f t="shared" si="8"/>
        <v>1.3199999999999998</v>
      </c>
      <c r="N35" s="334">
        <v>14725</v>
      </c>
      <c r="O35" s="335">
        <v>4400</v>
      </c>
      <c r="P35" s="346">
        <v>5.0000000000000001E-3</v>
      </c>
      <c r="Q35" s="334"/>
      <c r="R35" s="336" t="s">
        <v>635</v>
      </c>
      <c r="S35" s="337">
        <f t="shared" si="14"/>
        <v>1</v>
      </c>
      <c r="T35" s="338">
        <f>O35*P35+I35*0.3</f>
        <v>22</v>
      </c>
      <c r="U35" s="393">
        <f t="shared" si="4"/>
        <v>0</v>
      </c>
    </row>
    <row r="36" spans="1:21" ht="16.5">
      <c r="A36" s="324" t="s">
        <v>636</v>
      </c>
      <c r="B36" s="324" t="s">
        <v>632</v>
      </c>
      <c r="C36" s="325">
        <v>10</v>
      </c>
      <c r="D36" s="326">
        <v>3000</v>
      </c>
      <c r="E36" s="327">
        <v>5.0000000000000001E-3</v>
      </c>
      <c r="F36" s="328">
        <f t="shared" si="5"/>
        <v>15</v>
      </c>
      <c r="G36" s="329">
        <v>0</v>
      </c>
      <c r="H36" s="330">
        <v>2E-3</v>
      </c>
      <c r="I36" s="331">
        <f t="shared" si="15"/>
        <v>0</v>
      </c>
      <c r="J36" s="332">
        <f t="shared" si="12"/>
        <v>15</v>
      </c>
      <c r="K36" s="332">
        <f t="shared" si="13"/>
        <v>0.89999999999999991</v>
      </c>
      <c r="L36" s="332"/>
      <c r="M36" s="333">
        <f t="shared" si="8"/>
        <v>0.89999999999999991</v>
      </c>
      <c r="N36" s="334">
        <v>11297</v>
      </c>
      <c r="O36" s="335">
        <v>3000</v>
      </c>
      <c r="P36" s="346">
        <v>5.0000000000000001E-3</v>
      </c>
      <c r="Q36" s="334"/>
      <c r="R36" s="336"/>
      <c r="S36" s="337">
        <f t="shared" si="14"/>
        <v>1</v>
      </c>
      <c r="T36" s="338">
        <f t="shared" si="9"/>
        <v>15</v>
      </c>
      <c r="U36" s="393">
        <f>IF(S36*M36-T36&gt;0,(1-S36)*M36+(S36*M36-T36),(1-S36)*M36)</f>
        <v>0</v>
      </c>
    </row>
    <row r="37" spans="1:21" ht="16.5">
      <c r="A37" s="324" t="s">
        <v>637</v>
      </c>
      <c r="B37" s="324" t="s">
        <v>632</v>
      </c>
      <c r="C37" s="325">
        <v>8</v>
      </c>
      <c r="D37" s="326">
        <f>25200/2</f>
        <v>12600</v>
      </c>
      <c r="E37" s="327">
        <v>3.0000000000000001E-3</v>
      </c>
      <c r="F37" s="328">
        <f t="shared" si="5"/>
        <v>37.800000000000004</v>
      </c>
      <c r="G37" s="329">
        <v>0</v>
      </c>
      <c r="H37" s="330">
        <v>2.0000000000000001E-4</v>
      </c>
      <c r="I37" s="331">
        <f t="shared" si="15"/>
        <v>0</v>
      </c>
      <c r="J37" s="332">
        <f t="shared" si="12"/>
        <v>37.800000000000004</v>
      </c>
      <c r="K37" s="332">
        <f t="shared" si="13"/>
        <v>3.78</v>
      </c>
      <c r="L37" s="332"/>
      <c r="M37" s="333">
        <f t="shared" si="8"/>
        <v>3.78</v>
      </c>
      <c r="N37" s="334">
        <v>0</v>
      </c>
      <c r="O37" s="335">
        <f t="shared" ref="O37:O43" si="16">N37*(12-C37)/12</f>
        <v>0</v>
      </c>
      <c r="P37" s="334"/>
      <c r="Q37" s="334"/>
      <c r="R37" s="336"/>
      <c r="S37" s="337">
        <f t="shared" si="14"/>
        <v>0</v>
      </c>
      <c r="T37" s="338">
        <f t="shared" si="9"/>
        <v>0</v>
      </c>
      <c r="U37" s="393">
        <f t="shared" si="4"/>
        <v>3.78</v>
      </c>
    </row>
    <row r="38" spans="1:21" ht="16.5">
      <c r="A38" s="324" t="s">
        <v>638</v>
      </c>
      <c r="B38" s="324" t="s">
        <v>632</v>
      </c>
      <c r="C38" s="325">
        <v>0</v>
      </c>
      <c r="D38" s="326">
        <v>50000</v>
      </c>
      <c r="E38" s="327">
        <v>2E-3</v>
      </c>
      <c r="F38" s="328">
        <f t="shared" si="5"/>
        <v>100</v>
      </c>
      <c r="G38" s="329">
        <v>0</v>
      </c>
      <c r="H38" s="330">
        <v>2.0000000000000001E-4</v>
      </c>
      <c r="I38" s="331">
        <f t="shared" si="15"/>
        <v>0</v>
      </c>
      <c r="J38" s="332">
        <f t="shared" si="12"/>
        <v>100</v>
      </c>
      <c r="K38" s="332">
        <f t="shared" si="13"/>
        <v>14.999999999999998</v>
      </c>
      <c r="L38" s="332"/>
      <c r="M38" s="333">
        <f t="shared" si="8"/>
        <v>14.999999999999998</v>
      </c>
      <c r="N38" s="335">
        <f>D38</f>
        <v>50000</v>
      </c>
      <c r="O38" s="335">
        <f t="shared" si="16"/>
        <v>50000</v>
      </c>
      <c r="P38" s="340">
        <v>1E-3</v>
      </c>
      <c r="Q38" s="334"/>
      <c r="R38" s="348">
        <f>H38/2</f>
        <v>1E-4</v>
      </c>
      <c r="S38" s="337">
        <f t="shared" si="14"/>
        <v>1</v>
      </c>
      <c r="T38" s="338">
        <f>O38*P38+O38*Q38*R38</f>
        <v>50</v>
      </c>
      <c r="U38" s="393">
        <f t="shared" si="4"/>
        <v>0</v>
      </c>
    </row>
    <row r="39" spans="1:21" ht="16.5">
      <c r="A39" s="349" t="s">
        <v>639</v>
      </c>
      <c r="B39" s="349"/>
      <c r="C39" s="344"/>
      <c r="D39" s="344">
        <f t="shared" ref="D39:N39" si="17">SUM(D33:D38)</f>
        <v>172000</v>
      </c>
      <c r="E39" s="344">
        <f t="shared" si="17"/>
        <v>2.5000000000000001E-2</v>
      </c>
      <c r="F39" s="344">
        <f t="shared" si="17"/>
        <v>684.8</v>
      </c>
      <c r="G39" s="344">
        <f t="shared" si="17"/>
        <v>0</v>
      </c>
      <c r="H39" s="344">
        <f t="shared" si="17"/>
        <v>7.3999999999999995E-3</v>
      </c>
      <c r="I39" s="344">
        <f t="shared" si="17"/>
        <v>0</v>
      </c>
      <c r="J39" s="344">
        <f t="shared" si="17"/>
        <v>684.8</v>
      </c>
      <c r="K39" s="344">
        <f t="shared" si="17"/>
        <v>51.6</v>
      </c>
      <c r="L39" s="344">
        <f t="shared" si="17"/>
        <v>0</v>
      </c>
      <c r="M39" s="344">
        <f t="shared" si="17"/>
        <v>51.6</v>
      </c>
      <c r="N39" s="344">
        <f t="shared" si="17"/>
        <v>118928.52333333335</v>
      </c>
      <c r="O39" s="335">
        <f t="shared" si="16"/>
        <v>118928.52333333336</v>
      </c>
      <c r="P39" s="344">
        <f t="shared" ref="P39:U39" si="18">SUM(P33:P38)</f>
        <v>1.4000000000000002E-2</v>
      </c>
      <c r="Q39" s="344">
        <f t="shared" si="18"/>
        <v>0</v>
      </c>
      <c r="R39" s="345">
        <f t="shared" si="18"/>
        <v>1E-4</v>
      </c>
      <c r="S39" s="344">
        <f t="shared" si="18"/>
        <v>3.7675585569469292</v>
      </c>
      <c r="T39" s="344">
        <f t="shared" si="18"/>
        <v>215.71957000000003</v>
      </c>
      <c r="U39" s="394">
        <f t="shared" si="18"/>
        <v>21.508042999999997</v>
      </c>
    </row>
    <row r="40" spans="1:21" ht="16.5">
      <c r="A40" s="324" t="s">
        <v>637</v>
      </c>
      <c r="B40" s="324" t="s">
        <v>16</v>
      </c>
      <c r="C40" s="325">
        <v>8</v>
      </c>
      <c r="D40" s="326">
        <f>25200/2</f>
        <v>12600</v>
      </c>
      <c r="E40" s="327">
        <v>3.0000000000000001E-3</v>
      </c>
      <c r="F40" s="328">
        <f t="shared" ref="F40:F43" si="19">D40*E40</f>
        <v>37.800000000000004</v>
      </c>
      <c r="G40" s="329">
        <v>0</v>
      </c>
      <c r="H40" s="330">
        <v>2.0000000000000001E-4</v>
      </c>
      <c r="I40" s="331">
        <f t="shared" ref="I40:I43" si="20">G40*H40</f>
        <v>0</v>
      </c>
      <c r="J40" s="332">
        <f>F40+I40</f>
        <v>37.800000000000004</v>
      </c>
      <c r="K40" s="332">
        <f>D40*$B$4</f>
        <v>3.78</v>
      </c>
      <c r="L40" s="332"/>
      <c r="M40" s="333">
        <f t="shared" ref="M40:M43" si="21">K40+L40</f>
        <v>3.78</v>
      </c>
      <c r="N40" s="334">
        <v>0</v>
      </c>
      <c r="O40" s="335">
        <f t="shared" si="16"/>
        <v>0</v>
      </c>
      <c r="P40" s="334"/>
      <c r="Q40" s="334"/>
      <c r="R40" s="336"/>
      <c r="S40" s="337">
        <f>O40/D40</f>
        <v>0</v>
      </c>
      <c r="T40" s="338">
        <f t="shared" ref="T40:T43" si="22">O40*P40+O40*Q40*R40</f>
        <v>0</v>
      </c>
      <c r="U40" s="393">
        <f t="shared" ref="U40:U43" si="23">IF(S40*M40-T40&gt;0,(1-S40)*M40+(S40*M40-T40),(1-S40)*M40)</f>
        <v>3.78</v>
      </c>
    </row>
    <row r="41" spans="1:21" ht="16.5">
      <c r="A41" s="324" t="s">
        <v>640</v>
      </c>
      <c r="B41" s="324" t="s">
        <v>16</v>
      </c>
      <c r="C41" s="325">
        <v>0</v>
      </c>
      <c r="D41" s="326">
        <v>42500</v>
      </c>
      <c r="E41" s="327">
        <v>2E-3</v>
      </c>
      <c r="F41" s="328">
        <f t="shared" si="19"/>
        <v>85</v>
      </c>
      <c r="G41" s="329">
        <v>0</v>
      </c>
      <c r="H41" s="350">
        <v>2.0000000000000002E-5</v>
      </c>
      <c r="I41" s="331">
        <f t="shared" si="20"/>
        <v>0</v>
      </c>
      <c r="J41" s="332">
        <f>F41+I41</f>
        <v>85</v>
      </c>
      <c r="K41" s="332">
        <f>D41*$B$4</f>
        <v>12.749999999999998</v>
      </c>
      <c r="L41" s="332"/>
      <c r="M41" s="333">
        <f t="shared" si="21"/>
        <v>12.749999999999998</v>
      </c>
      <c r="N41" s="334">
        <v>0</v>
      </c>
      <c r="O41" s="335">
        <f t="shared" si="16"/>
        <v>0</v>
      </c>
      <c r="P41" s="334"/>
      <c r="Q41" s="334"/>
      <c r="R41" s="336"/>
      <c r="S41" s="337">
        <f>O41/D41</f>
        <v>0</v>
      </c>
      <c r="T41" s="338">
        <f t="shared" si="22"/>
        <v>0</v>
      </c>
      <c r="U41" s="393">
        <f t="shared" si="23"/>
        <v>12.749999999999998</v>
      </c>
    </row>
    <row r="42" spans="1:21" ht="16.5">
      <c r="A42" s="324" t="s">
        <v>641</v>
      </c>
      <c r="B42" s="324" t="s">
        <v>16</v>
      </c>
      <c r="C42" s="325">
        <v>3</v>
      </c>
      <c r="D42" s="326">
        <v>16200</v>
      </c>
      <c r="E42" s="327">
        <v>1E-3</v>
      </c>
      <c r="F42" s="328">
        <f t="shared" si="19"/>
        <v>16.2</v>
      </c>
      <c r="G42" s="329">
        <v>0</v>
      </c>
      <c r="H42" s="350">
        <v>2.0000000000000002E-5</v>
      </c>
      <c r="I42" s="331">
        <f t="shared" si="20"/>
        <v>0</v>
      </c>
      <c r="J42" s="332">
        <f>F42+I42</f>
        <v>16.2</v>
      </c>
      <c r="K42" s="332">
        <f>D42*$B$4</f>
        <v>4.8599999999999994</v>
      </c>
      <c r="L42" s="332"/>
      <c r="M42" s="333">
        <f t="shared" si="21"/>
        <v>4.8599999999999994</v>
      </c>
      <c r="N42" s="334">
        <v>0</v>
      </c>
      <c r="O42" s="335">
        <f t="shared" si="16"/>
        <v>0</v>
      </c>
      <c r="P42" s="334"/>
      <c r="Q42" s="334"/>
      <c r="R42" s="336"/>
      <c r="S42" s="337">
        <f>O42/D42</f>
        <v>0</v>
      </c>
      <c r="T42" s="338">
        <f t="shared" si="22"/>
        <v>0</v>
      </c>
      <c r="U42" s="393">
        <f t="shared" si="23"/>
        <v>4.8599999999999994</v>
      </c>
    </row>
    <row r="43" spans="1:21" s="395" customFormat="1" ht="16.5">
      <c r="A43" s="324" t="s">
        <v>642</v>
      </c>
      <c r="B43" s="324" t="s">
        <v>16</v>
      </c>
      <c r="C43" s="325">
        <v>6</v>
      </c>
      <c r="D43" s="326">
        <v>400</v>
      </c>
      <c r="E43" s="327">
        <v>1E-3</v>
      </c>
      <c r="F43" s="328">
        <f t="shared" si="19"/>
        <v>0.4</v>
      </c>
      <c r="G43" s="329">
        <v>0</v>
      </c>
      <c r="H43" s="330">
        <v>2.0000000000000001E-4</v>
      </c>
      <c r="I43" s="331">
        <f t="shared" si="20"/>
        <v>0</v>
      </c>
      <c r="J43" s="332">
        <f>F43+I43</f>
        <v>0.4</v>
      </c>
      <c r="K43" s="332">
        <f>D43*$B$4</f>
        <v>0.12</v>
      </c>
      <c r="L43" s="332"/>
      <c r="M43" s="333">
        <f t="shared" si="21"/>
        <v>0.12</v>
      </c>
      <c r="N43" s="334">
        <v>0</v>
      </c>
      <c r="O43" s="335">
        <f t="shared" si="16"/>
        <v>0</v>
      </c>
      <c r="P43" s="334"/>
      <c r="Q43" s="334"/>
      <c r="R43" s="336"/>
      <c r="S43" s="337">
        <f>O43/D43</f>
        <v>0</v>
      </c>
      <c r="T43" s="338">
        <f t="shared" si="22"/>
        <v>0</v>
      </c>
      <c r="U43" s="393">
        <f t="shared" si="23"/>
        <v>0.12</v>
      </c>
    </row>
    <row r="44" spans="1:21" ht="15">
      <c r="A44" s="349" t="s">
        <v>643</v>
      </c>
      <c r="B44" s="349"/>
      <c r="C44" s="344"/>
      <c r="D44" s="344">
        <f>SUM(D40:D43)</f>
        <v>71700</v>
      </c>
      <c r="E44" s="344"/>
      <c r="F44" s="344">
        <f>SUM(F40:F43)</f>
        <v>139.4</v>
      </c>
      <c r="G44" s="344"/>
      <c r="H44" s="344"/>
      <c r="I44" s="344"/>
      <c r="J44" s="344">
        <f>SUM(J40:J43)</f>
        <v>139.4</v>
      </c>
      <c r="K44" s="344">
        <f t="shared" ref="K44:U44" si="24">SUM(K40:K43)</f>
        <v>21.509999999999998</v>
      </c>
      <c r="L44" s="344">
        <f t="shared" si="24"/>
        <v>0</v>
      </c>
      <c r="M44" s="344">
        <f t="shared" si="24"/>
        <v>21.509999999999998</v>
      </c>
      <c r="N44" s="344">
        <f t="shared" si="24"/>
        <v>0</v>
      </c>
      <c r="O44" s="344">
        <f t="shared" si="24"/>
        <v>0</v>
      </c>
      <c r="P44" s="344">
        <f t="shared" si="24"/>
        <v>0</v>
      </c>
      <c r="Q44" s="344">
        <f t="shared" si="24"/>
        <v>0</v>
      </c>
      <c r="R44" s="345">
        <f t="shared" si="24"/>
        <v>0</v>
      </c>
      <c r="S44" s="344">
        <f t="shared" si="24"/>
        <v>0</v>
      </c>
      <c r="T44" s="344">
        <f t="shared" si="24"/>
        <v>0</v>
      </c>
      <c r="U44" s="394">
        <f t="shared" si="24"/>
        <v>21.509999999999998</v>
      </c>
    </row>
    <row r="45" spans="1:21" ht="16.5">
      <c r="A45" s="324" t="s">
        <v>644</v>
      </c>
      <c r="B45" s="324" t="s">
        <v>645</v>
      </c>
      <c r="C45" s="325">
        <v>0</v>
      </c>
      <c r="D45" s="326">
        <v>1300</v>
      </c>
      <c r="E45" s="327">
        <v>2E-3</v>
      </c>
      <c r="F45" s="328">
        <f t="shared" si="5"/>
        <v>2.6</v>
      </c>
      <c r="G45" s="329">
        <v>0</v>
      </c>
      <c r="H45" s="330">
        <v>1.8E-3</v>
      </c>
      <c r="I45" s="331">
        <f t="shared" si="15"/>
        <v>0</v>
      </c>
      <c r="J45" s="332">
        <f t="shared" ref="J45:J53" si="25">F45+I45</f>
        <v>2.6</v>
      </c>
      <c r="K45" s="332">
        <f t="shared" ref="K45:K53" si="26">D45*$B$5</f>
        <v>0.20800000000000002</v>
      </c>
      <c r="L45" s="332">
        <f>G45*$C$5</f>
        <v>0</v>
      </c>
      <c r="M45" s="333">
        <f t="shared" si="8"/>
        <v>0.20800000000000002</v>
      </c>
      <c r="N45" s="334">
        <f>2600</f>
        <v>2600</v>
      </c>
      <c r="O45" s="335">
        <f>N45*5/12</f>
        <v>1083.3333333333333</v>
      </c>
      <c r="P45" s="334">
        <v>3.0000000000000001E-3</v>
      </c>
      <c r="Q45" s="334"/>
      <c r="R45" s="336"/>
      <c r="S45" s="337">
        <f t="shared" ref="S45:S53" si="27">O45/D45</f>
        <v>0.83333333333333326</v>
      </c>
      <c r="T45" s="338">
        <f t="shared" si="9"/>
        <v>3.25</v>
      </c>
      <c r="U45" s="393">
        <f t="shared" si="4"/>
        <v>3.4666666666666686E-2</v>
      </c>
    </row>
    <row r="46" spans="1:21" ht="16.5">
      <c r="A46" s="324" t="s">
        <v>646</v>
      </c>
      <c r="B46" s="324" t="s">
        <v>645</v>
      </c>
      <c r="C46" s="325">
        <v>6</v>
      </c>
      <c r="D46" s="326">
        <v>2000</v>
      </c>
      <c r="E46" s="327">
        <v>2.4500000000000001E-2</v>
      </c>
      <c r="F46" s="328">
        <f t="shared" si="5"/>
        <v>49</v>
      </c>
      <c r="G46" s="326">
        <v>0</v>
      </c>
      <c r="H46" s="330">
        <v>1E-3</v>
      </c>
      <c r="I46" s="331">
        <f t="shared" si="15"/>
        <v>0</v>
      </c>
      <c r="J46" s="332">
        <f t="shared" si="25"/>
        <v>49</v>
      </c>
      <c r="K46" s="332">
        <f t="shared" si="26"/>
        <v>0.32</v>
      </c>
      <c r="L46" s="332">
        <f t="shared" ref="L46:L53" si="28">G46*$C$5</f>
        <v>0</v>
      </c>
      <c r="M46" s="333">
        <f t="shared" si="8"/>
        <v>0.32</v>
      </c>
      <c r="N46" s="334">
        <v>3166</v>
      </c>
      <c r="O46" s="335">
        <f>N46*(12-C46)/12</f>
        <v>1583</v>
      </c>
      <c r="P46" s="334">
        <v>5.0000000000000001E-3</v>
      </c>
      <c r="Q46" s="340">
        <v>2.0000000000000001E-4</v>
      </c>
      <c r="R46" s="336">
        <v>30</v>
      </c>
      <c r="S46" s="337">
        <f t="shared" si="27"/>
        <v>0.79149999999999998</v>
      </c>
      <c r="T46" s="338">
        <f t="shared" si="9"/>
        <v>17.413</v>
      </c>
      <c r="U46" s="393">
        <f t="shared" si="4"/>
        <v>6.6720000000000002E-2</v>
      </c>
    </row>
    <row r="47" spans="1:21" ht="33">
      <c r="A47" s="324" t="s">
        <v>647</v>
      </c>
      <c r="B47" s="324" t="s">
        <v>645</v>
      </c>
      <c r="C47" s="325">
        <v>3</v>
      </c>
      <c r="D47" s="326">
        <v>3000</v>
      </c>
      <c r="E47" s="327">
        <v>0.01</v>
      </c>
      <c r="F47" s="328">
        <f t="shared" si="5"/>
        <v>30</v>
      </c>
      <c r="G47" s="329">
        <v>1544</v>
      </c>
      <c r="H47" s="330">
        <v>1E-3</v>
      </c>
      <c r="I47" s="331">
        <f t="shared" si="15"/>
        <v>1.544</v>
      </c>
      <c r="J47" s="332">
        <f t="shared" si="25"/>
        <v>31.544</v>
      </c>
      <c r="K47" s="332">
        <f t="shared" si="26"/>
        <v>0.48000000000000004</v>
      </c>
      <c r="L47" s="332">
        <f t="shared" si="28"/>
        <v>0.23159999999999997</v>
      </c>
      <c r="M47" s="333">
        <f t="shared" si="8"/>
        <v>0.71160000000000001</v>
      </c>
      <c r="N47" s="334">
        <v>4034</v>
      </c>
      <c r="O47" s="335">
        <v>3000</v>
      </c>
      <c r="P47" s="334">
        <v>7.0000000000000001E-3</v>
      </c>
      <c r="Q47" s="334"/>
      <c r="R47" s="336" t="s">
        <v>648</v>
      </c>
      <c r="S47" s="337">
        <f t="shared" si="27"/>
        <v>1</v>
      </c>
      <c r="T47" s="338">
        <f>O47*P47+I47</f>
        <v>22.544</v>
      </c>
      <c r="U47" s="393">
        <f t="shared" si="4"/>
        <v>0</v>
      </c>
    </row>
    <row r="48" spans="1:21" ht="16.5">
      <c r="A48" s="324" t="s">
        <v>649</v>
      </c>
      <c r="B48" s="324" t="s">
        <v>650</v>
      </c>
      <c r="C48" s="325">
        <v>8</v>
      </c>
      <c r="D48" s="326">
        <v>10400</v>
      </c>
      <c r="E48" s="327">
        <v>3.0000000000000001E-3</v>
      </c>
      <c r="F48" s="328">
        <f t="shared" si="5"/>
        <v>31.2</v>
      </c>
      <c r="G48" s="329">
        <v>32915</v>
      </c>
      <c r="H48" s="330">
        <v>2.0000000000000001E-4</v>
      </c>
      <c r="I48" s="331">
        <f t="shared" si="15"/>
        <v>6.5830000000000002</v>
      </c>
      <c r="J48" s="332">
        <f t="shared" si="25"/>
        <v>37.783000000000001</v>
      </c>
      <c r="K48" s="332">
        <f t="shared" si="26"/>
        <v>1.6640000000000001</v>
      </c>
      <c r="L48" s="332">
        <f t="shared" si="28"/>
        <v>4.9372499999999997</v>
      </c>
      <c r="M48" s="333">
        <f t="shared" si="8"/>
        <v>6.6012500000000003</v>
      </c>
      <c r="N48" s="334">
        <v>0</v>
      </c>
      <c r="O48" s="335">
        <f t="shared" ref="O48:O53" si="29">N48*(12-C48)/12</f>
        <v>0</v>
      </c>
      <c r="P48" s="334"/>
      <c r="Q48" s="334"/>
      <c r="R48" s="336"/>
      <c r="S48" s="337">
        <f t="shared" si="27"/>
        <v>0</v>
      </c>
      <c r="T48" s="338">
        <f t="shared" si="9"/>
        <v>0</v>
      </c>
      <c r="U48" s="393">
        <f t="shared" si="4"/>
        <v>6.6012500000000003</v>
      </c>
    </row>
    <row r="49" spans="1:21" ht="16.5">
      <c r="A49" s="324" t="s">
        <v>651</v>
      </c>
      <c r="B49" s="324" t="s">
        <v>645</v>
      </c>
      <c r="C49" s="325">
        <v>8</v>
      </c>
      <c r="D49" s="326">
        <v>10400</v>
      </c>
      <c r="E49" s="327">
        <v>1E-3</v>
      </c>
      <c r="F49" s="328">
        <f t="shared" si="5"/>
        <v>10.4</v>
      </c>
      <c r="G49" s="329">
        <v>29726</v>
      </c>
      <c r="H49" s="330">
        <v>2.0000000000000001E-4</v>
      </c>
      <c r="I49" s="331">
        <f t="shared" si="15"/>
        <v>5.9452000000000007</v>
      </c>
      <c r="J49" s="332">
        <f t="shared" si="25"/>
        <v>16.345200000000002</v>
      </c>
      <c r="K49" s="332">
        <f t="shared" si="26"/>
        <v>1.6640000000000001</v>
      </c>
      <c r="L49" s="332">
        <f t="shared" si="28"/>
        <v>4.4588999999999999</v>
      </c>
      <c r="M49" s="333">
        <f t="shared" si="8"/>
        <v>6.1228999999999996</v>
      </c>
      <c r="N49" s="334">
        <v>0</v>
      </c>
      <c r="O49" s="335">
        <f t="shared" si="29"/>
        <v>0</v>
      </c>
      <c r="P49" s="334"/>
      <c r="Q49" s="334"/>
      <c r="R49" s="336"/>
      <c r="S49" s="337">
        <f t="shared" si="27"/>
        <v>0</v>
      </c>
      <c r="T49" s="338">
        <f t="shared" si="9"/>
        <v>0</v>
      </c>
      <c r="U49" s="393">
        <f t="shared" si="4"/>
        <v>6.1228999999999996</v>
      </c>
    </row>
    <row r="50" spans="1:21" ht="16.5">
      <c r="A50" s="324" t="s">
        <v>652</v>
      </c>
      <c r="B50" s="324" t="s">
        <v>645</v>
      </c>
      <c r="C50" s="325">
        <v>8</v>
      </c>
      <c r="D50" s="326">
        <v>1800</v>
      </c>
      <c r="E50" s="327">
        <v>2.4500000000000001E-2</v>
      </c>
      <c r="F50" s="328">
        <f t="shared" si="5"/>
        <v>44.1</v>
      </c>
      <c r="G50" s="339">
        <v>0</v>
      </c>
      <c r="H50" s="330">
        <v>1E-3</v>
      </c>
      <c r="I50" s="331">
        <f t="shared" si="15"/>
        <v>0</v>
      </c>
      <c r="J50" s="332">
        <f t="shared" si="25"/>
        <v>44.1</v>
      </c>
      <c r="K50" s="332">
        <f t="shared" si="26"/>
        <v>0.28800000000000003</v>
      </c>
      <c r="L50" s="332">
        <f t="shared" si="28"/>
        <v>0</v>
      </c>
      <c r="M50" s="333">
        <f t="shared" si="8"/>
        <v>0.28800000000000003</v>
      </c>
      <c r="N50" s="334">
        <v>3870</v>
      </c>
      <c r="O50" s="335">
        <f t="shared" si="29"/>
        <v>1290</v>
      </c>
      <c r="P50" s="334">
        <v>5.0000000000000001E-3</v>
      </c>
      <c r="Q50" s="340">
        <v>2.0000000000000001E-4</v>
      </c>
      <c r="R50" s="336">
        <v>30</v>
      </c>
      <c r="S50" s="337">
        <f t="shared" si="27"/>
        <v>0.71666666666666667</v>
      </c>
      <c r="T50" s="338">
        <f t="shared" si="9"/>
        <v>14.190000000000001</v>
      </c>
      <c r="U50" s="393">
        <f t="shared" si="4"/>
        <v>8.1600000000000006E-2</v>
      </c>
    </row>
    <row r="51" spans="1:21" ht="16.5">
      <c r="A51" s="324" t="s">
        <v>653</v>
      </c>
      <c r="B51" s="324" t="s">
        <v>645</v>
      </c>
      <c r="C51" s="325">
        <v>8</v>
      </c>
      <c r="D51" s="326">
        <v>2300</v>
      </c>
      <c r="E51" s="327">
        <v>2.5000000000000001E-2</v>
      </c>
      <c r="F51" s="328">
        <f t="shared" si="5"/>
        <v>57.5</v>
      </c>
      <c r="G51" s="329">
        <v>0</v>
      </c>
      <c r="H51" s="330">
        <v>2.0000000000000001E-4</v>
      </c>
      <c r="I51" s="331">
        <f t="shared" si="15"/>
        <v>0</v>
      </c>
      <c r="J51" s="332">
        <f t="shared" si="25"/>
        <v>57.5</v>
      </c>
      <c r="K51" s="332">
        <f t="shared" si="26"/>
        <v>0.36800000000000005</v>
      </c>
      <c r="L51" s="332">
        <f t="shared" si="28"/>
        <v>0</v>
      </c>
      <c r="M51" s="333">
        <f t="shared" si="8"/>
        <v>0.36800000000000005</v>
      </c>
      <c r="N51" s="334">
        <v>4890</v>
      </c>
      <c r="O51" s="335">
        <f t="shared" si="29"/>
        <v>1630</v>
      </c>
      <c r="P51" s="334">
        <v>5.0000000000000001E-3</v>
      </c>
      <c r="Q51" s="340">
        <v>2.0000000000000001E-4</v>
      </c>
      <c r="R51" s="336">
        <v>30</v>
      </c>
      <c r="S51" s="337">
        <f t="shared" si="27"/>
        <v>0.70869565217391306</v>
      </c>
      <c r="T51" s="338">
        <f t="shared" si="9"/>
        <v>17.93</v>
      </c>
      <c r="U51" s="393">
        <f t="shared" si="4"/>
        <v>0.1072</v>
      </c>
    </row>
    <row r="52" spans="1:21" ht="16.5">
      <c r="A52" s="324" t="s">
        <v>654</v>
      </c>
      <c r="B52" s="324" t="s">
        <v>645</v>
      </c>
      <c r="C52" s="325">
        <v>11</v>
      </c>
      <c r="D52" s="326">
        <v>800</v>
      </c>
      <c r="E52" s="327">
        <v>8.0000000000000002E-3</v>
      </c>
      <c r="F52" s="328">
        <f t="shared" si="5"/>
        <v>6.4</v>
      </c>
      <c r="G52" s="329">
        <v>0</v>
      </c>
      <c r="H52" s="330">
        <v>5.0000000000000001E-4</v>
      </c>
      <c r="I52" s="331">
        <f t="shared" si="15"/>
        <v>0</v>
      </c>
      <c r="J52" s="332">
        <f t="shared" si="25"/>
        <v>6.4</v>
      </c>
      <c r="K52" s="332">
        <f t="shared" si="26"/>
        <v>0.128</v>
      </c>
      <c r="L52" s="332">
        <f t="shared" si="28"/>
        <v>0</v>
      </c>
      <c r="M52" s="333">
        <f t="shared" si="8"/>
        <v>0.128</v>
      </c>
      <c r="N52" s="334"/>
      <c r="O52" s="335">
        <f t="shared" si="29"/>
        <v>0</v>
      </c>
      <c r="P52" s="334"/>
      <c r="Q52" s="340"/>
      <c r="R52" s="336"/>
      <c r="S52" s="337">
        <f t="shared" si="27"/>
        <v>0</v>
      </c>
      <c r="T52" s="338">
        <f t="shared" si="9"/>
        <v>0</v>
      </c>
      <c r="U52" s="393">
        <f t="shared" si="4"/>
        <v>0.128</v>
      </c>
    </row>
    <row r="53" spans="1:21" ht="16.5">
      <c r="A53" s="324" t="s">
        <v>655</v>
      </c>
      <c r="B53" s="324" t="s">
        <v>645</v>
      </c>
      <c r="C53" s="325">
        <v>8</v>
      </c>
      <c r="D53" s="326">
        <v>1300</v>
      </c>
      <c r="E53" s="327">
        <v>2.8000000000000001E-2</v>
      </c>
      <c r="F53" s="328">
        <f t="shared" si="5"/>
        <v>36.4</v>
      </c>
      <c r="G53" s="339">
        <v>0</v>
      </c>
      <c r="H53" s="330">
        <v>2.0000000000000001E-4</v>
      </c>
      <c r="I53" s="331">
        <f t="shared" si="15"/>
        <v>0</v>
      </c>
      <c r="J53" s="332">
        <f t="shared" si="25"/>
        <v>36.4</v>
      </c>
      <c r="K53" s="332">
        <f t="shared" si="26"/>
        <v>0.20800000000000002</v>
      </c>
      <c r="L53" s="332">
        <f t="shared" si="28"/>
        <v>0</v>
      </c>
      <c r="M53" s="333">
        <f t="shared" si="8"/>
        <v>0.20800000000000002</v>
      </c>
      <c r="N53" s="334">
        <v>2550</v>
      </c>
      <c r="O53" s="335">
        <f t="shared" si="29"/>
        <v>850</v>
      </c>
      <c r="P53" s="334">
        <v>5.0000000000000001E-3</v>
      </c>
      <c r="Q53" s="340">
        <v>2.0000000000000001E-4</v>
      </c>
      <c r="R53" s="336">
        <v>10</v>
      </c>
      <c r="S53" s="337">
        <f t="shared" si="27"/>
        <v>0.65384615384615385</v>
      </c>
      <c r="T53" s="338">
        <f t="shared" si="9"/>
        <v>5.95</v>
      </c>
      <c r="U53" s="393">
        <f t="shared" si="4"/>
        <v>7.2000000000000008E-2</v>
      </c>
    </row>
    <row r="54" spans="1:21" ht="15">
      <c r="A54" s="460" t="s">
        <v>656</v>
      </c>
      <c r="B54" s="461"/>
      <c r="C54" s="344"/>
      <c r="D54" s="344">
        <f>SUM(D45:D53)</f>
        <v>33300</v>
      </c>
      <c r="E54" s="344">
        <f t="shared" ref="E54:U54" si="30">SUM(E45:E53)</f>
        <v>0.126</v>
      </c>
      <c r="F54" s="344">
        <f t="shared" si="30"/>
        <v>267.60000000000002</v>
      </c>
      <c r="G54" s="344">
        <f t="shared" si="30"/>
        <v>64185</v>
      </c>
      <c r="H54" s="344">
        <f t="shared" si="30"/>
        <v>6.0999999999999987E-3</v>
      </c>
      <c r="I54" s="344">
        <f t="shared" si="30"/>
        <v>14.072200000000002</v>
      </c>
      <c r="J54" s="344">
        <f t="shared" si="30"/>
        <v>281.67219999999998</v>
      </c>
      <c r="K54" s="344">
        <f t="shared" si="30"/>
        <v>5.3280000000000012</v>
      </c>
      <c r="L54" s="344">
        <f t="shared" si="30"/>
        <v>9.6277499999999989</v>
      </c>
      <c r="M54" s="344">
        <f t="shared" si="30"/>
        <v>14.955750000000002</v>
      </c>
      <c r="N54" s="344">
        <f t="shared" si="30"/>
        <v>21110</v>
      </c>
      <c r="O54" s="344">
        <f t="shared" si="30"/>
        <v>9436.3333333333321</v>
      </c>
      <c r="P54" s="344">
        <f t="shared" si="30"/>
        <v>3.0000000000000002E-2</v>
      </c>
      <c r="Q54" s="344">
        <f t="shared" si="30"/>
        <v>8.0000000000000004E-4</v>
      </c>
      <c r="R54" s="345">
        <f t="shared" si="30"/>
        <v>100</v>
      </c>
      <c r="S54" s="344">
        <f t="shared" si="30"/>
        <v>4.7040418060200668</v>
      </c>
      <c r="T54" s="344">
        <f t="shared" si="30"/>
        <v>81.277000000000001</v>
      </c>
      <c r="U54" s="344">
        <f t="shared" si="30"/>
        <v>13.214336666666666</v>
      </c>
    </row>
    <row r="55" spans="1:21" ht="18">
      <c r="A55" s="351" t="s">
        <v>603</v>
      </c>
      <c r="B55" s="352"/>
      <c r="C55" s="352"/>
      <c r="D55" s="344">
        <f t="shared" ref="D55:T55" si="31">D54+D39+D32</f>
        <v>467100</v>
      </c>
      <c r="E55" s="344">
        <f t="shared" si="31"/>
        <v>0.19800000000000001</v>
      </c>
      <c r="F55" s="344">
        <f t="shared" si="31"/>
        <v>4091.6</v>
      </c>
      <c r="G55" s="344">
        <f t="shared" si="31"/>
        <v>655764</v>
      </c>
      <c r="H55" s="344">
        <f t="shared" si="31"/>
        <v>2.9499999999999998E-2</v>
      </c>
      <c r="I55" s="344">
        <f t="shared" si="31"/>
        <v>1078.7564</v>
      </c>
      <c r="J55" s="344">
        <f t="shared" si="31"/>
        <v>5170.2299999999996</v>
      </c>
      <c r="K55" s="344">
        <f t="shared" si="31"/>
        <v>461.88800000000003</v>
      </c>
      <c r="L55" s="344">
        <f t="shared" si="31"/>
        <v>187.10144999999994</v>
      </c>
      <c r="M55" s="344">
        <f t="shared" si="31"/>
        <v>648.94204999999988</v>
      </c>
      <c r="N55" s="344">
        <f t="shared" si="31"/>
        <v>144281.52333333335</v>
      </c>
      <c r="O55" s="344">
        <f t="shared" si="31"/>
        <v>129425.60666666669</v>
      </c>
      <c r="P55" s="344">
        <f t="shared" si="31"/>
        <v>4.4000000000000004E-2</v>
      </c>
      <c r="Q55" s="344">
        <f t="shared" si="31"/>
        <v>1.2999999999999999E-3</v>
      </c>
      <c r="R55" s="345">
        <f t="shared" si="31"/>
        <v>120.0001</v>
      </c>
      <c r="S55" s="344">
        <f t="shared" si="31"/>
        <v>9.2292789343955661</v>
      </c>
      <c r="T55" s="344">
        <f t="shared" si="31"/>
        <v>307.60407000000004</v>
      </c>
      <c r="U55" s="344">
        <f>U54+U44+U39+U32</f>
        <v>636.82282991666659</v>
      </c>
    </row>
    <row r="57" spans="1:21">
      <c r="A57" s="378" t="s">
        <v>682</v>
      </c>
    </row>
    <row r="58" spans="1:21">
      <c r="A58" s="396" t="s">
        <v>683</v>
      </c>
    </row>
    <row r="59" spans="1:21" ht="15">
      <c r="A59" s="397" t="s">
        <v>684</v>
      </c>
      <c r="B59" s="397" t="s">
        <v>685</v>
      </c>
      <c r="C59" s="397" t="s">
        <v>610</v>
      </c>
      <c r="D59" s="397" t="s">
        <v>601</v>
      </c>
      <c r="E59" s="397" t="s">
        <v>602</v>
      </c>
      <c r="F59" s="397" t="s">
        <v>603</v>
      </c>
    </row>
    <row r="60" spans="1:21" ht="17.25">
      <c r="A60" s="398" t="s">
        <v>686</v>
      </c>
      <c r="B60" s="399">
        <v>69373.5</v>
      </c>
      <c r="C60" s="399">
        <f>111250+22582+1838</f>
        <v>135670</v>
      </c>
      <c r="D60" s="400">
        <f>B60*$B$3</f>
        <v>110.99760000000001</v>
      </c>
      <c r="E60" s="400">
        <f>C60*$C$3</f>
        <v>40.700999999999993</v>
      </c>
      <c r="F60" s="400">
        <f>D60+E60</f>
        <v>151.6986</v>
      </c>
    </row>
    <row r="61" spans="1:21" ht="17.25">
      <c r="A61" s="401" t="s">
        <v>687</v>
      </c>
      <c r="B61" s="399">
        <v>25876.2</v>
      </c>
      <c r="C61" s="399">
        <f>105227+71735</f>
        <v>176962</v>
      </c>
      <c r="D61" s="400">
        <f t="shared" ref="D61:D69" si="32">B61*$B$3</f>
        <v>41.401920000000004</v>
      </c>
      <c r="E61" s="400">
        <f t="shared" ref="E61:E67" si="33">C61*$C$3</f>
        <v>53.088599999999992</v>
      </c>
      <c r="F61" s="400">
        <f t="shared" ref="F61:F69" si="34">D61+E61</f>
        <v>94.490520000000004</v>
      </c>
    </row>
    <row r="62" spans="1:21" ht="17.25">
      <c r="A62" s="401" t="s">
        <v>688</v>
      </c>
      <c r="B62" s="399">
        <v>24236.100000000002</v>
      </c>
      <c r="C62" s="399">
        <f>75972+34458</f>
        <v>110430</v>
      </c>
      <c r="D62" s="400">
        <f t="shared" si="32"/>
        <v>38.777760000000008</v>
      </c>
      <c r="E62" s="400">
        <f t="shared" si="33"/>
        <v>33.128999999999998</v>
      </c>
      <c r="F62" s="400">
        <f t="shared" si="34"/>
        <v>71.906760000000006</v>
      </c>
    </row>
    <row r="63" spans="1:21" ht="17.25">
      <c r="A63" s="398" t="s">
        <v>689</v>
      </c>
      <c r="B63" s="399">
        <v>11184.6</v>
      </c>
      <c r="C63" s="399">
        <f>46837+769</f>
        <v>47606</v>
      </c>
      <c r="D63" s="400">
        <f t="shared" si="32"/>
        <v>17.89536</v>
      </c>
      <c r="E63" s="400">
        <f t="shared" si="33"/>
        <v>14.281799999999999</v>
      </c>
      <c r="F63" s="400">
        <f t="shared" si="34"/>
        <v>32.177160000000001</v>
      </c>
    </row>
    <row r="64" spans="1:21" ht="17.25">
      <c r="A64" s="398" t="s">
        <v>690</v>
      </c>
      <c r="B64" s="399">
        <v>14383.95</v>
      </c>
      <c r="C64" s="399">
        <f>97135+668</f>
        <v>97803</v>
      </c>
      <c r="D64" s="400">
        <f t="shared" si="32"/>
        <v>23.014320000000001</v>
      </c>
      <c r="E64" s="400">
        <f t="shared" si="33"/>
        <v>29.340899999999998</v>
      </c>
      <c r="F64" s="400">
        <f t="shared" si="34"/>
        <v>52.355220000000003</v>
      </c>
    </row>
    <row r="65" spans="1:21" ht="17.25">
      <c r="A65" s="398" t="s">
        <v>691</v>
      </c>
      <c r="B65" s="399">
        <v>4372.2</v>
      </c>
      <c r="C65" s="399">
        <f>21637</f>
        <v>21637</v>
      </c>
      <c r="D65" s="400">
        <f t="shared" si="32"/>
        <v>6.99552</v>
      </c>
      <c r="E65" s="400">
        <f t="shared" si="33"/>
        <v>6.4910999999999994</v>
      </c>
      <c r="F65" s="400">
        <f t="shared" si="34"/>
        <v>13.486619999999998</v>
      </c>
    </row>
    <row r="66" spans="1:21" ht="17.25">
      <c r="A66" s="398" t="s">
        <v>692</v>
      </c>
      <c r="B66" s="399">
        <v>2077.9500000000003</v>
      </c>
      <c r="C66" s="399"/>
      <c r="D66" s="400">
        <f t="shared" si="32"/>
        <v>3.3247200000000006</v>
      </c>
      <c r="E66" s="400">
        <f t="shared" si="33"/>
        <v>0</v>
      </c>
      <c r="F66" s="400">
        <f t="shared" si="34"/>
        <v>3.3247200000000006</v>
      </c>
    </row>
    <row r="67" spans="1:21" ht="17.25">
      <c r="A67" s="401" t="s">
        <v>693</v>
      </c>
      <c r="B67" s="399">
        <v>16943.839500000002</v>
      </c>
      <c r="C67" s="399">
        <f>194489+21803</f>
        <v>216292</v>
      </c>
      <c r="D67" s="400">
        <f t="shared" si="32"/>
        <v>27.110143200000003</v>
      </c>
      <c r="E67" s="400">
        <f t="shared" si="33"/>
        <v>64.887599999999992</v>
      </c>
      <c r="F67" s="400">
        <f t="shared" si="34"/>
        <v>91.997743200000002</v>
      </c>
    </row>
    <row r="68" spans="1:21" ht="18">
      <c r="A68" s="402" t="s">
        <v>694</v>
      </c>
      <c r="B68" s="403">
        <f t="shared" ref="B68" si="35">SUM(B60:B67)</f>
        <v>168448.33950000003</v>
      </c>
      <c r="C68" s="403">
        <f>SUM(C60:C67)</f>
        <v>806400</v>
      </c>
      <c r="D68" s="404">
        <f>SUM(D60:D67)</f>
        <v>269.51734320000003</v>
      </c>
      <c r="E68" s="404">
        <f t="shared" ref="E68" si="36">SUM(E60:E67)</f>
        <v>241.91999999999996</v>
      </c>
      <c r="F68" s="404">
        <f t="shared" si="34"/>
        <v>511.43734319999999</v>
      </c>
    </row>
    <row r="69" spans="1:21" ht="17.25">
      <c r="A69" s="401" t="s">
        <v>695</v>
      </c>
      <c r="B69" s="405">
        <f>B70-B68</f>
        <v>422.09346399994683</v>
      </c>
      <c r="C69" s="405"/>
      <c r="D69" s="400">
        <f t="shared" si="32"/>
        <v>0.67534954239991496</v>
      </c>
      <c r="E69" s="400">
        <f>C69*$C$3</f>
        <v>0</v>
      </c>
      <c r="F69" s="400">
        <f t="shared" si="34"/>
        <v>0.67534954239991496</v>
      </c>
    </row>
    <row r="70" spans="1:21" ht="18">
      <c r="A70" s="406" t="s">
        <v>696</v>
      </c>
      <c r="B70" s="407">
        <f>B10</f>
        <v>168870.43296399998</v>
      </c>
      <c r="C70" s="403">
        <f>C68+C69</f>
        <v>806400</v>
      </c>
      <c r="D70" s="404">
        <f>D68+D69</f>
        <v>270.19269274239997</v>
      </c>
      <c r="E70" s="404">
        <f>E69+E68</f>
        <v>241.91999999999996</v>
      </c>
      <c r="F70" s="404">
        <f>F69+F68</f>
        <v>512.11269274239987</v>
      </c>
    </row>
    <row r="72" spans="1:21">
      <c r="A72" s="396" t="s">
        <v>697</v>
      </c>
    </row>
    <row r="73" spans="1:21" ht="16.5">
      <c r="A73" s="408" t="s">
        <v>698</v>
      </c>
      <c r="B73" s="408" t="s">
        <v>699</v>
      </c>
      <c r="C73" s="408" t="s">
        <v>700</v>
      </c>
      <c r="D73" s="408" t="s">
        <v>610</v>
      </c>
      <c r="E73" s="408" t="s">
        <v>601</v>
      </c>
      <c r="F73" s="408" t="s">
        <v>602</v>
      </c>
      <c r="G73" s="408" t="s">
        <v>701</v>
      </c>
      <c r="L73" s="409"/>
      <c r="M73" s="410"/>
      <c r="O73" s="356"/>
      <c r="P73" s="354"/>
      <c r="T73" s="358"/>
      <c r="U73" s="354"/>
    </row>
    <row r="74" spans="1:21" ht="16.5">
      <c r="A74" s="462" t="s">
        <v>702</v>
      </c>
      <c r="B74" s="408" t="s">
        <v>703</v>
      </c>
      <c r="C74" s="408">
        <v>3036.44</v>
      </c>
      <c r="D74" s="408">
        <v>73677</v>
      </c>
      <c r="E74" s="408">
        <f>C74*$B$5</f>
        <v>0.48583040000000005</v>
      </c>
      <c r="F74" s="408">
        <f>D74*$C$5</f>
        <v>11.051549999999999</v>
      </c>
      <c r="G74" s="408">
        <f>SUM(E74:F74)</f>
        <v>11.537380399999998</v>
      </c>
      <c r="L74" s="409"/>
      <c r="M74" s="410"/>
      <c r="O74" s="356"/>
      <c r="P74" s="354"/>
      <c r="T74" s="358"/>
      <c r="U74" s="354"/>
    </row>
    <row r="75" spans="1:21" ht="16.5">
      <c r="A75" s="463"/>
      <c r="B75" s="411" t="s">
        <v>704</v>
      </c>
      <c r="C75" s="411"/>
      <c r="D75" s="411"/>
      <c r="E75" s="408">
        <f t="shared" ref="E75:E76" si="37">C75*$B$5</f>
        <v>0</v>
      </c>
      <c r="F75" s="408">
        <f>D75*$C$5</f>
        <v>0</v>
      </c>
      <c r="G75" s="408">
        <f>SUM(E75:F75)</f>
        <v>0</v>
      </c>
      <c r="L75" s="409"/>
      <c r="M75" s="410"/>
      <c r="O75" s="356"/>
      <c r="P75" s="354"/>
      <c r="T75" s="358"/>
      <c r="U75" s="354"/>
    </row>
    <row r="76" spans="1:21" ht="16.5">
      <c r="A76" s="464" t="s">
        <v>705</v>
      </c>
      <c r="B76" s="412" t="s">
        <v>706</v>
      </c>
      <c r="C76" s="411">
        <v>886.69</v>
      </c>
      <c r="D76" s="411">
        <v>4191</v>
      </c>
      <c r="E76" s="408">
        <f t="shared" si="37"/>
        <v>0.14187040000000001</v>
      </c>
      <c r="F76" s="408">
        <f t="shared" ref="F76:F77" si="38">D76*$C$5</f>
        <v>0.62864999999999993</v>
      </c>
      <c r="G76" s="408">
        <f>SUM(E76:F76)</f>
        <v>0.77052039999999988</v>
      </c>
      <c r="L76" s="409"/>
      <c r="M76" s="410"/>
      <c r="O76" s="356"/>
      <c r="P76" s="354"/>
      <c r="T76" s="358"/>
      <c r="U76" s="354"/>
    </row>
    <row r="77" spans="1:21" ht="16.5">
      <c r="A77" s="465"/>
      <c r="B77" s="412" t="s">
        <v>707</v>
      </c>
      <c r="C77" s="411">
        <v>498.33</v>
      </c>
      <c r="D77" s="411">
        <v>14048</v>
      </c>
      <c r="E77" s="408">
        <f>C77*$B$5</f>
        <v>7.9732800000000006E-2</v>
      </c>
      <c r="F77" s="408">
        <f t="shared" si="38"/>
        <v>2.1071999999999997</v>
      </c>
      <c r="G77" s="408">
        <f>SUM(E77:F77)</f>
        <v>2.1869327999999997</v>
      </c>
      <c r="L77" s="409"/>
      <c r="M77" s="410"/>
      <c r="O77" s="356"/>
      <c r="P77" s="354"/>
      <c r="T77" s="358"/>
      <c r="U77" s="354"/>
    </row>
    <row r="78" spans="1:21" ht="16.5">
      <c r="A78" s="411" t="s">
        <v>708</v>
      </c>
      <c r="B78" s="412" t="s">
        <v>709</v>
      </c>
      <c r="C78" s="413">
        <f>C79-C74-C76-C77</f>
        <v>889.56977000000006</v>
      </c>
      <c r="D78" s="411"/>
      <c r="E78" s="411"/>
      <c r="F78" s="411"/>
      <c r="G78" s="408">
        <f>SUM(E78:F78)</f>
        <v>0</v>
      </c>
      <c r="L78" s="409"/>
      <c r="M78" s="410"/>
      <c r="O78" s="356"/>
      <c r="P78" s="354"/>
      <c r="T78" s="358"/>
      <c r="U78" s="354"/>
    </row>
    <row r="79" spans="1:21" ht="16.5">
      <c r="A79" s="466" t="s">
        <v>710</v>
      </c>
      <c r="B79" s="467"/>
      <c r="C79" s="414">
        <f>B14</f>
        <v>5311.0297700000001</v>
      </c>
      <c r="D79" s="415">
        <f>SUM(D74:D78)</f>
        <v>91916</v>
      </c>
      <c r="E79" s="415">
        <f>SUM(E74:E78)</f>
        <v>0.70743360000000011</v>
      </c>
      <c r="F79" s="415">
        <f t="shared" ref="F79:G79" si="39">SUM(F74:F78)</f>
        <v>13.787399999999998</v>
      </c>
      <c r="G79" s="415">
        <f t="shared" si="39"/>
        <v>14.494833599999998</v>
      </c>
    </row>
  </sheetData>
  <mergeCells count="15">
    <mergeCell ref="A74:A75"/>
    <mergeCell ref="A76:A77"/>
    <mergeCell ref="A79:B79"/>
    <mergeCell ref="L20:L21"/>
    <mergeCell ref="M20:M21"/>
    <mergeCell ref="N20:T20"/>
    <mergeCell ref="U20:U21"/>
    <mergeCell ref="A32:B32"/>
    <mergeCell ref="A54:B54"/>
    <mergeCell ref="A20:A21"/>
    <mergeCell ref="B20:B21"/>
    <mergeCell ref="D20:F20"/>
    <mergeCell ref="G20:I20"/>
    <mergeCell ref="J20:J21"/>
    <mergeCell ref="K20:K21"/>
  </mergeCells>
  <phoneticPr fontId="36" type="noConversion"/>
  <dataValidations count="2">
    <dataValidation type="list" allowBlank="1" showInputMessage="1" showErrorMessage="1" sqref="B55:C55 B22:B31 B33:B39 B44:B53">
      <formula1>"权益产品,固收产品,量化产品"</formula1>
    </dataValidation>
    <dataValidation type="list" allowBlank="1" showInputMessage="1" showErrorMessage="1" sqref="B40:B43">
      <formula1>"权益产品,固收产品,量化产品,投顾业务部"</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topLeftCell="A73" workbookViewId="0">
      <selection activeCell="O97" sqref="O97"/>
    </sheetView>
  </sheetViews>
  <sheetFormatPr defaultColWidth="9" defaultRowHeight="13.5"/>
  <sheetData>
    <row r="1" spans="1:8">
      <c r="A1" t="s">
        <v>223</v>
      </c>
    </row>
    <row r="2" spans="1:8">
      <c r="A2" t="s">
        <v>224</v>
      </c>
    </row>
    <row r="3" spans="1:8">
      <c r="A3" t="s">
        <v>225</v>
      </c>
    </row>
    <row r="4" spans="1:8">
      <c r="A4" t="s">
        <v>226</v>
      </c>
    </row>
    <row r="5" spans="1:8">
      <c r="A5" t="s">
        <v>227</v>
      </c>
    </row>
    <row r="6" spans="1:8">
      <c r="A6" t="s">
        <v>228</v>
      </c>
    </row>
    <row r="7" spans="1:8">
      <c r="A7" t="s">
        <v>229</v>
      </c>
    </row>
    <row r="8" spans="1:8">
      <c r="A8" t="s">
        <v>223</v>
      </c>
    </row>
    <row r="9" spans="1:8">
      <c r="A9" t="s">
        <v>224</v>
      </c>
    </row>
    <row r="10" spans="1:8">
      <c r="A10" t="s">
        <v>225</v>
      </c>
    </row>
    <row r="11" spans="1:8">
      <c r="A11" t="s">
        <v>226</v>
      </c>
    </row>
    <row r="12" spans="1:8">
      <c r="A12" t="s">
        <v>227</v>
      </c>
    </row>
    <row r="13" spans="1:8">
      <c r="A13" t="s">
        <v>228</v>
      </c>
    </row>
    <row r="14" spans="1:8">
      <c r="A14" t="s">
        <v>229</v>
      </c>
    </row>
    <row r="15" spans="1:8">
      <c r="A15">
        <v>1</v>
      </c>
      <c r="B15" t="s">
        <v>230</v>
      </c>
      <c r="C15">
        <v>13.858000000000001</v>
      </c>
      <c r="D15">
        <v>11.4</v>
      </c>
      <c r="E15">
        <v>43</v>
      </c>
      <c r="F15" t="s">
        <v>231</v>
      </c>
      <c r="G15">
        <v>0.26</v>
      </c>
      <c r="H15">
        <v>0.247</v>
      </c>
    </row>
    <row r="16" spans="1:8">
      <c r="A16">
        <v>2</v>
      </c>
      <c r="B16" t="s">
        <v>232</v>
      </c>
      <c r="C16">
        <v>10.355</v>
      </c>
      <c r="D16">
        <v>10.401999999999999</v>
      </c>
      <c r="E16">
        <v>44</v>
      </c>
      <c r="F16" t="s">
        <v>233</v>
      </c>
      <c r="G16">
        <v>0.251</v>
      </c>
      <c r="H16">
        <v>0.128</v>
      </c>
    </row>
    <row r="17" spans="1:8">
      <c r="A17">
        <v>3</v>
      </c>
      <c r="B17" t="s">
        <v>234</v>
      </c>
      <c r="C17">
        <v>3.294</v>
      </c>
      <c r="D17">
        <v>4.7709999999999999</v>
      </c>
      <c r="E17">
        <v>45</v>
      </c>
      <c r="F17" t="s">
        <v>235</v>
      </c>
      <c r="G17">
        <v>0.24</v>
      </c>
      <c r="H17">
        <v>0.23799999999999999</v>
      </c>
    </row>
    <row r="18" spans="1:8">
      <c r="A18">
        <v>4</v>
      </c>
      <c r="B18" t="s">
        <v>236</v>
      </c>
      <c r="C18">
        <v>3.528</v>
      </c>
      <c r="D18">
        <v>4.4770000000000003</v>
      </c>
      <c r="E18">
        <v>46</v>
      </c>
      <c r="F18" t="s">
        <v>237</v>
      </c>
      <c r="G18">
        <v>0.221</v>
      </c>
      <c r="H18">
        <v>0.23699999999999999</v>
      </c>
    </row>
    <row r="19" spans="1:8">
      <c r="A19">
        <v>5</v>
      </c>
      <c r="B19" t="s">
        <v>238</v>
      </c>
      <c r="C19">
        <v>4.5739999999999998</v>
      </c>
      <c r="D19">
        <v>4.2050000000000001</v>
      </c>
      <c r="E19">
        <v>47</v>
      </c>
      <c r="F19" t="s">
        <v>239</v>
      </c>
      <c r="G19">
        <v>0.218</v>
      </c>
      <c r="H19">
        <v>0.20200000000000001</v>
      </c>
    </row>
    <row r="20" spans="1:8">
      <c r="A20">
        <v>6</v>
      </c>
      <c r="B20" t="s">
        <v>240</v>
      </c>
      <c r="C20">
        <v>2.7639999999999998</v>
      </c>
      <c r="D20">
        <v>3.5790000000000002</v>
      </c>
      <c r="E20">
        <v>48</v>
      </c>
      <c r="F20" t="s">
        <v>241</v>
      </c>
      <c r="G20">
        <v>0.20799999999999999</v>
      </c>
      <c r="H20">
        <v>0.312</v>
      </c>
    </row>
    <row r="21" spans="1:8">
      <c r="A21">
        <v>7</v>
      </c>
      <c r="B21" t="s">
        <v>242</v>
      </c>
      <c r="C21">
        <v>3.75</v>
      </c>
      <c r="D21">
        <v>3.5470000000000002</v>
      </c>
      <c r="E21">
        <v>49</v>
      </c>
      <c r="F21" t="s">
        <v>243</v>
      </c>
      <c r="G21">
        <v>0.20300000000000001</v>
      </c>
      <c r="H21">
        <v>0.11799999999999999</v>
      </c>
    </row>
    <row r="22" spans="1:8">
      <c r="A22">
        <v>8</v>
      </c>
      <c r="B22" t="s">
        <v>244</v>
      </c>
      <c r="C22">
        <v>2.3929999999999998</v>
      </c>
      <c r="D22">
        <v>3.34</v>
      </c>
      <c r="E22">
        <v>50</v>
      </c>
      <c r="F22" t="s">
        <v>245</v>
      </c>
      <c r="G22">
        <v>0.18099999999999999</v>
      </c>
      <c r="H22">
        <v>0.35199999999999998</v>
      </c>
    </row>
    <row r="23" spans="1:8">
      <c r="A23">
        <v>9</v>
      </c>
      <c r="B23" t="s">
        <v>246</v>
      </c>
      <c r="C23">
        <v>2.8340000000000001</v>
      </c>
      <c r="D23">
        <v>3.0310000000000001</v>
      </c>
      <c r="E23">
        <v>51</v>
      </c>
      <c r="F23" t="s">
        <v>247</v>
      </c>
      <c r="G23">
        <v>0.17599999999999999</v>
      </c>
      <c r="H23">
        <v>0.41499999999999998</v>
      </c>
    </row>
    <row r="24" spans="1:8" ht="12.75" customHeight="1">
      <c r="A24">
        <v>10</v>
      </c>
      <c r="B24" t="s">
        <v>248</v>
      </c>
      <c r="C24">
        <v>2.952</v>
      </c>
      <c r="D24">
        <v>3.0009999999999999</v>
      </c>
      <c r="E24">
        <v>52</v>
      </c>
      <c r="F24" t="s">
        <v>249</v>
      </c>
      <c r="G24">
        <v>0.17499999999999999</v>
      </c>
      <c r="H24">
        <v>0.157</v>
      </c>
    </row>
    <row r="25" spans="1:8">
      <c r="A25">
        <v>11</v>
      </c>
      <c r="B25" t="s">
        <v>250</v>
      </c>
      <c r="C25">
        <v>2.411</v>
      </c>
      <c r="D25">
        <v>2.9990000000000001</v>
      </c>
      <c r="E25">
        <v>53</v>
      </c>
      <c r="F25" t="s">
        <v>251</v>
      </c>
      <c r="G25">
        <v>0.158</v>
      </c>
      <c r="H25">
        <v>7.2999999999999995E-2</v>
      </c>
    </row>
    <row r="26" spans="1:8">
      <c r="A26">
        <v>12</v>
      </c>
      <c r="B26" t="s">
        <v>252</v>
      </c>
      <c r="C26">
        <v>2.782</v>
      </c>
      <c r="D26">
        <v>2.516</v>
      </c>
      <c r="E26">
        <v>54</v>
      </c>
      <c r="F26" t="s">
        <v>253</v>
      </c>
      <c r="G26">
        <v>0.14799999999999999</v>
      </c>
      <c r="H26">
        <v>8.5999999999999993E-2</v>
      </c>
    </row>
    <row r="27" spans="1:8">
      <c r="A27">
        <v>13</v>
      </c>
      <c r="B27" t="s">
        <v>254</v>
      </c>
      <c r="C27">
        <v>2.9039999999999999</v>
      </c>
      <c r="D27">
        <v>2.4020000000000001</v>
      </c>
      <c r="E27">
        <v>55</v>
      </c>
      <c r="F27" t="s">
        <v>255</v>
      </c>
      <c r="G27">
        <v>0.14000000000000001</v>
      </c>
      <c r="H27">
        <v>0.23799999999999999</v>
      </c>
    </row>
    <row r="28" spans="1:8">
      <c r="A28">
        <v>14</v>
      </c>
      <c r="B28" t="s">
        <v>256</v>
      </c>
      <c r="C28">
        <v>1.1459999999999999</v>
      </c>
      <c r="D28">
        <v>1.873</v>
      </c>
      <c r="E28">
        <v>56</v>
      </c>
      <c r="F28" t="s">
        <v>257</v>
      </c>
      <c r="G28">
        <v>0.13</v>
      </c>
      <c r="H28">
        <v>8.8999999999999996E-2</v>
      </c>
    </row>
    <row r="29" spans="1:8">
      <c r="A29">
        <v>15</v>
      </c>
      <c r="B29" t="s">
        <v>258</v>
      </c>
      <c r="C29">
        <v>1.833</v>
      </c>
      <c r="D29">
        <v>1.829</v>
      </c>
      <c r="E29">
        <v>57</v>
      </c>
      <c r="F29" t="s">
        <v>259</v>
      </c>
      <c r="G29">
        <v>0.12</v>
      </c>
      <c r="H29">
        <v>0.104</v>
      </c>
    </row>
    <row r="30" spans="1:8">
      <c r="A30">
        <v>16</v>
      </c>
      <c r="B30" t="s">
        <v>260</v>
      </c>
      <c r="C30">
        <v>1.5069999999999999</v>
      </c>
      <c r="D30">
        <v>1.5940000000000001</v>
      </c>
      <c r="E30">
        <v>58</v>
      </c>
      <c r="F30" t="s">
        <v>261</v>
      </c>
      <c r="G30">
        <v>0.112</v>
      </c>
      <c r="H30">
        <v>0.157</v>
      </c>
    </row>
    <row r="31" spans="1:8">
      <c r="A31">
        <v>17</v>
      </c>
      <c r="B31" t="s">
        <v>262</v>
      </c>
      <c r="C31">
        <v>1.407</v>
      </c>
      <c r="D31">
        <v>1.534</v>
      </c>
      <c r="E31">
        <v>59</v>
      </c>
      <c r="F31" t="s">
        <v>263</v>
      </c>
      <c r="G31">
        <v>0.107</v>
      </c>
      <c r="H31">
        <v>0.10100000000000001</v>
      </c>
    </row>
    <row r="32" spans="1:8">
      <c r="A32">
        <v>18</v>
      </c>
      <c r="B32" t="s">
        <v>264</v>
      </c>
      <c r="C32">
        <v>1.264</v>
      </c>
      <c r="D32">
        <v>1.49</v>
      </c>
      <c r="E32">
        <v>60</v>
      </c>
      <c r="F32" t="s">
        <v>265</v>
      </c>
      <c r="G32">
        <v>0.10199999999999999</v>
      </c>
      <c r="H32">
        <v>9.9000000000000005E-2</v>
      </c>
    </row>
    <row r="33" spans="1:8">
      <c r="A33">
        <v>19</v>
      </c>
      <c r="B33" t="s">
        <v>266</v>
      </c>
      <c r="C33">
        <v>1.099</v>
      </c>
      <c r="D33">
        <v>1.171</v>
      </c>
      <c r="E33">
        <v>61</v>
      </c>
      <c r="F33" t="s">
        <v>267</v>
      </c>
      <c r="G33">
        <v>9.9000000000000005E-2</v>
      </c>
      <c r="H33">
        <v>6.8000000000000005E-2</v>
      </c>
    </row>
    <row r="34" spans="1:8">
      <c r="A34">
        <v>20</v>
      </c>
      <c r="B34" t="s">
        <v>268</v>
      </c>
      <c r="C34">
        <v>0.73899999999999999</v>
      </c>
      <c r="D34">
        <v>0.99099999999999999</v>
      </c>
      <c r="E34">
        <v>62</v>
      </c>
      <c r="F34" t="s">
        <v>269</v>
      </c>
      <c r="G34">
        <v>9.2999999999999999E-2</v>
      </c>
      <c r="H34">
        <v>0.11</v>
      </c>
    </row>
    <row r="35" spans="1:8">
      <c r="A35">
        <v>21</v>
      </c>
      <c r="B35" t="s">
        <v>270</v>
      </c>
      <c r="C35">
        <v>0.73799999999999999</v>
      </c>
      <c r="D35">
        <v>0.97899999999999998</v>
      </c>
      <c r="E35">
        <v>63</v>
      </c>
      <c r="F35" t="s">
        <v>271</v>
      </c>
      <c r="G35">
        <v>7.0000000000000007E-2</v>
      </c>
      <c r="H35">
        <v>0.11700000000000001</v>
      </c>
    </row>
    <row r="36" spans="1:8">
      <c r="A36">
        <v>22</v>
      </c>
      <c r="B36" t="s">
        <v>272</v>
      </c>
      <c r="C36">
        <v>1.202</v>
      </c>
      <c r="D36">
        <v>0.92100000000000004</v>
      </c>
      <c r="E36">
        <v>64</v>
      </c>
      <c r="F36" t="s">
        <v>273</v>
      </c>
      <c r="G36">
        <v>6.3E-2</v>
      </c>
      <c r="H36">
        <v>3.3000000000000002E-2</v>
      </c>
    </row>
    <row r="37" spans="1:8">
      <c r="A37">
        <v>23</v>
      </c>
      <c r="B37" t="s">
        <v>274</v>
      </c>
      <c r="C37">
        <v>1.3140000000000001</v>
      </c>
      <c r="D37">
        <v>0.88800000000000001</v>
      </c>
      <c r="E37">
        <v>65</v>
      </c>
      <c r="F37" t="s">
        <v>275</v>
      </c>
      <c r="G37">
        <v>5.7000000000000002E-2</v>
      </c>
      <c r="H37">
        <v>5.6000000000000001E-2</v>
      </c>
    </row>
    <row r="38" spans="1:8">
      <c r="A38">
        <v>24</v>
      </c>
      <c r="B38" t="s">
        <v>276</v>
      </c>
      <c r="C38">
        <v>0.81799999999999995</v>
      </c>
      <c r="D38">
        <v>0.82799999999999996</v>
      </c>
      <c r="E38">
        <v>66</v>
      </c>
      <c r="F38" t="s">
        <v>277</v>
      </c>
      <c r="G38">
        <v>4.9000000000000002E-2</v>
      </c>
      <c r="H38">
        <v>7.2999999999999995E-2</v>
      </c>
    </row>
    <row r="39" spans="1:8">
      <c r="A39">
        <v>25</v>
      </c>
      <c r="B39" t="s">
        <v>278</v>
      </c>
      <c r="C39">
        <v>0.72099999999999997</v>
      </c>
      <c r="D39">
        <v>0.82299999999999995</v>
      </c>
      <c r="E39">
        <v>67</v>
      </c>
      <c r="F39" t="s">
        <v>279</v>
      </c>
      <c r="G39">
        <v>4.4999999999999998E-2</v>
      </c>
      <c r="H39">
        <v>4.7E-2</v>
      </c>
    </row>
    <row r="40" spans="1:8">
      <c r="A40">
        <v>26</v>
      </c>
      <c r="B40" t="s">
        <v>280</v>
      </c>
      <c r="C40">
        <v>0.86</v>
      </c>
      <c r="D40">
        <v>0.73499999999999999</v>
      </c>
      <c r="E40">
        <v>68</v>
      </c>
      <c r="F40" t="s">
        <v>281</v>
      </c>
      <c r="G40">
        <v>4.1000000000000002E-2</v>
      </c>
      <c r="H40">
        <v>1.4999999999999999E-2</v>
      </c>
    </row>
    <row r="41" spans="1:8">
      <c r="A41">
        <v>27</v>
      </c>
      <c r="B41" t="s">
        <v>282</v>
      </c>
      <c r="C41">
        <v>0.498</v>
      </c>
      <c r="D41">
        <v>0.72399999999999998</v>
      </c>
      <c r="E41">
        <v>69</v>
      </c>
      <c r="F41" t="s">
        <v>283</v>
      </c>
      <c r="G41">
        <v>3.5000000000000003E-2</v>
      </c>
      <c r="H41">
        <v>0.10199999999999999</v>
      </c>
    </row>
    <row r="42" spans="1:8">
      <c r="A42">
        <v>28</v>
      </c>
      <c r="B42" t="s">
        <v>284</v>
      </c>
      <c r="C42">
        <v>0.49399999999999999</v>
      </c>
      <c r="D42">
        <v>0.63800000000000001</v>
      </c>
      <c r="E42">
        <v>70</v>
      </c>
      <c r="F42" t="s">
        <v>285</v>
      </c>
      <c r="G42">
        <v>3.4000000000000002E-2</v>
      </c>
      <c r="H42">
        <v>3.2000000000000001E-2</v>
      </c>
    </row>
    <row r="43" spans="1:8">
      <c r="A43">
        <v>29</v>
      </c>
      <c r="B43" t="s">
        <v>286</v>
      </c>
      <c r="C43">
        <v>0.76100000000000001</v>
      </c>
      <c r="D43">
        <v>0.56299999999999994</v>
      </c>
      <c r="E43">
        <v>71</v>
      </c>
      <c r="F43" t="s">
        <v>287</v>
      </c>
      <c r="G43">
        <v>3.4000000000000002E-2</v>
      </c>
      <c r="H43">
        <v>2.7E-2</v>
      </c>
    </row>
    <row r="44" spans="1:8">
      <c r="A44">
        <v>30</v>
      </c>
      <c r="B44" t="s">
        <v>288</v>
      </c>
      <c r="C44">
        <v>0.28100000000000003</v>
      </c>
      <c r="D44">
        <v>0.46</v>
      </c>
      <c r="E44">
        <v>72</v>
      </c>
      <c r="F44" t="s">
        <v>289</v>
      </c>
      <c r="G44">
        <v>2.8000000000000001E-2</v>
      </c>
      <c r="H44">
        <v>8.0000000000000002E-3</v>
      </c>
    </row>
    <row r="45" spans="1:8">
      <c r="A45">
        <v>31</v>
      </c>
      <c r="B45" t="s">
        <v>290</v>
      </c>
      <c r="C45">
        <v>0.504</v>
      </c>
      <c r="D45">
        <v>0.45800000000000002</v>
      </c>
      <c r="E45">
        <v>73</v>
      </c>
      <c r="F45" t="s">
        <v>291</v>
      </c>
      <c r="G45">
        <v>1.7999999999999999E-2</v>
      </c>
      <c r="H45">
        <v>3.3000000000000002E-2</v>
      </c>
    </row>
    <row r="46" spans="1:8">
      <c r="A46">
        <v>32</v>
      </c>
      <c r="B46" t="s">
        <v>292</v>
      </c>
      <c r="C46">
        <v>0.51200000000000001</v>
      </c>
      <c r="D46">
        <v>0.442</v>
      </c>
      <c r="E46">
        <v>74</v>
      </c>
      <c r="F46" t="s">
        <v>293</v>
      </c>
      <c r="G46">
        <v>1.4E-2</v>
      </c>
      <c r="H46">
        <v>1.2E-2</v>
      </c>
    </row>
    <row r="47" spans="1:8">
      <c r="A47">
        <v>33</v>
      </c>
      <c r="B47" t="s">
        <v>294</v>
      </c>
      <c r="C47">
        <v>0.44</v>
      </c>
      <c r="D47">
        <v>0.41799999999999998</v>
      </c>
      <c r="E47">
        <v>75</v>
      </c>
      <c r="F47" t="s">
        <v>295</v>
      </c>
      <c r="G47">
        <v>1.2999999999999999E-2</v>
      </c>
      <c r="H47">
        <v>0.17199999999999999</v>
      </c>
    </row>
    <row r="48" spans="1:8">
      <c r="A48">
        <v>34</v>
      </c>
      <c r="B48" t="s">
        <v>247</v>
      </c>
      <c r="C48">
        <v>0.17599999999999999</v>
      </c>
      <c r="D48">
        <v>0.41499999999999998</v>
      </c>
      <c r="E48">
        <v>76</v>
      </c>
      <c r="F48" t="s">
        <v>296</v>
      </c>
      <c r="G48">
        <v>0.01</v>
      </c>
      <c r="H48">
        <v>8.9999999999999993E-3</v>
      </c>
    </row>
    <row r="49" spans="1:15">
      <c r="A49">
        <v>35</v>
      </c>
      <c r="B49" t="s">
        <v>297</v>
      </c>
      <c r="C49">
        <v>0.52500000000000002</v>
      </c>
      <c r="D49">
        <v>0.40699999999999997</v>
      </c>
      <c r="E49">
        <v>77</v>
      </c>
      <c r="F49" t="s">
        <v>298</v>
      </c>
      <c r="G49">
        <v>6.0000000000000001E-3</v>
      </c>
      <c r="H49">
        <v>1.0999999999999999E-2</v>
      </c>
    </row>
    <row r="50" spans="1:15">
      <c r="A50">
        <v>36</v>
      </c>
      <c r="B50" t="s">
        <v>299</v>
      </c>
      <c r="C50">
        <v>0.316</v>
      </c>
      <c r="D50">
        <v>0.40500000000000003</v>
      </c>
      <c r="E50">
        <v>78</v>
      </c>
      <c r="F50" t="s">
        <v>300</v>
      </c>
      <c r="G50">
        <v>6.0000000000000001E-3</v>
      </c>
      <c r="H50">
        <v>1.0999999999999999E-2</v>
      </c>
    </row>
    <row r="51" spans="1:15">
      <c r="A51">
        <v>37</v>
      </c>
      <c r="B51" t="s">
        <v>301</v>
      </c>
      <c r="C51">
        <v>0.44900000000000001</v>
      </c>
      <c r="D51">
        <v>0.39300000000000002</v>
      </c>
      <c r="E51">
        <v>79</v>
      </c>
      <c r="F51" t="s">
        <v>302</v>
      </c>
      <c r="G51">
        <v>5.0000000000000001E-3</v>
      </c>
      <c r="H51">
        <v>2.8000000000000001E-2</v>
      </c>
    </row>
    <row r="52" spans="1:15">
      <c r="A52">
        <v>38</v>
      </c>
      <c r="B52" t="s">
        <v>303</v>
      </c>
      <c r="C52">
        <v>0.38100000000000001</v>
      </c>
      <c r="D52">
        <v>0.38800000000000001</v>
      </c>
      <c r="E52">
        <v>80</v>
      </c>
      <c r="F52" t="s">
        <v>304</v>
      </c>
      <c r="G52">
        <v>1E-3</v>
      </c>
      <c r="H52">
        <v>4.0000000000000001E-3</v>
      </c>
    </row>
    <row r="53" spans="1:15">
      <c r="A53">
        <v>39</v>
      </c>
      <c r="B53" t="s">
        <v>305</v>
      </c>
      <c r="C53">
        <v>0.377</v>
      </c>
      <c r="D53">
        <v>0.36899999999999999</v>
      </c>
      <c r="E53">
        <v>81</v>
      </c>
      <c r="F53" t="s">
        <v>306</v>
      </c>
      <c r="G53">
        <v>1E-3</v>
      </c>
      <c r="H53">
        <v>1E-3</v>
      </c>
    </row>
    <row r="54" spans="1:15">
      <c r="A54">
        <v>40</v>
      </c>
      <c r="B54" t="s">
        <v>245</v>
      </c>
      <c r="C54">
        <v>0.18099999999999999</v>
      </c>
      <c r="D54">
        <v>0.35199999999999998</v>
      </c>
      <c r="E54">
        <v>82</v>
      </c>
      <c r="F54" t="s">
        <v>307</v>
      </c>
      <c r="G54">
        <v>0</v>
      </c>
      <c r="H54">
        <v>1E-3</v>
      </c>
    </row>
    <row r="55" spans="1:15">
      <c r="A55">
        <v>41</v>
      </c>
      <c r="B55" t="s">
        <v>308</v>
      </c>
      <c r="C55">
        <v>0.27600000000000002</v>
      </c>
      <c r="D55">
        <v>0.34200000000000003</v>
      </c>
      <c r="E55">
        <v>83</v>
      </c>
      <c r="F55" t="s">
        <v>309</v>
      </c>
      <c r="G55">
        <v>0</v>
      </c>
      <c r="H55">
        <v>0</v>
      </c>
    </row>
    <row r="56" spans="1:15">
      <c r="A56">
        <v>42</v>
      </c>
      <c r="B56" t="s">
        <v>241</v>
      </c>
      <c r="C56">
        <v>0.20799999999999999</v>
      </c>
      <c r="D56">
        <v>0.312</v>
      </c>
      <c r="E56">
        <v>84</v>
      </c>
      <c r="F56" t="s">
        <v>310</v>
      </c>
      <c r="G56">
        <v>0</v>
      </c>
      <c r="H56">
        <v>0</v>
      </c>
    </row>
    <row r="57" spans="1:15">
      <c r="B57" t="s">
        <v>311</v>
      </c>
      <c r="C57">
        <v>0.26600000000000001</v>
      </c>
      <c r="D57">
        <v>0.28699999999999998</v>
      </c>
    </row>
    <row r="58" spans="1:15">
      <c r="B58" t="s">
        <v>312</v>
      </c>
      <c r="C58">
        <v>0.41599999999999998</v>
      </c>
      <c r="D58">
        <v>0.253</v>
      </c>
    </row>
    <row r="59" spans="1:15">
      <c r="B59" t="s">
        <v>231</v>
      </c>
      <c r="C59">
        <v>0.26</v>
      </c>
      <c r="D59">
        <v>0.247</v>
      </c>
      <c r="L59" s="69" t="s">
        <v>313</v>
      </c>
      <c r="M59" t="s">
        <v>314</v>
      </c>
    </row>
    <row r="60" spans="1:15">
      <c r="B60" t="s">
        <v>235</v>
      </c>
      <c r="C60">
        <v>0.24</v>
      </c>
      <c r="D60">
        <v>0.23799999999999999</v>
      </c>
      <c r="L60" t="s">
        <v>315</v>
      </c>
      <c r="M60" t="s">
        <v>316</v>
      </c>
      <c r="N60" t="s">
        <v>317</v>
      </c>
      <c r="O60" t="s">
        <v>318</v>
      </c>
    </row>
    <row r="61" spans="1:15">
      <c r="B61" t="s">
        <v>255</v>
      </c>
      <c r="C61">
        <v>0.14000000000000001</v>
      </c>
      <c r="D61">
        <v>0.23799999999999999</v>
      </c>
      <c r="L61" t="s">
        <v>319</v>
      </c>
      <c r="M61" t="s">
        <v>320</v>
      </c>
      <c r="N61" t="s">
        <v>321</v>
      </c>
      <c r="O61" t="s">
        <v>322</v>
      </c>
    </row>
    <row r="62" spans="1:15">
      <c r="B62" t="s">
        <v>237</v>
      </c>
      <c r="C62">
        <v>0.221</v>
      </c>
      <c r="D62">
        <v>0.23699999999999999</v>
      </c>
      <c r="L62" t="s">
        <v>323</v>
      </c>
    </row>
    <row r="63" spans="1:15">
      <c r="B63" t="s">
        <v>324</v>
      </c>
      <c r="C63">
        <v>0.29499999999999998</v>
      </c>
      <c r="D63">
        <v>0.20399999999999999</v>
      </c>
      <c r="L63" t="s">
        <v>325</v>
      </c>
    </row>
    <row r="64" spans="1:15">
      <c r="B64" t="s">
        <v>239</v>
      </c>
      <c r="C64">
        <v>0.218</v>
      </c>
      <c r="D64">
        <v>0.20200000000000001</v>
      </c>
      <c r="L64" t="s">
        <v>321</v>
      </c>
      <c r="M64" t="s">
        <v>322</v>
      </c>
      <c r="N64" t="s">
        <v>326</v>
      </c>
    </row>
    <row r="65" spans="2:16">
      <c r="B65" t="s">
        <v>295</v>
      </c>
      <c r="C65">
        <v>1.2999999999999999E-2</v>
      </c>
      <c r="D65">
        <v>0.17199999999999999</v>
      </c>
      <c r="L65" t="s">
        <v>226</v>
      </c>
    </row>
    <row r="66" spans="2:16">
      <c r="B66" t="s">
        <v>249</v>
      </c>
      <c r="C66">
        <v>0.17499999999999999</v>
      </c>
      <c r="D66">
        <v>0.157</v>
      </c>
      <c r="L66" t="s">
        <v>145</v>
      </c>
      <c r="M66" t="s">
        <v>314</v>
      </c>
    </row>
    <row r="67" spans="2:16">
      <c r="B67" t="s">
        <v>261</v>
      </c>
      <c r="C67">
        <v>0.112</v>
      </c>
      <c r="D67">
        <v>0.157</v>
      </c>
      <c r="L67" t="s">
        <v>315</v>
      </c>
      <c r="M67" t="s">
        <v>316</v>
      </c>
      <c r="N67" t="s">
        <v>317</v>
      </c>
      <c r="O67" t="s">
        <v>318</v>
      </c>
    </row>
    <row r="68" spans="2:16">
      <c r="B68" t="s">
        <v>233</v>
      </c>
      <c r="C68">
        <v>0.251</v>
      </c>
      <c r="D68">
        <v>0.128</v>
      </c>
      <c r="L68" t="s">
        <v>319</v>
      </c>
      <c r="M68" t="s">
        <v>320</v>
      </c>
      <c r="N68" t="s">
        <v>321</v>
      </c>
      <c r="O68" t="s">
        <v>322</v>
      </c>
    </row>
    <row r="69" spans="2:16">
      <c r="B69" t="s">
        <v>243</v>
      </c>
      <c r="C69">
        <v>0.20300000000000001</v>
      </c>
      <c r="D69">
        <v>0.11799999999999999</v>
      </c>
      <c r="L69" t="s">
        <v>323</v>
      </c>
    </row>
    <row r="70" spans="2:16">
      <c r="B70" t="s">
        <v>271</v>
      </c>
      <c r="C70">
        <v>7.0000000000000007E-2</v>
      </c>
      <c r="D70">
        <v>0.11700000000000001</v>
      </c>
      <c r="L70" t="s">
        <v>325</v>
      </c>
    </row>
    <row r="71" spans="2:16">
      <c r="B71" t="s">
        <v>269</v>
      </c>
      <c r="C71">
        <v>9.2999999999999999E-2</v>
      </c>
      <c r="D71">
        <v>0.11</v>
      </c>
      <c r="L71" t="s">
        <v>321</v>
      </c>
      <c r="M71" t="s">
        <v>322</v>
      </c>
      <c r="N71" t="s">
        <v>326</v>
      </c>
    </row>
    <row r="72" spans="2:16">
      <c r="B72" t="s">
        <v>259</v>
      </c>
      <c r="C72">
        <v>0.12</v>
      </c>
      <c r="D72">
        <v>0.104</v>
      </c>
      <c r="L72" t="s">
        <v>226</v>
      </c>
    </row>
    <row r="73" spans="2:16">
      <c r="B73" t="s">
        <v>283</v>
      </c>
      <c r="C73">
        <v>3.5000000000000003E-2</v>
      </c>
      <c r="D73">
        <v>0.10199999999999999</v>
      </c>
      <c r="L73">
        <v>1</v>
      </c>
      <c r="M73" t="s">
        <v>252</v>
      </c>
      <c r="N73">
        <v>16.192</v>
      </c>
      <c r="O73">
        <v>8.9139999999999997</v>
      </c>
      <c r="P73">
        <v>43</v>
      </c>
    </row>
    <row r="74" spans="2:16">
      <c r="B74" t="s">
        <v>263</v>
      </c>
      <c r="C74">
        <v>0.107</v>
      </c>
      <c r="D74">
        <v>0.10100000000000001</v>
      </c>
      <c r="L74">
        <v>2</v>
      </c>
      <c r="M74" t="s">
        <v>240</v>
      </c>
      <c r="N74">
        <v>0.69299999999999995</v>
      </c>
      <c r="O74">
        <v>7.306</v>
      </c>
      <c r="P74">
        <v>44</v>
      </c>
    </row>
    <row r="75" spans="2:16">
      <c r="B75" t="s">
        <v>265</v>
      </c>
      <c r="C75">
        <v>0.10199999999999999</v>
      </c>
      <c r="D75">
        <v>9.9000000000000005E-2</v>
      </c>
      <c r="L75">
        <v>3</v>
      </c>
      <c r="M75" t="s">
        <v>236</v>
      </c>
      <c r="N75">
        <v>7.1440000000000001</v>
      </c>
      <c r="O75">
        <v>7.1870000000000003</v>
      </c>
      <c r="P75">
        <v>45</v>
      </c>
    </row>
    <row r="76" spans="2:16">
      <c r="B76" t="s">
        <v>257</v>
      </c>
      <c r="C76">
        <v>0.13</v>
      </c>
      <c r="D76">
        <v>8.8999999999999996E-2</v>
      </c>
      <c r="L76">
        <v>4</v>
      </c>
      <c r="M76" t="s">
        <v>238</v>
      </c>
      <c r="N76">
        <v>1.464</v>
      </c>
      <c r="O76">
        <v>6.6050000000000004</v>
      </c>
      <c r="P76">
        <v>46</v>
      </c>
    </row>
    <row r="77" spans="2:16">
      <c r="B77" t="s">
        <v>253</v>
      </c>
      <c r="C77">
        <v>0.14799999999999999</v>
      </c>
      <c r="D77">
        <v>8.5999999999999993E-2</v>
      </c>
      <c r="L77">
        <v>5</v>
      </c>
      <c r="M77" t="s">
        <v>246</v>
      </c>
      <c r="N77">
        <v>10.355</v>
      </c>
      <c r="O77">
        <v>6.5869999999999997</v>
      </c>
      <c r="P77">
        <v>47</v>
      </c>
    </row>
    <row r="78" spans="2:16">
      <c r="B78" t="s">
        <v>251</v>
      </c>
      <c r="C78">
        <v>0.158</v>
      </c>
      <c r="D78">
        <v>7.2999999999999995E-2</v>
      </c>
      <c r="L78">
        <v>6</v>
      </c>
      <c r="M78" t="s">
        <v>248</v>
      </c>
      <c r="N78">
        <v>7.8730000000000002</v>
      </c>
      <c r="O78">
        <v>6.2469999999999999</v>
      </c>
      <c r="P78">
        <v>48</v>
      </c>
    </row>
    <row r="79" spans="2:16">
      <c r="B79" t="s">
        <v>277</v>
      </c>
      <c r="C79">
        <v>4.9000000000000002E-2</v>
      </c>
      <c r="D79">
        <v>7.2999999999999995E-2</v>
      </c>
      <c r="L79">
        <v>7</v>
      </c>
      <c r="M79" t="s">
        <v>250</v>
      </c>
      <c r="N79">
        <v>3.1989999999999998</v>
      </c>
      <c r="O79">
        <v>5.2619999999999996</v>
      </c>
      <c r="P79">
        <v>49</v>
      </c>
    </row>
    <row r="80" spans="2:16">
      <c r="B80" t="s">
        <v>267</v>
      </c>
      <c r="C80">
        <v>9.9000000000000005E-2</v>
      </c>
      <c r="D80">
        <v>6.8000000000000005E-2</v>
      </c>
      <c r="L80">
        <v>8</v>
      </c>
      <c r="M80" t="s">
        <v>258</v>
      </c>
      <c r="N80">
        <v>14.849</v>
      </c>
      <c r="O80">
        <v>5.0110000000000001</v>
      </c>
      <c r="P80">
        <v>50</v>
      </c>
    </row>
    <row r="81" spans="2:16">
      <c r="B81" t="s">
        <v>275</v>
      </c>
      <c r="C81">
        <v>5.7000000000000002E-2</v>
      </c>
      <c r="D81">
        <v>5.6000000000000001E-2</v>
      </c>
      <c r="L81">
        <v>9</v>
      </c>
      <c r="M81" t="s">
        <v>232</v>
      </c>
      <c r="N81">
        <v>2.5659999999999998</v>
      </c>
      <c r="O81">
        <v>4.9379999999999997</v>
      </c>
      <c r="P81">
        <v>51</v>
      </c>
    </row>
    <row r="82" spans="2:16">
      <c r="B82" t="s">
        <v>279</v>
      </c>
      <c r="C82">
        <v>4.4999999999999998E-2</v>
      </c>
      <c r="D82">
        <v>4.7E-2</v>
      </c>
      <c r="L82">
        <v>10</v>
      </c>
      <c r="M82" t="s">
        <v>262</v>
      </c>
      <c r="N82">
        <v>6.7469999999999999</v>
      </c>
      <c r="O82">
        <v>4.7439999999999998</v>
      </c>
      <c r="P82">
        <v>52</v>
      </c>
    </row>
    <row r="83" spans="2:16">
      <c r="B83" t="s">
        <v>273</v>
      </c>
      <c r="C83">
        <v>6.3E-2</v>
      </c>
      <c r="D83">
        <v>3.3000000000000002E-2</v>
      </c>
      <c r="L83">
        <v>11</v>
      </c>
      <c r="M83" t="s">
        <v>274</v>
      </c>
      <c r="N83">
        <v>2.4700000000000002</v>
      </c>
      <c r="O83">
        <v>4.359</v>
      </c>
      <c r="P83">
        <v>53</v>
      </c>
    </row>
    <row r="84" spans="2:16">
      <c r="B84" t="s">
        <v>291</v>
      </c>
      <c r="C84">
        <v>1.7999999999999999E-2</v>
      </c>
      <c r="D84">
        <v>3.3000000000000002E-2</v>
      </c>
      <c r="L84">
        <v>12</v>
      </c>
      <c r="M84" t="s">
        <v>276</v>
      </c>
      <c r="N84">
        <v>3.5419999999999998</v>
      </c>
      <c r="O84">
        <v>2.9350000000000001</v>
      </c>
      <c r="P84">
        <v>54</v>
      </c>
    </row>
    <row r="85" spans="2:16">
      <c r="B85" t="s">
        <v>285</v>
      </c>
      <c r="C85">
        <v>3.4000000000000002E-2</v>
      </c>
      <c r="D85">
        <v>3.2000000000000001E-2</v>
      </c>
      <c r="L85">
        <v>13</v>
      </c>
      <c r="M85" t="s">
        <v>239</v>
      </c>
      <c r="N85">
        <v>3.7050000000000001</v>
      </c>
      <c r="O85">
        <v>2.2250000000000001</v>
      </c>
      <c r="P85">
        <v>55</v>
      </c>
    </row>
    <row r="86" spans="2:16">
      <c r="B86" t="s">
        <v>302</v>
      </c>
      <c r="C86">
        <v>5.0000000000000001E-3</v>
      </c>
      <c r="D86">
        <v>2.8000000000000001E-2</v>
      </c>
      <c r="L86">
        <v>14</v>
      </c>
      <c r="M86" t="s">
        <v>282</v>
      </c>
      <c r="N86">
        <v>0.627</v>
      </c>
      <c r="O86">
        <v>1.8959999999999999</v>
      </c>
      <c r="P86">
        <v>56</v>
      </c>
    </row>
    <row r="87" spans="2:16">
      <c r="B87" t="s">
        <v>287</v>
      </c>
      <c r="C87">
        <v>3.4000000000000002E-2</v>
      </c>
      <c r="D87">
        <v>2.7E-2</v>
      </c>
      <c r="L87">
        <v>15</v>
      </c>
      <c r="M87" t="s">
        <v>245</v>
      </c>
      <c r="N87">
        <v>1.3129999999999999</v>
      </c>
      <c r="O87">
        <v>1.8120000000000001</v>
      </c>
      <c r="P87">
        <v>57</v>
      </c>
    </row>
    <row r="88" spans="2:16">
      <c r="B88" t="s">
        <v>281</v>
      </c>
      <c r="C88">
        <v>4.1000000000000002E-2</v>
      </c>
      <c r="D88">
        <v>1.4999999999999999E-2</v>
      </c>
      <c r="L88">
        <v>16</v>
      </c>
      <c r="M88" t="s">
        <v>244</v>
      </c>
      <c r="N88">
        <v>0.38</v>
      </c>
      <c r="O88">
        <v>1.77</v>
      </c>
      <c r="P88">
        <v>58</v>
      </c>
    </row>
    <row r="89" spans="2:16">
      <c r="B89" t="s">
        <v>293</v>
      </c>
      <c r="C89">
        <v>1.4E-2</v>
      </c>
      <c r="D89">
        <v>1.2E-2</v>
      </c>
      <c r="L89">
        <v>17</v>
      </c>
      <c r="M89" t="s">
        <v>297</v>
      </c>
      <c r="N89">
        <v>2.012</v>
      </c>
      <c r="O89">
        <v>1.7410000000000001</v>
      </c>
      <c r="P89">
        <v>59</v>
      </c>
    </row>
    <row r="90" spans="2:16">
      <c r="B90" t="s">
        <v>298</v>
      </c>
      <c r="C90">
        <v>6.0000000000000001E-3</v>
      </c>
      <c r="D90">
        <v>1.0999999999999999E-2</v>
      </c>
      <c r="L90">
        <v>18</v>
      </c>
      <c r="M90" t="s">
        <v>242</v>
      </c>
      <c r="N90">
        <v>1.645</v>
      </c>
      <c r="O90">
        <v>1.696</v>
      </c>
      <c r="P90">
        <v>60</v>
      </c>
    </row>
    <row r="91" spans="2:16">
      <c r="B91" t="s">
        <v>300</v>
      </c>
      <c r="C91">
        <v>6.0000000000000001E-3</v>
      </c>
      <c r="D91">
        <v>1.0999999999999999E-2</v>
      </c>
      <c r="L91">
        <v>19</v>
      </c>
      <c r="M91" t="s">
        <v>299</v>
      </c>
      <c r="N91">
        <v>0.53600000000000003</v>
      </c>
      <c r="O91">
        <v>1.446</v>
      </c>
      <c r="P91">
        <v>61</v>
      </c>
    </row>
    <row r="92" spans="2:16">
      <c r="B92" t="s">
        <v>296</v>
      </c>
      <c r="C92">
        <v>0.01</v>
      </c>
      <c r="D92">
        <v>8.9999999999999993E-3</v>
      </c>
      <c r="L92">
        <v>20</v>
      </c>
      <c r="M92" t="s">
        <v>234</v>
      </c>
      <c r="N92">
        <v>0.24099999999999999</v>
      </c>
      <c r="O92">
        <v>1.282</v>
      </c>
      <c r="P92">
        <v>62</v>
      </c>
    </row>
    <row r="93" spans="2:16">
      <c r="B93" t="s">
        <v>289</v>
      </c>
      <c r="C93">
        <v>2.8000000000000001E-2</v>
      </c>
      <c r="D93">
        <v>8.0000000000000002E-3</v>
      </c>
      <c r="L93">
        <v>21</v>
      </c>
      <c r="M93" t="s">
        <v>270</v>
      </c>
      <c r="N93">
        <v>1.319</v>
      </c>
      <c r="O93">
        <v>1.228</v>
      </c>
      <c r="P93">
        <v>63</v>
      </c>
    </row>
    <row r="94" spans="2:16">
      <c r="B94" t="s">
        <v>304</v>
      </c>
      <c r="C94">
        <v>1E-3</v>
      </c>
      <c r="D94">
        <v>4.0000000000000001E-3</v>
      </c>
      <c r="L94">
        <v>22</v>
      </c>
      <c r="M94" t="s">
        <v>268</v>
      </c>
      <c r="N94">
        <v>0.45200000000000001</v>
      </c>
      <c r="O94">
        <v>0.98899999999999999</v>
      </c>
      <c r="P94">
        <v>64</v>
      </c>
    </row>
    <row r="95" spans="2:16">
      <c r="B95" t="s">
        <v>306</v>
      </c>
      <c r="C95">
        <v>1E-3</v>
      </c>
      <c r="D95">
        <v>1E-3</v>
      </c>
      <c r="L95">
        <v>23</v>
      </c>
      <c r="M95" t="s">
        <v>290</v>
      </c>
      <c r="N95">
        <v>1.2829999999999999</v>
      </c>
      <c r="O95">
        <v>0.97399999999999998</v>
      </c>
      <c r="P95">
        <v>65</v>
      </c>
    </row>
    <row r="96" spans="2:16">
      <c r="B96" t="s">
        <v>307</v>
      </c>
      <c r="C96">
        <v>0</v>
      </c>
      <c r="D96">
        <v>1E-3</v>
      </c>
      <c r="L96">
        <v>24</v>
      </c>
      <c r="M96" t="s">
        <v>284</v>
      </c>
      <c r="N96">
        <v>0.253</v>
      </c>
      <c r="O96">
        <v>0.94399999999999995</v>
      </c>
      <c r="P96">
        <v>66</v>
      </c>
    </row>
    <row r="97" spans="2:16">
      <c r="B97" t="s">
        <v>309</v>
      </c>
      <c r="C97">
        <v>0</v>
      </c>
      <c r="D97">
        <v>0</v>
      </c>
      <c r="L97">
        <v>25</v>
      </c>
      <c r="M97" t="s">
        <v>303</v>
      </c>
      <c r="N97">
        <v>0.32500000000000001</v>
      </c>
      <c r="O97">
        <v>0.70499999999999996</v>
      </c>
      <c r="P97">
        <v>67</v>
      </c>
    </row>
    <row r="98" spans="2:16">
      <c r="B98" t="s">
        <v>310</v>
      </c>
      <c r="C98">
        <v>0</v>
      </c>
      <c r="D98">
        <v>0</v>
      </c>
      <c r="L98">
        <v>26</v>
      </c>
      <c r="M98" t="s">
        <v>301</v>
      </c>
      <c r="N98">
        <v>0.50600000000000001</v>
      </c>
      <c r="O98">
        <v>0.69599999999999995</v>
      </c>
      <c r="P98">
        <v>68</v>
      </c>
    </row>
    <row r="99" spans="2:16">
      <c r="L99">
        <v>27</v>
      </c>
      <c r="M99" t="s">
        <v>286</v>
      </c>
      <c r="N99">
        <v>0.127</v>
      </c>
      <c r="O99">
        <v>0.55100000000000005</v>
      </c>
      <c r="P99">
        <v>69</v>
      </c>
    </row>
    <row r="100" spans="2:16">
      <c r="L100">
        <v>28</v>
      </c>
      <c r="M100" t="s">
        <v>312</v>
      </c>
      <c r="N100">
        <v>0.56000000000000005</v>
      </c>
      <c r="O100">
        <v>0.53400000000000003</v>
      </c>
      <c r="P100">
        <v>70</v>
      </c>
    </row>
    <row r="101" spans="2:16">
      <c r="L101">
        <v>29</v>
      </c>
      <c r="M101" t="s">
        <v>235</v>
      </c>
      <c r="N101">
        <v>0.55400000000000005</v>
      </c>
      <c r="O101">
        <v>0.52600000000000002</v>
      </c>
      <c r="P101">
        <v>71</v>
      </c>
    </row>
    <row r="102" spans="2:16">
      <c r="L102">
        <v>30</v>
      </c>
      <c r="M102" t="s">
        <v>249</v>
      </c>
      <c r="N102">
        <v>0.127</v>
      </c>
      <c r="O102">
        <v>0.52</v>
      </c>
      <c r="P102">
        <v>72</v>
      </c>
    </row>
    <row r="103" spans="2:16">
      <c r="L103">
        <v>31</v>
      </c>
      <c r="M103" t="s">
        <v>280</v>
      </c>
      <c r="N103">
        <v>0.41</v>
      </c>
      <c r="O103">
        <v>0.499</v>
      </c>
      <c r="P103">
        <v>73</v>
      </c>
    </row>
    <row r="104" spans="2:16">
      <c r="L104">
        <v>32</v>
      </c>
      <c r="M104" t="s">
        <v>260</v>
      </c>
      <c r="N104">
        <v>7.1999999999999995E-2</v>
      </c>
      <c r="O104">
        <v>0.44900000000000001</v>
      </c>
      <c r="P104">
        <v>74</v>
      </c>
    </row>
    <row r="105" spans="2:16">
      <c r="L105">
        <v>33</v>
      </c>
      <c r="M105" t="s">
        <v>278</v>
      </c>
      <c r="N105">
        <v>8.4000000000000005E-2</v>
      </c>
      <c r="O105">
        <v>0.39800000000000002</v>
      </c>
      <c r="P105">
        <v>75</v>
      </c>
    </row>
    <row r="106" spans="2:16">
      <c r="L106">
        <v>34</v>
      </c>
      <c r="M106" t="s">
        <v>243</v>
      </c>
      <c r="N106">
        <v>0.29499999999999998</v>
      </c>
      <c r="O106">
        <v>0.38700000000000001</v>
      </c>
      <c r="P106">
        <v>76</v>
      </c>
    </row>
    <row r="107" spans="2:16">
      <c r="L107">
        <v>35</v>
      </c>
      <c r="M107" t="s">
        <v>255</v>
      </c>
      <c r="N107">
        <v>0.108</v>
      </c>
      <c r="O107">
        <v>0.38</v>
      </c>
      <c r="P107">
        <v>77</v>
      </c>
    </row>
    <row r="108" spans="2:16">
      <c r="L108">
        <v>36</v>
      </c>
      <c r="M108" t="s">
        <v>292</v>
      </c>
      <c r="N108">
        <v>0.20499999999999999</v>
      </c>
      <c r="O108">
        <v>0.374</v>
      </c>
      <c r="P108">
        <v>78</v>
      </c>
    </row>
    <row r="109" spans="2:16">
      <c r="L109">
        <v>37</v>
      </c>
      <c r="M109" t="s">
        <v>264</v>
      </c>
      <c r="N109">
        <v>0.66900000000000004</v>
      </c>
      <c r="O109">
        <v>0.34200000000000003</v>
      </c>
      <c r="P109">
        <v>79</v>
      </c>
    </row>
    <row r="110" spans="2:16">
      <c r="L110">
        <v>38</v>
      </c>
      <c r="M110" t="s">
        <v>241</v>
      </c>
      <c r="N110">
        <v>0.21099999999999999</v>
      </c>
      <c r="O110">
        <v>0.312</v>
      </c>
      <c r="P110">
        <v>80</v>
      </c>
    </row>
    <row r="111" spans="2:16">
      <c r="L111">
        <v>39</v>
      </c>
      <c r="M111" t="s">
        <v>253</v>
      </c>
      <c r="N111">
        <v>0.313</v>
      </c>
      <c r="O111">
        <v>0.26500000000000001</v>
      </c>
      <c r="P111">
        <v>81</v>
      </c>
    </row>
    <row r="112" spans="2:16">
      <c r="L112">
        <v>40</v>
      </c>
      <c r="M112" t="s">
        <v>233</v>
      </c>
      <c r="N112">
        <v>1.3069999999999999</v>
      </c>
      <c r="O112">
        <v>0.25800000000000001</v>
      </c>
      <c r="P112">
        <v>82</v>
      </c>
    </row>
    <row r="113" spans="12:16">
      <c r="L113">
        <v>41</v>
      </c>
      <c r="M113" t="s">
        <v>311</v>
      </c>
      <c r="N113">
        <v>7.8E-2</v>
      </c>
      <c r="O113">
        <v>0.24</v>
      </c>
      <c r="P113">
        <v>83</v>
      </c>
    </row>
    <row r="114" spans="12:16">
      <c r="L114">
        <v>42</v>
      </c>
      <c r="M114" t="s">
        <v>275</v>
      </c>
      <c r="N114">
        <v>0.22900000000000001</v>
      </c>
      <c r="O114">
        <v>0.215</v>
      </c>
      <c r="P114">
        <v>84</v>
      </c>
    </row>
    <row r="115" spans="12:16">
      <c r="M115" t="s">
        <v>288</v>
      </c>
      <c r="N115">
        <v>0.06</v>
      </c>
      <c r="O115">
        <v>0.21199999999999999</v>
      </c>
    </row>
    <row r="116" spans="12:16">
      <c r="M116" t="s">
        <v>254</v>
      </c>
      <c r="N116">
        <v>1.7999999999999999E-2</v>
      </c>
      <c r="O116">
        <v>0.191</v>
      </c>
    </row>
    <row r="117" spans="12:16">
      <c r="M117" t="s">
        <v>308</v>
      </c>
      <c r="N117">
        <v>0.10199999999999999</v>
      </c>
      <c r="O117">
        <v>0.185</v>
      </c>
    </row>
    <row r="118" spans="12:16">
      <c r="M118" t="s">
        <v>230</v>
      </c>
      <c r="N118">
        <v>5.3999999999999999E-2</v>
      </c>
      <c r="O118">
        <v>0.17899999999999999</v>
      </c>
    </row>
    <row r="119" spans="12:16">
      <c r="M119" t="s">
        <v>247</v>
      </c>
      <c r="N119">
        <v>2.4E-2</v>
      </c>
      <c r="O119">
        <v>0.159</v>
      </c>
    </row>
    <row r="120" spans="12:16">
      <c r="M120" t="s">
        <v>263</v>
      </c>
      <c r="N120">
        <v>2.4E-2</v>
      </c>
      <c r="O120">
        <v>0.14399999999999999</v>
      </c>
    </row>
    <row r="121" spans="12:16">
      <c r="M121" t="s">
        <v>272</v>
      </c>
      <c r="N121">
        <v>0.121</v>
      </c>
      <c r="O121">
        <v>0.14199999999999999</v>
      </c>
    </row>
    <row r="122" spans="12:16">
      <c r="M122" t="s">
        <v>305</v>
      </c>
      <c r="N122">
        <v>7.1999999999999995E-2</v>
      </c>
      <c r="O122">
        <v>0.13700000000000001</v>
      </c>
    </row>
    <row r="123" spans="12:16">
      <c r="M123" t="s">
        <v>279</v>
      </c>
      <c r="N123">
        <v>1.7999999999999999E-2</v>
      </c>
      <c r="O123">
        <v>0.13500000000000001</v>
      </c>
    </row>
    <row r="124" spans="12:16">
      <c r="M124" t="s">
        <v>261</v>
      </c>
      <c r="N124">
        <v>7.8E-2</v>
      </c>
      <c r="O124">
        <v>0.13</v>
      </c>
    </row>
    <row r="125" spans="12:16">
      <c r="M125" t="s">
        <v>324</v>
      </c>
      <c r="N125">
        <v>6.6000000000000003E-2</v>
      </c>
      <c r="O125">
        <v>0.12</v>
      </c>
    </row>
    <row r="126" spans="12:16">
      <c r="M126" t="s">
        <v>285</v>
      </c>
      <c r="N126">
        <v>0.16900000000000001</v>
      </c>
      <c r="O126">
        <v>0.113</v>
      </c>
    </row>
    <row r="127" spans="12:16">
      <c r="M127" t="s">
        <v>295</v>
      </c>
      <c r="N127">
        <v>6.0000000000000001E-3</v>
      </c>
      <c r="O127">
        <v>0.108</v>
      </c>
    </row>
    <row r="128" spans="12:16">
      <c r="M128" t="s">
        <v>289</v>
      </c>
      <c r="N128">
        <v>0.68700000000000006</v>
      </c>
      <c r="O128">
        <v>0.105</v>
      </c>
    </row>
    <row r="129" spans="13:15">
      <c r="M129" t="s">
        <v>266</v>
      </c>
      <c r="N129">
        <v>0.09</v>
      </c>
      <c r="O129">
        <v>0.10100000000000001</v>
      </c>
    </row>
    <row r="130" spans="13:15">
      <c r="M130" t="s">
        <v>265</v>
      </c>
      <c r="N130">
        <v>0.06</v>
      </c>
      <c r="O130">
        <v>9.7000000000000003E-2</v>
      </c>
    </row>
    <row r="131" spans="13:15">
      <c r="M131" t="s">
        <v>273</v>
      </c>
      <c r="N131">
        <v>0.10199999999999999</v>
      </c>
      <c r="O131">
        <v>8.5000000000000006E-2</v>
      </c>
    </row>
    <row r="132" spans="13:15">
      <c r="M132" t="s">
        <v>231</v>
      </c>
      <c r="N132">
        <v>6.6000000000000003E-2</v>
      </c>
      <c r="O132">
        <v>7.4999999999999997E-2</v>
      </c>
    </row>
    <row r="133" spans="13:15">
      <c r="M133" t="s">
        <v>302</v>
      </c>
      <c r="N133">
        <v>6.0000000000000001E-3</v>
      </c>
      <c r="O133">
        <v>7.4999999999999997E-2</v>
      </c>
    </row>
    <row r="134" spans="13:15">
      <c r="M134" t="s">
        <v>267</v>
      </c>
      <c r="N134">
        <v>0.13300000000000001</v>
      </c>
      <c r="O134">
        <v>7.2999999999999995E-2</v>
      </c>
    </row>
    <row r="135" spans="13:15">
      <c r="M135" t="s">
        <v>298</v>
      </c>
      <c r="N135">
        <v>0</v>
      </c>
      <c r="O135">
        <v>7.0999999999999994E-2</v>
      </c>
    </row>
    <row r="136" spans="13:15">
      <c r="M136" t="s">
        <v>259</v>
      </c>
      <c r="N136">
        <v>2.4E-2</v>
      </c>
      <c r="O136">
        <v>6.4000000000000001E-2</v>
      </c>
    </row>
    <row r="137" spans="13:15">
      <c r="M137" t="s">
        <v>257</v>
      </c>
      <c r="N137">
        <v>1.2E-2</v>
      </c>
      <c r="O137">
        <v>0.06</v>
      </c>
    </row>
    <row r="138" spans="13:15">
      <c r="M138" t="s">
        <v>269</v>
      </c>
      <c r="N138">
        <v>0.03</v>
      </c>
      <c r="O138">
        <v>5.8000000000000003E-2</v>
      </c>
    </row>
    <row r="139" spans="13:15">
      <c r="M139" t="s">
        <v>237</v>
      </c>
      <c r="N139">
        <v>2.4E-2</v>
      </c>
      <c r="O139">
        <v>5.8000000000000003E-2</v>
      </c>
    </row>
    <row r="140" spans="13:15">
      <c r="M140" t="s">
        <v>277</v>
      </c>
      <c r="N140">
        <v>1.7999999999999999E-2</v>
      </c>
      <c r="O140">
        <v>5.2999999999999999E-2</v>
      </c>
    </row>
    <row r="141" spans="13:15">
      <c r="M141" t="s">
        <v>256</v>
      </c>
      <c r="N141">
        <v>0.03</v>
      </c>
      <c r="O141">
        <v>5.1999999999999998E-2</v>
      </c>
    </row>
    <row r="142" spans="13:15">
      <c r="M142" t="s">
        <v>300</v>
      </c>
      <c r="N142">
        <v>0</v>
      </c>
      <c r="O142">
        <v>4.9000000000000002E-2</v>
      </c>
    </row>
    <row r="143" spans="13:15">
      <c r="M143" t="s">
        <v>283</v>
      </c>
      <c r="N143">
        <v>6.0000000000000001E-3</v>
      </c>
      <c r="O143">
        <v>4.5999999999999999E-2</v>
      </c>
    </row>
    <row r="144" spans="13:15">
      <c r="M144" t="s">
        <v>251</v>
      </c>
      <c r="N144">
        <v>7.8E-2</v>
      </c>
      <c r="O144">
        <v>4.4999999999999998E-2</v>
      </c>
    </row>
    <row r="145" spans="13:15">
      <c r="M145" t="s">
        <v>291</v>
      </c>
      <c r="N145">
        <v>9.6000000000000002E-2</v>
      </c>
      <c r="O145">
        <v>0.03</v>
      </c>
    </row>
    <row r="146" spans="13:15">
      <c r="M146" t="s">
        <v>306</v>
      </c>
      <c r="N146">
        <v>0</v>
      </c>
      <c r="O146">
        <v>2.9000000000000001E-2</v>
      </c>
    </row>
    <row r="147" spans="13:15">
      <c r="M147" t="s">
        <v>294</v>
      </c>
      <c r="N147">
        <v>3.5999999999999997E-2</v>
      </c>
      <c r="O147">
        <v>2.8000000000000001E-2</v>
      </c>
    </row>
    <row r="148" spans="13:15">
      <c r="M148" t="s">
        <v>296</v>
      </c>
      <c r="N148">
        <v>0.09</v>
      </c>
      <c r="O148">
        <v>2.5999999999999999E-2</v>
      </c>
    </row>
    <row r="149" spans="13:15">
      <c r="M149" t="s">
        <v>271</v>
      </c>
      <c r="N149">
        <v>0</v>
      </c>
      <c r="O149">
        <v>2.5999999999999999E-2</v>
      </c>
    </row>
    <row r="150" spans="13:15">
      <c r="M150" t="s">
        <v>293</v>
      </c>
      <c r="N150">
        <v>6.0000000000000001E-3</v>
      </c>
      <c r="O150">
        <v>2.3E-2</v>
      </c>
    </row>
    <row r="151" spans="13:15">
      <c r="M151" t="s">
        <v>287</v>
      </c>
      <c r="N151">
        <v>0</v>
      </c>
      <c r="O151">
        <v>2.1000000000000001E-2</v>
      </c>
    </row>
    <row r="152" spans="13:15">
      <c r="M152" t="s">
        <v>281</v>
      </c>
      <c r="N152">
        <v>1.2E-2</v>
      </c>
      <c r="O152">
        <v>1.6E-2</v>
      </c>
    </row>
    <row r="153" spans="13:15">
      <c r="M153" t="s">
        <v>309</v>
      </c>
      <c r="N153">
        <v>6.0000000000000001E-3</v>
      </c>
      <c r="O153">
        <v>6.0000000000000001E-3</v>
      </c>
    </row>
    <row r="154" spans="13:15">
      <c r="M154" t="s">
        <v>304</v>
      </c>
      <c r="N154">
        <v>0</v>
      </c>
      <c r="O154">
        <v>5.0000000000000001E-3</v>
      </c>
    </row>
    <row r="155" spans="13:15">
      <c r="M155" t="s">
        <v>307</v>
      </c>
      <c r="N155">
        <v>0</v>
      </c>
      <c r="O155">
        <v>4.0000000000000001E-3</v>
      </c>
    </row>
    <row r="156" spans="13:15">
      <c r="M156" t="s">
        <v>310</v>
      </c>
      <c r="N156">
        <v>0</v>
      </c>
      <c r="O156">
        <v>2E-3</v>
      </c>
    </row>
  </sheetData>
  <sortState ref="M73:O156">
    <sortCondition descending="1" ref="O73:O156"/>
  </sortState>
  <phoneticPr fontId="3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104"/>
  <sheetViews>
    <sheetView workbookViewId="0">
      <selection activeCell="F8" sqref="F8"/>
    </sheetView>
  </sheetViews>
  <sheetFormatPr defaultColWidth="11.125" defaultRowHeight="12"/>
  <cols>
    <col min="1" max="1" width="16.875" style="53" customWidth="1"/>
    <col min="2" max="3" width="16.125" style="54" customWidth="1"/>
    <col min="4" max="8" width="15.125" style="54" customWidth="1"/>
    <col min="9" max="13" width="14.125" style="54" customWidth="1"/>
    <col min="14" max="15" width="12.25" style="54" customWidth="1"/>
    <col min="16" max="21" width="14.125" style="54" customWidth="1"/>
    <col min="22" max="23" width="11.25" style="54" customWidth="1"/>
    <col min="24" max="24" width="14.125" style="54" customWidth="1"/>
    <col min="25" max="25" width="16.875" style="54" customWidth="1"/>
    <col min="26" max="26" width="14.125" style="54" customWidth="1"/>
    <col min="27" max="27" width="11.5" style="54" customWidth="1"/>
    <col min="28" max="28" width="15.125" style="54" customWidth="1"/>
    <col min="29" max="30" width="14.125" style="54" customWidth="1"/>
    <col min="31" max="31" width="12.25" style="54" customWidth="1"/>
    <col min="32" max="32" width="16.875" style="54" customWidth="1"/>
    <col min="33" max="36" width="15.125" style="54" customWidth="1"/>
    <col min="37" max="38" width="14.125" style="54" customWidth="1"/>
    <col min="39" max="39" width="12.25" style="54" customWidth="1"/>
    <col min="40" max="40" width="11.5" style="54" customWidth="1"/>
    <col min="41" max="41" width="15.125" style="54" customWidth="1"/>
    <col min="42" max="45" width="14.125" style="54" customWidth="1"/>
    <col min="46" max="50" width="15.125" style="54" customWidth="1"/>
    <col min="51" max="53" width="14.125" style="54" customWidth="1"/>
    <col min="54" max="55" width="16.875" style="54" customWidth="1"/>
    <col min="56" max="57" width="14.125" style="54" customWidth="1"/>
    <col min="58" max="59" width="15.125" style="54" customWidth="1"/>
    <col min="60" max="66" width="14.125" style="54" customWidth="1"/>
    <col min="67" max="68" width="15.125" style="54" customWidth="1"/>
    <col min="69" max="69" width="14.125" style="54" customWidth="1"/>
    <col min="70" max="70" width="12.25" style="54" customWidth="1"/>
    <col min="71" max="74" width="14.125" style="54" customWidth="1"/>
    <col min="75" max="75" width="15.125" style="54" customWidth="1"/>
    <col min="76" max="76" width="12.25" style="54" customWidth="1"/>
    <col min="77" max="77" width="14.125" style="54" customWidth="1"/>
    <col min="78" max="79" width="12.25" style="54" customWidth="1"/>
    <col min="80" max="80" width="15.125" style="54" customWidth="1"/>
    <col min="81" max="82" width="14.125" style="54" customWidth="1"/>
    <col min="83" max="83" width="16.875" style="54" customWidth="1"/>
    <col min="84" max="95" width="12.25" style="54" customWidth="1"/>
    <col min="96" max="96" width="13.375" style="54" customWidth="1"/>
    <col min="97" max="97" width="12.25" style="54" customWidth="1"/>
    <col min="98" max="98" width="13.375" style="54" customWidth="1"/>
    <col min="99" max="100" width="12.25" style="54" customWidth="1"/>
    <col min="101" max="101" width="11.5" style="54" customWidth="1"/>
    <col min="102" max="105" width="12.25" style="54" customWidth="1"/>
    <col min="106" max="106" width="15.125" style="54" customWidth="1"/>
    <col min="107" max="107" width="12.25" style="54" customWidth="1"/>
    <col min="108" max="120" width="5.875" style="54" customWidth="1"/>
    <col min="121" max="16384" width="11.125" style="54"/>
  </cols>
  <sheetData>
    <row r="1" spans="1:107">
      <c r="A1" s="53" t="s">
        <v>327</v>
      </c>
    </row>
    <row r="2" spans="1:107">
      <c r="A2" s="55"/>
      <c r="B2" s="56" t="s">
        <v>328</v>
      </c>
      <c r="C2" s="57" t="s">
        <v>329</v>
      </c>
      <c r="D2" s="57" t="s">
        <v>330</v>
      </c>
      <c r="E2" s="57" t="s">
        <v>331</v>
      </c>
      <c r="F2" s="57" t="s">
        <v>332</v>
      </c>
      <c r="G2" s="58" t="s">
        <v>333</v>
      </c>
      <c r="H2" s="58" t="s">
        <v>241</v>
      </c>
      <c r="I2" s="64" t="s">
        <v>334</v>
      </c>
      <c r="J2" s="64" t="s">
        <v>335</v>
      </c>
      <c r="K2" s="64" t="s">
        <v>336</v>
      </c>
      <c r="L2" s="64" t="s">
        <v>337</v>
      </c>
      <c r="M2" s="64" t="s">
        <v>338</v>
      </c>
      <c r="N2" s="64" t="s">
        <v>339</v>
      </c>
      <c r="O2" s="64" t="s">
        <v>340</v>
      </c>
      <c r="P2" s="64" t="s">
        <v>341</v>
      </c>
      <c r="Q2" s="64" t="s">
        <v>76</v>
      </c>
      <c r="R2" s="64" t="s">
        <v>342</v>
      </c>
      <c r="S2" s="64" t="s">
        <v>343</v>
      </c>
      <c r="T2" s="64" t="s">
        <v>344</v>
      </c>
      <c r="U2" s="64" t="s">
        <v>345</v>
      </c>
      <c r="V2" s="64" t="s">
        <v>346</v>
      </c>
      <c r="W2" s="64" t="s">
        <v>347</v>
      </c>
      <c r="X2" s="64" t="s">
        <v>20</v>
      </c>
      <c r="Y2" s="64" t="s">
        <v>348</v>
      </c>
      <c r="Z2" s="64" t="s">
        <v>74</v>
      </c>
      <c r="AA2" s="64" t="s">
        <v>16</v>
      </c>
      <c r="AB2" s="64" t="s">
        <v>17</v>
      </c>
      <c r="AC2" s="64" t="s">
        <v>349</v>
      </c>
      <c r="AD2" s="64" t="s">
        <v>19</v>
      </c>
      <c r="AE2" s="64" t="s">
        <v>18</v>
      </c>
      <c r="AF2" s="64" t="s">
        <v>350</v>
      </c>
      <c r="AG2" s="64" t="s">
        <v>79</v>
      </c>
      <c r="AH2" s="64" t="s">
        <v>351</v>
      </c>
      <c r="AI2" s="64" t="s">
        <v>78</v>
      </c>
      <c r="AJ2" s="64" t="s">
        <v>9</v>
      </c>
      <c r="AK2" s="64" t="s">
        <v>141</v>
      </c>
      <c r="AL2" s="64" t="s">
        <v>352</v>
      </c>
      <c r="AM2" s="64" t="s">
        <v>140</v>
      </c>
      <c r="AN2" s="64" t="s">
        <v>142</v>
      </c>
      <c r="AO2" s="64" t="s">
        <v>353</v>
      </c>
      <c r="AP2" s="64" t="s">
        <v>354</v>
      </c>
      <c r="AQ2" s="64" t="s">
        <v>30</v>
      </c>
      <c r="AR2" s="64" t="s">
        <v>355</v>
      </c>
      <c r="AS2" s="64" t="s">
        <v>356</v>
      </c>
      <c r="AT2" s="64" t="s">
        <v>357</v>
      </c>
      <c r="AU2" s="64" t="s">
        <v>358</v>
      </c>
      <c r="AV2" s="64" t="s">
        <v>359</v>
      </c>
      <c r="AW2" s="64" t="s">
        <v>360</v>
      </c>
      <c r="AX2" s="64" t="s">
        <v>361</v>
      </c>
      <c r="AY2" s="64" t="s">
        <v>362</v>
      </c>
      <c r="AZ2" s="64" t="s">
        <v>363</v>
      </c>
      <c r="BA2" s="64" t="s">
        <v>364</v>
      </c>
      <c r="BB2" s="64" t="s">
        <v>365</v>
      </c>
      <c r="BC2" s="64" t="s">
        <v>366</v>
      </c>
      <c r="BD2" s="64" t="s">
        <v>367</v>
      </c>
      <c r="BE2" s="64" t="s">
        <v>368</v>
      </c>
      <c r="BF2" s="64" t="s">
        <v>369</v>
      </c>
      <c r="BG2" s="64" t="s">
        <v>370</v>
      </c>
      <c r="BH2" s="64" t="s">
        <v>371</v>
      </c>
      <c r="BI2" s="64" t="s">
        <v>372</v>
      </c>
      <c r="BJ2" s="64" t="s">
        <v>373</v>
      </c>
      <c r="BK2" s="64" t="s">
        <v>374</v>
      </c>
      <c r="BL2" s="64" t="s">
        <v>375</v>
      </c>
      <c r="BM2" s="64" t="s">
        <v>376</v>
      </c>
      <c r="BN2" s="64" t="s">
        <v>377</v>
      </c>
      <c r="BO2" s="64" t="s">
        <v>378</v>
      </c>
      <c r="BP2" s="64" t="s">
        <v>379</v>
      </c>
      <c r="BQ2" s="64" t="s">
        <v>380</v>
      </c>
      <c r="BR2" s="64" t="s">
        <v>381</v>
      </c>
      <c r="BS2" s="64" t="s">
        <v>382</v>
      </c>
      <c r="BT2" s="64" t="s">
        <v>383</v>
      </c>
      <c r="BU2" s="64" t="s">
        <v>384</v>
      </c>
      <c r="BV2" s="64" t="s">
        <v>385</v>
      </c>
      <c r="BW2" s="64" t="s">
        <v>386</v>
      </c>
      <c r="BX2" s="64" t="s">
        <v>387</v>
      </c>
      <c r="BY2" s="64" t="s">
        <v>388</v>
      </c>
      <c r="BZ2" s="64" t="s">
        <v>389</v>
      </c>
      <c r="CA2" s="64" t="s">
        <v>390</v>
      </c>
      <c r="CB2" s="64" t="s">
        <v>391</v>
      </c>
      <c r="CC2" s="64" t="s">
        <v>392</v>
      </c>
      <c r="CD2" s="64" t="s">
        <v>393</v>
      </c>
      <c r="CE2" s="64" t="s">
        <v>394</v>
      </c>
      <c r="CF2" s="64" t="s">
        <v>395</v>
      </c>
      <c r="CG2" s="64" t="s">
        <v>396</v>
      </c>
      <c r="CH2" s="64" t="s">
        <v>397</v>
      </c>
      <c r="CI2" s="64" t="s">
        <v>398</v>
      </c>
      <c r="CJ2" s="64" t="s">
        <v>399</v>
      </c>
      <c r="CK2" s="64" t="s">
        <v>400</v>
      </c>
      <c r="CL2" s="64" t="s">
        <v>401</v>
      </c>
      <c r="CM2" s="64" t="s">
        <v>402</v>
      </c>
      <c r="CN2" s="64" t="s">
        <v>403</v>
      </c>
      <c r="CO2" s="64" t="s">
        <v>404</v>
      </c>
      <c r="CP2" s="64" t="s">
        <v>405</v>
      </c>
      <c r="CQ2" s="64" t="s">
        <v>406</v>
      </c>
      <c r="CR2" s="64" t="s">
        <v>407</v>
      </c>
      <c r="CS2" s="64" t="s">
        <v>408</v>
      </c>
      <c r="CT2" s="64" t="s">
        <v>409</v>
      </c>
      <c r="CU2" s="64" t="s">
        <v>410</v>
      </c>
      <c r="CV2" s="64" t="s">
        <v>411</v>
      </c>
      <c r="CW2" s="64" t="s">
        <v>412</v>
      </c>
      <c r="CX2" s="64" t="s">
        <v>413</v>
      </c>
      <c r="CY2" s="64" t="s">
        <v>414</v>
      </c>
      <c r="CZ2" s="64" t="s">
        <v>415</v>
      </c>
      <c r="DA2" s="64" t="s">
        <v>416</v>
      </c>
      <c r="DB2" s="64" t="s">
        <v>417</v>
      </c>
      <c r="DC2" s="65" t="s">
        <v>418</v>
      </c>
    </row>
    <row r="3" spans="1:107">
      <c r="A3" s="48" t="s">
        <v>88</v>
      </c>
      <c r="B3" s="59">
        <v>110728070.06999999</v>
      </c>
      <c r="C3" s="59">
        <v>51624192.960000001</v>
      </c>
      <c r="D3" s="59">
        <v>14037253.439999999</v>
      </c>
      <c r="E3" s="59">
        <v>8862595.1799999997</v>
      </c>
      <c r="F3" s="59">
        <v>4691299.28</v>
      </c>
      <c r="G3" s="59">
        <v>8351404.9400000004</v>
      </c>
      <c r="H3" s="59">
        <v>259860</v>
      </c>
      <c r="I3" s="59">
        <v>886609.55</v>
      </c>
      <c r="J3" s="59">
        <v>1936656.64</v>
      </c>
      <c r="K3" s="59">
        <v>2178186.16</v>
      </c>
      <c r="L3" s="59">
        <v>759629.82</v>
      </c>
      <c r="M3" s="59">
        <v>1473335.88</v>
      </c>
      <c r="N3" s="59">
        <v>209524.51</v>
      </c>
      <c r="O3" s="59">
        <v>117195.36</v>
      </c>
      <c r="P3" s="59">
        <v>1173955.42</v>
      </c>
      <c r="Q3" s="59">
        <v>1113731.1299999999</v>
      </c>
      <c r="R3" s="59">
        <v>1190460.1100000001</v>
      </c>
      <c r="S3" s="59">
        <v>2384364.33</v>
      </c>
      <c r="T3" s="59">
        <v>2155405.88</v>
      </c>
      <c r="U3" s="59">
        <v>3989787.32</v>
      </c>
      <c r="V3" s="59">
        <v>36980</v>
      </c>
      <c r="W3" s="59">
        <v>0</v>
      </c>
      <c r="X3" s="59">
        <v>967773.8</v>
      </c>
      <c r="Y3" s="59">
        <v>37329.33</v>
      </c>
      <c r="Z3" s="59">
        <v>2608794.59</v>
      </c>
      <c r="AA3" s="59">
        <v>0</v>
      </c>
      <c r="AB3" s="59">
        <v>2154695</v>
      </c>
      <c r="AC3" s="59">
        <v>1814487.62</v>
      </c>
      <c r="AD3" s="59">
        <v>1161439.18</v>
      </c>
      <c r="AE3" s="59">
        <v>118075.66</v>
      </c>
      <c r="AF3" s="59">
        <v>1347800.27</v>
      </c>
      <c r="AG3" s="59">
        <v>3063656.32</v>
      </c>
      <c r="AH3" s="59">
        <v>6032320.8099999996</v>
      </c>
      <c r="AI3" s="59">
        <v>3593476.04</v>
      </c>
      <c r="AJ3" s="59">
        <v>3285140.09</v>
      </c>
      <c r="AK3" s="59">
        <v>3134779.31</v>
      </c>
      <c r="AL3" s="59">
        <v>1208753.05</v>
      </c>
      <c r="AM3" s="59">
        <v>347766.92</v>
      </c>
      <c r="AN3" s="59">
        <v>10502.07</v>
      </c>
      <c r="AO3" s="59">
        <v>1640950.22</v>
      </c>
      <c r="AP3" s="59">
        <v>1411601.01</v>
      </c>
      <c r="AQ3" s="59">
        <v>1305727.06</v>
      </c>
      <c r="AR3" s="59">
        <v>1149893.8899999999</v>
      </c>
      <c r="AS3" s="59">
        <v>1084134.05</v>
      </c>
      <c r="AT3" s="59">
        <v>2078967.42</v>
      </c>
      <c r="AU3" s="59">
        <v>2219856.69</v>
      </c>
      <c r="AV3" s="59">
        <v>2572304.75</v>
      </c>
      <c r="AW3" s="59">
        <v>1981480.9</v>
      </c>
      <c r="AX3" s="59">
        <v>1970727.63</v>
      </c>
      <c r="AY3" s="59">
        <v>1981208.12</v>
      </c>
      <c r="AZ3" s="59">
        <v>897181.15</v>
      </c>
      <c r="BA3" s="59">
        <v>2238057.62</v>
      </c>
      <c r="BB3" s="59">
        <v>946717.72</v>
      </c>
      <c r="BC3" s="59">
        <v>800229.09</v>
      </c>
      <c r="BD3" s="59">
        <v>2292416.64</v>
      </c>
      <c r="BE3" s="59">
        <v>1475857.86</v>
      </c>
      <c r="BF3" s="59">
        <v>1746598.27</v>
      </c>
      <c r="BG3" s="59">
        <v>1550294.41</v>
      </c>
      <c r="BH3" s="59">
        <v>1142261.5900000001</v>
      </c>
      <c r="BI3" s="59">
        <v>1117646.75</v>
      </c>
      <c r="BJ3" s="59">
        <v>1155094.8799999999</v>
      </c>
      <c r="BK3" s="59">
        <v>1076727.8700000001</v>
      </c>
      <c r="BL3" s="59">
        <v>718426.09</v>
      </c>
      <c r="BM3" s="59">
        <v>866718.59</v>
      </c>
      <c r="BN3" s="59">
        <v>964511.93</v>
      </c>
      <c r="BO3" s="59">
        <v>1125095.1599999999</v>
      </c>
      <c r="BP3" s="59">
        <v>418188.79999999999</v>
      </c>
      <c r="BQ3" s="59">
        <v>541651.79</v>
      </c>
      <c r="BR3" s="59">
        <v>303892.40000000002</v>
      </c>
      <c r="BS3" s="59">
        <v>515857.4</v>
      </c>
      <c r="BT3" s="59">
        <v>490682.61</v>
      </c>
      <c r="BU3" s="59">
        <v>896820.83</v>
      </c>
      <c r="BV3" s="59">
        <v>346591.44</v>
      </c>
      <c r="BW3" s="59">
        <v>4822742.93</v>
      </c>
      <c r="BX3" s="59">
        <v>143966.84</v>
      </c>
      <c r="BY3" s="59">
        <v>307736.15999999997</v>
      </c>
      <c r="BZ3" s="59">
        <v>241565.39</v>
      </c>
      <c r="CA3" s="59">
        <v>212222.14</v>
      </c>
      <c r="CB3" s="59">
        <v>316566.58</v>
      </c>
      <c r="CC3" s="59">
        <v>685760.61</v>
      </c>
      <c r="CD3" s="59">
        <v>312448.27</v>
      </c>
      <c r="CE3" s="59">
        <v>127106.91</v>
      </c>
      <c r="CF3" s="59">
        <v>32000</v>
      </c>
      <c r="CG3" s="59">
        <v>95400</v>
      </c>
      <c r="CH3" s="59">
        <v>63420</v>
      </c>
      <c r="CI3" s="59">
        <v>54318.3</v>
      </c>
      <c r="CJ3" s="59">
        <v>131200</v>
      </c>
      <c r="CK3" s="59">
        <v>68369.649999999994</v>
      </c>
      <c r="CL3" s="59">
        <v>62137.72</v>
      </c>
      <c r="CM3" s="59">
        <v>81751.56</v>
      </c>
      <c r="CN3" s="59">
        <v>66450</v>
      </c>
      <c r="CO3" s="59">
        <v>32000</v>
      </c>
      <c r="CP3" s="59">
        <v>72644</v>
      </c>
      <c r="CQ3" s="59">
        <v>72135.509999999995</v>
      </c>
      <c r="CR3" s="59">
        <v>32000</v>
      </c>
      <c r="CS3" s="59">
        <v>89779.15</v>
      </c>
      <c r="CT3" s="59">
        <v>32000</v>
      </c>
      <c r="CU3" s="59">
        <v>62977.21</v>
      </c>
      <c r="CV3" s="59">
        <v>60815.17</v>
      </c>
      <c r="CW3" s="59">
        <v>18206.900000000001</v>
      </c>
      <c r="CX3" s="59">
        <v>29072.639999999999</v>
      </c>
      <c r="CY3" s="59">
        <v>76976.27</v>
      </c>
      <c r="CZ3" s="59">
        <v>16000</v>
      </c>
      <c r="DA3" s="59">
        <v>37983.449999999997</v>
      </c>
      <c r="DB3" s="59">
        <v>13318</v>
      </c>
      <c r="DC3" s="59">
        <v>128748.97</v>
      </c>
    </row>
    <row r="4" spans="1:107">
      <c r="A4" s="48" t="s">
        <v>89</v>
      </c>
      <c r="B4" s="59">
        <v>1141297.8899999999</v>
      </c>
      <c r="C4" s="59">
        <v>699794.98</v>
      </c>
      <c r="D4" s="59">
        <v>56585.68</v>
      </c>
      <c r="E4" s="59">
        <v>68143.320000000007</v>
      </c>
      <c r="F4" s="59">
        <v>884.11</v>
      </c>
      <c r="G4" s="59">
        <v>10725</v>
      </c>
      <c r="H4" s="59">
        <v>16269</v>
      </c>
      <c r="I4" s="59">
        <v>7670</v>
      </c>
      <c r="J4" s="59">
        <v>85250</v>
      </c>
      <c r="K4" s="59">
        <v>27779.65</v>
      </c>
      <c r="L4" s="59">
        <v>8795</v>
      </c>
      <c r="M4" s="59">
        <v>11797.65</v>
      </c>
      <c r="N4" s="59">
        <v>3775</v>
      </c>
      <c r="O4" s="59">
        <v>1615</v>
      </c>
      <c r="P4" s="59">
        <v>14035</v>
      </c>
      <c r="Q4" s="59">
        <v>9324.65</v>
      </c>
      <c r="R4" s="59">
        <v>9305</v>
      </c>
      <c r="S4" s="59">
        <v>21568</v>
      </c>
      <c r="T4" s="59">
        <v>24865</v>
      </c>
      <c r="U4" s="59">
        <v>30147</v>
      </c>
      <c r="V4" s="59">
        <v>0</v>
      </c>
      <c r="W4" s="59">
        <v>0</v>
      </c>
      <c r="X4" s="59">
        <v>41250</v>
      </c>
      <c r="Y4" s="59">
        <v>0</v>
      </c>
      <c r="Z4" s="59">
        <v>9447.99</v>
      </c>
      <c r="AA4" s="59">
        <v>0</v>
      </c>
      <c r="AB4" s="59">
        <v>10870.33</v>
      </c>
      <c r="AC4" s="59">
        <v>4975</v>
      </c>
      <c r="AD4" s="59">
        <v>1600</v>
      </c>
      <c r="AE4" s="59">
        <v>0</v>
      </c>
      <c r="AF4" s="59">
        <v>13288.98</v>
      </c>
      <c r="AG4" s="59">
        <v>21018.639999999999</v>
      </c>
      <c r="AH4" s="59">
        <v>5236</v>
      </c>
      <c r="AI4" s="59">
        <v>17042.060000000001</v>
      </c>
      <c r="AJ4" s="59">
        <v>32869.65</v>
      </c>
      <c r="AK4" s="59">
        <v>398.21</v>
      </c>
      <c r="AL4" s="59">
        <v>485.9</v>
      </c>
      <c r="AM4" s="59">
        <v>0</v>
      </c>
      <c r="AN4" s="59">
        <v>99.2</v>
      </c>
      <c r="AO4" s="59">
        <v>8290</v>
      </c>
      <c r="AP4" s="59">
        <v>17375</v>
      </c>
      <c r="AQ4" s="59">
        <v>14730</v>
      </c>
      <c r="AR4" s="59">
        <v>13745</v>
      </c>
      <c r="AS4" s="59">
        <v>10063</v>
      </c>
      <c r="AT4" s="59">
        <v>27950</v>
      </c>
      <c r="AU4" s="59">
        <v>33595.07</v>
      </c>
      <c r="AV4" s="59">
        <v>22800</v>
      </c>
      <c r="AW4" s="59">
        <v>54755.07</v>
      </c>
      <c r="AX4" s="59">
        <v>24875</v>
      </c>
      <c r="AY4" s="59">
        <v>34400</v>
      </c>
      <c r="AZ4" s="59">
        <v>14325</v>
      </c>
      <c r="BA4" s="59">
        <v>37123.71</v>
      </c>
      <c r="BB4" s="59">
        <v>9146.33</v>
      </c>
      <c r="BC4" s="59">
        <v>3775</v>
      </c>
      <c r="BD4" s="59">
        <v>25406</v>
      </c>
      <c r="BE4" s="59">
        <v>22025</v>
      </c>
      <c r="BF4" s="59">
        <v>42738.16</v>
      </c>
      <c r="BG4" s="59">
        <v>12375</v>
      </c>
      <c r="BH4" s="59">
        <v>22148.34</v>
      </c>
      <c r="BI4" s="59">
        <v>18000</v>
      </c>
      <c r="BJ4" s="59">
        <v>14925</v>
      </c>
      <c r="BK4" s="59">
        <v>18400.75</v>
      </c>
      <c r="BL4" s="59">
        <v>6100</v>
      </c>
      <c r="BM4" s="59">
        <v>12975</v>
      </c>
      <c r="BN4" s="59">
        <v>8525</v>
      </c>
      <c r="BO4" s="59">
        <v>19950</v>
      </c>
      <c r="BP4" s="59">
        <v>4500</v>
      </c>
      <c r="BQ4" s="59">
        <v>6275</v>
      </c>
      <c r="BR4" s="59">
        <v>7837</v>
      </c>
      <c r="BS4" s="59">
        <v>6925</v>
      </c>
      <c r="BT4" s="59">
        <v>10540</v>
      </c>
      <c r="BU4" s="59">
        <v>26465.63</v>
      </c>
      <c r="BV4" s="59">
        <v>10000</v>
      </c>
      <c r="BW4" s="59">
        <v>35945</v>
      </c>
      <c r="BX4" s="59">
        <v>1600</v>
      </c>
      <c r="BY4" s="59">
        <v>2100</v>
      </c>
      <c r="BZ4" s="59">
        <v>2425</v>
      </c>
      <c r="CA4" s="59">
        <v>2900</v>
      </c>
      <c r="CB4" s="59">
        <v>3424.04</v>
      </c>
      <c r="CC4" s="59">
        <v>7483.24</v>
      </c>
      <c r="CD4" s="59">
        <v>4481.32</v>
      </c>
      <c r="CE4" s="59">
        <v>0</v>
      </c>
      <c r="CF4" s="59">
        <v>0</v>
      </c>
      <c r="CG4" s="59">
        <v>1125</v>
      </c>
      <c r="CH4" s="59">
        <v>1125</v>
      </c>
      <c r="CI4" s="59">
        <v>739.6</v>
      </c>
      <c r="CJ4" s="59">
        <v>1184.33</v>
      </c>
      <c r="CK4" s="59">
        <v>1775</v>
      </c>
      <c r="CL4" s="59">
        <v>1125</v>
      </c>
      <c r="CM4" s="59">
        <v>1125</v>
      </c>
      <c r="CN4" s="59">
        <v>1125</v>
      </c>
      <c r="CO4" s="59">
        <v>0</v>
      </c>
      <c r="CP4" s="59">
        <v>1027.99</v>
      </c>
      <c r="CQ4" s="59">
        <v>1125</v>
      </c>
      <c r="CR4" s="59">
        <v>0</v>
      </c>
      <c r="CS4" s="59">
        <v>1125</v>
      </c>
      <c r="CT4" s="59">
        <v>0</v>
      </c>
      <c r="CU4" s="59">
        <v>0</v>
      </c>
      <c r="CV4" s="59">
        <v>475</v>
      </c>
      <c r="CW4" s="59">
        <v>0</v>
      </c>
      <c r="CX4" s="59">
        <v>0</v>
      </c>
      <c r="CY4" s="59">
        <v>475</v>
      </c>
      <c r="CZ4" s="59">
        <v>0</v>
      </c>
      <c r="DA4" s="59">
        <v>1883.6</v>
      </c>
      <c r="DB4" s="59">
        <v>0</v>
      </c>
      <c r="DC4" s="59">
        <v>941.8</v>
      </c>
    </row>
    <row r="5" spans="1:107">
      <c r="A5" s="48" t="s">
        <v>90</v>
      </c>
      <c r="B5" s="59">
        <v>4404691.28</v>
      </c>
      <c r="C5" s="59">
        <v>1566457.71</v>
      </c>
      <c r="D5" s="59">
        <v>1509378.28</v>
      </c>
      <c r="E5" s="59">
        <v>176820.39</v>
      </c>
      <c r="F5" s="59">
        <v>93096.34</v>
      </c>
      <c r="G5" s="59">
        <v>167004.24</v>
      </c>
      <c r="H5" s="59">
        <v>142009.49</v>
      </c>
      <c r="I5" s="59">
        <v>18205</v>
      </c>
      <c r="J5" s="59">
        <v>37108.46</v>
      </c>
      <c r="K5" s="59">
        <v>44871.72</v>
      </c>
      <c r="L5" s="59">
        <v>15587.4</v>
      </c>
      <c r="M5" s="59">
        <v>29482.04</v>
      </c>
      <c r="N5" s="59">
        <v>3643.46</v>
      </c>
      <c r="O5" s="59">
        <v>2456.7199999999998</v>
      </c>
      <c r="P5" s="59">
        <v>24057.51</v>
      </c>
      <c r="Q5" s="59">
        <v>22778.63</v>
      </c>
      <c r="R5" s="59">
        <v>24322.799999999999</v>
      </c>
      <c r="S5" s="59">
        <v>48976.49</v>
      </c>
      <c r="T5" s="59">
        <v>44348.91</v>
      </c>
      <c r="U5" s="59">
        <v>365808.88</v>
      </c>
      <c r="V5" s="59">
        <v>748</v>
      </c>
      <c r="W5" s="59">
        <v>0</v>
      </c>
      <c r="X5" s="59">
        <v>14526.42</v>
      </c>
      <c r="Y5" s="59">
        <v>746.59</v>
      </c>
      <c r="Z5" s="59">
        <v>53298.69</v>
      </c>
      <c r="AA5" s="59">
        <v>0</v>
      </c>
      <c r="AB5" s="59">
        <v>43992.67</v>
      </c>
      <c r="AC5" s="59">
        <v>38011.21</v>
      </c>
      <c r="AD5" s="59">
        <v>23883.3</v>
      </c>
      <c r="AE5" s="59">
        <v>2361.5100000000002</v>
      </c>
      <c r="AF5" s="59">
        <v>25859.7</v>
      </c>
      <c r="AG5" s="59">
        <v>1156815.32</v>
      </c>
      <c r="AH5" s="59">
        <v>243131.61</v>
      </c>
      <c r="AI5" s="59">
        <v>83571.649999999994</v>
      </c>
      <c r="AJ5" s="59">
        <v>67306.77</v>
      </c>
      <c r="AK5" s="59">
        <v>61402.720000000001</v>
      </c>
      <c r="AL5" s="59">
        <v>24498.67</v>
      </c>
      <c r="AM5" s="59">
        <v>7194.95</v>
      </c>
      <c r="AN5" s="59">
        <v>222.04</v>
      </c>
      <c r="AO5" s="59">
        <v>36445.58</v>
      </c>
      <c r="AP5" s="59">
        <v>28896.83</v>
      </c>
      <c r="AQ5" s="59">
        <v>26724.94</v>
      </c>
      <c r="AR5" s="59">
        <v>23603.89</v>
      </c>
      <c r="AS5" s="59">
        <v>22244.67</v>
      </c>
      <c r="AT5" s="59">
        <v>63540.89</v>
      </c>
      <c r="AU5" s="59">
        <v>84034.29</v>
      </c>
      <c r="AV5" s="59">
        <v>89326.57</v>
      </c>
      <c r="AW5" s="59">
        <v>97546.93</v>
      </c>
      <c r="AX5" s="59">
        <v>65611.17</v>
      </c>
      <c r="AY5" s="59">
        <v>67307.149999999994</v>
      </c>
      <c r="AZ5" s="59">
        <v>36454.949999999997</v>
      </c>
      <c r="BA5" s="59">
        <v>94914.91</v>
      </c>
      <c r="BB5" s="59">
        <v>25361.42</v>
      </c>
      <c r="BC5" s="59">
        <v>19591.38</v>
      </c>
      <c r="BD5" s="59">
        <v>69302.83</v>
      </c>
      <c r="BE5" s="59">
        <v>56066.52</v>
      </c>
      <c r="BF5" s="59">
        <v>48766.04</v>
      </c>
      <c r="BG5" s="59">
        <v>47195.27</v>
      </c>
      <c r="BH5" s="59">
        <v>31071.21</v>
      </c>
      <c r="BI5" s="59">
        <v>34781.85</v>
      </c>
      <c r="BJ5" s="59">
        <v>40754.79</v>
      </c>
      <c r="BK5" s="59">
        <v>33459.08</v>
      </c>
      <c r="BL5" s="59">
        <v>21194.31</v>
      </c>
      <c r="BM5" s="59">
        <v>25382.09</v>
      </c>
      <c r="BN5" s="59">
        <v>32431.53</v>
      </c>
      <c r="BO5" s="59">
        <v>35987.82</v>
      </c>
      <c r="BP5" s="59">
        <v>11962.53</v>
      </c>
      <c r="BQ5" s="59">
        <v>14379.1</v>
      </c>
      <c r="BR5" s="59">
        <v>7433.05</v>
      </c>
      <c r="BS5" s="59">
        <v>18202.98</v>
      </c>
      <c r="BT5" s="59">
        <v>14283.91</v>
      </c>
      <c r="BU5" s="59">
        <v>27986.92</v>
      </c>
      <c r="BV5" s="59">
        <v>15158.9</v>
      </c>
      <c r="BW5" s="59">
        <v>94028.85</v>
      </c>
      <c r="BX5" s="59">
        <v>4484.79</v>
      </c>
      <c r="BY5" s="59">
        <v>10310.780000000001</v>
      </c>
      <c r="BZ5" s="59">
        <v>8351.99</v>
      </c>
      <c r="CA5" s="59">
        <v>8765.3799999999992</v>
      </c>
      <c r="CB5" s="59">
        <v>8096.03</v>
      </c>
      <c r="CC5" s="59">
        <v>17198.53</v>
      </c>
      <c r="CD5" s="59">
        <v>9145.61</v>
      </c>
      <c r="CE5" s="59">
        <v>3268.5</v>
      </c>
      <c r="CF5" s="59">
        <v>772.64</v>
      </c>
      <c r="CG5" s="59">
        <v>3171.4</v>
      </c>
      <c r="CH5" s="59">
        <v>1592.77</v>
      </c>
      <c r="CI5" s="59">
        <v>1101.6500000000001</v>
      </c>
      <c r="CJ5" s="59">
        <v>2627.2</v>
      </c>
      <c r="CK5" s="59">
        <v>1903.69</v>
      </c>
      <c r="CL5" s="59">
        <v>1644.77</v>
      </c>
      <c r="CM5" s="59">
        <v>2644.68</v>
      </c>
      <c r="CN5" s="59">
        <v>1480.65</v>
      </c>
      <c r="CO5" s="59">
        <v>724.64</v>
      </c>
      <c r="CP5" s="59">
        <v>2490.31</v>
      </c>
      <c r="CQ5" s="59">
        <v>1802.48</v>
      </c>
      <c r="CR5" s="59">
        <v>727.44</v>
      </c>
      <c r="CS5" s="59">
        <v>1920.13</v>
      </c>
      <c r="CT5" s="59">
        <v>842.58</v>
      </c>
      <c r="CU5" s="59">
        <v>1546.01</v>
      </c>
      <c r="CV5" s="59">
        <v>1499.62</v>
      </c>
      <c r="CW5" s="59">
        <v>383.34</v>
      </c>
      <c r="CX5" s="59">
        <v>608.25</v>
      </c>
      <c r="CY5" s="59">
        <v>1787.44</v>
      </c>
      <c r="CZ5" s="59">
        <v>342.03</v>
      </c>
      <c r="DA5" s="59">
        <v>788.87</v>
      </c>
      <c r="DB5" s="59">
        <v>339.77</v>
      </c>
      <c r="DC5" s="59">
        <v>2658.59</v>
      </c>
    </row>
    <row r="6" spans="1:107">
      <c r="A6" s="48" t="s">
        <v>91</v>
      </c>
      <c r="B6" s="59">
        <v>2942654.49</v>
      </c>
      <c r="C6" s="59">
        <v>418273.5</v>
      </c>
      <c r="D6" s="59">
        <v>2060</v>
      </c>
      <c r="E6" s="59">
        <v>0</v>
      </c>
      <c r="F6" s="59">
        <v>504</v>
      </c>
      <c r="G6" s="59">
        <v>0</v>
      </c>
      <c r="H6" s="59">
        <v>2509816.9900000002</v>
      </c>
      <c r="I6" s="59">
        <v>12000</v>
      </c>
      <c r="J6" s="59">
        <v>0</v>
      </c>
      <c r="K6" s="59">
        <v>0</v>
      </c>
      <c r="L6" s="59">
        <v>0</v>
      </c>
      <c r="M6" s="59">
        <v>0</v>
      </c>
      <c r="N6" s="59">
        <v>0</v>
      </c>
      <c r="O6" s="59">
        <v>0</v>
      </c>
      <c r="P6" s="59">
        <v>0</v>
      </c>
      <c r="Q6" s="59">
        <v>0</v>
      </c>
      <c r="R6" s="59">
        <v>0</v>
      </c>
      <c r="S6" s="59">
        <v>0</v>
      </c>
      <c r="T6" s="59">
        <v>0</v>
      </c>
      <c r="U6" s="59">
        <v>0</v>
      </c>
      <c r="V6" s="59">
        <v>0</v>
      </c>
      <c r="W6" s="59">
        <v>0</v>
      </c>
      <c r="X6" s="59">
        <v>0</v>
      </c>
      <c r="Y6" s="59">
        <v>0</v>
      </c>
      <c r="Z6" s="59">
        <v>0</v>
      </c>
      <c r="AA6" s="59">
        <v>0</v>
      </c>
      <c r="AB6" s="59">
        <v>0</v>
      </c>
      <c r="AC6" s="59">
        <v>0</v>
      </c>
      <c r="AD6" s="59">
        <v>0</v>
      </c>
      <c r="AE6" s="59">
        <v>0</v>
      </c>
      <c r="AF6" s="59">
        <v>0</v>
      </c>
      <c r="AG6" s="59">
        <v>2000</v>
      </c>
      <c r="AH6" s="59">
        <v>0</v>
      </c>
      <c r="AI6" s="59">
        <v>60</v>
      </c>
      <c r="AJ6" s="59">
        <v>0</v>
      </c>
      <c r="AK6" s="59">
        <v>504</v>
      </c>
      <c r="AL6" s="59">
        <v>0</v>
      </c>
      <c r="AM6" s="59">
        <v>0</v>
      </c>
      <c r="AN6" s="59">
        <v>0</v>
      </c>
      <c r="AO6" s="59">
        <v>313263.40000000002</v>
      </c>
      <c r="AP6" s="59">
        <v>0</v>
      </c>
      <c r="AQ6" s="59">
        <v>0</v>
      </c>
      <c r="AR6" s="59">
        <v>0</v>
      </c>
      <c r="AS6" s="59">
        <v>0</v>
      </c>
      <c r="AT6" s="59">
        <v>0</v>
      </c>
      <c r="AU6" s="59">
        <v>0</v>
      </c>
      <c r="AV6" s="59">
        <v>0</v>
      </c>
      <c r="AW6" s="59">
        <v>0</v>
      </c>
      <c r="AX6" s="59">
        <v>465</v>
      </c>
      <c r="AY6" s="59">
        <v>0</v>
      </c>
      <c r="AZ6" s="59">
        <v>1460</v>
      </c>
      <c r="BA6" s="59">
        <v>12454.5</v>
      </c>
      <c r="BB6" s="59">
        <v>3904</v>
      </c>
      <c r="BC6" s="59">
        <v>2249.9</v>
      </c>
      <c r="BD6" s="59">
        <v>0</v>
      </c>
      <c r="BE6" s="59">
        <v>16942</v>
      </c>
      <c r="BF6" s="59">
        <v>40</v>
      </c>
      <c r="BG6" s="59">
        <v>0</v>
      </c>
      <c r="BH6" s="59">
        <v>16480</v>
      </c>
      <c r="BI6" s="59">
        <v>3898</v>
      </c>
      <c r="BJ6" s="59">
        <v>1200</v>
      </c>
      <c r="BK6" s="59">
        <v>6254</v>
      </c>
      <c r="BL6" s="59">
        <v>0</v>
      </c>
      <c r="BM6" s="59">
        <v>4256</v>
      </c>
      <c r="BN6" s="59">
        <v>4380</v>
      </c>
      <c r="BO6" s="59">
        <v>800</v>
      </c>
      <c r="BP6" s="59">
        <v>0</v>
      </c>
      <c r="BQ6" s="59">
        <v>800</v>
      </c>
      <c r="BR6" s="59">
        <v>1668</v>
      </c>
      <c r="BS6" s="59">
        <v>0</v>
      </c>
      <c r="BT6" s="59">
        <v>0</v>
      </c>
      <c r="BU6" s="59">
        <v>3633.57</v>
      </c>
      <c r="BV6" s="59">
        <v>0</v>
      </c>
      <c r="BW6" s="59">
        <v>8642.7999999999993</v>
      </c>
      <c r="BX6" s="59">
        <v>0</v>
      </c>
      <c r="BY6" s="59">
        <v>900</v>
      </c>
      <c r="BZ6" s="59">
        <v>818.5</v>
      </c>
      <c r="CA6" s="59">
        <v>0</v>
      </c>
      <c r="CB6" s="59">
        <v>0</v>
      </c>
      <c r="CC6" s="59">
        <v>4830</v>
      </c>
      <c r="CD6" s="59">
        <v>0</v>
      </c>
      <c r="CE6" s="59">
        <v>309</v>
      </c>
      <c r="CF6" s="59">
        <v>0</v>
      </c>
      <c r="CG6" s="59">
        <v>280</v>
      </c>
      <c r="CH6" s="59">
        <v>0</v>
      </c>
      <c r="CI6" s="59">
        <v>1379.14</v>
      </c>
      <c r="CJ6" s="59">
        <v>0</v>
      </c>
      <c r="CK6" s="59">
        <v>0</v>
      </c>
      <c r="CL6" s="59">
        <v>2088.29</v>
      </c>
      <c r="CM6" s="59">
        <v>200</v>
      </c>
      <c r="CN6" s="59">
        <v>450</v>
      </c>
      <c r="CO6" s="59">
        <v>0</v>
      </c>
      <c r="CP6" s="59">
        <v>0</v>
      </c>
      <c r="CQ6" s="59">
        <v>0</v>
      </c>
      <c r="CR6" s="59">
        <v>0</v>
      </c>
      <c r="CS6" s="59">
        <v>900</v>
      </c>
      <c r="CT6" s="59">
        <v>0</v>
      </c>
      <c r="CU6" s="59">
        <v>2589.4</v>
      </c>
      <c r="CV6" s="59">
        <v>0</v>
      </c>
      <c r="CW6" s="59">
        <v>0</v>
      </c>
      <c r="CX6" s="59">
        <v>238</v>
      </c>
      <c r="CY6" s="59">
        <v>500</v>
      </c>
      <c r="CZ6" s="59">
        <v>0</v>
      </c>
      <c r="DA6" s="59">
        <v>0</v>
      </c>
      <c r="DB6" s="59">
        <v>0</v>
      </c>
      <c r="DC6" s="59">
        <v>0</v>
      </c>
    </row>
    <row r="7" spans="1:107">
      <c r="A7" s="48" t="s">
        <v>92</v>
      </c>
      <c r="B7" s="59">
        <v>27053592.629999999</v>
      </c>
      <c r="C7" s="59">
        <v>15069049.949999999</v>
      </c>
      <c r="D7" s="59">
        <v>2608016.13</v>
      </c>
      <c r="E7" s="59">
        <v>2060613.9</v>
      </c>
      <c r="F7" s="59">
        <v>1362075.28</v>
      </c>
      <c r="G7" s="59">
        <v>646914</v>
      </c>
      <c r="H7" s="59">
        <v>-174720.2</v>
      </c>
      <c r="I7" s="59">
        <v>221709.56</v>
      </c>
      <c r="J7" s="59">
        <v>452392.73</v>
      </c>
      <c r="K7" s="59">
        <v>546483.23</v>
      </c>
      <c r="L7" s="59">
        <v>170392.41</v>
      </c>
      <c r="M7" s="59">
        <v>318859.59999999998</v>
      </c>
      <c r="N7" s="59">
        <v>45971.92</v>
      </c>
      <c r="O7" s="59">
        <v>42844.04</v>
      </c>
      <c r="P7" s="59">
        <v>275825.59000000003</v>
      </c>
      <c r="Q7" s="59">
        <v>245186.56</v>
      </c>
      <c r="R7" s="59">
        <v>261760.2</v>
      </c>
      <c r="S7" s="59">
        <v>596561.97</v>
      </c>
      <c r="T7" s="59">
        <v>549193.93000000005</v>
      </c>
      <c r="U7" s="59">
        <v>920099.08</v>
      </c>
      <c r="V7" s="59">
        <v>6256.22</v>
      </c>
      <c r="W7" s="59">
        <v>0</v>
      </c>
      <c r="X7" s="59">
        <v>174864.01</v>
      </c>
      <c r="Y7" s="59">
        <v>0</v>
      </c>
      <c r="Z7" s="59">
        <v>587416.34</v>
      </c>
      <c r="AA7" s="59">
        <v>0</v>
      </c>
      <c r="AB7" s="59">
        <v>560602.74</v>
      </c>
      <c r="AC7" s="59">
        <v>443273.55</v>
      </c>
      <c r="AD7" s="59">
        <v>294172.26</v>
      </c>
      <c r="AE7" s="59">
        <v>285</v>
      </c>
      <c r="AF7" s="59">
        <v>244823.72</v>
      </c>
      <c r="AG7" s="59">
        <v>746858.59</v>
      </c>
      <c r="AH7" s="59">
        <v>639287.5</v>
      </c>
      <c r="AI7" s="59">
        <v>977046.32</v>
      </c>
      <c r="AJ7" s="59">
        <v>825296.45</v>
      </c>
      <c r="AK7" s="59">
        <v>1034321.75</v>
      </c>
      <c r="AL7" s="59">
        <v>220641.96</v>
      </c>
      <c r="AM7" s="59">
        <v>107111.57</v>
      </c>
      <c r="AN7" s="59">
        <v>2810.08</v>
      </c>
      <c r="AO7" s="59">
        <v>231646.14</v>
      </c>
      <c r="AP7" s="59">
        <v>346558.29</v>
      </c>
      <c r="AQ7" s="59">
        <v>328179.95</v>
      </c>
      <c r="AR7" s="59">
        <v>296052.65999999997</v>
      </c>
      <c r="AS7" s="59">
        <v>248135.64</v>
      </c>
      <c r="AT7" s="59">
        <v>656851.21</v>
      </c>
      <c r="AU7" s="59">
        <v>660313.77</v>
      </c>
      <c r="AV7" s="59">
        <v>729226.1</v>
      </c>
      <c r="AW7" s="59">
        <v>565132.38</v>
      </c>
      <c r="AX7" s="59">
        <v>640646.98</v>
      </c>
      <c r="AY7" s="59">
        <v>596307.56000000006</v>
      </c>
      <c r="AZ7" s="59">
        <v>233517.29</v>
      </c>
      <c r="BA7" s="59">
        <v>725916.45</v>
      </c>
      <c r="BB7" s="59">
        <v>316348.53999999998</v>
      </c>
      <c r="BC7" s="59">
        <v>251597.08</v>
      </c>
      <c r="BD7" s="59">
        <v>916733.78</v>
      </c>
      <c r="BE7" s="59">
        <v>643445.48</v>
      </c>
      <c r="BF7" s="59">
        <v>588578.68000000005</v>
      </c>
      <c r="BG7" s="59">
        <v>496466.51</v>
      </c>
      <c r="BH7" s="59">
        <v>337842.44</v>
      </c>
      <c r="BI7" s="59">
        <v>193749.14</v>
      </c>
      <c r="BJ7" s="59">
        <v>327839.45</v>
      </c>
      <c r="BK7" s="59">
        <v>295726.14</v>
      </c>
      <c r="BL7" s="59">
        <v>169918.15</v>
      </c>
      <c r="BM7" s="59">
        <v>162909.04999999999</v>
      </c>
      <c r="BN7" s="59">
        <v>310494.67</v>
      </c>
      <c r="BO7" s="59">
        <v>400035.58</v>
      </c>
      <c r="BP7" s="59">
        <v>116297.93</v>
      </c>
      <c r="BQ7" s="59">
        <v>115354.35</v>
      </c>
      <c r="BR7" s="59">
        <v>87910.65</v>
      </c>
      <c r="BS7" s="59">
        <v>147771.66</v>
      </c>
      <c r="BT7" s="59">
        <v>111789.1</v>
      </c>
      <c r="BU7" s="59">
        <v>201898.21</v>
      </c>
      <c r="BV7" s="59">
        <v>107794.24000000001</v>
      </c>
      <c r="BW7" s="59">
        <v>1271860.58</v>
      </c>
      <c r="BX7" s="59">
        <v>67788.17</v>
      </c>
      <c r="BY7" s="59">
        <v>97087.35</v>
      </c>
      <c r="BZ7" s="59">
        <v>73400.55</v>
      </c>
      <c r="CA7" s="59">
        <v>60032.04</v>
      </c>
      <c r="CB7" s="59">
        <v>87531.39</v>
      </c>
      <c r="CC7" s="59">
        <v>289630.42</v>
      </c>
      <c r="CD7" s="59">
        <v>100511.46</v>
      </c>
      <c r="CE7" s="59">
        <v>48488.75</v>
      </c>
      <c r="CF7" s="59">
        <v>7380.13</v>
      </c>
      <c r="CG7" s="59">
        <v>30792.37</v>
      </c>
      <c r="CH7" s="59">
        <v>15271.61</v>
      </c>
      <c r="CI7" s="59">
        <v>18366.46</v>
      </c>
      <c r="CJ7" s="59">
        <v>32200.720000000001</v>
      </c>
      <c r="CK7" s="59">
        <v>16784.75</v>
      </c>
      <c r="CL7" s="59">
        <v>21070.05</v>
      </c>
      <c r="CM7" s="59">
        <v>19259.37</v>
      </c>
      <c r="CN7" s="59">
        <v>13907</v>
      </c>
      <c r="CO7" s="59">
        <v>5094</v>
      </c>
      <c r="CP7" s="59">
        <v>29434.23</v>
      </c>
      <c r="CQ7" s="59">
        <v>12032.93</v>
      </c>
      <c r="CR7" s="59">
        <v>9302.9699999999993</v>
      </c>
      <c r="CS7" s="59">
        <v>22432.44</v>
      </c>
      <c r="CT7" s="59">
        <v>9208.18</v>
      </c>
      <c r="CU7" s="59">
        <v>26008.14</v>
      </c>
      <c r="CV7" s="59">
        <v>24469.4</v>
      </c>
      <c r="CW7" s="59">
        <v>0</v>
      </c>
      <c r="CX7" s="59">
        <v>6484.8</v>
      </c>
      <c r="CY7" s="59">
        <v>21997.51</v>
      </c>
      <c r="CZ7" s="59">
        <v>3198.44</v>
      </c>
      <c r="DA7" s="59">
        <v>23624.33</v>
      </c>
      <c r="DB7" s="59">
        <v>4525.75</v>
      </c>
      <c r="DC7" s="59">
        <v>40888.410000000003</v>
      </c>
    </row>
    <row r="8" spans="1:107">
      <c r="A8" s="48" t="s">
        <v>93</v>
      </c>
      <c r="B8" s="59">
        <v>86818</v>
      </c>
      <c r="C8" s="59">
        <v>86818</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c r="AF8" s="59">
        <v>0</v>
      </c>
      <c r="AG8" s="59">
        <v>0</v>
      </c>
      <c r="AH8" s="59">
        <v>0</v>
      </c>
      <c r="AI8" s="59">
        <v>0</v>
      </c>
      <c r="AJ8" s="59">
        <v>0</v>
      </c>
      <c r="AK8" s="59">
        <v>0</v>
      </c>
      <c r="AL8" s="59">
        <v>0</v>
      </c>
      <c r="AM8" s="59">
        <v>0</v>
      </c>
      <c r="AN8" s="59">
        <v>0</v>
      </c>
      <c r="AO8" s="59">
        <v>0</v>
      </c>
      <c r="AP8" s="59">
        <v>0</v>
      </c>
      <c r="AQ8" s="59">
        <v>0</v>
      </c>
      <c r="AR8" s="59">
        <v>0</v>
      </c>
      <c r="AS8" s="59">
        <v>0</v>
      </c>
      <c r="AT8" s="59">
        <v>0</v>
      </c>
      <c r="AU8" s="59">
        <v>0</v>
      </c>
      <c r="AV8" s="59">
        <v>0</v>
      </c>
      <c r="AW8" s="59">
        <v>0</v>
      </c>
      <c r="AX8" s="59">
        <v>0</v>
      </c>
      <c r="AY8" s="59">
        <v>0</v>
      </c>
      <c r="AZ8" s="59">
        <v>0</v>
      </c>
      <c r="BA8" s="59">
        <v>0</v>
      </c>
      <c r="BB8" s="59">
        <v>0</v>
      </c>
      <c r="BC8" s="59">
        <v>0</v>
      </c>
      <c r="BD8" s="59">
        <v>0</v>
      </c>
      <c r="BE8" s="59">
        <v>0</v>
      </c>
      <c r="BF8" s="59">
        <v>0</v>
      </c>
      <c r="BG8" s="59">
        <v>0</v>
      </c>
      <c r="BH8" s="59">
        <v>0</v>
      </c>
      <c r="BI8" s="59">
        <v>0</v>
      </c>
      <c r="BJ8" s="59">
        <v>0</v>
      </c>
      <c r="BK8" s="59">
        <v>0</v>
      </c>
      <c r="BL8" s="59">
        <v>0</v>
      </c>
      <c r="BM8" s="59">
        <v>0</v>
      </c>
      <c r="BN8" s="59">
        <v>0</v>
      </c>
      <c r="BO8" s="59">
        <v>0</v>
      </c>
      <c r="BP8" s="59">
        <v>0</v>
      </c>
      <c r="BQ8" s="59">
        <v>0</v>
      </c>
      <c r="BR8" s="59">
        <v>0</v>
      </c>
      <c r="BS8" s="59">
        <v>0</v>
      </c>
      <c r="BT8" s="59">
        <v>0</v>
      </c>
      <c r="BU8" s="59">
        <v>0</v>
      </c>
      <c r="BV8" s="59">
        <v>0</v>
      </c>
      <c r="BW8" s="59">
        <v>86818</v>
      </c>
      <c r="BX8" s="59">
        <v>0</v>
      </c>
      <c r="BY8" s="59">
        <v>0</v>
      </c>
      <c r="BZ8" s="59">
        <v>0</v>
      </c>
      <c r="CA8" s="59">
        <v>0</v>
      </c>
      <c r="CB8" s="59">
        <v>0</v>
      </c>
      <c r="CC8" s="59">
        <v>0</v>
      </c>
      <c r="CD8" s="59">
        <v>0</v>
      </c>
      <c r="CE8" s="59">
        <v>0</v>
      </c>
      <c r="CF8" s="59">
        <v>0</v>
      </c>
      <c r="CG8" s="59">
        <v>0</v>
      </c>
      <c r="CH8" s="59">
        <v>0</v>
      </c>
      <c r="CI8" s="59">
        <v>0</v>
      </c>
      <c r="CJ8" s="59">
        <v>0</v>
      </c>
      <c r="CK8" s="59">
        <v>0</v>
      </c>
      <c r="CL8" s="59">
        <v>0</v>
      </c>
      <c r="CM8" s="59">
        <v>0</v>
      </c>
      <c r="CN8" s="59">
        <v>0</v>
      </c>
      <c r="CO8" s="59">
        <v>0</v>
      </c>
      <c r="CP8" s="59">
        <v>0</v>
      </c>
      <c r="CQ8" s="59">
        <v>0</v>
      </c>
      <c r="CR8" s="59">
        <v>0</v>
      </c>
      <c r="CS8" s="59">
        <v>0</v>
      </c>
      <c r="CT8" s="59">
        <v>0</v>
      </c>
      <c r="CU8" s="59">
        <v>0</v>
      </c>
      <c r="CV8" s="59">
        <v>0</v>
      </c>
      <c r="CW8" s="59">
        <v>0</v>
      </c>
      <c r="CX8" s="59">
        <v>0</v>
      </c>
      <c r="CY8" s="59">
        <v>0</v>
      </c>
      <c r="CZ8" s="59">
        <v>0</v>
      </c>
      <c r="DA8" s="59">
        <v>0</v>
      </c>
      <c r="DB8" s="59">
        <v>0</v>
      </c>
      <c r="DC8" s="59">
        <v>0</v>
      </c>
    </row>
    <row r="9" spans="1:107">
      <c r="A9" s="48" t="s">
        <v>94</v>
      </c>
      <c r="B9" s="59">
        <v>210472.76</v>
      </c>
      <c r="C9" s="59">
        <v>178947.46</v>
      </c>
      <c r="D9" s="59">
        <v>0</v>
      </c>
      <c r="E9" s="59">
        <v>2821.5</v>
      </c>
      <c r="F9" s="59">
        <v>31126.6</v>
      </c>
      <c r="G9" s="59">
        <v>0</v>
      </c>
      <c r="H9" s="59">
        <v>0</v>
      </c>
      <c r="I9" s="59">
        <v>0</v>
      </c>
      <c r="J9" s="59">
        <v>0</v>
      </c>
      <c r="K9" s="59">
        <v>0</v>
      </c>
      <c r="L9" s="59">
        <v>0</v>
      </c>
      <c r="M9" s="59">
        <v>0</v>
      </c>
      <c r="N9" s="59">
        <v>0</v>
      </c>
      <c r="O9" s="59">
        <v>0</v>
      </c>
      <c r="P9" s="59">
        <v>0</v>
      </c>
      <c r="Q9" s="59">
        <v>0</v>
      </c>
      <c r="R9" s="59">
        <v>0</v>
      </c>
      <c r="S9" s="59">
        <v>-1211.4000000000001</v>
      </c>
      <c r="T9" s="59">
        <v>0</v>
      </c>
      <c r="U9" s="59">
        <v>0</v>
      </c>
      <c r="V9" s="59">
        <v>0</v>
      </c>
      <c r="W9" s="59">
        <v>0</v>
      </c>
      <c r="X9" s="59">
        <v>0</v>
      </c>
      <c r="Y9" s="59">
        <v>0</v>
      </c>
      <c r="Z9" s="59">
        <v>0</v>
      </c>
      <c r="AA9" s="59">
        <v>0</v>
      </c>
      <c r="AB9" s="59">
        <v>0</v>
      </c>
      <c r="AC9" s="59">
        <v>0</v>
      </c>
      <c r="AD9" s="59">
        <v>2821.5</v>
      </c>
      <c r="AE9" s="59">
        <v>0</v>
      </c>
      <c r="AF9" s="59">
        <v>0</v>
      </c>
      <c r="AG9" s="59">
        <v>0</v>
      </c>
      <c r="AH9" s="59">
        <v>0</v>
      </c>
      <c r="AI9" s="59">
        <v>0</v>
      </c>
      <c r="AJ9" s="59">
        <v>-1211.4000000000001</v>
      </c>
      <c r="AK9" s="59">
        <v>31126.6</v>
      </c>
      <c r="AL9" s="59">
        <v>0</v>
      </c>
      <c r="AM9" s="59">
        <v>0</v>
      </c>
      <c r="AN9" s="59">
        <v>0</v>
      </c>
      <c r="AO9" s="59">
        <v>0</v>
      </c>
      <c r="AP9" s="59">
        <v>0</v>
      </c>
      <c r="AQ9" s="59">
        <v>0</v>
      </c>
      <c r="AR9" s="59">
        <v>-1216.5</v>
      </c>
      <c r="AS9" s="59">
        <v>0</v>
      </c>
      <c r="AT9" s="59">
        <v>0</v>
      </c>
      <c r="AU9" s="59">
        <v>0</v>
      </c>
      <c r="AV9" s="59">
        <v>0</v>
      </c>
      <c r="AW9" s="59">
        <v>8328</v>
      </c>
      <c r="AX9" s="59">
        <v>0</v>
      </c>
      <c r="AY9" s="59">
        <v>0</v>
      </c>
      <c r="AZ9" s="59">
        <v>17862</v>
      </c>
      <c r="BA9" s="59">
        <v>0</v>
      </c>
      <c r="BB9" s="59">
        <v>0</v>
      </c>
      <c r="BC9" s="59">
        <v>4146</v>
      </c>
      <c r="BD9" s="59">
        <v>87277.96</v>
      </c>
      <c r="BE9" s="59">
        <v>0</v>
      </c>
      <c r="BF9" s="59">
        <v>4182</v>
      </c>
      <c r="BG9" s="59">
        <v>0</v>
      </c>
      <c r="BH9" s="59">
        <v>0</v>
      </c>
      <c r="BI9" s="59">
        <v>0</v>
      </c>
      <c r="BJ9" s="59">
        <v>4182</v>
      </c>
      <c r="BK9" s="59">
        <v>0</v>
      </c>
      <c r="BL9" s="59">
        <v>8328</v>
      </c>
      <c r="BM9" s="59">
        <v>33384</v>
      </c>
      <c r="BN9" s="59">
        <v>0</v>
      </c>
      <c r="BO9" s="59">
        <v>0</v>
      </c>
      <c r="BP9" s="59">
        <v>0</v>
      </c>
      <c r="BQ9" s="59">
        <v>0</v>
      </c>
      <c r="BR9" s="59">
        <v>0</v>
      </c>
      <c r="BS9" s="59">
        <v>0</v>
      </c>
      <c r="BT9" s="59">
        <v>4182</v>
      </c>
      <c r="BU9" s="59">
        <v>0</v>
      </c>
      <c r="BV9" s="59">
        <v>0</v>
      </c>
      <c r="BW9" s="59">
        <v>0</v>
      </c>
      <c r="BX9" s="59">
        <v>0</v>
      </c>
      <c r="BY9" s="59">
        <v>4146</v>
      </c>
      <c r="BZ9" s="59">
        <v>0</v>
      </c>
      <c r="CA9" s="59">
        <v>0</v>
      </c>
      <c r="CB9" s="59">
        <v>0</v>
      </c>
      <c r="CC9" s="59">
        <v>0</v>
      </c>
      <c r="CD9" s="59">
        <v>4146</v>
      </c>
      <c r="CE9" s="59">
        <v>0</v>
      </c>
      <c r="CF9" s="59">
        <v>0</v>
      </c>
      <c r="CG9" s="59">
        <v>0</v>
      </c>
      <c r="CH9" s="59">
        <v>0</v>
      </c>
      <c r="CI9" s="59">
        <v>0</v>
      </c>
      <c r="CJ9" s="59">
        <v>0</v>
      </c>
      <c r="CK9" s="59">
        <v>0</v>
      </c>
      <c r="CL9" s="59">
        <v>0</v>
      </c>
      <c r="CM9" s="59">
        <v>0</v>
      </c>
      <c r="CN9" s="59">
        <v>0</v>
      </c>
      <c r="CO9" s="59">
        <v>0</v>
      </c>
      <c r="CP9" s="59">
        <v>0</v>
      </c>
      <c r="CQ9" s="59">
        <v>0</v>
      </c>
      <c r="CR9" s="59">
        <v>0</v>
      </c>
      <c r="CS9" s="59">
        <v>0</v>
      </c>
      <c r="CT9" s="59">
        <v>0</v>
      </c>
      <c r="CU9" s="59">
        <v>0</v>
      </c>
      <c r="CV9" s="59">
        <v>0</v>
      </c>
      <c r="CW9" s="59">
        <v>0</v>
      </c>
      <c r="CX9" s="59">
        <v>0</v>
      </c>
      <c r="CY9" s="59">
        <v>0</v>
      </c>
      <c r="CZ9" s="59">
        <v>0</v>
      </c>
      <c r="DA9" s="59">
        <v>0</v>
      </c>
      <c r="DB9" s="59">
        <v>0</v>
      </c>
      <c r="DC9" s="59">
        <v>0</v>
      </c>
    </row>
    <row r="10" spans="1:107">
      <c r="A10" s="48" t="s">
        <v>95</v>
      </c>
      <c r="B10" s="59">
        <v>2082860</v>
      </c>
      <c r="C10" s="59">
        <v>862320</v>
      </c>
      <c r="D10" s="59">
        <v>292760</v>
      </c>
      <c r="E10" s="59">
        <v>176280</v>
      </c>
      <c r="F10" s="59">
        <v>137560</v>
      </c>
      <c r="G10" s="59">
        <v>8280</v>
      </c>
      <c r="H10" s="59">
        <v>2940</v>
      </c>
      <c r="I10" s="59">
        <v>23640</v>
      </c>
      <c r="J10" s="59">
        <v>50220</v>
      </c>
      <c r="K10" s="59">
        <v>65400</v>
      </c>
      <c r="L10" s="59">
        <v>19740</v>
      </c>
      <c r="M10" s="59">
        <v>29180</v>
      </c>
      <c r="N10" s="59">
        <v>4620</v>
      </c>
      <c r="O10" s="59">
        <v>5640</v>
      </c>
      <c r="P10" s="59">
        <v>28920</v>
      </c>
      <c r="Q10" s="59">
        <v>25200</v>
      </c>
      <c r="R10" s="59">
        <v>25680</v>
      </c>
      <c r="S10" s="59">
        <v>64460</v>
      </c>
      <c r="T10" s="59">
        <v>62040</v>
      </c>
      <c r="U10" s="59">
        <v>116760</v>
      </c>
      <c r="V10" s="59">
        <v>420</v>
      </c>
      <c r="W10" s="59">
        <v>0</v>
      </c>
      <c r="X10" s="59">
        <v>15180</v>
      </c>
      <c r="Y10" s="59">
        <v>0</v>
      </c>
      <c r="Z10" s="59">
        <v>56140</v>
      </c>
      <c r="AA10" s="59">
        <v>0</v>
      </c>
      <c r="AB10" s="59">
        <v>44940</v>
      </c>
      <c r="AC10" s="59">
        <v>36500</v>
      </c>
      <c r="AD10" s="59">
        <v>23520</v>
      </c>
      <c r="AE10" s="59">
        <v>0</v>
      </c>
      <c r="AF10" s="59">
        <v>26380</v>
      </c>
      <c r="AG10" s="59">
        <v>83640</v>
      </c>
      <c r="AH10" s="59">
        <v>74560</v>
      </c>
      <c r="AI10" s="59">
        <v>108180</v>
      </c>
      <c r="AJ10" s="59">
        <v>80200</v>
      </c>
      <c r="AK10" s="59">
        <v>104300</v>
      </c>
      <c r="AL10" s="59">
        <v>21280</v>
      </c>
      <c r="AM10" s="59">
        <v>11980</v>
      </c>
      <c r="AN10" s="59">
        <v>600</v>
      </c>
      <c r="AO10" s="59">
        <v>21900</v>
      </c>
      <c r="AP10" s="59">
        <v>33240</v>
      </c>
      <c r="AQ10" s="59">
        <v>30520</v>
      </c>
      <c r="AR10" s="59">
        <v>30300</v>
      </c>
      <c r="AS10" s="59">
        <v>28100</v>
      </c>
      <c r="AT10" s="59">
        <v>22260</v>
      </c>
      <c r="AU10" s="59">
        <v>20160</v>
      </c>
      <c r="AV10" s="59">
        <v>33180</v>
      </c>
      <c r="AW10" s="59">
        <v>19320</v>
      </c>
      <c r="AX10" s="59">
        <v>23940</v>
      </c>
      <c r="AY10" s="59">
        <v>19740</v>
      </c>
      <c r="AZ10" s="59">
        <v>10080</v>
      </c>
      <c r="BA10" s="59">
        <v>32760</v>
      </c>
      <c r="BB10" s="59">
        <v>10080</v>
      </c>
      <c r="BC10" s="59">
        <v>15960</v>
      </c>
      <c r="BD10" s="59">
        <v>18480</v>
      </c>
      <c r="BE10" s="59">
        <v>26880</v>
      </c>
      <c r="BF10" s="59">
        <v>20580</v>
      </c>
      <c r="BG10" s="59">
        <v>21000</v>
      </c>
      <c r="BH10" s="59">
        <v>13440</v>
      </c>
      <c r="BI10" s="59">
        <v>10920</v>
      </c>
      <c r="BJ10" s="59">
        <v>10080</v>
      </c>
      <c r="BK10" s="59">
        <v>13440</v>
      </c>
      <c r="BL10" s="59">
        <v>12180</v>
      </c>
      <c r="BM10" s="59">
        <v>7140</v>
      </c>
      <c r="BN10" s="59">
        <v>13440</v>
      </c>
      <c r="BO10" s="59">
        <v>16800</v>
      </c>
      <c r="BP10" s="59">
        <v>6720</v>
      </c>
      <c r="BQ10" s="59">
        <v>6720</v>
      </c>
      <c r="BR10" s="59">
        <v>6720</v>
      </c>
      <c r="BS10" s="59">
        <v>6720</v>
      </c>
      <c r="BT10" s="59">
        <v>6720</v>
      </c>
      <c r="BU10" s="59">
        <v>6720</v>
      </c>
      <c r="BV10" s="59">
        <v>7140</v>
      </c>
      <c r="BW10" s="59">
        <v>147800</v>
      </c>
      <c r="BX10" s="59">
        <v>7140</v>
      </c>
      <c r="BY10" s="59">
        <v>6720</v>
      </c>
      <c r="BZ10" s="59">
        <v>3360</v>
      </c>
      <c r="CA10" s="59">
        <v>7140</v>
      </c>
      <c r="CB10" s="59">
        <v>6720</v>
      </c>
      <c r="CC10" s="59">
        <v>24360</v>
      </c>
      <c r="CD10" s="59">
        <v>10080</v>
      </c>
      <c r="CE10" s="59">
        <v>4200</v>
      </c>
      <c r="CF10" s="59">
        <v>1680</v>
      </c>
      <c r="CG10" s="59">
        <v>5880</v>
      </c>
      <c r="CH10" s="59">
        <v>2940</v>
      </c>
      <c r="CI10" s="59">
        <v>420</v>
      </c>
      <c r="CJ10" s="59">
        <v>3360</v>
      </c>
      <c r="CK10" s="59">
        <v>2940</v>
      </c>
      <c r="CL10" s="59">
        <v>3360</v>
      </c>
      <c r="CM10" s="59">
        <v>2940</v>
      </c>
      <c r="CN10" s="59">
        <v>2940</v>
      </c>
      <c r="CO10" s="59">
        <v>1680</v>
      </c>
      <c r="CP10" s="59">
        <v>2940</v>
      </c>
      <c r="CQ10" s="59">
        <v>2940</v>
      </c>
      <c r="CR10" s="59">
        <v>1680</v>
      </c>
      <c r="CS10" s="59">
        <v>3920</v>
      </c>
      <c r="CT10" s="59">
        <v>1680</v>
      </c>
      <c r="CU10" s="59">
        <v>2940</v>
      </c>
      <c r="CV10" s="59">
        <v>3360</v>
      </c>
      <c r="CW10" s="59">
        <v>960</v>
      </c>
      <c r="CX10" s="59">
        <v>1340</v>
      </c>
      <c r="CY10" s="59">
        <v>4620</v>
      </c>
      <c r="CZ10" s="59">
        <v>840</v>
      </c>
      <c r="DA10" s="59">
        <v>1460</v>
      </c>
      <c r="DB10" s="59">
        <v>420</v>
      </c>
      <c r="DC10" s="59">
        <v>4180</v>
      </c>
    </row>
    <row r="11" spans="1:107">
      <c r="A11" s="48" t="s">
        <v>96</v>
      </c>
      <c r="B11" s="59">
        <v>220731.59</v>
      </c>
      <c r="C11" s="59">
        <v>137469.28</v>
      </c>
      <c r="D11" s="59">
        <v>11048.42</v>
      </c>
      <c r="E11" s="59">
        <v>34654.879999999997</v>
      </c>
      <c r="F11" s="59">
        <v>0</v>
      </c>
      <c r="G11" s="59">
        <v>0</v>
      </c>
      <c r="H11" s="59">
        <v>0</v>
      </c>
      <c r="I11" s="59">
        <v>0</v>
      </c>
      <c r="J11" s="59">
        <v>19139.71</v>
      </c>
      <c r="K11" s="59">
        <v>0</v>
      </c>
      <c r="L11" s="59">
        <v>0</v>
      </c>
      <c r="M11" s="59">
        <v>5603.24</v>
      </c>
      <c r="N11" s="59">
        <v>12816.06</v>
      </c>
      <c r="O11" s="59">
        <v>0</v>
      </c>
      <c r="P11" s="59">
        <v>0</v>
      </c>
      <c r="Q11" s="59">
        <v>0</v>
      </c>
      <c r="R11" s="59">
        <v>0</v>
      </c>
      <c r="S11" s="59">
        <v>0</v>
      </c>
      <c r="T11" s="59">
        <v>0</v>
      </c>
      <c r="U11" s="59">
        <v>0</v>
      </c>
      <c r="V11" s="59">
        <v>0</v>
      </c>
      <c r="W11" s="59">
        <v>0</v>
      </c>
      <c r="X11" s="59">
        <v>34654.879999999997</v>
      </c>
      <c r="Y11" s="59">
        <v>0</v>
      </c>
      <c r="Z11" s="59">
        <v>0</v>
      </c>
      <c r="AA11" s="59">
        <v>0</v>
      </c>
      <c r="AB11" s="59">
        <v>0</v>
      </c>
      <c r="AC11" s="59">
        <v>0</v>
      </c>
      <c r="AD11" s="59">
        <v>0</v>
      </c>
      <c r="AE11" s="59">
        <v>0</v>
      </c>
      <c r="AF11" s="59">
        <v>11048.42</v>
      </c>
      <c r="AG11" s="59">
        <v>0</v>
      </c>
      <c r="AH11" s="59">
        <v>0</v>
      </c>
      <c r="AI11" s="59">
        <v>0</v>
      </c>
      <c r="AJ11" s="59">
        <v>0</v>
      </c>
      <c r="AK11" s="59">
        <v>0</v>
      </c>
      <c r="AL11" s="59">
        <v>0</v>
      </c>
      <c r="AM11" s="59">
        <v>0</v>
      </c>
      <c r="AN11" s="59">
        <v>0</v>
      </c>
      <c r="AO11" s="59">
        <v>0</v>
      </c>
      <c r="AP11" s="59">
        <v>0</v>
      </c>
      <c r="AQ11" s="59">
        <v>0</v>
      </c>
      <c r="AR11" s="59">
        <v>0</v>
      </c>
      <c r="AS11" s="59">
        <v>0</v>
      </c>
      <c r="AT11" s="59">
        <v>0</v>
      </c>
      <c r="AU11" s="59">
        <v>0</v>
      </c>
      <c r="AV11" s="59">
        <v>0</v>
      </c>
      <c r="AW11" s="59">
        <v>0</v>
      </c>
      <c r="AX11" s="59">
        <v>0</v>
      </c>
      <c r="AY11" s="59">
        <v>0</v>
      </c>
      <c r="AZ11" s="59">
        <v>0</v>
      </c>
      <c r="BA11" s="59">
        <v>0</v>
      </c>
      <c r="BB11" s="59">
        <v>0</v>
      </c>
      <c r="BC11" s="59">
        <v>0</v>
      </c>
      <c r="BD11" s="59">
        <v>0</v>
      </c>
      <c r="BE11" s="59">
        <v>0</v>
      </c>
      <c r="BF11" s="59">
        <v>0</v>
      </c>
      <c r="BG11" s="59">
        <v>0</v>
      </c>
      <c r="BH11" s="59">
        <v>0</v>
      </c>
      <c r="BI11" s="59">
        <v>0</v>
      </c>
      <c r="BJ11" s="59">
        <v>0</v>
      </c>
      <c r="BK11" s="59">
        <v>0</v>
      </c>
      <c r="BL11" s="59">
        <v>0</v>
      </c>
      <c r="BM11" s="59">
        <v>0</v>
      </c>
      <c r="BN11" s="59">
        <v>0</v>
      </c>
      <c r="BO11" s="59">
        <v>0</v>
      </c>
      <c r="BP11" s="59">
        <v>0</v>
      </c>
      <c r="BQ11" s="59">
        <v>0</v>
      </c>
      <c r="BR11" s="59">
        <v>0</v>
      </c>
      <c r="BS11" s="59">
        <v>0</v>
      </c>
      <c r="BT11" s="59">
        <v>0</v>
      </c>
      <c r="BU11" s="59">
        <v>0</v>
      </c>
      <c r="BV11" s="59">
        <v>0</v>
      </c>
      <c r="BW11" s="59">
        <v>137469.28</v>
      </c>
      <c r="BX11" s="59">
        <v>0</v>
      </c>
      <c r="BY11" s="59">
        <v>0</v>
      </c>
      <c r="BZ11" s="59">
        <v>0</v>
      </c>
      <c r="CA11" s="59">
        <v>0</v>
      </c>
      <c r="CB11" s="59">
        <v>0</v>
      </c>
      <c r="CC11" s="59">
        <v>0</v>
      </c>
      <c r="CD11" s="59">
        <v>0</v>
      </c>
      <c r="CE11" s="59">
        <v>0</v>
      </c>
      <c r="CF11" s="59">
        <v>0</v>
      </c>
      <c r="CG11" s="59">
        <v>0</v>
      </c>
      <c r="CH11" s="59">
        <v>0</v>
      </c>
      <c r="CI11" s="59">
        <v>0</v>
      </c>
      <c r="CJ11" s="59">
        <v>0</v>
      </c>
      <c r="CK11" s="59">
        <v>0</v>
      </c>
      <c r="CL11" s="59">
        <v>0</v>
      </c>
      <c r="CM11" s="59">
        <v>0</v>
      </c>
      <c r="CN11" s="59">
        <v>0</v>
      </c>
      <c r="CO11" s="59">
        <v>0</v>
      </c>
      <c r="CP11" s="59">
        <v>0</v>
      </c>
      <c r="CQ11" s="59">
        <v>0</v>
      </c>
      <c r="CR11" s="59">
        <v>0</v>
      </c>
      <c r="CS11" s="59">
        <v>0</v>
      </c>
      <c r="CT11" s="59">
        <v>0</v>
      </c>
      <c r="CU11" s="59">
        <v>0</v>
      </c>
      <c r="CV11" s="59">
        <v>0</v>
      </c>
      <c r="CW11" s="59">
        <v>0</v>
      </c>
      <c r="CX11" s="59">
        <v>0</v>
      </c>
      <c r="CY11" s="59">
        <v>0</v>
      </c>
      <c r="CZ11" s="59">
        <v>0</v>
      </c>
      <c r="DA11" s="59">
        <v>0</v>
      </c>
      <c r="DB11" s="59">
        <v>0</v>
      </c>
      <c r="DC11" s="59">
        <v>0</v>
      </c>
    </row>
    <row r="12" spans="1:107">
      <c r="A12" s="48" t="s">
        <v>97</v>
      </c>
      <c r="B12" s="59">
        <v>6830074.4800000004</v>
      </c>
      <c r="C12" s="59">
        <v>0</v>
      </c>
      <c r="D12" s="59">
        <v>0</v>
      </c>
      <c r="E12" s="59">
        <v>0</v>
      </c>
      <c r="F12" s="59">
        <v>0</v>
      </c>
      <c r="G12" s="59">
        <v>0</v>
      </c>
      <c r="H12" s="59">
        <v>6830074.4800000004</v>
      </c>
      <c r="I12" s="59">
        <v>0</v>
      </c>
      <c r="J12" s="59">
        <v>0</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c r="AB12" s="59">
        <v>0</v>
      </c>
      <c r="AC12" s="59">
        <v>0</v>
      </c>
      <c r="AD12" s="59">
        <v>0</v>
      </c>
      <c r="AE12" s="59">
        <v>0</v>
      </c>
      <c r="AF12" s="59">
        <v>0</v>
      </c>
      <c r="AG12" s="59">
        <v>0</v>
      </c>
      <c r="AH12" s="59">
        <v>0</v>
      </c>
      <c r="AI12" s="59">
        <v>0</v>
      </c>
      <c r="AJ12" s="59">
        <v>0</v>
      </c>
      <c r="AK12" s="59">
        <v>0</v>
      </c>
      <c r="AL12" s="59">
        <v>0</v>
      </c>
      <c r="AM12" s="59">
        <v>0</v>
      </c>
      <c r="AN12" s="59">
        <v>0</v>
      </c>
      <c r="AO12" s="59">
        <v>0</v>
      </c>
      <c r="AP12" s="59">
        <v>0</v>
      </c>
      <c r="AQ12" s="59">
        <v>0</v>
      </c>
      <c r="AR12" s="59">
        <v>0</v>
      </c>
      <c r="AS12" s="59">
        <v>0</v>
      </c>
      <c r="AT12" s="59">
        <v>0</v>
      </c>
      <c r="AU12" s="59">
        <v>0</v>
      </c>
      <c r="AV12" s="59">
        <v>0</v>
      </c>
      <c r="AW12" s="59">
        <v>0</v>
      </c>
      <c r="AX12" s="59">
        <v>0</v>
      </c>
      <c r="AY12" s="59">
        <v>0</v>
      </c>
      <c r="AZ12" s="59">
        <v>0</v>
      </c>
      <c r="BA12" s="59">
        <v>0</v>
      </c>
      <c r="BB12" s="59">
        <v>0</v>
      </c>
      <c r="BC12" s="59">
        <v>0</v>
      </c>
      <c r="BD12" s="59">
        <v>0</v>
      </c>
      <c r="BE12" s="59">
        <v>0</v>
      </c>
      <c r="BF12" s="59">
        <v>0</v>
      </c>
      <c r="BG12" s="59">
        <v>0</v>
      </c>
      <c r="BH12" s="59">
        <v>0</v>
      </c>
      <c r="BI12" s="59">
        <v>0</v>
      </c>
      <c r="BJ12" s="59">
        <v>0</v>
      </c>
      <c r="BK12" s="59">
        <v>0</v>
      </c>
      <c r="BL12" s="59">
        <v>0</v>
      </c>
      <c r="BM12" s="59">
        <v>0</v>
      </c>
      <c r="BN12" s="59">
        <v>0</v>
      </c>
      <c r="BO12" s="59">
        <v>0</v>
      </c>
      <c r="BP12" s="59">
        <v>0</v>
      </c>
      <c r="BQ12" s="59">
        <v>0</v>
      </c>
      <c r="BR12" s="59">
        <v>0</v>
      </c>
      <c r="BS12" s="59">
        <v>0</v>
      </c>
      <c r="BT12" s="59">
        <v>0</v>
      </c>
      <c r="BU12" s="59">
        <v>0</v>
      </c>
      <c r="BV12" s="59">
        <v>0</v>
      </c>
      <c r="BW12" s="59">
        <v>0</v>
      </c>
      <c r="BX12" s="59">
        <v>0</v>
      </c>
      <c r="BY12" s="59">
        <v>0</v>
      </c>
      <c r="BZ12" s="59">
        <v>0</v>
      </c>
      <c r="CA12" s="59">
        <v>0</v>
      </c>
      <c r="CB12" s="59">
        <v>0</v>
      </c>
      <c r="CC12" s="59">
        <v>0</v>
      </c>
      <c r="CD12" s="59">
        <v>0</v>
      </c>
      <c r="CE12" s="59">
        <v>0</v>
      </c>
      <c r="CF12" s="59">
        <v>0</v>
      </c>
      <c r="CG12" s="59">
        <v>0</v>
      </c>
      <c r="CH12" s="59">
        <v>0</v>
      </c>
      <c r="CI12" s="59">
        <v>0</v>
      </c>
      <c r="CJ12" s="59">
        <v>0</v>
      </c>
      <c r="CK12" s="59">
        <v>0</v>
      </c>
      <c r="CL12" s="59">
        <v>0</v>
      </c>
      <c r="CM12" s="59">
        <v>0</v>
      </c>
      <c r="CN12" s="59">
        <v>0</v>
      </c>
      <c r="CO12" s="59">
        <v>0</v>
      </c>
      <c r="CP12" s="59">
        <v>0</v>
      </c>
      <c r="CQ12" s="59">
        <v>0</v>
      </c>
      <c r="CR12" s="59">
        <v>0</v>
      </c>
      <c r="CS12" s="59">
        <v>0</v>
      </c>
      <c r="CT12" s="59">
        <v>0</v>
      </c>
      <c r="CU12" s="59">
        <v>0</v>
      </c>
      <c r="CV12" s="59">
        <v>0</v>
      </c>
      <c r="CW12" s="59">
        <v>0</v>
      </c>
      <c r="CX12" s="59">
        <v>0</v>
      </c>
      <c r="CY12" s="59">
        <v>0</v>
      </c>
      <c r="CZ12" s="59">
        <v>0</v>
      </c>
      <c r="DA12" s="59">
        <v>0</v>
      </c>
      <c r="DB12" s="59">
        <v>0</v>
      </c>
      <c r="DC12" s="59">
        <v>0</v>
      </c>
    </row>
    <row r="13" spans="1:107" s="52" customFormat="1">
      <c r="A13" s="60" t="s">
        <v>98</v>
      </c>
      <c r="B13" s="61">
        <v>155701263.19</v>
      </c>
      <c r="C13" s="61">
        <v>70643323.840000004</v>
      </c>
      <c r="D13" s="61">
        <v>18517101.949999999</v>
      </c>
      <c r="E13" s="61">
        <v>11381929.17</v>
      </c>
      <c r="F13" s="61">
        <v>6316545.6100000003</v>
      </c>
      <c r="G13" s="61">
        <v>9184328.1799999997</v>
      </c>
      <c r="H13" s="61">
        <v>9586249.7599999998</v>
      </c>
      <c r="I13" s="61">
        <v>1169834.1100000001</v>
      </c>
      <c r="J13" s="61">
        <v>2580767.54</v>
      </c>
      <c r="K13" s="61">
        <v>2862720.76</v>
      </c>
      <c r="L13" s="61">
        <v>974144.63</v>
      </c>
      <c r="M13" s="61">
        <v>1868258.41</v>
      </c>
      <c r="N13" s="61">
        <v>280350.95</v>
      </c>
      <c r="O13" s="61">
        <v>169751.12</v>
      </c>
      <c r="P13" s="61">
        <v>1516793.52</v>
      </c>
      <c r="Q13" s="61">
        <v>1416220.97</v>
      </c>
      <c r="R13" s="61">
        <v>1511528.11</v>
      </c>
      <c r="S13" s="61">
        <v>3114719.39</v>
      </c>
      <c r="T13" s="61">
        <v>2835853.72</v>
      </c>
      <c r="U13" s="61">
        <v>5422602.2800000003</v>
      </c>
      <c r="V13" s="61">
        <v>44404.22</v>
      </c>
      <c r="W13" s="61">
        <v>0</v>
      </c>
      <c r="X13" s="61">
        <v>1248249.1100000001</v>
      </c>
      <c r="Y13" s="61">
        <v>38075.919999999998</v>
      </c>
      <c r="Z13" s="61">
        <v>3315097.61</v>
      </c>
      <c r="AA13" s="61">
        <v>0</v>
      </c>
      <c r="AB13" s="61">
        <v>2815100.74</v>
      </c>
      <c r="AC13" s="61">
        <v>2337247.38</v>
      </c>
      <c r="AD13" s="61">
        <v>1507436.24</v>
      </c>
      <c r="AE13" s="61">
        <v>120722.17</v>
      </c>
      <c r="AF13" s="61">
        <v>1669201.09</v>
      </c>
      <c r="AG13" s="61">
        <v>5073988.87</v>
      </c>
      <c r="AH13" s="61">
        <v>6994535.9199999999</v>
      </c>
      <c r="AI13" s="61">
        <v>4779376.07</v>
      </c>
      <c r="AJ13" s="61">
        <v>4289601.5599999996</v>
      </c>
      <c r="AK13" s="61">
        <v>4366832.59</v>
      </c>
      <c r="AL13" s="61">
        <v>1475659.58</v>
      </c>
      <c r="AM13" s="61">
        <v>474053.44</v>
      </c>
      <c r="AN13" s="61">
        <v>14233.39</v>
      </c>
      <c r="AO13" s="61">
        <v>2252495.34</v>
      </c>
      <c r="AP13" s="61">
        <v>1837671.13</v>
      </c>
      <c r="AQ13" s="61">
        <v>1705881.95</v>
      </c>
      <c r="AR13" s="61">
        <v>1512378.94</v>
      </c>
      <c r="AS13" s="61">
        <v>1392677.36</v>
      </c>
      <c r="AT13" s="61">
        <v>2849569.52</v>
      </c>
      <c r="AU13" s="61">
        <v>3017959.82</v>
      </c>
      <c r="AV13" s="61">
        <v>3446837.42</v>
      </c>
      <c r="AW13" s="61">
        <v>2726563.28</v>
      </c>
      <c r="AX13" s="61">
        <v>2726265.78</v>
      </c>
      <c r="AY13" s="61">
        <v>2698962.83</v>
      </c>
      <c r="AZ13" s="61">
        <v>1210880.3899999999</v>
      </c>
      <c r="BA13" s="61">
        <v>3141227.19</v>
      </c>
      <c r="BB13" s="61">
        <v>1311558.01</v>
      </c>
      <c r="BC13" s="61">
        <v>1097548.45</v>
      </c>
      <c r="BD13" s="61">
        <v>3409617.21</v>
      </c>
      <c r="BE13" s="61">
        <v>2241216.86</v>
      </c>
      <c r="BF13" s="61">
        <v>2451483.15</v>
      </c>
      <c r="BG13" s="61">
        <v>2127331.19</v>
      </c>
      <c r="BH13" s="61">
        <v>1563243.58</v>
      </c>
      <c r="BI13" s="61">
        <v>1378995.74</v>
      </c>
      <c r="BJ13" s="61">
        <v>1554076.12</v>
      </c>
      <c r="BK13" s="61">
        <v>1444007.84</v>
      </c>
      <c r="BL13" s="61">
        <v>936146.55</v>
      </c>
      <c r="BM13" s="61">
        <v>1112764.73</v>
      </c>
      <c r="BN13" s="61">
        <v>1333783.1299999999</v>
      </c>
      <c r="BO13" s="61">
        <v>1598668.56</v>
      </c>
      <c r="BP13" s="61">
        <v>557669.26</v>
      </c>
      <c r="BQ13" s="61">
        <v>685180.24</v>
      </c>
      <c r="BR13" s="61">
        <v>415461.1</v>
      </c>
      <c r="BS13" s="61">
        <v>695477.04</v>
      </c>
      <c r="BT13" s="61">
        <v>638197.62</v>
      </c>
      <c r="BU13" s="61">
        <v>1163525.1599999999</v>
      </c>
      <c r="BV13" s="61">
        <v>486684.58</v>
      </c>
      <c r="BW13" s="61">
        <v>6605307.4400000004</v>
      </c>
      <c r="BX13" s="61">
        <v>224979.8</v>
      </c>
      <c r="BY13" s="61">
        <v>429000.29</v>
      </c>
      <c r="BZ13" s="61">
        <v>329921.43</v>
      </c>
      <c r="CA13" s="61">
        <v>291059.56</v>
      </c>
      <c r="CB13" s="61">
        <v>422338.04</v>
      </c>
      <c r="CC13" s="61">
        <v>1029262.8</v>
      </c>
      <c r="CD13" s="61">
        <v>440812.66</v>
      </c>
      <c r="CE13" s="61">
        <v>183373.16</v>
      </c>
      <c r="CF13" s="61">
        <v>41832.769999999997</v>
      </c>
      <c r="CG13" s="61">
        <v>136648.76999999999</v>
      </c>
      <c r="CH13" s="61">
        <v>84349.38</v>
      </c>
      <c r="CI13" s="61">
        <v>76325.149999999994</v>
      </c>
      <c r="CJ13" s="61">
        <v>170572.25</v>
      </c>
      <c r="CK13" s="61">
        <v>91773.09</v>
      </c>
      <c r="CL13" s="61">
        <v>91425.83</v>
      </c>
      <c r="CM13" s="61">
        <v>107920.61</v>
      </c>
      <c r="CN13" s="61">
        <v>86352.65</v>
      </c>
      <c r="CO13" s="61">
        <v>39498.639999999999</v>
      </c>
      <c r="CP13" s="61">
        <v>108536.53</v>
      </c>
      <c r="CQ13" s="61">
        <v>90035.92</v>
      </c>
      <c r="CR13" s="61">
        <v>43710.41</v>
      </c>
      <c r="CS13" s="61">
        <v>120076.72</v>
      </c>
      <c r="CT13" s="61">
        <v>43730.76</v>
      </c>
      <c r="CU13" s="61">
        <v>96060.76</v>
      </c>
      <c r="CV13" s="61">
        <v>90619.19</v>
      </c>
      <c r="CW13" s="61">
        <v>19550.240000000002</v>
      </c>
      <c r="CX13" s="61">
        <v>37743.69</v>
      </c>
      <c r="CY13" s="61">
        <v>106356.22</v>
      </c>
      <c r="CZ13" s="61">
        <v>20380.47</v>
      </c>
      <c r="DA13" s="61">
        <v>65740.25</v>
      </c>
      <c r="DB13" s="61">
        <v>18603.52</v>
      </c>
      <c r="DC13" s="66">
        <v>177417.77</v>
      </c>
    </row>
    <row r="14" spans="1:107">
      <c r="A14" s="48" t="s">
        <v>100</v>
      </c>
      <c r="B14" s="59">
        <v>41590516.409999996</v>
      </c>
      <c r="C14" s="59">
        <v>25420542.739999998</v>
      </c>
      <c r="D14" s="59">
        <v>15770047</v>
      </c>
      <c r="E14" s="59">
        <v>187268.15</v>
      </c>
      <c r="F14" s="59">
        <v>212658.52</v>
      </c>
      <c r="G14" s="59">
        <v>0</v>
      </c>
      <c r="H14" s="59">
        <v>0</v>
      </c>
      <c r="I14" s="59">
        <v>0</v>
      </c>
      <c r="J14" s="59">
        <v>0</v>
      </c>
      <c r="K14" s="59">
        <v>0</v>
      </c>
      <c r="L14" s="59">
        <v>0</v>
      </c>
      <c r="M14" s="59">
        <v>0</v>
      </c>
      <c r="N14" s="59">
        <v>0</v>
      </c>
      <c r="O14" s="59">
        <v>0</v>
      </c>
      <c r="P14" s="59">
        <v>0</v>
      </c>
      <c r="Q14" s="59">
        <v>0</v>
      </c>
      <c r="R14" s="59">
        <v>0</v>
      </c>
      <c r="S14" s="59">
        <v>0</v>
      </c>
      <c r="T14" s="59">
        <v>0</v>
      </c>
      <c r="U14" s="59">
        <v>0</v>
      </c>
      <c r="V14" s="59">
        <v>0</v>
      </c>
      <c r="W14" s="59">
        <v>0</v>
      </c>
      <c r="X14" s="59">
        <v>0</v>
      </c>
      <c r="Y14" s="59">
        <v>0</v>
      </c>
      <c r="Z14" s="59">
        <v>0</v>
      </c>
      <c r="AA14" s="59">
        <v>0</v>
      </c>
      <c r="AB14" s="59">
        <v>0</v>
      </c>
      <c r="AC14" s="59">
        <v>59807.17</v>
      </c>
      <c r="AD14" s="59">
        <v>127460.98</v>
      </c>
      <c r="AE14" s="59">
        <v>0</v>
      </c>
      <c r="AF14" s="59">
        <v>0</v>
      </c>
      <c r="AG14" s="59">
        <v>13162160</v>
      </c>
      <c r="AH14" s="59">
        <v>2016200</v>
      </c>
      <c r="AI14" s="59">
        <v>591687</v>
      </c>
      <c r="AJ14" s="59">
        <v>0</v>
      </c>
      <c r="AK14" s="59">
        <v>212658.52</v>
      </c>
      <c r="AL14" s="59">
        <v>0</v>
      </c>
      <c r="AM14" s="59">
        <v>0</v>
      </c>
      <c r="AN14" s="59">
        <v>0</v>
      </c>
      <c r="AO14" s="59">
        <v>159429.98000000001</v>
      </c>
      <c r="AP14" s="59">
        <v>0</v>
      </c>
      <c r="AQ14" s="59">
        <v>0</v>
      </c>
      <c r="AR14" s="59">
        <v>0</v>
      </c>
      <c r="AS14" s="59">
        <v>0</v>
      </c>
      <c r="AT14" s="59">
        <v>1023617.02</v>
      </c>
      <c r="AU14" s="59">
        <v>1897038.74</v>
      </c>
      <c r="AV14" s="59">
        <v>1860842.01</v>
      </c>
      <c r="AW14" s="59">
        <v>2722682.34</v>
      </c>
      <c r="AX14" s="59">
        <v>1202077.1399999999</v>
      </c>
      <c r="AY14" s="59">
        <v>1369460</v>
      </c>
      <c r="AZ14" s="59">
        <v>914286.29</v>
      </c>
      <c r="BA14" s="59">
        <v>2200677.66</v>
      </c>
      <c r="BB14" s="59">
        <v>285591.45</v>
      </c>
      <c r="BC14" s="59">
        <v>162578.34</v>
      </c>
      <c r="BD14" s="59">
        <v>1133044.42</v>
      </c>
      <c r="BE14" s="59">
        <v>1232691.98</v>
      </c>
      <c r="BF14" s="59">
        <v>630481.37</v>
      </c>
      <c r="BG14" s="59">
        <v>788068.94</v>
      </c>
      <c r="BH14" s="59">
        <v>395859.23</v>
      </c>
      <c r="BI14" s="59">
        <v>545613.66</v>
      </c>
      <c r="BJ14" s="59">
        <v>857163.86</v>
      </c>
      <c r="BK14" s="59">
        <v>464403.94</v>
      </c>
      <c r="BL14" s="59">
        <v>233884.11</v>
      </c>
      <c r="BM14" s="59">
        <v>306892.49</v>
      </c>
      <c r="BN14" s="59">
        <v>551824.17000000004</v>
      </c>
      <c r="BO14" s="59">
        <v>634949.15</v>
      </c>
      <c r="BP14" s="59">
        <v>135163.24</v>
      </c>
      <c r="BQ14" s="59">
        <v>140683.22</v>
      </c>
      <c r="BR14" s="59">
        <v>61041.31</v>
      </c>
      <c r="BS14" s="59">
        <v>337815.92</v>
      </c>
      <c r="BT14" s="59">
        <v>199883.24</v>
      </c>
      <c r="BU14" s="59">
        <v>446409.61</v>
      </c>
      <c r="BV14" s="59">
        <v>377230.87</v>
      </c>
      <c r="BW14" s="59">
        <v>996578.92</v>
      </c>
      <c r="BX14" s="59">
        <v>49402.6</v>
      </c>
      <c r="BY14" s="59">
        <v>191203.07</v>
      </c>
      <c r="BZ14" s="59">
        <v>161364.48000000001</v>
      </c>
      <c r="CA14" s="59">
        <v>204886.66</v>
      </c>
      <c r="CB14" s="59">
        <v>78104.539999999994</v>
      </c>
      <c r="CC14" s="59">
        <v>38168.629999999997</v>
      </c>
      <c r="CD14" s="59">
        <v>123552.4</v>
      </c>
      <c r="CE14" s="59">
        <v>32117.97</v>
      </c>
      <c r="CF14" s="59">
        <v>4922.47</v>
      </c>
      <c r="CG14" s="59">
        <v>57290.03</v>
      </c>
      <c r="CH14" s="59">
        <v>9538.24</v>
      </c>
      <c r="CI14" s="59">
        <v>344.57</v>
      </c>
      <c r="CJ14" s="59">
        <v>0</v>
      </c>
      <c r="CK14" s="59">
        <v>23874.48</v>
      </c>
      <c r="CL14" s="59">
        <v>16741.439999999999</v>
      </c>
      <c r="CM14" s="59">
        <v>42442.48</v>
      </c>
      <c r="CN14" s="59">
        <v>5493.01</v>
      </c>
      <c r="CO14" s="59">
        <v>2551.58</v>
      </c>
      <c r="CP14" s="59">
        <v>55620.26</v>
      </c>
      <c r="CQ14" s="59">
        <v>11052.66</v>
      </c>
      <c r="CR14" s="59">
        <v>2693.03</v>
      </c>
      <c r="CS14" s="59">
        <v>2307.87</v>
      </c>
      <c r="CT14" s="59">
        <v>8449.35</v>
      </c>
      <c r="CU14" s="59">
        <v>10312.57</v>
      </c>
      <c r="CV14" s="59">
        <v>10805.83</v>
      </c>
      <c r="CW14" s="59">
        <v>0</v>
      </c>
      <c r="CX14" s="59">
        <v>0</v>
      </c>
      <c r="CY14" s="59">
        <v>7775.93</v>
      </c>
      <c r="CZ14" s="59">
        <v>261.39999999999998</v>
      </c>
      <c r="DA14" s="59">
        <v>0</v>
      </c>
      <c r="DB14" s="59">
        <v>1300.57</v>
      </c>
      <c r="DC14" s="59">
        <v>0</v>
      </c>
    </row>
    <row r="15" spans="1:107">
      <c r="A15" s="48" t="s">
        <v>101</v>
      </c>
      <c r="B15" s="59">
        <v>91608538.049999997</v>
      </c>
      <c r="C15" s="59">
        <v>43374063.270000003</v>
      </c>
      <c r="D15" s="59">
        <v>48234474.780000001</v>
      </c>
      <c r="E15" s="59">
        <v>0</v>
      </c>
      <c r="F15" s="59">
        <v>0</v>
      </c>
      <c r="G15" s="59">
        <v>0</v>
      </c>
      <c r="H15" s="59">
        <v>0</v>
      </c>
      <c r="I15" s="59">
        <v>0</v>
      </c>
      <c r="J15" s="59">
        <v>0</v>
      </c>
      <c r="K15" s="59">
        <v>0</v>
      </c>
      <c r="L15" s="59">
        <v>0</v>
      </c>
      <c r="M15" s="59">
        <v>0</v>
      </c>
      <c r="N15" s="59">
        <v>0</v>
      </c>
      <c r="O15" s="59">
        <v>0</v>
      </c>
      <c r="P15" s="59">
        <v>0</v>
      </c>
      <c r="Q15" s="59">
        <v>0</v>
      </c>
      <c r="R15" s="59">
        <v>0</v>
      </c>
      <c r="S15" s="59">
        <v>0</v>
      </c>
      <c r="T15" s="59">
        <v>0</v>
      </c>
      <c r="U15" s="59">
        <v>0</v>
      </c>
      <c r="V15" s="59">
        <v>0</v>
      </c>
      <c r="W15" s="59">
        <v>0</v>
      </c>
      <c r="X15" s="59">
        <v>0</v>
      </c>
      <c r="Y15" s="59">
        <v>0</v>
      </c>
      <c r="Z15" s="59">
        <v>0</v>
      </c>
      <c r="AA15" s="59">
        <v>0</v>
      </c>
      <c r="AB15" s="59">
        <v>0</v>
      </c>
      <c r="AC15" s="59">
        <v>0</v>
      </c>
      <c r="AD15" s="59">
        <v>0</v>
      </c>
      <c r="AE15" s="59">
        <v>0</v>
      </c>
      <c r="AF15" s="59">
        <v>0</v>
      </c>
      <c r="AG15" s="59">
        <v>42071989.020000003</v>
      </c>
      <c r="AH15" s="59">
        <v>5242500</v>
      </c>
      <c r="AI15" s="59">
        <v>919985.76</v>
      </c>
      <c r="AJ15" s="59">
        <v>0</v>
      </c>
      <c r="AK15" s="59">
        <v>0</v>
      </c>
      <c r="AL15" s="59">
        <v>0</v>
      </c>
      <c r="AM15" s="59">
        <v>0</v>
      </c>
      <c r="AN15" s="59">
        <v>0</v>
      </c>
      <c r="AO15" s="59">
        <v>42503009.479999997</v>
      </c>
      <c r="AP15" s="59">
        <v>0</v>
      </c>
      <c r="AQ15" s="59">
        <v>0</v>
      </c>
      <c r="AR15" s="59">
        <v>0</v>
      </c>
      <c r="AS15" s="59">
        <v>0</v>
      </c>
      <c r="AT15" s="59">
        <v>0</v>
      </c>
      <c r="AU15" s="59">
        <v>0</v>
      </c>
      <c r="AV15" s="59">
        <v>0</v>
      </c>
      <c r="AW15" s="59">
        <v>290000</v>
      </c>
      <c r="AX15" s="59">
        <v>0</v>
      </c>
      <c r="AY15" s="59">
        <v>0</v>
      </c>
      <c r="AZ15" s="59">
        <v>0</v>
      </c>
      <c r="BA15" s="59">
        <v>0</v>
      </c>
      <c r="BB15" s="59">
        <v>0</v>
      </c>
      <c r="BC15" s="59">
        <v>0</v>
      </c>
      <c r="BD15" s="59">
        <v>0</v>
      </c>
      <c r="BE15" s="59">
        <v>0</v>
      </c>
      <c r="BF15" s="59">
        <v>0</v>
      </c>
      <c r="BG15" s="59">
        <v>51726.7</v>
      </c>
      <c r="BH15" s="59">
        <v>0</v>
      </c>
      <c r="BI15" s="59">
        <v>0</v>
      </c>
      <c r="BJ15" s="59">
        <v>0</v>
      </c>
      <c r="BK15" s="59">
        <v>0</v>
      </c>
      <c r="BL15" s="59">
        <v>0</v>
      </c>
      <c r="BM15" s="59">
        <v>0</v>
      </c>
      <c r="BN15" s="59">
        <v>0</v>
      </c>
      <c r="BO15" s="59">
        <v>0</v>
      </c>
      <c r="BP15" s="59">
        <v>0</v>
      </c>
      <c r="BQ15" s="59">
        <v>0</v>
      </c>
      <c r="BR15" s="59">
        <v>0</v>
      </c>
      <c r="BS15" s="59">
        <v>0</v>
      </c>
      <c r="BT15" s="59">
        <v>0</v>
      </c>
      <c r="BU15" s="59">
        <v>0</v>
      </c>
      <c r="BV15" s="59">
        <v>0</v>
      </c>
      <c r="BW15" s="59">
        <v>416456.31</v>
      </c>
      <c r="BX15" s="59">
        <v>0</v>
      </c>
      <c r="BY15" s="59">
        <v>0</v>
      </c>
      <c r="BZ15" s="59">
        <v>0</v>
      </c>
      <c r="CA15" s="59">
        <v>0</v>
      </c>
      <c r="CB15" s="59">
        <v>0</v>
      </c>
      <c r="CC15" s="59">
        <v>0</v>
      </c>
      <c r="CD15" s="59">
        <v>0</v>
      </c>
      <c r="CE15" s="59">
        <v>0</v>
      </c>
      <c r="CF15" s="59">
        <v>0</v>
      </c>
      <c r="CG15" s="59">
        <v>0</v>
      </c>
      <c r="CH15" s="59">
        <v>0</v>
      </c>
      <c r="CI15" s="59">
        <v>126</v>
      </c>
      <c r="CJ15" s="59">
        <v>0</v>
      </c>
      <c r="CK15" s="59">
        <v>0</v>
      </c>
      <c r="CL15" s="59">
        <v>0</v>
      </c>
      <c r="CM15" s="59">
        <v>0</v>
      </c>
      <c r="CN15" s="59">
        <v>0</v>
      </c>
      <c r="CO15" s="59">
        <v>0</v>
      </c>
      <c r="CP15" s="59">
        <v>0</v>
      </c>
      <c r="CQ15" s="59">
        <v>0</v>
      </c>
      <c r="CR15" s="59">
        <v>0</v>
      </c>
      <c r="CS15" s="59">
        <v>112744.78</v>
      </c>
      <c r="CT15" s="59">
        <v>0</v>
      </c>
      <c r="CU15" s="59">
        <v>0</v>
      </c>
      <c r="CV15" s="59">
        <v>0</v>
      </c>
      <c r="CW15" s="59">
        <v>0</v>
      </c>
      <c r="CX15" s="59">
        <v>0</v>
      </c>
      <c r="CY15" s="59">
        <v>0</v>
      </c>
      <c r="CZ15" s="59">
        <v>0</v>
      </c>
      <c r="DA15" s="59">
        <v>0</v>
      </c>
      <c r="DB15" s="59">
        <v>0</v>
      </c>
      <c r="DC15" s="59">
        <v>0</v>
      </c>
    </row>
    <row r="16" spans="1:107">
      <c r="A16" s="48" t="s">
        <v>102</v>
      </c>
      <c r="B16" s="59">
        <v>12200299.02</v>
      </c>
      <c r="C16" s="59">
        <v>10437396.17</v>
      </c>
      <c r="D16" s="59">
        <v>4912116.4000000004</v>
      </c>
      <c r="E16" s="59">
        <v>835648.64</v>
      </c>
      <c r="F16" s="59">
        <v>16.190000000000001</v>
      </c>
      <c r="G16" s="59">
        <v>0</v>
      </c>
      <c r="H16" s="59">
        <v>-2361807.75</v>
      </c>
      <c r="I16" s="59">
        <v>0</v>
      </c>
      <c r="J16" s="59">
        <v>0</v>
      </c>
      <c r="K16" s="59">
        <v>0</v>
      </c>
      <c r="L16" s="59">
        <v>0</v>
      </c>
      <c r="M16" s="59">
        <v>0</v>
      </c>
      <c r="N16" s="59">
        <v>0</v>
      </c>
      <c r="O16" s="59">
        <v>0</v>
      </c>
      <c r="P16" s="59">
        <v>0</v>
      </c>
      <c r="Q16" s="59">
        <v>0</v>
      </c>
      <c r="R16" s="59">
        <v>0</v>
      </c>
      <c r="S16" s="59">
        <v>0</v>
      </c>
      <c r="T16" s="59">
        <v>0</v>
      </c>
      <c r="U16" s="59">
        <v>0</v>
      </c>
      <c r="V16" s="59">
        <v>0</v>
      </c>
      <c r="W16" s="59">
        <v>19327.96</v>
      </c>
      <c r="X16" s="59">
        <v>23.44</v>
      </c>
      <c r="Y16" s="59">
        <v>0</v>
      </c>
      <c r="Z16" s="59">
        <v>2004873.47</v>
      </c>
      <c r="AA16" s="59">
        <v>0</v>
      </c>
      <c r="AB16" s="59">
        <v>-1187512.92</v>
      </c>
      <c r="AC16" s="59">
        <v>-55860.19</v>
      </c>
      <c r="AD16" s="59">
        <v>74124.84</v>
      </c>
      <c r="AE16" s="59">
        <v>0</v>
      </c>
      <c r="AF16" s="59">
        <v>0</v>
      </c>
      <c r="AG16" s="59">
        <v>4049933.43</v>
      </c>
      <c r="AH16" s="59">
        <v>545254.75</v>
      </c>
      <c r="AI16" s="59">
        <v>316928.21999999997</v>
      </c>
      <c r="AJ16" s="59">
        <v>-1642398.59</v>
      </c>
      <c r="AK16" s="59">
        <v>-2.83</v>
      </c>
      <c r="AL16" s="59">
        <v>19.02</v>
      </c>
      <c r="AM16" s="59">
        <v>0</v>
      </c>
      <c r="AN16" s="59">
        <v>0</v>
      </c>
      <c r="AO16" s="59">
        <v>18148.189999999999</v>
      </c>
      <c r="AP16" s="59">
        <v>21680.42</v>
      </c>
      <c r="AQ16" s="59">
        <v>0</v>
      </c>
      <c r="AR16" s="59">
        <v>2461188.6</v>
      </c>
      <c r="AS16" s="59">
        <v>0</v>
      </c>
      <c r="AT16" s="59">
        <v>348060.31</v>
      </c>
      <c r="AU16" s="59">
        <v>488440.32000000001</v>
      </c>
      <c r="AV16" s="59">
        <v>435983.74</v>
      </c>
      <c r="AW16" s="59">
        <v>341981.93</v>
      </c>
      <c r="AX16" s="59">
        <v>418902.29</v>
      </c>
      <c r="AY16" s="59">
        <v>411953.5</v>
      </c>
      <c r="AZ16" s="59">
        <v>128476.32</v>
      </c>
      <c r="BA16" s="59">
        <v>455131.51</v>
      </c>
      <c r="BB16" s="59">
        <v>172919.87</v>
      </c>
      <c r="BC16" s="59">
        <v>152036.66</v>
      </c>
      <c r="BD16" s="59">
        <v>339799.2</v>
      </c>
      <c r="BE16" s="59">
        <v>1272033.28</v>
      </c>
      <c r="BF16" s="59">
        <v>199806.79</v>
      </c>
      <c r="BG16" s="59">
        <v>337120.57</v>
      </c>
      <c r="BH16" s="59">
        <v>112988.45</v>
      </c>
      <c r="BI16" s="59">
        <v>133079.96</v>
      </c>
      <c r="BJ16" s="59">
        <v>140286.78</v>
      </c>
      <c r="BK16" s="59">
        <v>149073.48000000001</v>
      </c>
      <c r="BL16" s="59">
        <v>121060.81</v>
      </c>
      <c r="BM16" s="59">
        <v>60304.89</v>
      </c>
      <c r="BN16" s="59">
        <v>93364.14</v>
      </c>
      <c r="BO16" s="59">
        <v>146872.41</v>
      </c>
      <c r="BP16" s="59">
        <v>31895.65</v>
      </c>
      <c r="BQ16" s="59">
        <v>51917.4</v>
      </c>
      <c r="BR16" s="59">
        <v>28960.28</v>
      </c>
      <c r="BS16" s="59">
        <v>52341.21</v>
      </c>
      <c r="BT16" s="59">
        <v>22042.82</v>
      </c>
      <c r="BU16" s="59">
        <v>54798.35</v>
      </c>
      <c r="BV16" s="59">
        <v>31962.35</v>
      </c>
      <c r="BW16" s="59">
        <v>29464.13</v>
      </c>
      <c r="BX16" s="59">
        <v>23065.73</v>
      </c>
      <c r="BY16" s="59">
        <v>36855.75</v>
      </c>
      <c r="BZ16" s="59">
        <v>12417.43</v>
      </c>
      <c r="CA16" s="59">
        <v>15090.66</v>
      </c>
      <c r="CB16" s="59">
        <v>35946.53</v>
      </c>
      <c r="CC16" s="59">
        <v>26688.9</v>
      </c>
      <c r="CD16" s="59">
        <v>991574.92</v>
      </c>
      <c r="CE16" s="59">
        <v>11039.86</v>
      </c>
      <c r="CF16" s="59">
        <v>4.99</v>
      </c>
      <c r="CG16" s="59">
        <v>8634.6</v>
      </c>
      <c r="CH16" s="59">
        <v>-2242.88</v>
      </c>
      <c r="CI16" s="59">
        <v>30.35</v>
      </c>
      <c r="CJ16" s="59">
        <v>3227.17</v>
      </c>
      <c r="CK16" s="59">
        <v>169.85</v>
      </c>
      <c r="CL16" s="59">
        <v>33.15</v>
      </c>
      <c r="CM16" s="59">
        <v>321.62</v>
      </c>
      <c r="CN16" s="59">
        <v>-237.96</v>
      </c>
      <c r="CO16" s="59">
        <v>10.31</v>
      </c>
      <c r="CP16" s="59">
        <v>428.34</v>
      </c>
      <c r="CQ16" s="59">
        <v>2151.3000000000002</v>
      </c>
      <c r="CR16" s="59">
        <v>31.69</v>
      </c>
      <c r="CS16" s="59">
        <v>5501.1</v>
      </c>
      <c r="CT16" s="59">
        <v>174.25</v>
      </c>
      <c r="CU16" s="59">
        <v>433.68</v>
      </c>
      <c r="CV16" s="59">
        <v>3.78</v>
      </c>
      <c r="CW16" s="59">
        <v>4.32</v>
      </c>
      <c r="CX16" s="59">
        <v>78.349999999999994</v>
      </c>
      <c r="CY16" s="59">
        <v>593.95000000000005</v>
      </c>
      <c r="CZ16" s="59">
        <v>0</v>
      </c>
      <c r="DA16" s="59">
        <v>7.0000000000000007E-2</v>
      </c>
      <c r="DB16" s="59">
        <v>937.3</v>
      </c>
      <c r="DC16" s="59">
        <v>350.45</v>
      </c>
    </row>
    <row r="17" spans="1:107">
      <c r="A17" s="48" t="s">
        <v>103</v>
      </c>
      <c r="B17" s="59">
        <v>506968.04</v>
      </c>
      <c r="C17" s="59">
        <v>286885.33</v>
      </c>
      <c r="D17" s="59">
        <v>0</v>
      </c>
      <c r="E17" s="59">
        <v>0</v>
      </c>
      <c r="F17" s="59">
        <v>1269.21</v>
      </c>
      <c r="G17" s="59">
        <v>0</v>
      </c>
      <c r="H17" s="59">
        <v>218813.5</v>
      </c>
      <c r="I17" s="59">
        <v>0</v>
      </c>
      <c r="J17" s="59">
        <v>0</v>
      </c>
      <c r="K17" s="59">
        <v>0</v>
      </c>
      <c r="L17" s="59">
        <v>0</v>
      </c>
      <c r="M17" s="59">
        <v>0</v>
      </c>
      <c r="N17" s="59">
        <v>0</v>
      </c>
      <c r="O17" s="59">
        <v>0</v>
      </c>
      <c r="P17" s="59">
        <v>0</v>
      </c>
      <c r="Q17" s="59">
        <v>0</v>
      </c>
      <c r="R17" s="59">
        <v>0</v>
      </c>
      <c r="S17" s="59">
        <v>0</v>
      </c>
      <c r="T17" s="59">
        <v>0</v>
      </c>
      <c r="U17" s="59">
        <v>0</v>
      </c>
      <c r="V17" s="59">
        <v>0</v>
      </c>
      <c r="W17" s="59">
        <v>0</v>
      </c>
      <c r="X17" s="59">
        <v>0</v>
      </c>
      <c r="Y17" s="59">
        <v>0</v>
      </c>
      <c r="Z17" s="59">
        <v>0</v>
      </c>
      <c r="AA17" s="59">
        <v>0</v>
      </c>
      <c r="AB17" s="59">
        <v>0</v>
      </c>
      <c r="AC17" s="59">
        <v>0</v>
      </c>
      <c r="AD17" s="59">
        <v>0</v>
      </c>
      <c r="AE17" s="59">
        <v>0</v>
      </c>
      <c r="AF17" s="59">
        <v>0</v>
      </c>
      <c r="AG17" s="59">
        <v>0</v>
      </c>
      <c r="AH17" s="59">
        <v>0</v>
      </c>
      <c r="AI17" s="59">
        <v>0</v>
      </c>
      <c r="AJ17" s="59">
        <v>0</v>
      </c>
      <c r="AK17" s="59">
        <v>0</v>
      </c>
      <c r="AL17" s="59">
        <v>1269.21</v>
      </c>
      <c r="AM17" s="59">
        <v>0</v>
      </c>
      <c r="AN17" s="59">
        <v>0</v>
      </c>
      <c r="AO17" s="59">
        <v>0</v>
      </c>
      <c r="AP17" s="59">
        <v>0</v>
      </c>
      <c r="AQ17" s="59">
        <v>0</v>
      </c>
      <c r="AR17" s="59">
        <v>0</v>
      </c>
      <c r="AS17" s="59">
        <v>0</v>
      </c>
      <c r="AT17" s="59">
        <v>0</v>
      </c>
      <c r="AU17" s="59">
        <v>0</v>
      </c>
      <c r="AV17" s="59">
        <v>0</v>
      </c>
      <c r="AW17" s="59">
        <v>0</v>
      </c>
      <c r="AX17" s="59">
        <v>47072.57</v>
      </c>
      <c r="AY17" s="59">
        <v>24881.29</v>
      </c>
      <c r="AZ17" s="59">
        <v>338.33</v>
      </c>
      <c r="BA17" s="59">
        <v>0</v>
      </c>
      <c r="BB17" s="59">
        <v>0</v>
      </c>
      <c r="BC17" s="59">
        <v>0</v>
      </c>
      <c r="BD17" s="59">
        <v>19491.759999999998</v>
      </c>
      <c r="BE17" s="59">
        <v>82085.53</v>
      </c>
      <c r="BF17" s="59">
        <v>0</v>
      </c>
      <c r="BG17" s="59">
        <v>0</v>
      </c>
      <c r="BH17" s="59">
        <v>4278.38</v>
      </c>
      <c r="BI17" s="59">
        <v>6547.07</v>
      </c>
      <c r="BJ17" s="59">
        <v>4752.2299999999996</v>
      </c>
      <c r="BK17" s="59">
        <v>2000</v>
      </c>
      <c r="BL17" s="59">
        <v>30700.02</v>
      </c>
      <c r="BM17" s="59">
        <v>2757.28</v>
      </c>
      <c r="BN17" s="59">
        <v>195.21</v>
      </c>
      <c r="BO17" s="59">
        <v>22878.560000000001</v>
      </c>
      <c r="BP17" s="59">
        <v>0</v>
      </c>
      <c r="BQ17" s="59">
        <v>7987.12</v>
      </c>
      <c r="BR17" s="59">
        <v>11475.68</v>
      </c>
      <c r="BS17" s="59">
        <v>8037.35</v>
      </c>
      <c r="BT17" s="59">
        <v>2299.67</v>
      </c>
      <c r="BU17" s="59">
        <v>0</v>
      </c>
      <c r="BV17" s="59">
        <v>2649.37</v>
      </c>
      <c r="BW17" s="59">
        <v>4458.7299999999996</v>
      </c>
      <c r="BX17" s="59">
        <v>0</v>
      </c>
      <c r="BY17" s="59">
        <v>0</v>
      </c>
      <c r="BZ17" s="59">
        <v>0</v>
      </c>
      <c r="CA17" s="59">
        <v>20</v>
      </c>
      <c r="CB17" s="59">
        <v>0</v>
      </c>
      <c r="CC17" s="59">
        <v>707.18</v>
      </c>
      <c r="CD17" s="59">
        <v>0</v>
      </c>
      <c r="CE17" s="59">
        <v>0</v>
      </c>
      <c r="CF17" s="59">
        <v>489</v>
      </c>
      <c r="CG17" s="59">
        <v>0</v>
      </c>
      <c r="CH17" s="59">
        <v>0</v>
      </c>
      <c r="CI17" s="59">
        <v>0</v>
      </c>
      <c r="CJ17" s="59">
        <v>0</v>
      </c>
      <c r="CK17" s="59">
        <v>0</v>
      </c>
      <c r="CL17" s="59">
        <v>0</v>
      </c>
      <c r="CM17" s="59">
        <v>0</v>
      </c>
      <c r="CN17" s="59">
        <v>0</v>
      </c>
      <c r="CO17" s="59">
        <v>0</v>
      </c>
      <c r="CP17" s="59">
        <v>0</v>
      </c>
      <c r="CQ17" s="59">
        <v>0</v>
      </c>
      <c r="CR17" s="59">
        <v>0</v>
      </c>
      <c r="CS17" s="59">
        <v>31.77</v>
      </c>
      <c r="CT17" s="59">
        <v>0</v>
      </c>
      <c r="CU17" s="59">
        <v>0</v>
      </c>
      <c r="CV17" s="59">
        <v>0</v>
      </c>
      <c r="CW17" s="59">
        <v>0</v>
      </c>
      <c r="CX17" s="59">
        <v>0</v>
      </c>
      <c r="CY17" s="59">
        <v>375</v>
      </c>
      <c r="CZ17" s="59">
        <v>0</v>
      </c>
      <c r="DA17" s="59">
        <v>376.23</v>
      </c>
      <c r="DB17" s="59">
        <v>0</v>
      </c>
      <c r="DC17" s="59">
        <v>0</v>
      </c>
    </row>
    <row r="18" spans="1:107">
      <c r="A18" s="48" t="s">
        <v>104</v>
      </c>
      <c r="B18" s="59">
        <v>3071560.87</v>
      </c>
      <c r="C18" s="59">
        <v>20000</v>
      </c>
      <c r="D18" s="59">
        <v>0</v>
      </c>
      <c r="E18" s="59">
        <v>119603.77</v>
      </c>
      <c r="F18" s="59">
        <v>0</v>
      </c>
      <c r="G18" s="59">
        <v>0</v>
      </c>
      <c r="H18" s="59">
        <v>2931957.1</v>
      </c>
      <c r="I18" s="59">
        <v>0</v>
      </c>
      <c r="J18" s="59">
        <v>0</v>
      </c>
      <c r="K18" s="59">
        <v>0</v>
      </c>
      <c r="L18" s="59">
        <v>0</v>
      </c>
      <c r="M18" s="59">
        <v>0</v>
      </c>
      <c r="N18" s="59">
        <v>0</v>
      </c>
      <c r="O18" s="59">
        <v>0</v>
      </c>
      <c r="P18" s="59">
        <v>0</v>
      </c>
      <c r="Q18" s="59">
        <v>0</v>
      </c>
      <c r="R18" s="59">
        <v>0</v>
      </c>
      <c r="S18" s="59">
        <v>0</v>
      </c>
      <c r="T18" s="59">
        <v>0</v>
      </c>
      <c r="U18" s="59">
        <v>0</v>
      </c>
      <c r="V18" s="59">
        <v>0</v>
      </c>
      <c r="W18" s="59">
        <v>0</v>
      </c>
      <c r="X18" s="59">
        <v>8000</v>
      </c>
      <c r="Y18" s="59">
        <v>0</v>
      </c>
      <c r="Z18" s="59">
        <v>111603.77</v>
      </c>
      <c r="AA18" s="59">
        <v>0</v>
      </c>
      <c r="AB18" s="59">
        <v>0</v>
      </c>
      <c r="AC18" s="59">
        <v>0</v>
      </c>
      <c r="AD18" s="59">
        <v>0</v>
      </c>
      <c r="AE18" s="59">
        <v>0</v>
      </c>
      <c r="AF18" s="59">
        <v>0</v>
      </c>
      <c r="AG18" s="59">
        <v>0</v>
      </c>
      <c r="AH18" s="59">
        <v>0</v>
      </c>
      <c r="AI18" s="59">
        <v>0</v>
      </c>
      <c r="AJ18" s="59">
        <v>0</v>
      </c>
      <c r="AK18" s="59">
        <v>0</v>
      </c>
      <c r="AL18" s="59">
        <v>0</v>
      </c>
      <c r="AM18" s="59">
        <v>0</v>
      </c>
      <c r="AN18" s="59">
        <v>0</v>
      </c>
      <c r="AO18" s="59">
        <v>0</v>
      </c>
      <c r="AP18" s="59">
        <v>0</v>
      </c>
      <c r="AQ18" s="59">
        <v>0</v>
      </c>
      <c r="AR18" s="59">
        <v>0</v>
      </c>
      <c r="AS18" s="59">
        <v>0</v>
      </c>
      <c r="AT18" s="59">
        <v>0</v>
      </c>
      <c r="AU18" s="59">
        <v>0</v>
      </c>
      <c r="AV18" s="59">
        <v>0</v>
      </c>
      <c r="AW18" s="59">
        <v>0</v>
      </c>
      <c r="AX18" s="59">
        <v>0</v>
      </c>
      <c r="AY18" s="59">
        <v>0</v>
      </c>
      <c r="AZ18" s="59">
        <v>0</v>
      </c>
      <c r="BA18" s="59">
        <v>0</v>
      </c>
      <c r="BB18" s="59">
        <v>0</v>
      </c>
      <c r="BC18" s="59">
        <v>0</v>
      </c>
      <c r="BD18" s="59">
        <v>0</v>
      </c>
      <c r="BE18" s="59">
        <v>0</v>
      </c>
      <c r="BF18" s="59">
        <v>0</v>
      </c>
      <c r="BG18" s="59">
        <v>0</v>
      </c>
      <c r="BH18" s="59">
        <v>0</v>
      </c>
      <c r="BI18" s="59">
        <v>0</v>
      </c>
      <c r="BJ18" s="59">
        <v>0</v>
      </c>
      <c r="BK18" s="59">
        <v>0</v>
      </c>
      <c r="BL18" s="59">
        <v>0</v>
      </c>
      <c r="BM18" s="59">
        <v>0</v>
      </c>
      <c r="BN18" s="59">
        <v>0</v>
      </c>
      <c r="BO18" s="59">
        <v>0</v>
      </c>
      <c r="BP18" s="59">
        <v>0</v>
      </c>
      <c r="BQ18" s="59">
        <v>0</v>
      </c>
      <c r="BR18" s="59">
        <v>0</v>
      </c>
      <c r="BS18" s="59">
        <v>0</v>
      </c>
      <c r="BT18" s="59">
        <v>0</v>
      </c>
      <c r="BU18" s="59">
        <v>0</v>
      </c>
      <c r="BV18" s="59">
        <v>0</v>
      </c>
      <c r="BW18" s="59">
        <v>0</v>
      </c>
      <c r="BX18" s="59">
        <v>0</v>
      </c>
      <c r="BY18" s="59">
        <v>0</v>
      </c>
      <c r="BZ18" s="59">
        <v>0</v>
      </c>
      <c r="CA18" s="59">
        <v>0</v>
      </c>
      <c r="CB18" s="59">
        <v>0</v>
      </c>
      <c r="CC18" s="59">
        <v>0</v>
      </c>
      <c r="CD18" s="59">
        <v>0</v>
      </c>
      <c r="CE18" s="59">
        <v>0</v>
      </c>
      <c r="CF18" s="59">
        <v>0</v>
      </c>
      <c r="CG18" s="59">
        <v>0</v>
      </c>
      <c r="CH18" s="59">
        <v>0</v>
      </c>
      <c r="CI18" s="59">
        <v>0</v>
      </c>
      <c r="CJ18" s="59">
        <v>0</v>
      </c>
      <c r="CK18" s="59">
        <v>0</v>
      </c>
      <c r="CL18" s="59">
        <v>0</v>
      </c>
      <c r="CM18" s="59">
        <v>0</v>
      </c>
      <c r="CN18" s="59">
        <v>0</v>
      </c>
      <c r="CO18" s="59">
        <v>0</v>
      </c>
      <c r="CP18" s="59">
        <v>0</v>
      </c>
      <c r="CQ18" s="59">
        <v>0</v>
      </c>
      <c r="CR18" s="59">
        <v>0</v>
      </c>
      <c r="CS18" s="59">
        <v>0</v>
      </c>
      <c r="CT18" s="59">
        <v>0</v>
      </c>
      <c r="CU18" s="59">
        <v>0</v>
      </c>
      <c r="CV18" s="59">
        <v>0</v>
      </c>
      <c r="CW18" s="59">
        <v>10000</v>
      </c>
      <c r="CX18" s="59">
        <v>0</v>
      </c>
      <c r="CY18" s="59">
        <v>10000</v>
      </c>
      <c r="CZ18" s="59">
        <v>0</v>
      </c>
      <c r="DA18" s="59">
        <v>0</v>
      </c>
      <c r="DB18" s="59">
        <v>0</v>
      </c>
      <c r="DC18" s="59">
        <v>0</v>
      </c>
    </row>
    <row r="19" spans="1:107" s="52" customFormat="1">
      <c r="A19" s="60" t="s">
        <v>98</v>
      </c>
      <c r="B19" s="61">
        <v>148977882.38999999</v>
      </c>
      <c r="C19" s="61">
        <v>79538887.510000005</v>
      </c>
      <c r="D19" s="61">
        <v>68916638.180000007</v>
      </c>
      <c r="E19" s="61">
        <v>1142520.56</v>
      </c>
      <c r="F19" s="61">
        <v>213943.92</v>
      </c>
      <c r="G19" s="61">
        <v>0</v>
      </c>
      <c r="H19" s="61">
        <v>788962.85</v>
      </c>
      <c r="I19" s="61">
        <v>0</v>
      </c>
      <c r="J19" s="61">
        <v>0</v>
      </c>
      <c r="K19" s="61">
        <v>0</v>
      </c>
      <c r="L19" s="61">
        <v>0</v>
      </c>
      <c r="M19" s="61">
        <v>0</v>
      </c>
      <c r="N19" s="61">
        <v>0</v>
      </c>
      <c r="O19" s="61">
        <v>0</v>
      </c>
      <c r="P19" s="61">
        <v>0</v>
      </c>
      <c r="Q19" s="61">
        <v>0</v>
      </c>
      <c r="R19" s="61">
        <v>0</v>
      </c>
      <c r="S19" s="61">
        <v>0</v>
      </c>
      <c r="T19" s="61">
        <v>0</v>
      </c>
      <c r="U19" s="61">
        <v>0</v>
      </c>
      <c r="V19" s="61">
        <v>0</v>
      </c>
      <c r="W19" s="61">
        <v>19327.96</v>
      </c>
      <c r="X19" s="61">
        <v>8023.44</v>
      </c>
      <c r="Y19" s="61">
        <v>0</v>
      </c>
      <c r="Z19" s="61">
        <v>2116477.2400000002</v>
      </c>
      <c r="AA19" s="61">
        <v>0</v>
      </c>
      <c r="AB19" s="61">
        <v>-1187512.92</v>
      </c>
      <c r="AC19" s="61">
        <v>3946.98</v>
      </c>
      <c r="AD19" s="61">
        <v>201585.82</v>
      </c>
      <c r="AE19" s="61">
        <v>0</v>
      </c>
      <c r="AF19" s="61">
        <v>0</v>
      </c>
      <c r="AG19" s="61">
        <v>59284082.450000003</v>
      </c>
      <c r="AH19" s="61">
        <v>7803954.75</v>
      </c>
      <c r="AI19" s="61">
        <v>1828600.98</v>
      </c>
      <c r="AJ19" s="61">
        <v>-1642398.59</v>
      </c>
      <c r="AK19" s="61">
        <v>212655.69</v>
      </c>
      <c r="AL19" s="61">
        <v>1288.23</v>
      </c>
      <c r="AM19" s="61">
        <v>0</v>
      </c>
      <c r="AN19" s="61">
        <v>0</v>
      </c>
      <c r="AO19" s="61">
        <v>42680587.649999999</v>
      </c>
      <c r="AP19" s="61">
        <v>21680.42</v>
      </c>
      <c r="AQ19" s="61">
        <v>0</v>
      </c>
      <c r="AR19" s="61">
        <v>2461188.6</v>
      </c>
      <c r="AS19" s="61">
        <v>0</v>
      </c>
      <c r="AT19" s="61">
        <v>1371677.33</v>
      </c>
      <c r="AU19" s="61">
        <v>2385479.06</v>
      </c>
      <c r="AV19" s="61">
        <v>2296825.75</v>
      </c>
      <c r="AW19" s="61">
        <v>3354664.27</v>
      </c>
      <c r="AX19" s="61">
        <v>1668052</v>
      </c>
      <c r="AY19" s="61">
        <v>1806294.79</v>
      </c>
      <c r="AZ19" s="61">
        <v>1043100.94</v>
      </c>
      <c r="BA19" s="61">
        <v>2655809.17</v>
      </c>
      <c r="BB19" s="61">
        <v>458511.32</v>
      </c>
      <c r="BC19" s="61">
        <v>314615</v>
      </c>
      <c r="BD19" s="61">
        <v>1492335.38</v>
      </c>
      <c r="BE19" s="61">
        <v>2586810.79</v>
      </c>
      <c r="BF19" s="61">
        <v>830288.16</v>
      </c>
      <c r="BG19" s="61">
        <v>1176916.21</v>
      </c>
      <c r="BH19" s="61">
        <v>513126.06</v>
      </c>
      <c r="BI19" s="61">
        <v>685240.69</v>
      </c>
      <c r="BJ19" s="61">
        <v>1002202.87</v>
      </c>
      <c r="BK19" s="61">
        <v>615477.42000000004</v>
      </c>
      <c r="BL19" s="61">
        <v>385644.94</v>
      </c>
      <c r="BM19" s="61">
        <v>369954.66</v>
      </c>
      <c r="BN19" s="61">
        <v>645383.52</v>
      </c>
      <c r="BO19" s="61">
        <v>804700.12</v>
      </c>
      <c r="BP19" s="61">
        <v>167058.89000000001</v>
      </c>
      <c r="BQ19" s="61">
        <v>200587.74</v>
      </c>
      <c r="BR19" s="61">
        <v>101477.27</v>
      </c>
      <c r="BS19" s="61">
        <v>398194.48</v>
      </c>
      <c r="BT19" s="61">
        <v>224225.73</v>
      </c>
      <c r="BU19" s="61">
        <v>501207.96</v>
      </c>
      <c r="BV19" s="61">
        <v>411842.59</v>
      </c>
      <c r="BW19" s="61">
        <v>1446958.09</v>
      </c>
      <c r="BX19" s="61">
        <v>72468.33</v>
      </c>
      <c r="BY19" s="61">
        <v>228058.82</v>
      </c>
      <c r="BZ19" s="61">
        <v>173781.91</v>
      </c>
      <c r="CA19" s="61">
        <v>219997.32</v>
      </c>
      <c r="CB19" s="61">
        <v>114051.07</v>
      </c>
      <c r="CC19" s="61">
        <v>65564.710000000006</v>
      </c>
      <c r="CD19" s="61">
        <v>1115127.32</v>
      </c>
      <c r="CE19" s="61">
        <v>43157.83</v>
      </c>
      <c r="CF19" s="61">
        <v>5416.46</v>
      </c>
      <c r="CG19" s="61">
        <v>65924.63</v>
      </c>
      <c r="CH19" s="61">
        <v>7295.36</v>
      </c>
      <c r="CI19" s="61">
        <v>500.92</v>
      </c>
      <c r="CJ19" s="61">
        <v>3227.17</v>
      </c>
      <c r="CK19" s="61">
        <v>24044.33</v>
      </c>
      <c r="CL19" s="61">
        <v>16774.59</v>
      </c>
      <c r="CM19" s="61">
        <v>42764.1</v>
      </c>
      <c r="CN19" s="61">
        <v>5255.05</v>
      </c>
      <c r="CO19" s="61">
        <v>2561.89</v>
      </c>
      <c r="CP19" s="61">
        <v>56048.6</v>
      </c>
      <c r="CQ19" s="61">
        <v>13203.96</v>
      </c>
      <c r="CR19" s="61">
        <v>2724.72</v>
      </c>
      <c r="CS19" s="61">
        <v>120585.52</v>
      </c>
      <c r="CT19" s="61">
        <v>8623.6</v>
      </c>
      <c r="CU19" s="61">
        <v>10746.25</v>
      </c>
      <c r="CV19" s="61">
        <v>10809.61</v>
      </c>
      <c r="CW19" s="61">
        <v>10004.32</v>
      </c>
      <c r="CX19" s="61">
        <v>78.349999999999994</v>
      </c>
      <c r="CY19" s="61">
        <v>18744.88</v>
      </c>
      <c r="CZ19" s="61">
        <v>261.39999999999998</v>
      </c>
      <c r="DA19" s="61">
        <v>376.3</v>
      </c>
      <c r="DB19" s="61">
        <v>2237.87</v>
      </c>
      <c r="DC19" s="66">
        <v>350.45</v>
      </c>
    </row>
    <row r="20" spans="1:107">
      <c r="A20" s="48" t="s">
        <v>106</v>
      </c>
      <c r="B20" s="59">
        <v>22225760.640000001</v>
      </c>
      <c r="C20" s="59">
        <v>8827331.8000000007</v>
      </c>
      <c r="D20" s="59">
        <v>7272853.0199999996</v>
      </c>
      <c r="E20" s="59">
        <v>1278535.01</v>
      </c>
      <c r="F20" s="59">
        <v>809764.36</v>
      </c>
      <c r="G20" s="59">
        <v>231447.24</v>
      </c>
      <c r="H20" s="59">
        <v>825519</v>
      </c>
      <c r="I20" s="59">
        <v>46331</v>
      </c>
      <c r="J20" s="59">
        <v>1139762.1100000001</v>
      </c>
      <c r="K20" s="59">
        <v>113216.33</v>
      </c>
      <c r="L20" s="59">
        <v>283886.74</v>
      </c>
      <c r="M20" s="59">
        <v>111805</v>
      </c>
      <c r="N20" s="59">
        <v>98864.7</v>
      </c>
      <c r="O20" s="59">
        <v>7163</v>
      </c>
      <c r="P20" s="59">
        <v>34204.6</v>
      </c>
      <c r="Q20" s="59">
        <v>17383</v>
      </c>
      <c r="R20" s="59">
        <v>31624.7</v>
      </c>
      <c r="S20" s="59">
        <v>91489.13</v>
      </c>
      <c r="T20" s="59">
        <v>22041.5</v>
      </c>
      <c r="U20" s="59">
        <v>56683.23</v>
      </c>
      <c r="V20" s="59">
        <v>0</v>
      </c>
      <c r="W20" s="59">
        <v>0</v>
      </c>
      <c r="X20" s="59">
        <v>201894.04</v>
      </c>
      <c r="Y20" s="59">
        <v>0</v>
      </c>
      <c r="Z20" s="59">
        <v>252562.31</v>
      </c>
      <c r="AA20" s="59">
        <v>1661</v>
      </c>
      <c r="AB20" s="59">
        <v>289913.14</v>
      </c>
      <c r="AC20" s="59">
        <v>298328.11</v>
      </c>
      <c r="AD20" s="59">
        <v>225749.41</v>
      </c>
      <c r="AE20" s="59">
        <v>8427</v>
      </c>
      <c r="AF20" s="59">
        <v>120046.3</v>
      </c>
      <c r="AG20" s="59">
        <v>4996154.5</v>
      </c>
      <c r="AH20" s="59">
        <v>1652222.71</v>
      </c>
      <c r="AI20" s="59">
        <v>504429.51</v>
      </c>
      <c r="AJ20" s="59">
        <v>925855.17</v>
      </c>
      <c r="AK20" s="59">
        <v>425579.84</v>
      </c>
      <c r="AL20" s="59">
        <v>364716.72</v>
      </c>
      <c r="AM20" s="59">
        <v>19467.8</v>
      </c>
      <c r="AN20" s="59">
        <v>0</v>
      </c>
      <c r="AO20" s="59">
        <v>199421.92</v>
      </c>
      <c r="AP20" s="59">
        <v>125090.1</v>
      </c>
      <c r="AQ20" s="59">
        <v>76197.41</v>
      </c>
      <c r="AR20" s="59">
        <v>33895</v>
      </c>
      <c r="AS20" s="59">
        <v>167027</v>
      </c>
      <c r="AT20" s="59">
        <v>486705.73</v>
      </c>
      <c r="AU20" s="59">
        <v>487126.72</v>
      </c>
      <c r="AV20" s="59">
        <v>373712.84</v>
      </c>
      <c r="AW20" s="59">
        <v>384167.91</v>
      </c>
      <c r="AX20" s="59">
        <v>170228.29</v>
      </c>
      <c r="AY20" s="59">
        <v>372920.06</v>
      </c>
      <c r="AZ20" s="59">
        <v>135854</v>
      </c>
      <c r="BA20" s="59">
        <v>339146.55</v>
      </c>
      <c r="BB20" s="59">
        <v>204563.63</v>
      </c>
      <c r="BC20" s="59">
        <v>72861.399999999994</v>
      </c>
      <c r="BD20" s="59">
        <v>467967.71</v>
      </c>
      <c r="BE20" s="59">
        <v>219086.9</v>
      </c>
      <c r="BF20" s="59">
        <v>328695.94</v>
      </c>
      <c r="BG20" s="59">
        <v>523701.5</v>
      </c>
      <c r="BH20" s="59">
        <v>106718</v>
      </c>
      <c r="BI20" s="59">
        <v>204282.8</v>
      </c>
      <c r="BJ20" s="59">
        <v>128324.76</v>
      </c>
      <c r="BK20" s="59">
        <v>192927.29</v>
      </c>
      <c r="BL20" s="59">
        <v>102110</v>
      </c>
      <c r="BM20" s="59">
        <v>33455</v>
      </c>
      <c r="BN20" s="59">
        <v>119803.5</v>
      </c>
      <c r="BO20" s="59">
        <v>142058</v>
      </c>
      <c r="BP20" s="59">
        <v>186479.64</v>
      </c>
      <c r="BQ20" s="59">
        <v>143768.54999999999</v>
      </c>
      <c r="BR20" s="59">
        <v>106367</v>
      </c>
      <c r="BS20" s="59">
        <v>188418.46</v>
      </c>
      <c r="BT20" s="59">
        <v>55491.5</v>
      </c>
      <c r="BU20" s="59">
        <v>85952.22</v>
      </c>
      <c r="BV20" s="59">
        <v>74220</v>
      </c>
      <c r="BW20" s="59">
        <v>45866.3</v>
      </c>
      <c r="BX20" s="59">
        <v>41285</v>
      </c>
      <c r="BY20" s="59">
        <v>129717.43</v>
      </c>
      <c r="BZ20" s="59">
        <v>89377.8</v>
      </c>
      <c r="CA20" s="59">
        <v>45370.36</v>
      </c>
      <c r="CB20" s="59">
        <v>88966.2</v>
      </c>
      <c r="CC20" s="59">
        <v>182222.72</v>
      </c>
      <c r="CD20" s="59">
        <v>213887.57</v>
      </c>
      <c r="CE20" s="59">
        <v>91660.5</v>
      </c>
      <c r="CF20" s="59">
        <v>11546</v>
      </c>
      <c r="CG20" s="59">
        <v>42402.3</v>
      </c>
      <c r="CH20" s="59">
        <v>37397.879999999997</v>
      </c>
      <c r="CI20" s="59">
        <v>55780.36</v>
      </c>
      <c r="CJ20" s="59">
        <v>12645</v>
      </c>
      <c r="CK20" s="59">
        <v>65632.320000000007</v>
      </c>
      <c r="CL20" s="59">
        <v>56652.38</v>
      </c>
      <c r="CM20" s="59">
        <v>31739.1</v>
      </c>
      <c r="CN20" s="59">
        <v>50849.599999999999</v>
      </c>
      <c r="CO20" s="59">
        <v>23663</v>
      </c>
      <c r="CP20" s="59">
        <v>41293.089999999997</v>
      </c>
      <c r="CQ20" s="59">
        <v>68779.28</v>
      </c>
      <c r="CR20" s="59">
        <v>45125.7</v>
      </c>
      <c r="CS20" s="59">
        <v>45011.8</v>
      </c>
      <c r="CT20" s="59">
        <v>35501.72</v>
      </c>
      <c r="CU20" s="59">
        <v>27259.03</v>
      </c>
      <c r="CV20" s="59">
        <v>19929.2</v>
      </c>
      <c r="CW20" s="59">
        <v>7324</v>
      </c>
      <c r="CX20" s="59">
        <v>41272.5</v>
      </c>
      <c r="CY20" s="59">
        <v>65751.600000000006</v>
      </c>
      <c r="CZ20" s="59">
        <v>38979</v>
      </c>
      <c r="DA20" s="59">
        <v>10879</v>
      </c>
      <c r="DB20" s="59">
        <v>15444.73</v>
      </c>
      <c r="DC20" s="59">
        <v>9372</v>
      </c>
    </row>
    <row r="21" spans="1:107">
      <c r="A21" s="48" t="s">
        <v>107</v>
      </c>
      <c r="B21" s="59">
        <v>7335906.0300000003</v>
      </c>
      <c r="C21" s="59">
        <v>1754356.58</v>
      </c>
      <c r="D21" s="59">
        <v>3034771.56</v>
      </c>
      <c r="E21" s="59">
        <v>990910.48</v>
      </c>
      <c r="F21" s="59">
        <v>296212.42</v>
      </c>
      <c r="G21" s="59">
        <v>382533.6</v>
      </c>
      <c r="H21" s="59">
        <v>0</v>
      </c>
      <c r="I21" s="59">
        <v>41077.79</v>
      </c>
      <c r="J21" s="59">
        <v>33249.42</v>
      </c>
      <c r="K21" s="59">
        <v>20436.5</v>
      </c>
      <c r="L21" s="59">
        <v>38719.839999999997</v>
      </c>
      <c r="M21" s="59">
        <v>63241.53</v>
      </c>
      <c r="N21" s="59">
        <v>10113</v>
      </c>
      <c r="O21" s="59">
        <v>6798.29</v>
      </c>
      <c r="P21" s="59">
        <v>36905.300000000003</v>
      </c>
      <c r="Q21" s="59">
        <v>26297.78</v>
      </c>
      <c r="R21" s="59">
        <v>95413.18</v>
      </c>
      <c r="S21" s="59">
        <v>237068.5</v>
      </c>
      <c r="T21" s="59">
        <v>9069.44</v>
      </c>
      <c r="U21" s="59">
        <v>34523.4</v>
      </c>
      <c r="V21" s="59">
        <v>0</v>
      </c>
      <c r="W21" s="59">
        <v>0</v>
      </c>
      <c r="X21" s="59">
        <v>51822.38</v>
      </c>
      <c r="Y21" s="59">
        <v>2458.4</v>
      </c>
      <c r="Z21" s="59">
        <v>360947.3</v>
      </c>
      <c r="AA21" s="59">
        <v>2115.58</v>
      </c>
      <c r="AB21" s="59">
        <v>263916.03000000003</v>
      </c>
      <c r="AC21" s="59">
        <v>166511.38</v>
      </c>
      <c r="AD21" s="59">
        <v>123131.31</v>
      </c>
      <c r="AE21" s="59">
        <v>20008.099999999999</v>
      </c>
      <c r="AF21" s="59">
        <v>125768.3</v>
      </c>
      <c r="AG21" s="59">
        <v>1722286.8</v>
      </c>
      <c r="AH21" s="59">
        <v>587558.40000000002</v>
      </c>
      <c r="AI21" s="59">
        <v>599158.06000000006</v>
      </c>
      <c r="AJ21" s="59">
        <v>223430.42</v>
      </c>
      <c r="AK21" s="59">
        <v>174209.69</v>
      </c>
      <c r="AL21" s="59">
        <v>65464.55</v>
      </c>
      <c r="AM21" s="59">
        <v>56538.18</v>
      </c>
      <c r="AN21" s="59">
        <v>777</v>
      </c>
      <c r="AO21" s="59">
        <v>60491.53</v>
      </c>
      <c r="AP21" s="59">
        <v>115214.87</v>
      </c>
      <c r="AQ21" s="59">
        <v>137744.47</v>
      </c>
      <c r="AR21" s="59">
        <v>40838.17</v>
      </c>
      <c r="AS21" s="59">
        <v>106786.76</v>
      </c>
      <c r="AT21" s="59">
        <v>18874.099999999999</v>
      </c>
      <c r="AU21" s="59">
        <v>29337.67</v>
      </c>
      <c r="AV21" s="59">
        <v>14008.03</v>
      </c>
      <c r="AW21" s="59">
        <v>62724.13</v>
      </c>
      <c r="AX21" s="59">
        <v>15819.14</v>
      </c>
      <c r="AY21" s="59">
        <v>31452.77</v>
      </c>
      <c r="AZ21" s="59">
        <v>24424.44</v>
      </c>
      <c r="BA21" s="59">
        <v>49630.400000000001</v>
      </c>
      <c r="BB21" s="59">
        <v>72085</v>
      </c>
      <c r="BC21" s="59">
        <v>35475.5</v>
      </c>
      <c r="BD21" s="59">
        <v>174891.85</v>
      </c>
      <c r="BE21" s="59">
        <v>39469.24</v>
      </c>
      <c r="BF21" s="59">
        <v>14213.7</v>
      </c>
      <c r="BG21" s="59">
        <v>22046.080000000002</v>
      </c>
      <c r="BH21" s="59">
        <v>22183.25</v>
      </c>
      <c r="BI21" s="59">
        <v>34702.129999999997</v>
      </c>
      <c r="BJ21" s="59">
        <v>4658.08</v>
      </c>
      <c r="BK21" s="59">
        <v>19701.04</v>
      </c>
      <c r="BL21" s="59">
        <v>8043.5</v>
      </c>
      <c r="BM21" s="59">
        <v>5458</v>
      </c>
      <c r="BN21" s="59">
        <v>11092</v>
      </c>
      <c r="BO21" s="59">
        <v>40331.08</v>
      </c>
      <c r="BP21" s="59">
        <v>9484.5</v>
      </c>
      <c r="BQ21" s="59">
        <v>8798.2000000000007</v>
      </c>
      <c r="BR21" s="59">
        <v>4418.5</v>
      </c>
      <c r="BS21" s="59">
        <v>21424.5</v>
      </c>
      <c r="BT21" s="59">
        <v>370</v>
      </c>
      <c r="BU21" s="59">
        <v>49822.8</v>
      </c>
      <c r="BV21" s="59">
        <v>1259</v>
      </c>
      <c r="BW21" s="59">
        <v>31419.78</v>
      </c>
      <c r="BX21" s="59">
        <v>9146.17</v>
      </c>
      <c r="BY21" s="59">
        <v>12196</v>
      </c>
      <c r="BZ21" s="59">
        <v>5574</v>
      </c>
      <c r="CA21" s="59">
        <v>5685.78</v>
      </c>
      <c r="CB21" s="59">
        <v>2545.5</v>
      </c>
      <c r="CC21" s="59">
        <v>15150.5</v>
      </c>
      <c r="CD21" s="59">
        <v>25872.53</v>
      </c>
      <c r="CE21" s="59">
        <v>10818.5</v>
      </c>
      <c r="CF21" s="59">
        <v>10100.5</v>
      </c>
      <c r="CG21" s="59">
        <v>12002.18</v>
      </c>
      <c r="CH21" s="59">
        <v>22558.2</v>
      </c>
      <c r="CI21" s="59">
        <v>15925.5</v>
      </c>
      <c r="CJ21" s="59">
        <v>13792.5</v>
      </c>
      <c r="CK21" s="59">
        <v>17455.18</v>
      </c>
      <c r="CL21" s="59">
        <v>23889</v>
      </c>
      <c r="CM21" s="59">
        <v>24269.919999999998</v>
      </c>
      <c r="CN21" s="59">
        <v>20230.8</v>
      </c>
      <c r="CO21" s="59">
        <v>6772.2</v>
      </c>
      <c r="CP21" s="59">
        <v>18490.5</v>
      </c>
      <c r="CQ21" s="59">
        <v>14386</v>
      </c>
      <c r="CR21" s="59">
        <v>12907.5</v>
      </c>
      <c r="CS21" s="59">
        <v>9325.6</v>
      </c>
      <c r="CT21" s="59">
        <v>16516</v>
      </c>
      <c r="CU21" s="59">
        <v>12992.3</v>
      </c>
      <c r="CV21" s="59">
        <v>20460.5</v>
      </c>
      <c r="CW21" s="59">
        <v>0</v>
      </c>
      <c r="CX21" s="59">
        <v>8060</v>
      </c>
      <c r="CY21" s="59">
        <v>23054.400000000001</v>
      </c>
      <c r="CZ21" s="59">
        <v>13918.8</v>
      </c>
      <c r="DA21" s="59">
        <v>6170.78</v>
      </c>
      <c r="DB21" s="59">
        <v>1666</v>
      </c>
      <c r="DC21" s="59">
        <v>3729.03</v>
      </c>
    </row>
    <row r="22" spans="1:107">
      <c r="A22" s="48" t="s">
        <v>108</v>
      </c>
      <c r="B22" s="59">
        <v>1485668.29</v>
      </c>
      <c r="C22" s="59">
        <v>845395.19000000099</v>
      </c>
      <c r="D22" s="59">
        <v>231254.91</v>
      </c>
      <c r="E22" s="59">
        <v>95220.3</v>
      </c>
      <c r="F22" s="59">
        <v>56851.12</v>
      </c>
      <c r="G22" s="59">
        <v>8067.8</v>
      </c>
      <c r="H22" s="59">
        <v>310.89999999999998</v>
      </c>
      <c r="I22" s="59">
        <v>6541</v>
      </c>
      <c r="J22" s="59">
        <v>181070.39</v>
      </c>
      <c r="K22" s="59">
        <v>15000.5</v>
      </c>
      <c r="L22" s="59">
        <v>3054.6</v>
      </c>
      <c r="M22" s="59">
        <v>3950.6</v>
      </c>
      <c r="N22" s="59">
        <v>2136.5</v>
      </c>
      <c r="O22" s="59">
        <v>1066</v>
      </c>
      <c r="P22" s="59">
        <v>1497.6</v>
      </c>
      <c r="Q22" s="59">
        <v>1180</v>
      </c>
      <c r="R22" s="59">
        <v>2590.38</v>
      </c>
      <c r="S22" s="59">
        <v>8635</v>
      </c>
      <c r="T22" s="59">
        <v>8182.8</v>
      </c>
      <c r="U22" s="59">
        <v>7237.2</v>
      </c>
      <c r="V22" s="59">
        <v>0</v>
      </c>
      <c r="W22" s="59">
        <v>0</v>
      </c>
      <c r="X22" s="59">
        <v>29542.23</v>
      </c>
      <c r="Y22" s="59">
        <v>0</v>
      </c>
      <c r="Z22" s="59">
        <v>17001.990000000002</v>
      </c>
      <c r="AA22" s="59">
        <v>0</v>
      </c>
      <c r="AB22" s="59">
        <v>18801.47</v>
      </c>
      <c r="AC22" s="59">
        <v>10774.59</v>
      </c>
      <c r="AD22" s="59">
        <v>19100.02</v>
      </c>
      <c r="AE22" s="59">
        <v>0</v>
      </c>
      <c r="AF22" s="59">
        <v>11793</v>
      </c>
      <c r="AG22" s="59">
        <v>162407.20000000001</v>
      </c>
      <c r="AH22" s="59">
        <v>31262.880000000001</v>
      </c>
      <c r="AI22" s="59">
        <v>25791.83</v>
      </c>
      <c r="AJ22" s="59">
        <v>6425.5</v>
      </c>
      <c r="AK22" s="59">
        <v>28477.96</v>
      </c>
      <c r="AL22" s="59">
        <v>26749.42</v>
      </c>
      <c r="AM22" s="59">
        <v>1623.74</v>
      </c>
      <c r="AN22" s="59">
        <v>0</v>
      </c>
      <c r="AO22" s="59">
        <v>11928.7</v>
      </c>
      <c r="AP22" s="59">
        <v>5933.6</v>
      </c>
      <c r="AQ22" s="59">
        <v>7391</v>
      </c>
      <c r="AR22" s="59">
        <v>6159</v>
      </c>
      <c r="AS22" s="59">
        <v>6815.6</v>
      </c>
      <c r="AT22" s="59">
        <v>46198.79</v>
      </c>
      <c r="AU22" s="59">
        <v>26926.9</v>
      </c>
      <c r="AV22" s="59">
        <v>22795.7</v>
      </c>
      <c r="AW22" s="59">
        <v>46902.99</v>
      </c>
      <c r="AX22" s="59">
        <v>39044.589999999997</v>
      </c>
      <c r="AY22" s="59">
        <v>48823.06</v>
      </c>
      <c r="AZ22" s="59">
        <v>10425.1</v>
      </c>
      <c r="BA22" s="59">
        <v>23086.3</v>
      </c>
      <c r="BB22" s="59">
        <v>18340.77</v>
      </c>
      <c r="BC22" s="59">
        <v>7033.98</v>
      </c>
      <c r="BD22" s="59">
        <v>39566.97</v>
      </c>
      <c r="BE22" s="59">
        <v>10478.700000000001</v>
      </c>
      <c r="BF22" s="59">
        <v>37284.1</v>
      </c>
      <c r="BG22" s="59">
        <v>10494.76</v>
      </c>
      <c r="BH22" s="59">
        <v>20572.810000000001</v>
      </c>
      <c r="BI22" s="59">
        <v>20736</v>
      </c>
      <c r="BJ22" s="59">
        <v>4448.3999999999996</v>
      </c>
      <c r="BK22" s="59">
        <v>32474.7</v>
      </c>
      <c r="BL22" s="59">
        <v>6484</v>
      </c>
      <c r="BM22" s="59">
        <v>4141</v>
      </c>
      <c r="BN22" s="59">
        <v>17211.5</v>
      </c>
      <c r="BO22" s="59">
        <v>40365.5</v>
      </c>
      <c r="BP22" s="59">
        <v>16107.8</v>
      </c>
      <c r="BQ22" s="59">
        <v>5825.18</v>
      </c>
      <c r="BR22" s="59">
        <v>4861</v>
      </c>
      <c r="BS22" s="59">
        <v>0</v>
      </c>
      <c r="BT22" s="59">
        <v>7661</v>
      </c>
      <c r="BU22" s="59">
        <v>10000.66</v>
      </c>
      <c r="BV22" s="59">
        <v>9185.1</v>
      </c>
      <c r="BW22" s="59">
        <v>14791</v>
      </c>
      <c r="BX22" s="59">
        <v>2065.46</v>
      </c>
      <c r="BY22" s="59">
        <v>13921.3</v>
      </c>
      <c r="BZ22" s="59">
        <v>2102</v>
      </c>
      <c r="CA22" s="59">
        <v>6328.16</v>
      </c>
      <c r="CB22" s="59">
        <v>2031.89</v>
      </c>
      <c r="CC22" s="59">
        <v>14347.04</v>
      </c>
      <c r="CD22" s="59">
        <v>7745.8</v>
      </c>
      <c r="CE22" s="59">
        <v>8350.1</v>
      </c>
      <c r="CF22" s="59">
        <v>2579.6999999999998</v>
      </c>
      <c r="CG22" s="59">
        <v>4078.2</v>
      </c>
      <c r="CH22" s="59">
        <v>5146.87</v>
      </c>
      <c r="CI22" s="59">
        <v>8453</v>
      </c>
      <c r="CJ22" s="59">
        <v>1398.18</v>
      </c>
      <c r="CK22" s="59">
        <v>8554.94</v>
      </c>
      <c r="CL22" s="59">
        <v>11418.68</v>
      </c>
      <c r="CM22" s="59">
        <v>4829.8</v>
      </c>
      <c r="CN22" s="59">
        <v>2388.9</v>
      </c>
      <c r="CO22" s="59">
        <v>5139.3</v>
      </c>
      <c r="CP22" s="59">
        <v>8309</v>
      </c>
      <c r="CQ22" s="59">
        <v>10635.18</v>
      </c>
      <c r="CR22" s="59">
        <v>6835.68</v>
      </c>
      <c r="CS22" s="59">
        <v>5339.16</v>
      </c>
      <c r="CT22" s="59">
        <v>1975.81</v>
      </c>
      <c r="CU22" s="59">
        <v>16526.36</v>
      </c>
      <c r="CV22" s="59">
        <v>5885</v>
      </c>
      <c r="CW22" s="59">
        <v>5913.9</v>
      </c>
      <c r="CX22" s="59">
        <v>4387.1000000000004</v>
      </c>
      <c r="CY22" s="59">
        <v>5850</v>
      </c>
      <c r="CZ22" s="59">
        <v>9468.9</v>
      </c>
      <c r="DA22" s="59">
        <v>2455.11</v>
      </c>
      <c r="DB22" s="59">
        <v>5786.9</v>
      </c>
      <c r="DC22" s="59">
        <v>4651.51</v>
      </c>
    </row>
    <row r="23" spans="1:107">
      <c r="A23" s="48" t="s">
        <v>109</v>
      </c>
      <c r="B23" s="59">
        <v>750939.66</v>
      </c>
      <c r="C23" s="59">
        <v>571611.39</v>
      </c>
      <c r="D23" s="59">
        <v>72202</v>
      </c>
      <c r="E23" s="59">
        <v>19110.5</v>
      </c>
      <c r="F23" s="59">
        <v>13011.65</v>
      </c>
      <c r="G23" s="59">
        <v>0</v>
      </c>
      <c r="H23" s="59">
        <v>0</v>
      </c>
      <c r="I23" s="59">
        <v>2310</v>
      </c>
      <c r="J23" s="59">
        <v>10910</v>
      </c>
      <c r="K23" s="59">
        <v>23192.79</v>
      </c>
      <c r="L23" s="59">
        <v>1190</v>
      </c>
      <c r="M23" s="59">
        <v>3130</v>
      </c>
      <c r="N23" s="59">
        <v>149</v>
      </c>
      <c r="O23" s="59">
        <v>535</v>
      </c>
      <c r="P23" s="59">
        <v>1295</v>
      </c>
      <c r="Q23" s="59">
        <v>965</v>
      </c>
      <c r="R23" s="59">
        <v>535</v>
      </c>
      <c r="S23" s="59">
        <v>1640</v>
      </c>
      <c r="T23" s="59">
        <v>6209</v>
      </c>
      <c r="U23" s="59">
        <v>17358.330000000002</v>
      </c>
      <c r="V23" s="59">
        <v>0</v>
      </c>
      <c r="W23" s="59">
        <v>0</v>
      </c>
      <c r="X23" s="59">
        <v>-8591.7000000000007</v>
      </c>
      <c r="Y23" s="59">
        <v>0</v>
      </c>
      <c r="Z23" s="59">
        <v>20707.5</v>
      </c>
      <c r="AA23" s="59">
        <v>0</v>
      </c>
      <c r="AB23" s="59">
        <v>3469</v>
      </c>
      <c r="AC23" s="59">
        <v>3525.7</v>
      </c>
      <c r="AD23" s="59">
        <v>0</v>
      </c>
      <c r="AE23" s="59">
        <v>0</v>
      </c>
      <c r="AF23" s="59">
        <v>6215</v>
      </c>
      <c r="AG23" s="59">
        <v>47456</v>
      </c>
      <c r="AH23" s="59">
        <v>12664</v>
      </c>
      <c r="AI23" s="59">
        <v>5867</v>
      </c>
      <c r="AJ23" s="59">
        <v>5585</v>
      </c>
      <c r="AK23" s="59">
        <v>380</v>
      </c>
      <c r="AL23" s="59">
        <v>12631.65</v>
      </c>
      <c r="AM23" s="59">
        <v>0</v>
      </c>
      <c r="AN23" s="59">
        <v>0</v>
      </c>
      <c r="AO23" s="59">
        <v>1165</v>
      </c>
      <c r="AP23" s="59">
        <v>2285</v>
      </c>
      <c r="AQ23" s="59">
        <v>865</v>
      </c>
      <c r="AR23" s="59">
        <v>610</v>
      </c>
      <c r="AS23" s="59">
        <v>2933</v>
      </c>
      <c r="AT23" s="59">
        <v>19161</v>
      </c>
      <c r="AU23" s="59">
        <v>19125</v>
      </c>
      <c r="AV23" s="59">
        <v>9387</v>
      </c>
      <c r="AW23" s="59">
        <v>24993.47</v>
      </c>
      <c r="AX23" s="59">
        <v>20699.5</v>
      </c>
      <c r="AY23" s="59">
        <v>20961.72</v>
      </c>
      <c r="AZ23" s="59">
        <v>8085.3</v>
      </c>
      <c r="BA23" s="59">
        <v>43410</v>
      </c>
      <c r="BB23" s="59">
        <v>13319.56</v>
      </c>
      <c r="BC23" s="59">
        <v>4583.72</v>
      </c>
      <c r="BD23" s="59">
        <v>9598.7900000000009</v>
      </c>
      <c r="BE23" s="59">
        <v>12064.38</v>
      </c>
      <c r="BF23" s="59">
        <v>11320</v>
      </c>
      <c r="BG23" s="59">
        <v>1461</v>
      </c>
      <c r="BH23" s="59">
        <v>23867.43</v>
      </c>
      <c r="BI23" s="59">
        <v>7005</v>
      </c>
      <c r="BJ23" s="59">
        <v>1774.8</v>
      </c>
      <c r="BK23" s="59">
        <v>9292.5</v>
      </c>
      <c r="BL23" s="59">
        <v>9971</v>
      </c>
      <c r="BM23" s="59">
        <v>19946</v>
      </c>
      <c r="BN23" s="59">
        <v>212</v>
      </c>
      <c r="BO23" s="59">
        <v>25008.02</v>
      </c>
      <c r="BP23" s="59">
        <v>3293.7</v>
      </c>
      <c r="BQ23" s="59">
        <v>91</v>
      </c>
      <c r="BR23" s="59">
        <v>2528</v>
      </c>
      <c r="BS23" s="59">
        <v>948</v>
      </c>
      <c r="BT23" s="59">
        <v>5722</v>
      </c>
      <c r="BU23" s="59">
        <v>13234.92</v>
      </c>
      <c r="BV23" s="59">
        <v>1193</v>
      </c>
      <c r="BW23" s="59">
        <v>9568.0499999999993</v>
      </c>
      <c r="BX23" s="59">
        <v>10285</v>
      </c>
      <c r="BY23" s="59">
        <v>14767</v>
      </c>
      <c r="BZ23" s="59">
        <v>607</v>
      </c>
      <c r="CA23" s="59">
        <v>2079</v>
      </c>
      <c r="CB23" s="59">
        <v>1489.79</v>
      </c>
      <c r="CC23" s="59">
        <v>1897.7</v>
      </c>
      <c r="CD23" s="59">
        <v>4610.74</v>
      </c>
      <c r="CE23" s="59">
        <v>5487.6</v>
      </c>
      <c r="CF23" s="59">
        <v>0</v>
      </c>
      <c r="CG23" s="59">
        <v>2795</v>
      </c>
      <c r="CH23" s="59">
        <v>2397.9</v>
      </c>
      <c r="CI23" s="59">
        <v>11238.5</v>
      </c>
      <c r="CJ23" s="59">
        <v>1063.8</v>
      </c>
      <c r="CK23" s="59">
        <v>15422</v>
      </c>
      <c r="CL23" s="59">
        <v>13825</v>
      </c>
      <c r="CM23" s="59">
        <v>6195</v>
      </c>
      <c r="CN23" s="59">
        <v>4325</v>
      </c>
      <c r="CO23" s="59">
        <v>20867</v>
      </c>
      <c r="CP23" s="59">
        <v>7912</v>
      </c>
      <c r="CQ23" s="59">
        <v>2130</v>
      </c>
      <c r="CR23" s="59">
        <v>5350</v>
      </c>
      <c r="CS23" s="59">
        <v>4464</v>
      </c>
      <c r="CT23" s="59">
        <v>12671</v>
      </c>
      <c r="CU23" s="59">
        <v>4629.5</v>
      </c>
      <c r="CV23" s="59">
        <v>6008</v>
      </c>
      <c r="CW23" s="59">
        <v>7900</v>
      </c>
      <c r="CX23" s="59">
        <v>10890</v>
      </c>
      <c r="CY23" s="59">
        <v>4078</v>
      </c>
      <c r="CZ23" s="59">
        <v>22230</v>
      </c>
      <c r="DA23" s="59">
        <v>1500</v>
      </c>
      <c r="DB23" s="59">
        <v>2812</v>
      </c>
      <c r="DC23" s="59">
        <v>0</v>
      </c>
    </row>
    <row r="24" spans="1:107">
      <c r="A24" s="48" t="s">
        <v>110</v>
      </c>
      <c r="B24" s="59">
        <v>7237976.7599999998</v>
      </c>
      <c r="C24" s="59">
        <v>6845391.9699999997</v>
      </c>
      <c r="D24" s="59">
        <v>3800</v>
      </c>
      <c r="E24" s="59">
        <v>0</v>
      </c>
      <c r="F24" s="59">
        <v>0</v>
      </c>
      <c r="G24" s="59">
        <v>0</v>
      </c>
      <c r="H24" s="59">
        <v>256902.13</v>
      </c>
      <c r="I24" s="59">
        <v>67941.759999999995</v>
      </c>
      <c r="J24" s="59">
        <v>7710</v>
      </c>
      <c r="K24" s="59">
        <v>0</v>
      </c>
      <c r="L24" s="59">
        <v>0</v>
      </c>
      <c r="M24" s="59">
        <v>0</v>
      </c>
      <c r="N24" s="59">
        <v>0</v>
      </c>
      <c r="O24" s="59">
        <v>56230.9</v>
      </c>
      <c r="P24" s="59">
        <v>0</v>
      </c>
      <c r="Q24" s="59">
        <v>0</v>
      </c>
      <c r="R24" s="59">
        <v>0</v>
      </c>
      <c r="S24" s="59">
        <v>0</v>
      </c>
      <c r="T24" s="59">
        <v>0</v>
      </c>
      <c r="U24" s="59">
        <v>0</v>
      </c>
      <c r="V24" s="59">
        <v>0</v>
      </c>
      <c r="W24" s="59">
        <v>0</v>
      </c>
      <c r="X24" s="59">
        <v>0</v>
      </c>
      <c r="Y24" s="59">
        <v>0</v>
      </c>
      <c r="Z24" s="59">
        <v>0</v>
      </c>
      <c r="AA24" s="59">
        <v>0</v>
      </c>
      <c r="AB24" s="59">
        <v>0</v>
      </c>
      <c r="AC24" s="59">
        <v>0</v>
      </c>
      <c r="AD24" s="59">
        <v>0</v>
      </c>
      <c r="AE24" s="59">
        <v>0</v>
      </c>
      <c r="AF24" s="59">
        <v>3800</v>
      </c>
      <c r="AG24" s="59">
        <v>0</v>
      </c>
      <c r="AH24" s="59">
        <v>0</v>
      </c>
      <c r="AI24" s="59">
        <v>0</v>
      </c>
      <c r="AJ24" s="59">
        <v>0</v>
      </c>
      <c r="AK24" s="59">
        <v>0</v>
      </c>
      <c r="AL24" s="59">
        <v>0</v>
      </c>
      <c r="AM24" s="59">
        <v>0</v>
      </c>
      <c r="AN24" s="59">
        <v>0</v>
      </c>
      <c r="AO24" s="59">
        <v>6136581.1699999999</v>
      </c>
      <c r="AP24" s="59">
        <v>7700</v>
      </c>
      <c r="AQ24" s="59">
        <v>85828.88</v>
      </c>
      <c r="AR24" s="59">
        <v>0</v>
      </c>
      <c r="AS24" s="59">
        <v>3200</v>
      </c>
      <c r="AT24" s="59">
        <v>600</v>
      </c>
      <c r="AU24" s="59">
        <v>0</v>
      </c>
      <c r="AV24" s="59">
        <v>32256.68</v>
      </c>
      <c r="AW24" s="59">
        <v>18415.54</v>
      </c>
      <c r="AX24" s="59">
        <v>10417.48</v>
      </c>
      <c r="AY24" s="59">
        <v>7759</v>
      </c>
      <c r="AZ24" s="59">
        <v>7648</v>
      </c>
      <c r="BA24" s="59">
        <v>16900</v>
      </c>
      <c r="BB24" s="59">
        <v>29167</v>
      </c>
      <c r="BC24" s="59">
        <v>0</v>
      </c>
      <c r="BD24" s="59">
        <v>21973</v>
      </c>
      <c r="BE24" s="59">
        <v>20828.07</v>
      </c>
      <c r="BF24" s="59">
        <v>16390</v>
      </c>
      <c r="BG24" s="59">
        <v>4700</v>
      </c>
      <c r="BH24" s="59">
        <v>27957</v>
      </c>
      <c r="BI24" s="59">
        <v>0</v>
      </c>
      <c r="BJ24" s="59">
        <v>1000</v>
      </c>
      <c r="BK24" s="59">
        <v>30318.400000000001</v>
      </c>
      <c r="BL24" s="59">
        <v>200</v>
      </c>
      <c r="BM24" s="59">
        <v>0</v>
      </c>
      <c r="BN24" s="59">
        <v>0</v>
      </c>
      <c r="BO24" s="59">
        <v>37880</v>
      </c>
      <c r="BP24" s="59">
        <v>5556</v>
      </c>
      <c r="BQ24" s="59">
        <v>10090</v>
      </c>
      <c r="BR24" s="59">
        <v>19086.64</v>
      </c>
      <c r="BS24" s="59">
        <v>0</v>
      </c>
      <c r="BT24" s="59">
        <v>3010</v>
      </c>
      <c r="BU24" s="59">
        <v>36227.269999999997</v>
      </c>
      <c r="BV24" s="59">
        <v>6276.7</v>
      </c>
      <c r="BW24" s="59">
        <v>8530</v>
      </c>
      <c r="BX24" s="59">
        <v>1976</v>
      </c>
      <c r="BY24" s="59">
        <v>9408</v>
      </c>
      <c r="BZ24" s="59">
        <v>0</v>
      </c>
      <c r="CA24" s="59">
        <v>2900</v>
      </c>
      <c r="CB24" s="59">
        <v>0</v>
      </c>
      <c r="CC24" s="59">
        <v>21624.97</v>
      </c>
      <c r="CD24" s="59">
        <v>3519</v>
      </c>
      <c r="CE24" s="59">
        <v>3336</v>
      </c>
      <c r="CF24" s="59">
        <v>4041</v>
      </c>
      <c r="CG24" s="59">
        <v>5936</v>
      </c>
      <c r="CH24" s="59">
        <v>9150</v>
      </c>
      <c r="CI24" s="59">
        <v>14935.17</v>
      </c>
      <c r="CJ24" s="59">
        <v>3840</v>
      </c>
      <c r="CK24" s="59">
        <v>1800</v>
      </c>
      <c r="CL24" s="59">
        <v>22350</v>
      </c>
      <c r="CM24" s="59">
        <v>9708</v>
      </c>
      <c r="CN24" s="59">
        <v>18194</v>
      </c>
      <c r="CO24" s="59">
        <v>2000</v>
      </c>
      <c r="CP24" s="59">
        <v>8600</v>
      </c>
      <c r="CQ24" s="59">
        <v>15435</v>
      </c>
      <c r="CR24" s="59">
        <v>25096</v>
      </c>
      <c r="CS24" s="59">
        <v>2450</v>
      </c>
      <c r="CT24" s="59">
        <v>6190</v>
      </c>
      <c r="CU24" s="59">
        <v>12840</v>
      </c>
      <c r="CV24" s="59">
        <v>5000</v>
      </c>
      <c r="CW24" s="59">
        <v>0</v>
      </c>
      <c r="CX24" s="59">
        <v>900</v>
      </c>
      <c r="CY24" s="59">
        <v>7380</v>
      </c>
      <c r="CZ24" s="59">
        <v>11094</v>
      </c>
      <c r="DA24" s="59">
        <v>0</v>
      </c>
      <c r="DB24" s="59">
        <v>2640</v>
      </c>
      <c r="DC24" s="59">
        <v>6552</v>
      </c>
    </row>
    <row r="25" spans="1:107">
      <c r="A25" s="48" t="s">
        <v>111</v>
      </c>
      <c r="B25" s="59">
        <v>3051752.44</v>
      </c>
      <c r="C25" s="59">
        <v>1012729.2</v>
      </c>
      <c r="D25" s="59">
        <v>92129</v>
      </c>
      <c r="E25" s="59">
        <v>823168.32</v>
      </c>
      <c r="F25" s="59">
        <v>676531.25</v>
      </c>
      <c r="G25" s="59">
        <v>15822</v>
      </c>
      <c r="H25" s="59">
        <v>0</v>
      </c>
      <c r="I25" s="59">
        <v>11483</v>
      </c>
      <c r="J25" s="59">
        <v>4340</v>
      </c>
      <c r="K25" s="59">
        <v>20162.13</v>
      </c>
      <c r="L25" s="59">
        <v>22965</v>
      </c>
      <c r="M25" s="59">
        <v>0</v>
      </c>
      <c r="N25" s="59">
        <v>0</v>
      </c>
      <c r="O25" s="59">
        <v>0</v>
      </c>
      <c r="P25" s="59">
        <v>7143</v>
      </c>
      <c r="Q25" s="59">
        <v>35714</v>
      </c>
      <c r="R25" s="59">
        <v>4340</v>
      </c>
      <c r="S25" s="59">
        <v>107678.11</v>
      </c>
      <c r="T25" s="59">
        <v>0</v>
      </c>
      <c r="U25" s="59">
        <v>0</v>
      </c>
      <c r="V25" s="59">
        <v>0</v>
      </c>
      <c r="W25" s="59">
        <v>0</v>
      </c>
      <c r="X25" s="59">
        <v>23265</v>
      </c>
      <c r="Y25" s="59">
        <v>0</v>
      </c>
      <c r="Z25" s="59">
        <v>174286</v>
      </c>
      <c r="AA25" s="59">
        <v>0</v>
      </c>
      <c r="AB25" s="59">
        <v>184636.43</v>
      </c>
      <c r="AC25" s="59">
        <v>320819.26</v>
      </c>
      <c r="AD25" s="59">
        <v>120161.63</v>
      </c>
      <c r="AE25" s="59">
        <v>0</v>
      </c>
      <c r="AF25" s="59">
        <v>20162</v>
      </c>
      <c r="AG25" s="59">
        <v>24501</v>
      </c>
      <c r="AH25" s="59">
        <v>24501</v>
      </c>
      <c r="AI25" s="59">
        <v>22965</v>
      </c>
      <c r="AJ25" s="59">
        <v>217547.43</v>
      </c>
      <c r="AK25" s="59">
        <v>660709.25</v>
      </c>
      <c r="AL25" s="59">
        <v>15822</v>
      </c>
      <c r="AM25" s="59">
        <v>0</v>
      </c>
      <c r="AN25" s="59">
        <v>0</v>
      </c>
      <c r="AO25" s="59">
        <v>19520.11</v>
      </c>
      <c r="AP25" s="59">
        <v>11483</v>
      </c>
      <c r="AQ25" s="59">
        <v>0</v>
      </c>
      <c r="AR25" s="59">
        <v>154079</v>
      </c>
      <c r="AS25" s="59">
        <v>7143</v>
      </c>
      <c r="AT25" s="59">
        <v>38136.68</v>
      </c>
      <c r="AU25" s="59">
        <v>23639.09</v>
      </c>
      <c r="AV25" s="59">
        <v>112681.27</v>
      </c>
      <c r="AW25" s="59">
        <v>29183.08</v>
      </c>
      <c r="AX25" s="59">
        <v>71226.23</v>
      </c>
      <c r="AY25" s="59">
        <v>76471.14</v>
      </c>
      <c r="AZ25" s="59">
        <v>11749.85</v>
      </c>
      <c r="BA25" s="59">
        <v>65626.77</v>
      </c>
      <c r="BB25" s="59">
        <v>13275.94</v>
      </c>
      <c r="BC25" s="59">
        <v>12824.93</v>
      </c>
      <c r="BD25" s="59">
        <v>17913.88</v>
      </c>
      <c r="BE25" s="59">
        <v>22418.07</v>
      </c>
      <c r="BF25" s="59">
        <v>47974.720000000001</v>
      </c>
      <c r="BG25" s="59">
        <v>14932.36</v>
      </c>
      <c r="BH25" s="59">
        <v>17588.79</v>
      </c>
      <c r="BI25" s="59">
        <v>31077.79</v>
      </c>
      <c r="BJ25" s="59">
        <v>27149.08</v>
      </c>
      <c r="BK25" s="59">
        <v>17034.68</v>
      </c>
      <c r="BL25" s="59">
        <v>18623.310000000001</v>
      </c>
      <c r="BM25" s="59">
        <v>27722.43</v>
      </c>
      <c r="BN25" s="59">
        <v>11473.7</v>
      </c>
      <c r="BO25" s="59">
        <v>32105.63</v>
      </c>
      <c r="BP25" s="59">
        <v>1803.21</v>
      </c>
      <c r="BQ25" s="59">
        <v>4182.57</v>
      </c>
      <c r="BR25" s="59">
        <v>2237.33</v>
      </c>
      <c r="BS25" s="59">
        <v>4136.34</v>
      </c>
      <c r="BT25" s="59">
        <v>10157.75</v>
      </c>
      <c r="BU25" s="59">
        <v>5497.94</v>
      </c>
      <c r="BV25" s="59">
        <v>9581.32</v>
      </c>
      <c r="BW25" s="59">
        <v>3189.39</v>
      </c>
      <c r="BX25" s="59">
        <v>1743.55</v>
      </c>
      <c r="BY25" s="59">
        <v>2705.46</v>
      </c>
      <c r="BZ25" s="59">
        <v>990.81</v>
      </c>
      <c r="CA25" s="59">
        <v>7338.66</v>
      </c>
      <c r="CB25" s="59">
        <v>6215.03</v>
      </c>
      <c r="CC25" s="59">
        <v>7963.76</v>
      </c>
      <c r="CD25" s="59">
        <v>7226.07</v>
      </c>
      <c r="CE25" s="59">
        <v>1773.71</v>
      </c>
      <c r="CF25" s="59">
        <v>0</v>
      </c>
      <c r="CG25" s="59">
        <v>143.05000000000001</v>
      </c>
      <c r="CH25" s="59">
        <v>1127.6300000000001</v>
      </c>
      <c r="CI25" s="59">
        <v>0</v>
      </c>
      <c r="CJ25" s="59">
        <v>235.92</v>
      </c>
      <c r="CK25" s="59">
        <v>0</v>
      </c>
      <c r="CL25" s="59">
        <v>0</v>
      </c>
      <c r="CM25" s="59">
        <v>234.99</v>
      </c>
      <c r="CN25" s="59">
        <v>29.81</v>
      </c>
      <c r="CO25" s="59">
        <v>0</v>
      </c>
      <c r="CP25" s="59">
        <v>337.68</v>
      </c>
      <c r="CQ25" s="59">
        <v>72.87</v>
      </c>
      <c r="CR25" s="59">
        <v>0</v>
      </c>
      <c r="CS25" s="59">
        <v>686.09</v>
      </c>
      <c r="CT25" s="59">
        <v>0</v>
      </c>
      <c r="CU25" s="59">
        <v>56.31</v>
      </c>
      <c r="CV25" s="59">
        <v>0.06</v>
      </c>
      <c r="CW25" s="59">
        <v>0</v>
      </c>
      <c r="CX25" s="59">
        <v>0</v>
      </c>
      <c r="CY25" s="59">
        <v>5.59</v>
      </c>
      <c r="CZ25" s="59">
        <v>0</v>
      </c>
      <c r="DA25" s="59">
        <v>0</v>
      </c>
      <c r="DB25" s="59">
        <v>1.77</v>
      </c>
      <c r="DC25" s="59">
        <v>0</v>
      </c>
    </row>
    <row r="26" spans="1:107">
      <c r="A26" s="48" t="s">
        <v>112</v>
      </c>
      <c r="B26" s="59">
        <v>1782129.49</v>
      </c>
      <c r="C26" s="59">
        <v>1001370.98</v>
      </c>
      <c r="D26" s="59">
        <v>0</v>
      </c>
      <c r="E26" s="59">
        <v>1886.8</v>
      </c>
      <c r="F26" s="59">
        <v>0</v>
      </c>
      <c r="G26" s="59">
        <v>0</v>
      </c>
      <c r="H26" s="59">
        <v>0</v>
      </c>
      <c r="I26" s="59">
        <v>0</v>
      </c>
      <c r="J26" s="59">
        <v>687625.29</v>
      </c>
      <c r="K26" s="59">
        <v>0</v>
      </c>
      <c r="L26" s="59">
        <v>0</v>
      </c>
      <c r="M26" s="59">
        <v>0</v>
      </c>
      <c r="N26" s="59">
        <v>0</v>
      </c>
      <c r="O26" s="59">
        <v>70226.42</v>
      </c>
      <c r="P26" s="59">
        <v>0</v>
      </c>
      <c r="Q26" s="59">
        <v>0</v>
      </c>
      <c r="R26" s="59">
        <v>0</v>
      </c>
      <c r="S26" s="59">
        <v>21020</v>
      </c>
      <c r="T26" s="59">
        <v>0</v>
      </c>
      <c r="U26" s="59">
        <v>0</v>
      </c>
      <c r="V26" s="59">
        <v>0</v>
      </c>
      <c r="W26" s="59">
        <v>0</v>
      </c>
      <c r="X26" s="59">
        <v>0</v>
      </c>
      <c r="Y26" s="59">
        <v>0</v>
      </c>
      <c r="Z26" s="59">
        <v>0</v>
      </c>
      <c r="AA26" s="59">
        <v>0</v>
      </c>
      <c r="AB26" s="59">
        <v>1886.8</v>
      </c>
      <c r="AC26" s="59">
        <v>0</v>
      </c>
      <c r="AD26" s="59">
        <v>0</v>
      </c>
      <c r="AE26" s="59">
        <v>0</v>
      </c>
      <c r="AF26" s="59">
        <v>0</v>
      </c>
      <c r="AG26" s="59">
        <v>0</v>
      </c>
      <c r="AH26" s="59">
        <v>0</v>
      </c>
      <c r="AI26" s="59">
        <v>0</v>
      </c>
      <c r="AJ26" s="59">
        <v>0</v>
      </c>
      <c r="AK26" s="59">
        <v>0</v>
      </c>
      <c r="AL26" s="59">
        <v>0</v>
      </c>
      <c r="AM26" s="59">
        <v>0</v>
      </c>
      <c r="AN26" s="59">
        <v>0</v>
      </c>
      <c r="AO26" s="59">
        <v>336805.61</v>
      </c>
      <c r="AP26" s="59">
        <v>3000</v>
      </c>
      <c r="AQ26" s="59">
        <v>13925.94</v>
      </c>
      <c r="AR26" s="59">
        <v>0</v>
      </c>
      <c r="AS26" s="59">
        <v>198799.73</v>
      </c>
      <c r="AT26" s="59">
        <v>0</v>
      </c>
      <c r="AU26" s="59">
        <v>0</v>
      </c>
      <c r="AV26" s="59">
        <v>118490.06</v>
      </c>
      <c r="AW26" s="59">
        <v>0</v>
      </c>
      <c r="AX26" s="59">
        <v>129722.47</v>
      </c>
      <c r="AY26" s="59">
        <v>46289</v>
      </c>
      <c r="AZ26" s="59">
        <v>7526.4</v>
      </c>
      <c r="BA26" s="59">
        <v>0</v>
      </c>
      <c r="BB26" s="59">
        <v>0</v>
      </c>
      <c r="BC26" s="59">
        <v>0</v>
      </c>
      <c r="BD26" s="59">
        <v>4237</v>
      </c>
      <c r="BE26" s="59">
        <v>0</v>
      </c>
      <c r="BF26" s="59">
        <v>0</v>
      </c>
      <c r="BG26" s="59">
        <v>0</v>
      </c>
      <c r="BH26" s="59">
        <v>6292</v>
      </c>
      <c r="BI26" s="59">
        <v>22603.57</v>
      </c>
      <c r="BJ26" s="59">
        <v>0</v>
      </c>
      <c r="BK26" s="59">
        <v>0</v>
      </c>
      <c r="BL26" s="59">
        <v>0</v>
      </c>
      <c r="BM26" s="59">
        <v>0</v>
      </c>
      <c r="BN26" s="59">
        <v>0</v>
      </c>
      <c r="BO26" s="59">
        <v>98804</v>
      </c>
      <c r="BP26" s="59">
        <v>0</v>
      </c>
      <c r="BQ26" s="59">
        <v>9800</v>
      </c>
      <c r="BR26" s="59">
        <v>0</v>
      </c>
      <c r="BS26" s="59">
        <v>0</v>
      </c>
      <c r="BT26" s="59">
        <v>0</v>
      </c>
      <c r="BU26" s="59">
        <v>2662.2</v>
      </c>
      <c r="BV26" s="59">
        <v>0</v>
      </c>
      <c r="BW26" s="59">
        <v>0</v>
      </c>
      <c r="BX26" s="59">
        <v>0</v>
      </c>
      <c r="BY26" s="59">
        <v>0</v>
      </c>
      <c r="BZ26" s="59">
        <v>0</v>
      </c>
      <c r="CA26" s="59">
        <v>2413</v>
      </c>
      <c r="CB26" s="59">
        <v>0</v>
      </c>
      <c r="CC26" s="59">
        <v>0</v>
      </c>
      <c r="CD26" s="59">
        <v>0</v>
      </c>
      <c r="CE26" s="59">
        <v>0</v>
      </c>
      <c r="CF26" s="59">
        <v>0</v>
      </c>
      <c r="CG26" s="59">
        <v>0</v>
      </c>
      <c r="CH26" s="59">
        <v>0</v>
      </c>
      <c r="CI26" s="59">
        <v>0</v>
      </c>
      <c r="CJ26" s="59">
        <v>0</v>
      </c>
      <c r="CK26" s="59">
        <v>0</v>
      </c>
      <c r="CL26" s="59">
        <v>0</v>
      </c>
      <c r="CM26" s="59">
        <v>0</v>
      </c>
      <c r="CN26" s="59">
        <v>0</v>
      </c>
      <c r="CO26" s="59">
        <v>0</v>
      </c>
      <c r="CP26" s="59">
        <v>0</v>
      </c>
      <c r="CQ26" s="59">
        <v>0</v>
      </c>
      <c r="CR26" s="59">
        <v>0</v>
      </c>
      <c r="CS26" s="59">
        <v>0</v>
      </c>
      <c r="CT26" s="59">
        <v>0</v>
      </c>
      <c r="CU26" s="59">
        <v>0</v>
      </c>
      <c r="CV26" s="59">
        <v>0</v>
      </c>
      <c r="CW26" s="59">
        <v>0</v>
      </c>
      <c r="CX26" s="59">
        <v>0</v>
      </c>
      <c r="CY26" s="59">
        <v>0</v>
      </c>
      <c r="CZ26" s="59">
        <v>0</v>
      </c>
      <c r="DA26" s="59">
        <v>0</v>
      </c>
      <c r="DB26" s="59">
        <v>0</v>
      </c>
      <c r="DC26" s="59">
        <v>0</v>
      </c>
    </row>
    <row r="27" spans="1:107">
      <c r="A27" s="48" t="s">
        <v>113</v>
      </c>
      <c r="B27" s="59">
        <v>588485.03</v>
      </c>
      <c r="C27" s="59">
        <v>343866.35</v>
      </c>
      <c r="D27" s="59">
        <v>151904.79</v>
      </c>
      <c r="E27" s="59">
        <v>6578.1</v>
      </c>
      <c r="F27" s="59">
        <v>736.75</v>
      </c>
      <c r="G27" s="59">
        <v>0</v>
      </c>
      <c r="H27" s="59">
        <v>0</v>
      </c>
      <c r="I27" s="59">
        <v>22855</v>
      </c>
      <c r="J27" s="59">
        <v>49518.64</v>
      </c>
      <c r="K27" s="59">
        <v>1400</v>
      </c>
      <c r="L27" s="59">
        <v>420</v>
      </c>
      <c r="M27" s="59">
        <v>2400</v>
      </c>
      <c r="N27" s="59">
        <v>0</v>
      </c>
      <c r="O27" s="59">
        <v>304</v>
      </c>
      <c r="P27" s="59">
        <v>660</v>
      </c>
      <c r="Q27" s="59">
        <v>66</v>
      </c>
      <c r="R27" s="59">
        <v>594</v>
      </c>
      <c r="S27" s="59">
        <v>1518</v>
      </c>
      <c r="T27" s="59">
        <v>330</v>
      </c>
      <c r="U27" s="59">
        <v>2536</v>
      </c>
      <c r="V27" s="59">
        <v>0</v>
      </c>
      <c r="W27" s="59">
        <v>0</v>
      </c>
      <c r="X27" s="59">
        <v>-161.9</v>
      </c>
      <c r="Y27" s="59">
        <v>0</v>
      </c>
      <c r="Z27" s="59">
        <v>3383</v>
      </c>
      <c r="AA27" s="59">
        <v>0</v>
      </c>
      <c r="AB27" s="59">
        <v>66</v>
      </c>
      <c r="AC27" s="59">
        <v>2018</v>
      </c>
      <c r="AD27" s="59">
        <v>1273</v>
      </c>
      <c r="AE27" s="59">
        <v>0</v>
      </c>
      <c r="AF27" s="59">
        <v>957</v>
      </c>
      <c r="AG27" s="59">
        <v>94185.72</v>
      </c>
      <c r="AH27" s="59">
        <v>30213.41</v>
      </c>
      <c r="AI27" s="59">
        <v>26548.66</v>
      </c>
      <c r="AJ27" s="59">
        <v>2797.4</v>
      </c>
      <c r="AK27" s="59">
        <v>536.75</v>
      </c>
      <c r="AL27" s="59">
        <v>0</v>
      </c>
      <c r="AM27" s="59">
        <v>200</v>
      </c>
      <c r="AN27" s="59">
        <v>0</v>
      </c>
      <c r="AO27" s="59">
        <v>1767</v>
      </c>
      <c r="AP27" s="59">
        <v>5033</v>
      </c>
      <c r="AQ27" s="59">
        <v>1915</v>
      </c>
      <c r="AR27" s="59">
        <v>3290</v>
      </c>
      <c r="AS27" s="59">
        <v>11920</v>
      </c>
      <c r="AT27" s="59">
        <v>3941</v>
      </c>
      <c r="AU27" s="59">
        <v>7281.9</v>
      </c>
      <c r="AV27" s="59">
        <v>6181.2</v>
      </c>
      <c r="AW27" s="59">
        <v>4790</v>
      </c>
      <c r="AX27" s="59">
        <v>1433</v>
      </c>
      <c r="AY27" s="59">
        <v>8796</v>
      </c>
      <c r="AZ27" s="59">
        <v>13635</v>
      </c>
      <c r="BA27" s="59">
        <v>10834</v>
      </c>
      <c r="BB27" s="59">
        <v>5926</v>
      </c>
      <c r="BC27" s="59">
        <v>1776</v>
      </c>
      <c r="BD27" s="59">
        <v>6693.32</v>
      </c>
      <c r="BE27" s="59">
        <v>2353</v>
      </c>
      <c r="BF27" s="59">
        <v>19135</v>
      </c>
      <c r="BG27" s="59">
        <v>4680</v>
      </c>
      <c r="BH27" s="59">
        <v>3340</v>
      </c>
      <c r="BI27" s="59">
        <v>15822</v>
      </c>
      <c r="BJ27" s="59">
        <v>2237</v>
      </c>
      <c r="BK27" s="59">
        <v>13809</v>
      </c>
      <c r="BL27" s="59">
        <v>4093</v>
      </c>
      <c r="BM27" s="59">
        <v>54506</v>
      </c>
      <c r="BN27" s="59">
        <v>21973.87</v>
      </c>
      <c r="BO27" s="59">
        <v>2329.5</v>
      </c>
      <c r="BP27" s="59">
        <v>3932</v>
      </c>
      <c r="BQ27" s="59">
        <v>3944.5</v>
      </c>
      <c r="BR27" s="59">
        <v>5945.5</v>
      </c>
      <c r="BS27" s="59">
        <v>6230</v>
      </c>
      <c r="BT27" s="59">
        <v>2797.7</v>
      </c>
      <c r="BU27" s="59">
        <v>15415</v>
      </c>
      <c r="BV27" s="59">
        <v>11150</v>
      </c>
      <c r="BW27" s="59">
        <v>4297</v>
      </c>
      <c r="BX27" s="59">
        <v>8023.7</v>
      </c>
      <c r="BY27" s="59">
        <v>325</v>
      </c>
      <c r="BZ27" s="59">
        <v>1686</v>
      </c>
      <c r="CA27" s="59">
        <v>2726</v>
      </c>
      <c r="CB27" s="59">
        <v>5131.3</v>
      </c>
      <c r="CC27" s="59">
        <v>6444</v>
      </c>
      <c r="CD27" s="59">
        <v>4575</v>
      </c>
      <c r="CE27" s="59">
        <v>0</v>
      </c>
      <c r="CF27" s="59">
        <v>0</v>
      </c>
      <c r="CG27" s="59">
        <v>2265</v>
      </c>
      <c r="CH27" s="59">
        <v>1880</v>
      </c>
      <c r="CI27" s="59">
        <v>3970</v>
      </c>
      <c r="CJ27" s="59">
        <v>180</v>
      </c>
      <c r="CK27" s="59">
        <v>0</v>
      </c>
      <c r="CL27" s="59">
        <v>0</v>
      </c>
      <c r="CM27" s="59">
        <v>1138</v>
      </c>
      <c r="CN27" s="59">
        <v>822</v>
      </c>
      <c r="CO27" s="59">
        <v>0</v>
      </c>
      <c r="CP27" s="59">
        <v>2150</v>
      </c>
      <c r="CQ27" s="59">
        <v>2006</v>
      </c>
      <c r="CR27" s="59">
        <v>0</v>
      </c>
      <c r="CS27" s="59">
        <v>1150</v>
      </c>
      <c r="CT27" s="59">
        <v>0</v>
      </c>
      <c r="CU27" s="59">
        <v>4342.8</v>
      </c>
      <c r="CV27" s="59">
        <v>0</v>
      </c>
      <c r="CW27" s="59">
        <v>0</v>
      </c>
      <c r="CX27" s="59">
        <v>0</v>
      </c>
      <c r="CY27" s="59">
        <v>0</v>
      </c>
      <c r="CZ27" s="59">
        <v>0</v>
      </c>
      <c r="DA27" s="59">
        <v>0</v>
      </c>
      <c r="DB27" s="59">
        <v>1849.06</v>
      </c>
      <c r="DC27" s="59">
        <v>0</v>
      </c>
    </row>
    <row r="28" spans="1:107">
      <c r="A28" s="48" t="s">
        <v>114</v>
      </c>
      <c r="B28" s="59">
        <v>115087.91</v>
      </c>
      <c r="C28" s="59">
        <v>72904.710000000006</v>
      </c>
      <c r="D28" s="59">
        <v>3413.1</v>
      </c>
      <c r="E28" s="59">
        <v>6759.66</v>
      </c>
      <c r="F28" s="59">
        <v>620.1</v>
      </c>
      <c r="G28" s="59">
        <v>9569</v>
      </c>
      <c r="H28" s="59">
        <v>228</v>
      </c>
      <c r="I28" s="59">
        <v>2982.68</v>
      </c>
      <c r="J28" s="59">
        <v>3680</v>
      </c>
      <c r="K28" s="59">
        <v>1189.0999999999999</v>
      </c>
      <c r="L28" s="59">
        <v>0</v>
      </c>
      <c r="M28" s="59">
        <v>1580</v>
      </c>
      <c r="N28" s="59">
        <v>0</v>
      </c>
      <c r="O28" s="59">
        <v>648</v>
      </c>
      <c r="P28" s="59">
        <v>1311.5</v>
      </c>
      <c r="Q28" s="59">
        <v>528</v>
      </c>
      <c r="R28" s="59">
        <v>2006.26</v>
      </c>
      <c r="S28" s="59">
        <v>3479.8</v>
      </c>
      <c r="T28" s="59">
        <v>408</v>
      </c>
      <c r="U28" s="59">
        <v>0</v>
      </c>
      <c r="V28" s="59">
        <v>0</v>
      </c>
      <c r="W28" s="59">
        <v>0</v>
      </c>
      <c r="X28" s="59">
        <v>2651</v>
      </c>
      <c r="Y28" s="59">
        <v>0</v>
      </c>
      <c r="Z28" s="59">
        <v>440</v>
      </c>
      <c r="AA28" s="59">
        <v>0</v>
      </c>
      <c r="AB28" s="59">
        <v>1488</v>
      </c>
      <c r="AC28" s="59">
        <v>1740.66</v>
      </c>
      <c r="AD28" s="59">
        <v>440</v>
      </c>
      <c r="AE28" s="59">
        <v>0</v>
      </c>
      <c r="AF28" s="59">
        <v>0</v>
      </c>
      <c r="AG28" s="59">
        <v>540</v>
      </c>
      <c r="AH28" s="59">
        <v>1608</v>
      </c>
      <c r="AI28" s="59">
        <v>1265.0999999999999</v>
      </c>
      <c r="AJ28" s="59">
        <v>3780</v>
      </c>
      <c r="AK28" s="59">
        <v>262.89999999999998</v>
      </c>
      <c r="AL28" s="59">
        <v>357.2</v>
      </c>
      <c r="AM28" s="59">
        <v>0</v>
      </c>
      <c r="AN28" s="59">
        <v>0</v>
      </c>
      <c r="AO28" s="59">
        <v>7896</v>
      </c>
      <c r="AP28" s="59">
        <v>0</v>
      </c>
      <c r="AQ28" s="59">
        <v>0</v>
      </c>
      <c r="AR28" s="59">
        <v>0</v>
      </c>
      <c r="AS28" s="59">
        <v>4115.05</v>
      </c>
      <c r="AT28" s="59">
        <v>0</v>
      </c>
      <c r="AU28" s="59">
        <v>0</v>
      </c>
      <c r="AV28" s="59">
        <v>1388.3</v>
      </c>
      <c r="AW28" s="59">
        <v>20796</v>
      </c>
      <c r="AX28" s="59">
        <v>0</v>
      </c>
      <c r="AY28" s="59">
        <v>5280</v>
      </c>
      <c r="AZ28" s="59">
        <v>1800</v>
      </c>
      <c r="BA28" s="59">
        <v>2000</v>
      </c>
      <c r="BB28" s="59">
        <v>0</v>
      </c>
      <c r="BC28" s="59">
        <v>421</v>
      </c>
      <c r="BD28" s="59">
        <v>3696</v>
      </c>
      <c r="BE28" s="59">
        <v>0</v>
      </c>
      <c r="BF28" s="59">
        <v>19140</v>
      </c>
      <c r="BG28" s="59">
        <v>217.4</v>
      </c>
      <c r="BH28" s="59">
        <v>0</v>
      </c>
      <c r="BI28" s="59">
        <v>0</v>
      </c>
      <c r="BJ28" s="59">
        <v>0</v>
      </c>
      <c r="BK28" s="59">
        <v>1097.8</v>
      </c>
      <c r="BL28" s="59">
        <v>0</v>
      </c>
      <c r="BM28" s="59">
        <v>0</v>
      </c>
      <c r="BN28" s="59">
        <v>0</v>
      </c>
      <c r="BO28" s="59">
        <v>1140</v>
      </c>
      <c r="BP28" s="59">
        <v>0</v>
      </c>
      <c r="BQ28" s="59">
        <v>437.16</v>
      </c>
      <c r="BR28" s="59">
        <v>1050</v>
      </c>
      <c r="BS28" s="59">
        <v>0</v>
      </c>
      <c r="BT28" s="59">
        <v>0</v>
      </c>
      <c r="BU28" s="59">
        <v>166.6</v>
      </c>
      <c r="BV28" s="59">
        <v>0</v>
      </c>
      <c r="BW28" s="59">
        <v>0</v>
      </c>
      <c r="BX28" s="59">
        <v>162.19999999999999</v>
      </c>
      <c r="BY28" s="59">
        <v>980.6</v>
      </c>
      <c r="BZ28" s="59">
        <v>0</v>
      </c>
      <c r="CA28" s="59">
        <v>0</v>
      </c>
      <c r="CB28" s="59">
        <v>0</v>
      </c>
      <c r="CC28" s="59">
        <v>0</v>
      </c>
      <c r="CD28" s="59">
        <v>0</v>
      </c>
      <c r="CE28" s="59">
        <v>0</v>
      </c>
      <c r="CF28" s="59">
        <v>0</v>
      </c>
      <c r="CG28" s="59">
        <v>222</v>
      </c>
      <c r="CH28" s="59">
        <v>105</v>
      </c>
      <c r="CI28" s="59">
        <v>0</v>
      </c>
      <c r="CJ28" s="59">
        <v>0</v>
      </c>
      <c r="CK28" s="59">
        <v>0</v>
      </c>
      <c r="CL28" s="59">
        <v>0</v>
      </c>
      <c r="CM28" s="59">
        <v>0</v>
      </c>
      <c r="CN28" s="59">
        <v>0</v>
      </c>
      <c r="CO28" s="59">
        <v>0</v>
      </c>
      <c r="CP28" s="59">
        <v>438.9</v>
      </c>
      <c r="CQ28" s="59">
        <v>0</v>
      </c>
      <c r="CR28" s="59">
        <v>0</v>
      </c>
      <c r="CS28" s="59">
        <v>0</v>
      </c>
      <c r="CT28" s="59">
        <v>0</v>
      </c>
      <c r="CU28" s="59">
        <v>354.7</v>
      </c>
      <c r="CV28" s="59">
        <v>0</v>
      </c>
      <c r="CW28" s="59">
        <v>0</v>
      </c>
      <c r="CX28" s="59">
        <v>0</v>
      </c>
      <c r="CY28" s="59">
        <v>0</v>
      </c>
      <c r="CZ28" s="59">
        <v>0</v>
      </c>
      <c r="DA28" s="59">
        <v>0</v>
      </c>
      <c r="DB28" s="59">
        <v>0</v>
      </c>
      <c r="DC28" s="59">
        <v>0</v>
      </c>
    </row>
    <row r="29" spans="1:107">
      <c r="A29" s="48" t="s">
        <v>115</v>
      </c>
      <c r="B29" s="59">
        <v>523101.05</v>
      </c>
      <c r="C29" s="59">
        <v>211797.08</v>
      </c>
      <c r="D29" s="59">
        <v>196581.79</v>
      </c>
      <c r="E29" s="59">
        <v>46382.65</v>
      </c>
      <c r="F29" s="59">
        <v>13780.1</v>
      </c>
      <c r="G29" s="59">
        <v>14274.34</v>
      </c>
      <c r="H29" s="59">
        <v>2042</v>
      </c>
      <c r="I29" s="59">
        <v>4300.95</v>
      </c>
      <c r="J29" s="59">
        <v>7832.22</v>
      </c>
      <c r="K29" s="59">
        <v>8682.2099999999991</v>
      </c>
      <c r="L29" s="59">
        <v>5375.02</v>
      </c>
      <c r="M29" s="59">
        <v>3945.55</v>
      </c>
      <c r="N29" s="59">
        <v>1987.1</v>
      </c>
      <c r="O29" s="59">
        <v>0</v>
      </c>
      <c r="P29" s="59">
        <v>1044.8699999999999</v>
      </c>
      <c r="Q29" s="59">
        <v>378.41</v>
      </c>
      <c r="R29" s="59">
        <v>827.43</v>
      </c>
      <c r="S29" s="59">
        <v>1776.65</v>
      </c>
      <c r="T29" s="59">
        <v>758.23</v>
      </c>
      <c r="U29" s="59">
        <v>919.59</v>
      </c>
      <c r="V29" s="59">
        <v>0</v>
      </c>
      <c r="W29" s="59">
        <v>0</v>
      </c>
      <c r="X29" s="59">
        <v>3691.6</v>
      </c>
      <c r="Y29" s="59">
        <v>0</v>
      </c>
      <c r="Z29" s="59">
        <v>7770.24</v>
      </c>
      <c r="AA29" s="59">
        <v>0</v>
      </c>
      <c r="AB29" s="59">
        <v>4840.3500000000004</v>
      </c>
      <c r="AC29" s="59">
        <v>9750.5300000000007</v>
      </c>
      <c r="AD29" s="59">
        <v>20329.93</v>
      </c>
      <c r="AE29" s="59">
        <v>0</v>
      </c>
      <c r="AF29" s="59">
        <v>15180.6</v>
      </c>
      <c r="AG29" s="59">
        <v>57900.98</v>
      </c>
      <c r="AH29" s="59">
        <v>38490.97</v>
      </c>
      <c r="AI29" s="59">
        <v>85009.24</v>
      </c>
      <c r="AJ29" s="59">
        <v>414.86</v>
      </c>
      <c r="AK29" s="59">
        <v>8169.87</v>
      </c>
      <c r="AL29" s="59">
        <v>3075.39</v>
      </c>
      <c r="AM29" s="59">
        <v>2534.84</v>
      </c>
      <c r="AN29" s="59">
        <v>0</v>
      </c>
      <c r="AO29" s="59">
        <v>1085.0999999999999</v>
      </c>
      <c r="AP29" s="59">
        <v>1636.35</v>
      </c>
      <c r="AQ29" s="59">
        <v>7796.27</v>
      </c>
      <c r="AR29" s="59">
        <v>825.7</v>
      </c>
      <c r="AS29" s="59">
        <v>2061.63</v>
      </c>
      <c r="AT29" s="59">
        <v>200</v>
      </c>
      <c r="AU29" s="59">
        <v>3721</v>
      </c>
      <c r="AV29" s="59">
        <v>307</v>
      </c>
      <c r="AW29" s="59">
        <v>1525.5</v>
      </c>
      <c r="AX29" s="59">
        <v>86</v>
      </c>
      <c r="AY29" s="59">
        <v>991</v>
      </c>
      <c r="AZ29" s="59">
        <v>0</v>
      </c>
      <c r="BA29" s="59">
        <v>1956</v>
      </c>
      <c r="BB29" s="59">
        <v>3699.9</v>
      </c>
      <c r="BC29" s="59">
        <v>1883</v>
      </c>
      <c r="BD29" s="59">
        <v>242.6</v>
      </c>
      <c r="BE29" s="59">
        <v>931</v>
      </c>
      <c r="BF29" s="59">
        <v>3911.5</v>
      </c>
      <c r="BG29" s="59">
        <v>11298.2</v>
      </c>
      <c r="BH29" s="59">
        <v>2046</v>
      </c>
      <c r="BI29" s="59">
        <v>1135</v>
      </c>
      <c r="BJ29" s="59">
        <v>0</v>
      </c>
      <c r="BK29" s="59">
        <v>683.4</v>
      </c>
      <c r="BL29" s="59">
        <v>0</v>
      </c>
      <c r="BM29" s="59">
        <v>0</v>
      </c>
      <c r="BN29" s="59">
        <v>2211.1</v>
      </c>
      <c r="BO29" s="59">
        <v>5097.7</v>
      </c>
      <c r="BP29" s="59">
        <v>2444</v>
      </c>
      <c r="BQ29" s="59">
        <v>2691</v>
      </c>
      <c r="BR29" s="59">
        <v>0</v>
      </c>
      <c r="BS29" s="59">
        <v>83</v>
      </c>
      <c r="BT29" s="59">
        <v>0</v>
      </c>
      <c r="BU29" s="59">
        <v>2000.5</v>
      </c>
      <c r="BV29" s="59">
        <v>0</v>
      </c>
      <c r="BW29" s="59">
        <v>5939.71</v>
      </c>
      <c r="BX29" s="59">
        <v>949.6</v>
      </c>
      <c r="BY29" s="59">
        <v>5394</v>
      </c>
      <c r="BZ29" s="59">
        <v>0</v>
      </c>
      <c r="CA29" s="59">
        <v>877.4</v>
      </c>
      <c r="CB29" s="59">
        <v>1957</v>
      </c>
      <c r="CC29" s="59">
        <v>14633.3</v>
      </c>
      <c r="CD29" s="59">
        <v>2184.8000000000002</v>
      </c>
      <c r="CE29" s="59">
        <v>3503.3</v>
      </c>
      <c r="CF29" s="59">
        <v>3607.55</v>
      </c>
      <c r="CG29" s="59">
        <v>4129.2</v>
      </c>
      <c r="CH29" s="59">
        <v>13057.2</v>
      </c>
      <c r="CI29" s="59">
        <v>4228</v>
      </c>
      <c r="CJ29" s="59">
        <v>8070.4</v>
      </c>
      <c r="CK29" s="59">
        <v>5457.4</v>
      </c>
      <c r="CL29" s="59">
        <v>5756</v>
      </c>
      <c r="CM29" s="59">
        <v>8273.2000000000007</v>
      </c>
      <c r="CN29" s="59">
        <v>8352.5</v>
      </c>
      <c r="CO29" s="59">
        <v>3000</v>
      </c>
      <c r="CP29" s="59">
        <v>7744.5</v>
      </c>
      <c r="CQ29" s="59">
        <v>8001.5</v>
      </c>
      <c r="CR29" s="59">
        <v>3231</v>
      </c>
      <c r="CS29" s="59">
        <v>5305.4</v>
      </c>
      <c r="CT29" s="59">
        <v>3494.9</v>
      </c>
      <c r="CU29" s="59">
        <v>8899.1</v>
      </c>
      <c r="CV29" s="59">
        <v>5439.4</v>
      </c>
      <c r="CW29" s="59">
        <v>745.66</v>
      </c>
      <c r="CX29" s="59">
        <v>141.52000000000001</v>
      </c>
      <c r="CY29" s="59">
        <v>5047.45</v>
      </c>
      <c r="CZ29" s="59">
        <v>734.44</v>
      </c>
      <c r="DA29" s="59">
        <v>0</v>
      </c>
      <c r="DB29" s="59">
        <v>1092.2</v>
      </c>
      <c r="DC29" s="59">
        <v>0</v>
      </c>
    </row>
    <row r="30" spans="1:107">
      <c r="A30" s="48" t="s">
        <v>116</v>
      </c>
      <c r="B30" s="59">
        <v>1666306.33</v>
      </c>
      <c r="C30" s="59">
        <v>857338.09</v>
      </c>
      <c r="D30" s="59">
        <v>47321</v>
      </c>
      <c r="E30" s="59">
        <v>121932.78</v>
      </c>
      <c r="F30" s="59">
        <v>112648.97</v>
      </c>
      <c r="G30" s="59">
        <v>120133.61</v>
      </c>
      <c r="H30" s="59">
        <v>0</v>
      </c>
      <c r="I30" s="59">
        <v>0</v>
      </c>
      <c r="J30" s="59">
        <v>304985.86</v>
      </c>
      <c r="K30" s="59">
        <v>2330</v>
      </c>
      <c r="L30" s="59">
        <v>0</v>
      </c>
      <c r="M30" s="59">
        <v>0</v>
      </c>
      <c r="N30" s="59">
        <v>77616.02</v>
      </c>
      <c r="O30" s="59">
        <v>0</v>
      </c>
      <c r="P30" s="59">
        <v>0</v>
      </c>
      <c r="Q30" s="59">
        <v>0</v>
      </c>
      <c r="R30" s="59">
        <v>0</v>
      </c>
      <c r="S30" s="59">
        <v>0</v>
      </c>
      <c r="T30" s="59">
        <v>0</v>
      </c>
      <c r="U30" s="59">
        <v>0</v>
      </c>
      <c r="V30" s="59">
        <v>20000</v>
      </c>
      <c r="W30" s="59">
        <v>0</v>
      </c>
      <c r="X30" s="59">
        <v>109697.78</v>
      </c>
      <c r="Y30" s="59">
        <v>0</v>
      </c>
      <c r="Z30" s="59">
        <v>9376</v>
      </c>
      <c r="AA30" s="59">
        <v>0</v>
      </c>
      <c r="AB30" s="59">
        <v>0</v>
      </c>
      <c r="AC30" s="59">
        <v>0</v>
      </c>
      <c r="AD30" s="59">
        <v>2859</v>
      </c>
      <c r="AE30" s="59">
        <v>0</v>
      </c>
      <c r="AF30" s="59">
        <v>36439</v>
      </c>
      <c r="AG30" s="59">
        <v>2482</v>
      </c>
      <c r="AH30" s="59">
        <v>3150</v>
      </c>
      <c r="AI30" s="59">
        <v>5250</v>
      </c>
      <c r="AJ30" s="59">
        <v>2000</v>
      </c>
      <c r="AK30" s="59">
        <v>24000</v>
      </c>
      <c r="AL30" s="59">
        <v>88648.97</v>
      </c>
      <c r="AM30" s="59">
        <v>0</v>
      </c>
      <c r="AN30" s="59">
        <v>0</v>
      </c>
      <c r="AO30" s="59">
        <v>16097</v>
      </c>
      <c r="AP30" s="59">
        <v>5020</v>
      </c>
      <c r="AQ30" s="59">
        <v>12498</v>
      </c>
      <c r="AR30" s="59">
        <v>9000</v>
      </c>
      <c r="AS30" s="59">
        <v>8800</v>
      </c>
      <c r="AT30" s="59">
        <v>18686.36</v>
      </c>
      <c r="AU30" s="59">
        <v>0</v>
      </c>
      <c r="AV30" s="59">
        <v>21211</v>
      </c>
      <c r="AW30" s="59">
        <v>28444.7</v>
      </c>
      <c r="AX30" s="59">
        <v>5350</v>
      </c>
      <c r="AY30" s="59">
        <v>28051.82</v>
      </c>
      <c r="AZ30" s="59">
        <v>11330.68</v>
      </c>
      <c r="BA30" s="59">
        <v>29043.05</v>
      </c>
      <c r="BB30" s="59">
        <v>31383.49</v>
      </c>
      <c r="BC30" s="59">
        <v>0</v>
      </c>
      <c r="BD30" s="59">
        <v>29917.64</v>
      </c>
      <c r="BE30" s="59">
        <v>6919</v>
      </c>
      <c r="BF30" s="59">
        <v>13749</v>
      </c>
      <c r="BG30" s="59">
        <v>18287.150000000001</v>
      </c>
      <c r="BH30" s="59">
        <v>60327.5</v>
      </c>
      <c r="BI30" s="59">
        <v>21419.98</v>
      </c>
      <c r="BJ30" s="59">
        <v>0</v>
      </c>
      <c r="BK30" s="59">
        <v>44233.78</v>
      </c>
      <c r="BL30" s="59">
        <v>31495.46</v>
      </c>
      <c r="BM30" s="59">
        <v>14223.4</v>
      </c>
      <c r="BN30" s="59">
        <v>30530.21</v>
      </c>
      <c r="BO30" s="59">
        <v>0</v>
      </c>
      <c r="BP30" s="59">
        <v>18967</v>
      </c>
      <c r="BQ30" s="59">
        <v>14920</v>
      </c>
      <c r="BR30" s="59">
        <v>13500</v>
      </c>
      <c r="BS30" s="59">
        <v>2000</v>
      </c>
      <c r="BT30" s="59">
        <v>8499</v>
      </c>
      <c r="BU30" s="59">
        <v>38631.26</v>
      </c>
      <c r="BV30" s="59">
        <v>0</v>
      </c>
      <c r="BW30" s="59">
        <v>0</v>
      </c>
      <c r="BX30" s="59">
        <v>5100</v>
      </c>
      <c r="BY30" s="59">
        <v>29020.2</v>
      </c>
      <c r="BZ30" s="59">
        <v>8060</v>
      </c>
      <c r="CA30" s="59">
        <v>14539.03</v>
      </c>
      <c r="CB30" s="59">
        <v>23009</v>
      </c>
      <c r="CC30" s="59">
        <v>20464</v>
      </c>
      <c r="CD30" s="59">
        <v>35573.54</v>
      </c>
      <c r="CE30" s="59">
        <v>1611</v>
      </c>
      <c r="CF30" s="59">
        <v>0</v>
      </c>
      <c r="CG30" s="59">
        <v>12822.44</v>
      </c>
      <c r="CH30" s="59">
        <v>9494.4</v>
      </c>
      <c r="CI30" s="59">
        <v>476</v>
      </c>
      <c r="CJ30" s="59">
        <v>1800</v>
      </c>
      <c r="CK30" s="59">
        <v>6192</v>
      </c>
      <c r="CL30" s="59">
        <v>7200</v>
      </c>
      <c r="CM30" s="59">
        <v>19804</v>
      </c>
      <c r="CN30" s="59">
        <v>7199</v>
      </c>
      <c r="CO30" s="59">
        <v>0</v>
      </c>
      <c r="CP30" s="59">
        <v>5400</v>
      </c>
      <c r="CQ30" s="59">
        <v>7220</v>
      </c>
      <c r="CR30" s="59">
        <v>0</v>
      </c>
      <c r="CS30" s="59">
        <v>11324</v>
      </c>
      <c r="CT30" s="59">
        <v>0</v>
      </c>
      <c r="CU30" s="59">
        <v>16909</v>
      </c>
      <c r="CV30" s="59">
        <v>7639</v>
      </c>
      <c r="CW30" s="59">
        <v>0</v>
      </c>
      <c r="CX30" s="59">
        <v>3700</v>
      </c>
      <c r="CY30" s="59">
        <v>9248</v>
      </c>
      <c r="CZ30" s="59">
        <v>0</v>
      </c>
      <c r="DA30" s="59">
        <v>0</v>
      </c>
      <c r="DB30" s="59">
        <v>997</v>
      </c>
      <c r="DC30" s="59">
        <v>0</v>
      </c>
    </row>
    <row r="31" spans="1:107">
      <c r="A31" s="48" t="s">
        <v>117</v>
      </c>
      <c r="B31" s="59">
        <v>3651278.17</v>
      </c>
      <c r="C31" s="59">
        <v>3333109.79</v>
      </c>
      <c r="D31" s="59">
        <v>1997</v>
      </c>
      <c r="E31" s="59">
        <v>131370.38</v>
      </c>
      <c r="F31" s="59">
        <v>184801</v>
      </c>
      <c r="G31" s="59">
        <v>0</v>
      </c>
      <c r="H31" s="59">
        <v>0</v>
      </c>
      <c r="I31" s="59">
        <v>0</v>
      </c>
      <c r="J31" s="59">
        <v>0</v>
      </c>
      <c r="K31" s="59">
        <v>0</v>
      </c>
      <c r="L31" s="59">
        <v>0</v>
      </c>
      <c r="M31" s="59">
        <v>0</v>
      </c>
      <c r="N31" s="59">
        <v>0</v>
      </c>
      <c r="O31" s="59">
        <v>0</v>
      </c>
      <c r="P31" s="59">
        <v>0</v>
      </c>
      <c r="Q31" s="59">
        <v>0</v>
      </c>
      <c r="R31" s="59">
        <v>0</v>
      </c>
      <c r="S31" s="59">
        <v>0</v>
      </c>
      <c r="T31" s="59">
        <v>0</v>
      </c>
      <c r="U31" s="59">
        <v>0</v>
      </c>
      <c r="V31" s="59">
        <v>0</v>
      </c>
      <c r="W31" s="59">
        <v>0</v>
      </c>
      <c r="X31" s="59">
        <v>0</v>
      </c>
      <c r="Y31" s="59">
        <v>0</v>
      </c>
      <c r="Z31" s="59">
        <v>0</v>
      </c>
      <c r="AA31" s="59">
        <v>0</v>
      </c>
      <c r="AB31" s="59">
        <v>0</v>
      </c>
      <c r="AC31" s="59">
        <v>0</v>
      </c>
      <c r="AD31" s="59">
        <v>131370.38</v>
      </c>
      <c r="AE31" s="59">
        <v>0</v>
      </c>
      <c r="AF31" s="59">
        <v>0</v>
      </c>
      <c r="AG31" s="59">
        <v>0</v>
      </c>
      <c r="AH31" s="59">
        <v>1997</v>
      </c>
      <c r="AI31" s="59">
        <v>0</v>
      </c>
      <c r="AJ31" s="59">
        <v>0</v>
      </c>
      <c r="AK31" s="59">
        <v>184801</v>
      </c>
      <c r="AL31" s="59">
        <v>0</v>
      </c>
      <c r="AM31" s="59">
        <v>0</v>
      </c>
      <c r="AN31" s="59">
        <v>0</v>
      </c>
      <c r="AO31" s="59">
        <v>11100</v>
      </c>
      <c r="AP31" s="59">
        <v>0</v>
      </c>
      <c r="AQ31" s="59">
        <v>0</v>
      </c>
      <c r="AR31" s="59">
        <v>0</v>
      </c>
      <c r="AS31" s="59">
        <v>975</v>
      </c>
      <c r="AT31" s="59">
        <v>55993.22</v>
      </c>
      <c r="AU31" s="59">
        <v>150107.62</v>
      </c>
      <c r="AV31" s="59">
        <v>132724.79</v>
      </c>
      <c r="AW31" s="59">
        <v>161477.79999999999</v>
      </c>
      <c r="AX31" s="59">
        <v>120604.37</v>
      </c>
      <c r="AY31" s="59">
        <v>182268.28</v>
      </c>
      <c r="AZ31" s="59">
        <v>171743.72</v>
      </c>
      <c r="BA31" s="59">
        <v>327811.56</v>
      </c>
      <c r="BB31" s="59">
        <v>34148.33</v>
      </c>
      <c r="BC31" s="59">
        <v>52546.2</v>
      </c>
      <c r="BD31" s="59">
        <v>44548.54</v>
      </c>
      <c r="BE31" s="59">
        <v>69890.320000000007</v>
      </c>
      <c r="BF31" s="59">
        <v>44626.57</v>
      </c>
      <c r="BG31" s="59">
        <v>156581.12</v>
      </c>
      <c r="BH31" s="59">
        <v>21197.07</v>
      </c>
      <c r="BI31" s="59">
        <v>82266.84</v>
      </c>
      <c r="BJ31" s="59">
        <v>90982.09</v>
      </c>
      <c r="BK31" s="59">
        <v>164926.82999999999</v>
      </c>
      <c r="BL31" s="59">
        <v>102553.46</v>
      </c>
      <c r="BM31" s="59">
        <v>96451.93</v>
      </c>
      <c r="BN31" s="59">
        <v>96064.14</v>
      </c>
      <c r="BO31" s="59">
        <v>32461.9</v>
      </c>
      <c r="BP31" s="59">
        <v>40888.15</v>
      </c>
      <c r="BQ31" s="59">
        <v>32710.82</v>
      </c>
      <c r="BR31" s="59">
        <v>23287.56</v>
      </c>
      <c r="BS31" s="59">
        <v>54603.74</v>
      </c>
      <c r="BT31" s="59">
        <v>40471.699999999997</v>
      </c>
      <c r="BU31" s="59">
        <v>122299.48</v>
      </c>
      <c r="BV31" s="59">
        <v>72923.45</v>
      </c>
      <c r="BW31" s="59">
        <v>4208.8599999999997</v>
      </c>
      <c r="BX31" s="59">
        <v>38362.21</v>
      </c>
      <c r="BY31" s="59">
        <v>35105.29</v>
      </c>
      <c r="BZ31" s="59">
        <v>12224.77</v>
      </c>
      <c r="CA31" s="59">
        <v>45255.39</v>
      </c>
      <c r="CB31" s="59">
        <v>55460.480000000003</v>
      </c>
      <c r="CC31" s="59">
        <v>133955.07999999999</v>
      </c>
      <c r="CD31" s="59">
        <v>182682.78</v>
      </c>
      <c r="CE31" s="59">
        <v>10186.5</v>
      </c>
      <c r="CF31" s="59">
        <v>30</v>
      </c>
      <c r="CG31" s="59">
        <v>165.45</v>
      </c>
      <c r="CH31" s="59">
        <v>4053.74</v>
      </c>
      <c r="CI31" s="59">
        <v>0</v>
      </c>
      <c r="CJ31" s="59">
        <v>1144.05</v>
      </c>
      <c r="CK31" s="59">
        <v>20</v>
      </c>
      <c r="CL31" s="59">
        <v>0</v>
      </c>
      <c r="CM31" s="59">
        <v>5531.8</v>
      </c>
      <c r="CN31" s="59">
        <v>118.9</v>
      </c>
      <c r="CO31" s="59">
        <v>0</v>
      </c>
      <c r="CP31" s="59">
        <v>1078.1400000000001</v>
      </c>
      <c r="CQ31" s="59">
        <v>4416.41</v>
      </c>
      <c r="CR31" s="59">
        <v>0</v>
      </c>
      <c r="CS31" s="59">
        <v>140.88999999999999</v>
      </c>
      <c r="CT31" s="59">
        <v>5</v>
      </c>
      <c r="CU31" s="59">
        <v>1384.55</v>
      </c>
      <c r="CV31" s="59">
        <v>22</v>
      </c>
      <c r="CW31" s="59">
        <v>0</v>
      </c>
      <c r="CX31" s="59">
        <v>0</v>
      </c>
      <c r="CY31" s="59">
        <v>42</v>
      </c>
      <c r="CZ31" s="59">
        <v>0</v>
      </c>
      <c r="DA31" s="59">
        <v>0</v>
      </c>
      <c r="DB31" s="59">
        <v>2003</v>
      </c>
      <c r="DC31" s="59">
        <v>4275.8999999999996</v>
      </c>
    </row>
    <row r="32" spans="1:107">
      <c r="A32" s="48" t="s">
        <v>118</v>
      </c>
      <c r="B32" s="59">
        <v>414563.12</v>
      </c>
      <c r="C32" s="59">
        <v>50769.91</v>
      </c>
      <c r="D32" s="59">
        <v>17990</v>
      </c>
      <c r="E32" s="59">
        <v>43324.1</v>
      </c>
      <c r="F32" s="59">
        <v>21616</v>
      </c>
      <c r="G32" s="59">
        <v>172484</v>
      </c>
      <c r="H32" s="59">
        <v>0</v>
      </c>
      <c r="I32" s="59">
        <v>11190.0000000002</v>
      </c>
      <c r="J32" s="59">
        <v>4800</v>
      </c>
      <c r="K32" s="59">
        <v>0</v>
      </c>
      <c r="L32" s="59">
        <v>0</v>
      </c>
      <c r="M32" s="59">
        <v>0</v>
      </c>
      <c r="N32" s="59">
        <v>0</v>
      </c>
      <c r="O32" s="59">
        <v>44608</v>
      </c>
      <c r="P32" s="59">
        <v>0</v>
      </c>
      <c r="Q32" s="59">
        <v>0</v>
      </c>
      <c r="R32" s="59">
        <v>12268.5</v>
      </c>
      <c r="S32" s="59">
        <v>12681.54</v>
      </c>
      <c r="T32" s="59">
        <v>0</v>
      </c>
      <c r="U32" s="59">
        <v>0</v>
      </c>
      <c r="V32" s="59">
        <v>0</v>
      </c>
      <c r="W32" s="59">
        <v>0</v>
      </c>
      <c r="X32" s="59">
        <v>13539.06</v>
      </c>
      <c r="Y32" s="59">
        <v>0</v>
      </c>
      <c r="Z32" s="59">
        <v>1270</v>
      </c>
      <c r="AA32" s="59">
        <v>0</v>
      </c>
      <c r="AB32" s="59">
        <v>13739.04</v>
      </c>
      <c r="AC32" s="59">
        <v>5610</v>
      </c>
      <c r="AD32" s="59">
        <v>9166</v>
      </c>
      <c r="AE32" s="59">
        <v>0</v>
      </c>
      <c r="AF32" s="59">
        <v>8390</v>
      </c>
      <c r="AG32" s="59">
        <v>1600</v>
      </c>
      <c r="AH32" s="59">
        <v>0</v>
      </c>
      <c r="AI32" s="59">
        <v>8000</v>
      </c>
      <c r="AJ32" s="59">
        <v>22831.07</v>
      </c>
      <c r="AK32" s="59">
        <v>4520</v>
      </c>
      <c r="AL32" s="59">
        <v>12290</v>
      </c>
      <c r="AM32" s="59">
        <v>4806</v>
      </c>
      <c r="AN32" s="59">
        <v>0</v>
      </c>
      <c r="AO32" s="59">
        <v>0</v>
      </c>
      <c r="AP32" s="59">
        <v>0</v>
      </c>
      <c r="AQ32" s="59">
        <v>0</v>
      </c>
      <c r="AR32" s="59">
        <v>0</v>
      </c>
      <c r="AS32" s="59">
        <v>0</v>
      </c>
      <c r="AT32" s="59">
        <v>0</v>
      </c>
      <c r="AU32" s="59">
        <v>2700</v>
      </c>
      <c r="AV32" s="59">
        <v>0</v>
      </c>
      <c r="AW32" s="59">
        <v>0</v>
      </c>
      <c r="AX32" s="59">
        <v>0</v>
      </c>
      <c r="AY32" s="59">
        <v>0</v>
      </c>
      <c r="AZ32" s="59">
        <v>0</v>
      </c>
      <c r="BA32" s="59">
        <v>0</v>
      </c>
      <c r="BB32" s="59">
        <v>0</v>
      </c>
      <c r="BC32" s="59">
        <v>0</v>
      </c>
      <c r="BD32" s="59">
        <v>3320</v>
      </c>
      <c r="BE32" s="59">
        <v>0</v>
      </c>
      <c r="BF32" s="59">
        <v>1550</v>
      </c>
      <c r="BG32" s="59">
        <v>0</v>
      </c>
      <c r="BH32" s="59">
        <v>0</v>
      </c>
      <c r="BI32" s="59">
        <v>0</v>
      </c>
      <c r="BJ32" s="59">
        <v>0</v>
      </c>
      <c r="BK32" s="59">
        <v>0</v>
      </c>
      <c r="BL32" s="59">
        <v>0</v>
      </c>
      <c r="BM32" s="59">
        <v>0</v>
      </c>
      <c r="BN32" s="59">
        <v>0</v>
      </c>
      <c r="BO32" s="59">
        <v>38834.949999999997</v>
      </c>
      <c r="BP32" s="59">
        <v>0</v>
      </c>
      <c r="BQ32" s="59">
        <v>0</v>
      </c>
      <c r="BR32" s="59">
        <v>0</v>
      </c>
      <c r="BS32" s="59">
        <v>0</v>
      </c>
      <c r="BT32" s="59">
        <v>0</v>
      </c>
      <c r="BU32" s="59">
        <v>0</v>
      </c>
      <c r="BV32" s="59">
        <v>0</v>
      </c>
      <c r="BW32" s="59">
        <v>0</v>
      </c>
      <c r="BX32" s="59">
        <v>0</v>
      </c>
      <c r="BY32" s="59">
        <v>0</v>
      </c>
      <c r="BZ32" s="59">
        <v>0</v>
      </c>
      <c r="CA32" s="59">
        <v>0</v>
      </c>
      <c r="CB32" s="59">
        <v>2800</v>
      </c>
      <c r="CC32" s="59">
        <v>1564.96</v>
      </c>
      <c r="CD32" s="59">
        <v>0</v>
      </c>
      <c r="CE32" s="59">
        <v>0</v>
      </c>
      <c r="CF32" s="59">
        <v>0</v>
      </c>
      <c r="CG32" s="59">
        <v>0</v>
      </c>
      <c r="CH32" s="59">
        <v>0</v>
      </c>
      <c r="CI32" s="59">
        <v>0</v>
      </c>
      <c r="CJ32" s="59">
        <v>0</v>
      </c>
      <c r="CK32" s="59">
        <v>0</v>
      </c>
      <c r="CL32" s="59">
        <v>0</v>
      </c>
      <c r="CM32" s="59">
        <v>0</v>
      </c>
      <c r="CN32" s="59">
        <v>0</v>
      </c>
      <c r="CO32" s="59">
        <v>0</v>
      </c>
      <c r="CP32" s="59">
        <v>0</v>
      </c>
      <c r="CQ32" s="59">
        <v>0</v>
      </c>
      <c r="CR32" s="59">
        <v>0</v>
      </c>
      <c r="CS32" s="59">
        <v>0</v>
      </c>
      <c r="CT32" s="59">
        <v>0</v>
      </c>
      <c r="CU32" s="59">
        <v>0</v>
      </c>
      <c r="CV32" s="59">
        <v>0</v>
      </c>
      <c r="CW32" s="59">
        <v>0</v>
      </c>
      <c r="CX32" s="59">
        <v>0</v>
      </c>
      <c r="CY32" s="59">
        <v>0</v>
      </c>
      <c r="CZ32" s="59">
        <v>0</v>
      </c>
      <c r="DA32" s="59">
        <v>0</v>
      </c>
      <c r="DB32" s="59">
        <v>0</v>
      </c>
      <c r="DC32" s="59">
        <v>0</v>
      </c>
    </row>
    <row r="33" spans="1:107" s="52" customFormat="1">
      <c r="A33" s="60" t="s">
        <v>98</v>
      </c>
      <c r="B33" s="61">
        <v>50828954.920000002</v>
      </c>
      <c r="C33" s="61">
        <v>25727973.039999999</v>
      </c>
      <c r="D33" s="61">
        <v>11126218.17</v>
      </c>
      <c r="E33" s="61">
        <v>3565179.08</v>
      </c>
      <c r="F33" s="61">
        <v>2186573.7200000002</v>
      </c>
      <c r="G33" s="61">
        <v>954331.59</v>
      </c>
      <c r="H33" s="61">
        <v>1085002.03</v>
      </c>
      <c r="I33" s="61">
        <v>217013.18</v>
      </c>
      <c r="J33" s="61">
        <v>2435483.9300000002</v>
      </c>
      <c r="K33" s="61">
        <v>205609.56</v>
      </c>
      <c r="L33" s="61">
        <v>355611.2</v>
      </c>
      <c r="M33" s="61">
        <v>190052.68</v>
      </c>
      <c r="N33" s="61">
        <v>190866.32</v>
      </c>
      <c r="O33" s="61">
        <v>187579.61</v>
      </c>
      <c r="P33" s="61">
        <v>84061.87</v>
      </c>
      <c r="Q33" s="61">
        <v>82512.19</v>
      </c>
      <c r="R33" s="61">
        <v>150199.45000000001</v>
      </c>
      <c r="S33" s="61">
        <v>486986.73</v>
      </c>
      <c r="T33" s="61">
        <v>46998.97</v>
      </c>
      <c r="U33" s="61">
        <v>119257.75</v>
      </c>
      <c r="V33" s="61">
        <v>20000</v>
      </c>
      <c r="W33" s="61">
        <v>0</v>
      </c>
      <c r="X33" s="61">
        <v>427349.49</v>
      </c>
      <c r="Y33" s="61">
        <v>2458.4</v>
      </c>
      <c r="Z33" s="61">
        <v>847744.34</v>
      </c>
      <c r="AA33" s="61">
        <v>3776.58</v>
      </c>
      <c r="AB33" s="61">
        <v>782756.26</v>
      </c>
      <c r="AC33" s="61">
        <v>819078.23</v>
      </c>
      <c r="AD33" s="61">
        <v>653580.68000000005</v>
      </c>
      <c r="AE33" s="61">
        <v>28435.1</v>
      </c>
      <c r="AF33" s="61">
        <v>348751.2</v>
      </c>
      <c r="AG33" s="61">
        <v>7109514.2000000002</v>
      </c>
      <c r="AH33" s="61">
        <v>2383668.37</v>
      </c>
      <c r="AI33" s="61">
        <v>1284284.3999999999</v>
      </c>
      <c r="AJ33" s="61">
        <v>1410666.85</v>
      </c>
      <c r="AK33" s="61">
        <v>1511647.26</v>
      </c>
      <c r="AL33" s="61">
        <v>589755.9</v>
      </c>
      <c r="AM33" s="61">
        <v>85170.559999999998</v>
      </c>
      <c r="AN33" s="61">
        <v>777</v>
      </c>
      <c r="AO33" s="61">
        <v>6803859.1399999997</v>
      </c>
      <c r="AP33" s="61">
        <v>282395.92</v>
      </c>
      <c r="AQ33" s="61">
        <v>344161.97</v>
      </c>
      <c r="AR33" s="61">
        <v>248696.87</v>
      </c>
      <c r="AS33" s="61">
        <v>520576.77</v>
      </c>
      <c r="AT33" s="61">
        <v>688496.88</v>
      </c>
      <c r="AU33" s="61">
        <v>749965.9</v>
      </c>
      <c r="AV33" s="61">
        <v>845143.87</v>
      </c>
      <c r="AW33" s="61">
        <v>783421.12</v>
      </c>
      <c r="AX33" s="61">
        <v>584631.06999999995</v>
      </c>
      <c r="AY33" s="61">
        <v>830063.85</v>
      </c>
      <c r="AZ33" s="61">
        <v>404222.49</v>
      </c>
      <c r="BA33" s="61">
        <v>909444.63</v>
      </c>
      <c r="BB33" s="61">
        <v>425909.62</v>
      </c>
      <c r="BC33" s="61">
        <v>189405.73</v>
      </c>
      <c r="BD33" s="61">
        <v>824567.3</v>
      </c>
      <c r="BE33" s="61">
        <v>404438.68</v>
      </c>
      <c r="BF33" s="61">
        <v>557990.53</v>
      </c>
      <c r="BG33" s="61">
        <v>768399.57</v>
      </c>
      <c r="BH33" s="61">
        <v>312089.84999999998</v>
      </c>
      <c r="BI33" s="61">
        <v>441051.11</v>
      </c>
      <c r="BJ33" s="61">
        <v>260574.21</v>
      </c>
      <c r="BK33" s="61">
        <v>526499.42000000004</v>
      </c>
      <c r="BL33" s="61">
        <v>283573.73</v>
      </c>
      <c r="BM33" s="61">
        <v>255903.76</v>
      </c>
      <c r="BN33" s="61">
        <v>310572.02</v>
      </c>
      <c r="BO33" s="61">
        <v>496416.28</v>
      </c>
      <c r="BP33" s="61">
        <v>288956</v>
      </c>
      <c r="BQ33" s="61">
        <v>237258.98</v>
      </c>
      <c r="BR33" s="61">
        <v>183281.53</v>
      </c>
      <c r="BS33" s="61">
        <v>277844.03999999998</v>
      </c>
      <c r="BT33" s="61">
        <v>134180.65</v>
      </c>
      <c r="BU33" s="61">
        <v>381910.85</v>
      </c>
      <c r="BV33" s="61">
        <v>185788.57</v>
      </c>
      <c r="BW33" s="61">
        <v>127810.09</v>
      </c>
      <c r="BX33" s="61">
        <v>119098.89</v>
      </c>
      <c r="BY33" s="61">
        <v>253540.28</v>
      </c>
      <c r="BZ33" s="61">
        <v>120622.38</v>
      </c>
      <c r="CA33" s="61">
        <v>135512.78</v>
      </c>
      <c r="CB33" s="61">
        <v>189606.19</v>
      </c>
      <c r="CC33" s="61">
        <v>420268.03</v>
      </c>
      <c r="CD33" s="61">
        <v>487877.83</v>
      </c>
      <c r="CE33" s="61">
        <v>136727.21</v>
      </c>
      <c r="CF33" s="61">
        <v>31904.75</v>
      </c>
      <c r="CG33" s="61">
        <v>86960.82</v>
      </c>
      <c r="CH33" s="61">
        <v>106368.82</v>
      </c>
      <c r="CI33" s="61">
        <v>115006.53</v>
      </c>
      <c r="CJ33" s="61">
        <v>44169.85</v>
      </c>
      <c r="CK33" s="61">
        <v>120533.84</v>
      </c>
      <c r="CL33" s="61">
        <v>141091.06</v>
      </c>
      <c r="CM33" s="61">
        <v>111723.81</v>
      </c>
      <c r="CN33" s="61">
        <v>112510.51</v>
      </c>
      <c r="CO33" s="61">
        <v>61441.5</v>
      </c>
      <c r="CP33" s="61">
        <v>101753.81</v>
      </c>
      <c r="CQ33" s="61">
        <v>133082.23999999999</v>
      </c>
      <c r="CR33" s="61">
        <v>98545.88</v>
      </c>
      <c r="CS33" s="61">
        <v>85196.94</v>
      </c>
      <c r="CT33" s="61">
        <v>76354.429999999993</v>
      </c>
      <c r="CU33" s="61">
        <v>106193.65</v>
      </c>
      <c r="CV33" s="61">
        <v>70383.16</v>
      </c>
      <c r="CW33" s="61">
        <v>21883.56</v>
      </c>
      <c r="CX33" s="61">
        <v>69351.12</v>
      </c>
      <c r="CY33" s="61">
        <v>120457.04</v>
      </c>
      <c r="CZ33" s="61">
        <v>96425.14</v>
      </c>
      <c r="DA33" s="61">
        <v>21004.89</v>
      </c>
      <c r="DB33" s="61">
        <v>34292.660000000003</v>
      </c>
      <c r="DC33" s="66">
        <v>28580.44</v>
      </c>
    </row>
    <row r="34" spans="1:107">
      <c r="A34" s="48" t="s">
        <v>120</v>
      </c>
      <c r="B34" s="59">
        <v>2326698.4500000002</v>
      </c>
      <c r="C34" s="59">
        <v>1657525.66</v>
      </c>
      <c r="D34" s="59">
        <v>40719.49</v>
      </c>
      <c r="E34" s="59">
        <v>64124.87</v>
      </c>
      <c r="F34" s="59">
        <v>53823.6</v>
      </c>
      <c r="G34" s="59">
        <v>0</v>
      </c>
      <c r="H34" s="59">
        <v>0</v>
      </c>
      <c r="I34" s="59">
        <v>0</v>
      </c>
      <c r="J34" s="59">
        <v>489855.18</v>
      </c>
      <c r="K34" s="59">
        <v>0</v>
      </c>
      <c r="L34" s="59">
        <v>0</v>
      </c>
      <c r="M34" s="59">
        <v>0</v>
      </c>
      <c r="N34" s="59">
        <v>2706</v>
      </c>
      <c r="O34" s="59">
        <v>0</v>
      </c>
      <c r="P34" s="59">
        <v>0</v>
      </c>
      <c r="Q34" s="59">
        <v>0</v>
      </c>
      <c r="R34" s="59">
        <v>0</v>
      </c>
      <c r="S34" s="59">
        <v>264</v>
      </c>
      <c r="T34" s="59">
        <v>0</v>
      </c>
      <c r="U34" s="59">
        <v>0</v>
      </c>
      <c r="V34" s="59">
        <v>0</v>
      </c>
      <c r="W34" s="59">
        <v>0</v>
      </c>
      <c r="X34" s="59">
        <v>-6593.73</v>
      </c>
      <c r="Y34" s="59">
        <v>0</v>
      </c>
      <c r="Z34" s="59">
        <v>17679.650000000001</v>
      </c>
      <c r="AA34" s="59">
        <v>0</v>
      </c>
      <c r="AB34" s="59">
        <v>17679.650000000001</v>
      </c>
      <c r="AC34" s="59">
        <v>17679.650000000001</v>
      </c>
      <c r="AD34" s="59">
        <v>17679.650000000001</v>
      </c>
      <c r="AE34" s="59">
        <v>0</v>
      </c>
      <c r="AF34" s="59">
        <v>14181.32</v>
      </c>
      <c r="AG34" s="59">
        <v>9449.7199999999993</v>
      </c>
      <c r="AH34" s="59">
        <v>17088.45</v>
      </c>
      <c r="AI34" s="59">
        <v>0</v>
      </c>
      <c r="AJ34" s="59">
        <v>17679.650000000001</v>
      </c>
      <c r="AK34" s="59">
        <v>26911.89</v>
      </c>
      <c r="AL34" s="59">
        <v>26911.71</v>
      </c>
      <c r="AM34" s="59">
        <v>0</v>
      </c>
      <c r="AN34" s="59">
        <v>0</v>
      </c>
      <c r="AO34" s="59">
        <v>0</v>
      </c>
      <c r="AP34" s="59">
        <v>0</v>
      </c>
      <c r="AQ34" s="59">
        <v>0</v>
      </c>
      <c r="AR34" s="59">
        <v>0</v>
      </c>
      <c r="AS34" s="59">
        <v>0</v>
      </c>
      <c r="AT34" s="59">
        <v>105396</v>
      </c>
      <c r="AU34" s="59">
        <v>100322.8</v>
      </c>
      <c r="AV34" s="59">
        <v>13211.03</v>
      </c>
      <c r="AW34" s="59">
        <v>102157</v>
      </c>
      <c r="AX34" s="59">
        <v>74311.839999999997</v>
      </c>
      <c r="AY34" s="59">
        <v>92120.12</v>
      </c>
      <c r="AZ34" s="59">
        <v>27590.5</v>
      </c>
      <c r="BA34" s="59">
        <v>154182</v>
      </c>
      <c r="BB34" s="59">
        <v>14067</v>
      </c>
      <c r="BC34" s="59">
        <v>29626.01</v>
      </c>
      <c r="BD34" s="59">
        <v>44922.48</v>
      </c>
      <c r="BE34" s="59">
        <v>88256</v>
      </c>
      <c r="BF34" s="59">
        <v>87507.36</v>
      </c>
      <c r="BG34" s="59">
        <v>54120.35</v>
      </c>
      <c r="BH34" s="59">
        <v>75114.460000000006</v>
      </c>
      <c r="BI34" s="59">
        <v>24382.400000000001</v>
      </c>
      <c r="BJ34" s="59">
        <v>64254.76</v>
      </c>
      <c r="BK34" s="59">
        <v>63658.55</v>
      </c>
      <c r="BL34" s="59">
        <v>46837.599999999999</v>
      </c>
      <c r="BM34" s="59">
        <v>33483.230000000003</v>
      </c>
      <c r="BN34" s="59">
        <v>36185.33</v>
      </c>
      <c r="BO34" s="59">
        <v>125021.09</v>
      </c>
      <c r="BP34" s="59">
        <v>6530</v>
      </c>
      <c r="BQ34" s="59">
        <v>8204</v>
      </c>
      <c r="BR34" s="59">
        <v>11607.03</v>
      </c>
      <c r="BS34" s="59">
        <v>9095</v>
      </c>
      <c r="BT34" s="59">
        <v>11518</v>
      </c>
      <c r="BU34" s="59">
        <v>10767.96</v>
      </c>
      <c r="BV34" s="59">
        <v>21462</v>
      </c>
      <c r="BW34" s="59">
        <v>18708.75</v>
      </c>
      <c r="BX34" s="59">
        <v>6577.61</v>
      </c>
      <c r="BY34" s="59">
        <v>21364</v>
      </c>
      <c r="BZ34" s="59">
        <v>5351.25</v>
      </c>
      <c r="CA34" s="59">
        <v>11030</v>
      </c>
      <c r="CB34" s="59">
        <v>460</v>
      </c>
      <c r="CC34" s="59">
        <v>22490.25</v>
      </c>
      <c r="CD34" s="59">
        <v>12444.16</v>
      </c>
      <c r="CE34" s="59">
        <v>897</v>
      </c>
      <c r="CF34" s="59">
        <v>0</v>
      </c>
      <c r="CG34" s="59">
        <v>2750.46</v>
      </c>
      <c r="CH34" s="59">
        <v>521.6</v>
      </c>
      <c r="CI34" s="59">
        <v>0</v>
      </c>
      <c r="CJ34" s="59">
        <v>987</v>
      </c>
      <c r="CK34" s="59">
        <v>1</v>
      </c>
      <c r="CL34" s="59">
        <v>4516</v>
      </c>
      <c r="CM34" s="59">
        <v>3838.5</v>
      </c>
      <c r="CN34" s="59">
        <v>2641</v>
      </c>
      <c r="CO34" s="59">
        <v>315.83999999999997</v>
      </c>
      <c r="CP34" s="59">
        <v>3</v>
      </c>
      <c r="CQ34" s="59">
        <v>2453</v>
      </c>
      <c r="CR34" s="59">
        <v>0</v>
      </c>
      <c r="CS34" s="59">
        <v>2452.6</v>
      </c>
      <c r="CT34" s="59">
        <v>0</v>
      </c>
      <c r="CU34" s="59">
        <v>503</v>
      </c>
      <c r="CV34" s="59">
        <v>0</v>
      </c>
      <c r="CW34" s="59">
        <v>500</v>
      </c>
      <c r="CX34" s="59">
        <v>0</v>
      </c>
      <c r="CY34" s="59">
        <v>655.7</v>
      </c>
      <c r="CZ34" s="59">
        <v>0</v>
      </c>
      <c r="DA34" s="59">
        <v>0</v>
      </c>
      <c r="DB34" s="59">
        <v>0.24</v>
      </c>
      <c r="DC34" s="59">
        <v>151.80000000000001</v>
      </c>
    </row>
    <row r="35" spans="1:107">
      <c r="A35" s="48" t="s">
        <v>121</v>
      </c>
      <c r="B35" s="59">
        <v>1915343.86</v>
      </c>
      <c r="C35" s="59">
        <v>1043489.54</v>
      </c>
      <c r="D35" s="59">
        <v>49883.56</v>
      </c>
      <c r="E35" s="59">
        <v>242200.85</v>
      </c>
      <c r="F35" s="59">
        <v>70019.73</v>
      </c>
      <c r="G35" s="59">
        <v>31260.75</v>
      </c>
      <c r="H35" s="59">
        <v>126141.6</v>
      </c>
      <c r="I35" s="59">
        <v>5496.07</v>
      </c>
      <c r="J35" s="59">
        <v>246696.08</v>
      </c>
      <c r="K35" s="59">
        <v>20462.580000000002</v>
      </c>
      <c r="L35" s="59">
        <v>1448.19</v>
      </c>
      <c r="M35" s="59">
        <v>1909.49</v>
      </c>
      <c r="N35" s="59">
        <v>6108.39</v>
      </c>
      <c r="O35" s="59">
        <v>886.74</v>
      </c>
      <c r="P35" s="59">
        <v>4187.13</v>
      </c>
      <c r="Q35" s="59">
        <v>2953.05</v>
      </c>
      <c r="R35" s="59">
        <v>4078.08</v>
      </c>
      <c r="S35" s="59">
        <v>9301.75</v>
      </c>
      <c r="T35" s="59">
        <v>10294.84</v>
      </c>
      <c r="U35" s="59">
        <v>29653.040000000001</v>
      </c>
      <c r="V35" s="59">
        <v>0</v>
      </c>
      <c r="W35" s="59">
        <v>0</v>
      </c>
      <c r="X35" s="59">
        <v>71302.87</v>
      </c>
      <c r="Y35" s="59">
        <v>0</v>
      </c>
      <c r="Z35" s="59">
        <v>75278.880000000005</v>
      </c>
      <c r="AA35" s="59">
        <v>0</v>
      </c>
      <c r="AB35" s="59">
        <v>28114.79</v>
      </c>
      <c r="AC35" s="59">
        <v>43567.360000000001</v>
      </c>
      <c r="AD35" s="59">
        <v>23916.2</v>
      </c>
      <c r="AE35" s="59">
        <v>20.75</v>
      </c>
      <c r="AF35" s="59">
        <v>6647.34</v>
      </c>
      <c r="AG35" s="59">
        <v>10538.9</v>
      </c>
      <c r="AH35" s="59">
        <v>9099.24</v>
      </c>
      <c r="AI35" s="59">
        <v>23598.080000000002</v>
      </c>
      <c r="AJ35" s="59">
        <v>8872.4</v>
      </c>
      <c r="AK35" s="59">
        <v>48464.35</v>
      </c>
      <c r="AL35" s="59">
        <v>18617.099999999999</v>
      </c>
      <c r="AM35" s="59">
        <v>2938.28</v>
      </c>
      <c r="AN35" s="59">
        <v>0</v>
      </c>
      <c r="AO35" s="59">
        <v>2789.7</v>
      </c>
      <c r="AP35" s="59">
        <v>6650.66</v>
      </c>
      <c r="AQ35" s="59">
        <v>28676.09</v>
      </c>
      <c r="AR35" s="59">
        <v>13357.46</v>
      </c>
      <c r="AS35" s="59">
        <v>10198.81</v>
      </c>
      <c r="AT35" s="59">
        <v>28855.98</v>
      </c>
      <c r="AU35" s="59">
        <v>48492.25</v>
      </c>
      <c r="AV35" s="59">
        <v>20172.150000000001</v>
      </c>
      <c r="AW35" s="59">
        <v>45552.31</v>
      </c>
      <c r="AX35" s="59">
        <v>24688.33</v>
      </c>
      <c r="AY35" s="59">
        <v>48003.65</v>
      </c>
      <c r="AZ35" s="59">
        <v>32895.19</v>
      </c>
      <c r="BA35" s="59">
        <v>25786.9</v>
      </c>
      <c r="BB35" s="59">
        <v>40916.120000000003</v>
      </c>
      <c r="BC35" s="59">
        <v>35690.67</v>
      </c>
      <c r="BD35" s="59">
        <v>44801.79</v>
      </c>
      <c r="BE35" s="59">
        <v>46255.79</v>
      </c>
      <c r="BF35" s="59">
        <v>68456.62</v>
      </c>
      <c r="BG35" s="59">
        <v>47863.040000000001</v>
      </c>
      <c r="BH35" s="59">
        <v>18629.990000000002</v>
      </c>
      <c r="BI35" s="59">
        <v>12150</v>
      </c>
      <c r="BJ35" s="59">
        <v>12902.66</v>
      </c>
      <c r="BK35" s="59">
        <v>26215.59</v>
      </c>
      <c r="BL35" s="59">
        <v>12106.92</v>
      </c>
      <c r="BM35" s="59">
        <v>13352</v>
      </c>
      <c r="BN35" s="59">
        <v>14519.7</v>
      </c>
      <c r="BO35" s="59">
        <v>15703.83</v>
      </c>
      <c r="BP35" s="59">
        <v>7037.02</v>
      </c>
      <c r="BQ35" s="59">
        <v>2927.5</v>
      </c>
      <c r="BR35" s="59">
        <v>11168.74</v>
      </c>
      <c r="BS35" s="59">
        <v>2539</v>
      </c>
      <c r="BT35" s="59">
        <v>3173.66</v>
      </c>
      <c r="BU35" s="59">
        <v>17922.46</v>
      </c>
      <c r="BV35" s="59">
        <v>2681</v>
      </c>
      <c r="BW35" s="59">
        <v>109626.95</v>
      </c>
      <c r="BX35" s="59">
        <v>6460.5</v>
      </c>
      <c r="BY35" s="59">
        <v>4434.99</v>
      </c>
      <c r="BZ35" s="59">
        <v>5171.75</v>
      </c>
      <c r="CA35" s="59">
        <v>6725</v>
      </c>
      <c r="CB35" s="59">
        <v>5924.6</v>
      </c>
      <c r="CC35" s="59">
        <v>23508.83</v>
      </c>
      <c r="CD35" s="59">
        <v>17959.349999999999</v>
      </c>
      <c r="CE35" s="59">
        <v>1728</v>
      </c>
      <c r="CF35" s="59">
        <v>584</v>
      </c>
      <c r="CG35" s="59">
        <v>325</v>
      </c>
      <c r="CH35" s="59">
        <v>1300</v>
      </c>
      <c r="CI35" s="59">
        <v>4790</v>
      </c>
      <c r="CJ35" s="59">
        <v>280</v>
      </c>
      <c r="CK35" s="59">
        <v>2410</v>
      </c>
      <c r="CL35" s="59">
        <v>1044</v>
      </c>
      <c r="CM35" s="59">
        <v>4595.6099999999997</v>
      </c>
      <c r="CN35" s="59">
        <v>3733</v>
      </c>
      <c r="CO35" s="59">
        <v>3090</v>
      </c>
      <c r="CP35" s="59">
        <v>3640</v>
      </c>
      <c r="CQ35" s="59">
        <v>3634</v>
      </c>
      <c r="CR35" s="59">
        <v>4726</v>
      </c>
      <c r="CS35" s="59">
        <v>1281</v>
      </c>
      <c r="CT35" s="59">
        <v>0</v>
      </c>
      <c r="CU35" s="59">
        <v>832</v>
      </c>
      <c r="CV35" s="59">
        <v>2900</v>
      </c>
      <c r="CW35" s="59">
        <v>0</v>
      </c>
      <c r="CX35" s="59">
        <v>4500</v>
      </c>
      <c r="CY35" s="59">
        <v>5344</v>
      </c>
      <c r="CZ35" s="59">
        <v>3863</v>
      </c>
      <c r="DA35" s="59">
        <v>390</v>
      </c>
      <c r="DB35" s="59">
        <v>14617.8</v>
      </c>
      <c r="DC35" s="59">
        <v>936.58</v>
      </c>
    </row>
    <row r="36" spans="1:107">
      <c r="A36" s="48" t="s">
        <v>122</v>
      </c>
      <c r="B36" s="59">
        <v>949831.01</v>
      </c>
      <c r="C36" s="59">
        <v>0</v>
      </c>
      <c r="D36" s="59">
        <v>0</v>
      </c>
      <c r="E36" s="59">
        <v>0</v>
      </c>
      <c r="F36" s="59">
        <v>0</v>
      </c>
      <c r="G36" s="59">
        <v>0</v>
      </c>
      <c r="H36" s="59">
        <v>949831.01</v>
      </c>
      <c r="I36" s="59">
        <v>0</v>
      </c>
      <c r="J36" s="59">
        <v>0</v>
      </c>
      <c r="K36" s="59">
        <v>0</v>
      </c>
      <c r="L36" s="59">
        <v>0</v>
      </c>
      <c r="M36" s="59">
        <v>0</v>
      </c>
      <c r="N36" s="59">
        <v>0</v>
      </c>
      <c r="O36" s="59">
        <v>0</v>
      </c>
      <c r="P36" s="59">
        <v>0</v>
      </c>
      <c r="Q36" s="59">
        <v>0</v>
      </c>
      <c r="R36" s="59">
        <v>0</v>
      </c>
      <c r="S36" s="59">
        <v>0</v>
      </c>
      <c r="T36" s="59">
        <v>0</v>
      </c>
      <c r="U36" s="59">
        <v>0</v>
      </c>
      <c r="V36" s="59">
        <v>0</v>
      </c>
      <c r="W36" s="59">
        <v>0</v>
      </c>
      <c r="X36" s="59">
        <v>0</v>
      </c>
      <c r="Y36" s="59">
        <v>0</v>
      </c>
      <c r="Z36" s="59">
        <v>0</v>
      </c>
      <c r="AA36" s="59">
        <v>0</v>
      </c>
      <c r="AB36" s="59">
        <v>0</v>
      </c>
      <c r="AC36" s="59">
        <v>0</v>
      </c>
      <c r="AD36" s="59">
        <v>0</v>
      </c>
      <c r="AE36" s="59">
        <v>0</v>
      </c>
      <c r="AF36" s="59">
        <v>0</v>
      </c>
      <c r="AG36" s="59">
        <v>0</v>
      </c>
      <c r="AH36" s="59">
        <v>0</v>
      </c>
      <c r="AI36" s="59">
        <v>0</v>
      </c>
      <c r="AJ36" s="59">
        <v>0</v>
      </c>
      <c r="AK36" s="59">
        <v>0</v>
      </c>
      <c r="AL36" s="59">
        <v>0</v>
      </c>
      <c r="AM36" s="59">
        <v>0</v>
      </c>
      <c r="AN36" s="59">
        <v>0</v>
      </c>
      <c r="AO36" s="59">
        <v>0</v>
      </c>
      <c r="AP36" s="59">
        <v>0</v>
      </c>
      <c r="AQ36" s="59">
        <v>0</v>
      </c>
      <c r="AR36" s="59">
        <v>0</v>
      </c>
      <c r="AS36" s="59">
        <v>0</v>
      </c>
      <c r="AT36" s="59">
        <v>0</v>
      </c>
      <c r="AU36" s="59">
        <v>0</v>
      </c>
      <c r="AV36" s="59">
        <v>0</v>
      </c>
      <c r="AW36" s="59">
        <v>0</v>
      </c>
      <c r="AX36" s="59">
        <v>0</v>
      </c>
      <c r="AY36" s="59">
        <v>0</v>
      </c>
      <c r="AZ36" s="59">
        <v>0</v>
      </c>
      <c r="BA36" s="59">
        <v>0</v>
      </c>
      <c r="BB36" s="59">
        <v>0</v>
      </c>
      <c r="BC36" s="59">
        <v>0</v>
      </c>
      <c r="BD36" s="59">
        <v>0</v>
      </c>
      <c r="BE36" s="59">
        <v>0</v>
      </c>
      <c r="BF36" s="59">
        <v>0</v>
      </c>
      <c r="BG36" s="59">
        <v>0</v>
      </c>
      <c r="BH36" s="59">
        <v>0</v>
      </c>
      <c r="BI36" s="59">
        <v>0</v>
      </c>
      <c r="BJ36" s="59">
        <v>0</v>
      </c>
      <c r="BK36" s="59">
        <v>0</v>
      </c>
      <c r="BL36" s="59">
        <v>0</v>
      </c>
      <c r="BM36" s="59">
        <v>0</v>
      </c>
      <c r="BN36" s="59">
        <v>0</v>
      </c>
      <c r="BO36" s="59">
        <v>0</v>
      </c>
      <c r="BP36" s="59">
        <v>0</v>
      </c>
      <c r="BQ36" s="59">
        <v>0</v>
      </c>
      <c r="BR36" s="59">
        <v>0</v>
      </c>
      <c r="BS36" s="59">
        <v>0</v>
      </c>
      <c r="BT36" s="59">
        <v>0</v>
      </c>
      <c r="BU36" s="59">
        <v>0</v>
      </c>
      <c r="BV36" s="59">
        <v>0</v>
      </c>
      <c r="BW36" s="59">
        <v>0</v>
      </c>
      <c r="BX36" s="59">
        <v>0</v>
      </c>
      <c r="BY36" s="59">
        <v>0</v>
      </c>
      <c r="BZ36" s="59">
        <v>0</v>
      </c>
      <c r="CA36" s="59">
        <v>0</v>
      </c>
      <c r="CB36" s="59">
        <v>0</v>
      </c>
      <c r="CC36" s="59">
        <v>0</v>
      </c>
      <c r="CD36" s="59">
        <v>0</v>
      </c>
      <c r="CE36" s="59">
        <v>0</v>
      </c>
      <c r="CF36" s="59">
        <v>0</v>
      </c>
      <c r="CG36" s="59">
        <v>0</v>
      </c>
      <c r="CH36" s="59">
        <v>0</v>
      </c>
      <c r="CI36" s="59">
        <v>0</v>
      </c>
      <c r="CJ36" s="59">
        <v>0</v>
      </c>
      <c r="CK36" s="59">
        <v>0</v>
      </c>
      <c r="CL36" s="59">
        <v>0</v>
      </c>
      <c r="CM36" s="59">
        <v>0</v>
      </c>
      <c r="CN36" s="59">
        <v>0</v>
      </c>
      <c r="CO36" s="59">
        <v>0</v>
      </c>
      <c r="CP36" s="59">
        <v>0</v>
      </c>
      <c r="CQ36" s="59">
        <v>0</v>
      </c>
      <c r="CR36" s="59">
        <v>0</v>
      </c>
      <c r="CS36" s="59">
        <v>0</v>
      </c>
      <c r="CT36" s="59">
        <v>0</v>
      </c>
      <c r="CU36" s="59">
        <v>0</v>
      </c>
      <c r="CV36" s="59">
        <v>0</v>
      </c>
      <c r="CW36" s="59">
        <v>0</v>
      </c>
      <c r="CX36" s="59">
        <v>0</v>
      </c>
      <c r="CY36" s="59">
        <v>0</v>
      </c>
      <c r="CZ36" s="59">
        <v>0</v>
      </c>
      <c r="DA36" s="59">
        <v>0</v>
      </c>
      <c r="DB36" s="59">
        <v>0</v>
      </c>
      <c r="DC36" s="59">
        <v>0</v>
      </c>
    </row>
    <row r="37" spans="1:107">
      <c r="A37" s="48" t="s">
        <v>123</v>
      </c>
      <c r="B37" s="59">
        <v>1425420.06</v>
      </c>
      <c r="C37" s="59">
        <v>1126766.9099999999</v>
      </c>
      <c r="D37" s="59">
        <v>0</v>
      </c>
      <c r="E37" s="59">
        <v>40434.230000000003</v>
      </c>
      <c r="F37" s="59">
        <v>32334.59</v>
      </c>
      <c r="G37" s="59">
        <v>0</v>
      </c>
      <c r="H37" s="59">
        <v>0</v>
      </c>
      <c r="I37" s="59">
        <v>0</v>
      </c>
      <c r="J37" s="59">
        <v>166754.99</v>
      </c>
      <c r="K37" s="59">
        <v>0</v>
      </c>
      <c r="L37" s="59">
        <v>0</v>
      </c>
      <c r="M37" s="59">
        <v>0</v>
      </c>
      <c r="N37" s="59">
        <v>0</v>
      </c>
      <c r="O37" s="59">
        <v>0</v>
      </c>
      <c r="P37" s="59">
        <v>0</v>
      </c>
      <c r="Q37" s="59">
        <v>0</v>
      </c>
      <c r="R37" s="59">
        <v>0</v>
      </c>
      <c r="S37" s="59">
        <v>0</v>
      </c>
      <c r="T37" s="59">
        <v>0</v>
      </c>
      <c r="U37" s="59">
        <v>47169.81</v>
      </c>
      <c r="V37" s="59">
        <v>0</v>
      </c>
      <c r="W37" s="59">
        <v>0</v>
      </c>
      <c r="X37" s="59">
        <v>-8945.27</v>
      </c>
      <c r="Y37" s="59">
        <v>0</v>
      </c>
      <c r="Z37" s="59">
        <v>11959.53</v>
      </c>
      <c r="AA37" s="59">
        <v>0</v>
      </c>
      <c r="AB37" s="59">
        <v>11959.53</v>
      </c>
      <c r="AC37" s="59">
        <v>13500.91</v>
      </c>
      <c r="AD37" s="59">
        <v>11959.53</v>
      </c>
      <c r="AE37" s="59">
        <v>0</v>
      </c>
      <c r="AF37" s="59">
        <v>0</v>
      </c>
      <c r="AG37" s="59">
        <v>0</v>
      </c>
      <c r="AH37" s="59">
        <v>0</v>
      </c>
      <c r="AI37" s="59">
        <v>0</v>
      </c>
      <c r="AJ37" s="59">
        <v>11959.53</v>
      </c>
      <c r="AK37" s="59">
        <v>16167.29</v>
      </c>
      <c r="AL37" s="59">
        <v>16167.3</v>
      </c>
      <c r="AM37" s="59">
        <v>0</v>
      </c>
      <c r="AN37" s="59">
        <v>0</v>
      </c>
      <c r="AO37" s="59">
        <v>0</v>
      </c>
      <c r="AP37" s="59">
        <v>0</v>
      </c>
      <c r="AQ37" s="59">
        <v>0</v>
      </c>
      <c r="AR37" s="59">
        <v>0</v>
      </c>
      <c r="AS37" s="59">
        <v>0</v>
      </c>
      <c r="AT37" s="59">
        <v>54008.15</v>
      </c>
      <c r="AU37" s="59">
        <v>119926.15</v>
      </c>
      <c r="AV37" s="59">
        <v>25868</v>
      </c>
      <c r="AW37" s="59">
        <v>83015.289999999994</v>
      </c>
      <c r="AX37" s="59">
        <v>60276</v>
      </c>
      <c r="AY37" s="59">
        <v>59066.92</v>
      </c>
      <c r="AZ37" s="59">
        <v>17838.66</v>
      </c>
      <c r="BA37" s="59">
        <v>72717</v>
      </c>
      <c r="BB37" s="59">
        <v>31182</v>
      </c>
      <c r="BC37" s="59">
        <v>28746</v>
      </c>
      <c r="BD37" s="59">
        <v>127151.9</v>
      </c>
      <c r="BE37" s="59">
        <v>39481.67</v>
      </c>
      <c r="BF37" s="59">
        <v>64440</v>
      </c>
      <c r="BG37" s="59">
        <v>7547</v>
      </c>
      <c r="BH37" s="59">
        <v>29461.68</v>
      </c>
      <c r="BI37" s="59">
        <v>6215</v>
      </c>
      <c r="BJ37" s="59">
        <v>386</v>
      </c>
      <c r="BK37" s="59">
        <v>47022</v>
      </c>
      <c r="BL37" s="59">
        <v>28745</v>
      </c>
      <c r="BM37" s="59">
        <v>1348</v>
      </c>
      <c r="BN37" s="59">
        <v>574</v>
      </c>
      <c r="BO37" s="59">
        <v>66514.5</v>
      </c>
      <c r="BP37" s="59">
        <v>1115</v>
      </c>
      <c r="BQ37" s="59">
        <v>218</v>
      </c>
      <c r="BR37" s="59">
        <v>1800.09</v>
      </c>
      <c r="BS37" s="59">
        <v>365</v>
      </c>
      <c r="BT37" s="59">
        <v>3172</v>
      </c>
      <c r="BU37" s="59">
        <v>1596</v>
      </c>
      <c r="BV37" s="59">
        <v>951</v>
      </c>
      <c r="BW37" s="59">
        <v>22309</v>
      </c>
      <c r="BX37" s="59">
        <v>163</v>
      </c>
      <c r="BY37" s="59">
        <v>30389</v>
      </c>
      <c r="BZ37" s="59">
        <v>162</v>
      </c>
      <c r="CA37" s="59">
        <v>21288.06</v>
      </c>
      <c r="CB37" s="59">
        <v>430</v>
      </c>
      <c r="CC37" s="59">
        <v>36354.6</v>
      </c>
      <c r="CD37" s="59">
        <v>30763.24</v>
      </c>
      <c r="CE37" s="59">
        <v>542</v>
      </c>
      <c r="CF37" s="59">
        <v>16</v>
      </c>
      <c r="CG37" s="59">
        <v>1928</v>
      </c>
      <c r="CH37" s="59">
        <v>103</v>
      </c>
      <c r="CI37" s="59">
        <v>111</v>
      </c>
      <c r="CJ37" s="59">
        <v>116</v>
      </c>
      <c r="CK37" s="59">
        <v>57</v>
      </c>
      <c r="CL37" s="59">
        <v>98</v>
      </c>
      <c r="CM37" s="59">
        <v>30</v>
      </c>
      <c r="CN37" s="59">
        <v>241</v>
      </c>
      <c r="CO37" s="59">
        <v>103</v>
      </c>
      <c r="CP37" s="59">
        <v>331</v>
      </c>
      <c r="CQ37" s="59">
        <v>134</v>
      </c>
      <c r="CR37" s="59">
        <v>25</v>
      </c>
      <c r="CS37" s="59">
        <v>48</v>
      </c>
      <c r="CT37" s="59">
        <v>20</v>
      </c>
      <c r="CU37" s="59">
        <v>34</v>
      </c>
      <c r="CV37" s="59">
        <v>15</v>
      </c>
      <c r="CW37" s="59">
        <v>0</v>
      </c>
      <c r="CX37" s="59">
        <v>74</v>
      </c>
      <c r="CY37" s="59">
        <v>10</v>
      </c>
      <c r="CZ37" s="59">
        <v>8</v>
      </c>
      <c r="DA37" s="59">
        <v>0</v>
      </c>
      <c r="DB37" s="59">
        <v>102</v>
      </c>
      <c r="DC37" s="59">
        <v>14</v>
      </c>
    </row>
    <row r="38" spans="1:107">
      <c r="A38" s="48" t="s">
        <v>124</v>
      </c>
      <c r="B38" s="59">
        <v>107632.81</v>
      </c>
      <c r="C38" s="59">
        <v>0</v>
      </c>
      <c r="D38" s="59">
        <v>0</v>
      </c>
      <c r="E38" s="59">
        <v>0</v>
      </c>
      <c r="F38" s="59">
        <v>0</v>
      </c>
      <c r="G38" s="59">
        <v>0</v>
      </c>
      <c r="H38" s="59">
        <v>0</v>
      </c>
      <c r="I38" s="59">
        <v>106347.81</v>
      </c>
      <c r="J38" s="59">
        <v>0</v>
      </c>
      <c r="K38" s="59">
        <v>0</v>
      </c>
      <c r="L38" s="59">
        <v>0</v>
      </c>
      <c r="M38" s="59">
        <v>1285</v>
      </c>
      <c r="N38" s="59">
        <v>0</v>
      </c>
      <c r="O38" s="59">
        <v>0</v>
      </c>
      <c r="P38" s="59">
        <v>0</v>
      </c>
      <c r="Q38" s="59">
        <v>0</v>
      </c>
      <c r="R38" s="59">
        <v>0</v>
      </c>
      <c r="S38" s="59">
        <v>0</v>
      </c>
      <c r="T38" s="59">
        <v>0</v>
      </c>
      <c r="U38" s="59">
        <v>0</v>
      </c>
      <c r="V38" s="59">
        <v>0</v>
      </c>
      <c r="W38" s="59">
        <v>0</v>
      </c>
      <c r="X38" s="59">
        <v>0</v>
      </c>
      <c r="Y38" s="59">
        <v>0</v>
      </c>
      <c r="Z38" s="59">
        <v>0</v>
      </c>
      <c r="AA38" s="59">
        <v>0</v>
      </c>
      <c r="AB38" s="59">
        <v>0</v>
      </c>
      <c r="AC38" s="59">
        <v>0</v>
      </c>
      <c r="AD38" s="59">
        <v>0</v>
      </c>
      <c r="AE38" s="59">
        <v>0</v>
      </c>
      <c r="AF38" s="59">
        <v>0</v>
      </c>
      <c r="AG38" s="59">
        <v>0</v>
      </c>
      <c r="AH38" s="59">
        <v>0</v>
      </c>
      <c r="AI38" s="59">
        <v>0</v>
      </c>
      <c r="AJ38" s="59">
        <v>0</v>
      </c>
      <c r="AK38" s="59">
        <v>0</v>
      </c>
      <c r="AL38" s="59">
        <v>0</v>
      </c>
      <c r="AM38" s="59">
        <v>0</v>
      </c>
      <c r="AN38" s="59">
        <v>0</v>
      </c>
      <c r="AO38" s="59">
        <v>0</v>
      </c>
      <c r="AP38" s="59">
        <v>0</v>
      </c>
      <c r="AQ38" s="59">
        <v>0</v>
      </c>
      <c r="AR38" s="59">
        <v>0</v>
      </c>
      <c r="AS38" s="59">
        <v>0</v>
      </c>
      <c r="AT38" s="59">
        <v>0</v>
      </c>
      <c r="AU38" s="59">
        <v>0</v>
      </c>
      <c r="AV38" s="59">
        <v>0</v>
      </c>
      <c r="AW38" s="59">
        <v>0</v>
      </c>
      <c r="AX38" s="59">
        <v>0</v>
      </c>
      <c r="AY38" s="59">
        <v>0</v>
      </c>
      <c r="AZ38" s="59">
        <v>0</v>
      </c>
      <c r="BA38" s="59">
        <v>0</v>
      </c>
      <c r="BB38" s="59">
        <v>0</v>
      </c>
      <c r="BC38" s="59">
        <v>0</v>
      </c>
      <c r="BD38" s="59">
        <v>0</v>
      </c>
      <c r="BE38" s="59">
        <v>0</v>
      </c>
      <c r="BF38" s="59">
        <v>0</v>
      </c>
      <c r="BG38" s="59">
        <v>0</v>
      </c>
      <c r="BH38" s="59">
        <v>0</v>
      </c>
      <c r="BI38" s="59">
        <v>0</v>
      </c>
      <c r="BJ38" s="59">
        <v>0</v>
      </c>
      <c r="BK38" s="59">
        <v>0</v>
      </c>
      <c r="BL38" s="59">
        <v>0</v>
      </c>
      <c r="BM38" s="59">
        <v>0</v>
      </c>
      <c r="BN38" s="59">
        <v>0</v>
      </c>
      <c r="BO38" s="59">
        <v>0</v>
      </c>
      <c r="BP38" s="59">
        <v>0</v>
      </c>
      <c r="BQ38" s="59">
        <v>0</v>
      </c>
      <c r="BR38" s="59">
        <v>0</v>
      </c>
      <c r="BS38" s="59">
        <v>0</v>
      </c>
      <c r="BT38" s="59">
        <v>0</v>
      </c>
      <c r="BU38" s="59">
        <v>0</v>
      </c>
      <c r="BV38" s="59">
        <v>0</v>
      </c>
      <c r="BW38" s="59">
        <v>0</v>
      </c>
      <c r="BX38" s="59">
        <v>0</v>
      </c>
      <c r="BY38" s="59">
        <v>0</v>
      </c>
      <c r="BZ38" s="59">
        <v>0</v>
      </c>
      <c r="CA38" s="59">
        <v>0</v>
      </c>
      <c r="CB38" s="59">
        <v>0</v>
      </c>
      <c r="CC38" s="59">
        <v>0</v>
      </c>
      <c r="CD38" s="59">
        <v>0</v>
      </c>
      <c r="CE38" s="59">
        <v>0</v>
      </c>
      <c r="CF38" s="59">
        <v>0</v>
      </c>
      <c r="CG38" s="59">
        <v>0</v>
      </c>
      <c r="CH38" s="59">
        <v>0</v>
      </c>
      <c r="CI38" s="59">
        <v>0</v>
      </c>
      <c r="CJ38" s="59">
        <v>0</v>
      </c>
      <c r="CK38" s="59">
        <v>0</v>
      </c>
      <c r="CL38" s="59">
        <v>0</v>
      </c>
      <c r="CM38" s="59">
        <v>0</v>
      </c>
      <c r="CN38" s="59">
        <v>0</v>
      </c>
      <c r="CO38" s="59">
        <v>0</v>
      </c>
      <c r="CP38" s="59">
        <v>0</v>
      </c>
      <c r="CQ38" s="59">
        <v>0</v>
      </c>
      <c r="CR38" s="59">
        <v>0</v>
      </c>
      <c r="CS38" s="59">
        <v>0</v>
      </c>
      <c r="CT38" s="59">
        <v>0</v>
      </c>
      <c r="CU38" s="59">
        <v>0</v>
      </c>
      <c r="CV38" s="59">
        <v>0</v>
      </c>
      <c r="CW38" s="59">
        <v>0</v>
      </c>
      <c r="CX38" s="59">
        <v>0</v>
      </c>
      <c r="CY38" s="59">
        <v>0</v>
      </c>
      <c r="CZ38" s="59">
        <v>0</v>
      </c>
      <c r="DA38" s="59">
        <v>0</v>
      </c>
      <c r="DB38" s="59">
        <v>0</v>
      </c>
      <c r="DC38" s="59">
        <v>0</v>
      </c>
    </row>
    <row r="39" spans="1:107">
      <c r="A39" s="48" t="s">
        <v>125</v>
      </c>
      <c r="B39" s="59">
        <v>417941.67</v>
      </c>
      <c r="C39" s="59">
        <v>227797.72</v>
      </c>
      <c r="D39" s="59">
        <v>41092</v>
      </c>
      <c r="E39" s="59">
        <v>15178</v>
      </c>
      <c r="F39" s="59">
        <v>300</v>
      </c>
      <c r="G39" s="59">
        <v>0</v>
      </c>
      <c r="H39" s="59">
        <v>0</v>
      </c>
      <c r="I39" s="59">
        <v>0</v>
      </c>
      <c r="J39" s="59">
        <v>133573.95000000001</v>
      </c>
      <c r="K39" s="59">
        <v>0</v>
      </c>
      <c r="L39" s="59">
        <v>0</v>
      </c>
      <c r="M39" s="59">
        <v>0</v>
      </c>
      <c r="N39" s="59">
        <v>0</v>
      </c>
      <c r="O39" s="59">
        <v>0</v>
      </c>
      <c r="P39" s="59">
        <v>0</v>
      </c>
      <c r="Q39" s="59">
        <v>0</v>
      </c>
      <c r="R39" s="59">
        <v>0</v>
      </c>
      <c r="S39" s="59">
        <v>0</v>
      </c>
      <c r="T39" s="59">
        <v>0</v>
      </c>
      <c r="U39" s="59">
        <v>0</v>
      </c>
      <c r="V39" s="59">
        <v>0</v>
      </c>
      <c r="W39" s="59">
        <v>0</v>
      </c>
      <c r="X39" s="59">
        <v>2618</v>
      </c>
      <c r="Y39" s="59">
        <v>0</v>
      </c>
      <c r="Z39" s="59">
        <v>3140</v>
      </c>
      <c r="AA39" s="59">
        <v>0</v>
      </c>
      <c r="AB39" s="59">
        <v>3140</v>
      </c>
      <c r="AC39" s="59">
        <v>3140</v>
      </c>
      <c r="AD39" s="59">
        <v>3140</v>
      </c>
      <c r="AE39" s="59">
        <v>0</v>
      </c>
      <c r="AF39" s="59">
        <v>38610</v>
      </c>
      <c r="AG39" s="59">
        <v>1241</v>
      </c>
      <c r="AH39" s="59">
        <v>1241</v>
      </c>
      <c r="AI39" s="59">
        <v>0</v>
      </c>
      <c r="AJ39" s="59">
        <v>0</v>
      </c>
      <c r="AK39" s="59">
        <v>0</v>
      </c>
      <c r="AL39" s="59">
        <v>300</v>
      </c>
      <c r="AM39" s="59">
        <v>0</v>
      </c>
      <c r="AN39" s="59">
        <v>0</v>
      </c>
      <c r="AO39" s="59">
        <v>0</v>
      </c>
      <c r="AP39" s="59">
        <v>0</v>
      </c>
      <c r="AQ39" s="59">
        <v>5400</v>
      </c>
      <c r="AR39" s="59">
        <v>0</v>
      </c>
      <c r="AS39" s="59">
        <v>0</v>
      </c>
      <c r="AT39" s="59">
        <v>31697.09</v>
      </c>
      <c r="AU39" s="59">
        <v>14239</v>
      </c>
      <c r="AV39" s="59">
        <v>0</v>
      </c>
      <c r="AW39" s="59">
        <v>18607.95</v>
      </c>
      <c r="AX39" s="59">
        <v>21617.65</v>
      </c>
      <c r="AY39" s="59">
        <v>11374</v>
      </c>
      <c r="AZ39" s="59">
        <v>4500</v>
      </c>
      <c r="BA39" s="59">
        <v>3930</v>
      </c>
      <c r="BB39" s="59">
        <v>1600</v>
      </c>
      <c r="BC39" s="59">
        <v>0</v>
      </c>
      <c r="BD39" s="59">
        <v>30939</v>
      </c>
      <c r="BE39" s="59">
        <v>23793.85</v>
      </c>
      <c r="BF39" s="59">
        <v>3557</v>
      </c>
      <c r="BG39" s="59">
        <v>0</v>
      </c>
      <c r="BH39" s="59">
        <v>7400</v>
      </c>
      <c r="BI39" s="59">
        <v>0</v>
      </c>
      <c r="BJ39" s="59">
        <v>1200</v>
      </c>
      <c r="BK39" s="59">
        <v>3645</v>
      </c>
      <c r="BL39" s="59">
        <v>1850</v>
      </c>
      <c r="BM39" s="59">
        <v>0</v>
      </c>
      <c r="BN39" s="59">
        <v>0</v>
      </c>
      <c r="BO39" s="59">
        <v>0</v>
      </c>
      <c r="BP39" s="59">
        <v>800</v>
      </c>
      <c r="BQ39" s="59">
        <v>0</v>
      </c>
      <c r="BR39" s="59">
        <v>754.72</v>
      </c>
      <c r="BS39" s="59">
        <v>0</v>
      </c>
      <c r="BT39" s="59">
        <v>0</v>
      </c>
      <c r="BU39" s="59">
        <v>0</v>
      </c>
      <c r="BV39" s="59">
        <v>0</v>
      </c>
      <c r="BW39" s="59">
        <v>7664</v>
      </c>
      <c r="BX39" s="59">
        <v>1500</v>
      </c>
      <c r="BY39" s="59">
        <v>5998</v>
      </c>
      <c r="BZ39" s="59">
        <v>0</v>
      </c>
      <c r="CA39" s="59">
        <v>0</v>
      </c>
      <c r="CB39" s="59">
        <v>0</v>
      </c>
      <c r="CC39" s="59">
        <v>0</v>
      </c>
      <c r="CD39" s="59">
        <v>0</v>
      </c>
      <c r="CE39" s="59">
        <v>0</v>
      </c>
      <c r="CF39" s="59">
        <v>0</v>
      </c>
      <c r="CG39" s="59">
        <v>0</v>
      </c>
      <c r="CH39" s="59">
        <v>0</v>
      </c>
      <c r="CI39" s="59">
        <v>0</v>
      </c>
      <c r="CJ39" s="59">
        <v>0</v>
      </c>
      <c r="CK39" s="59">
        <v>0</v>
      </c>
      <c r="CL39" s="59">
        <v>3300</v>
      </c>
      <c r="CM39" s="59">
        <v>0</v>
      </c>
      <c r="CN39" s="59">
        <v>0</v>
      </c>
      <c r="CO39" s="59">
        <v>0</v>
      </c>
      <c r="CP39" s="59">
        <v>0</v>
      </c>
      <c r="CQ39" s="59">
        <v>300</v>
      </c>
      <c r="CR39" s="59">
        <v>0</v>
      </c>
      <c r="CS39" s="59">
        <v>1029.46</v>
      </c>
      <c r="CT39" s="59">
        <v>0</v>
      </c>
      <c r="CU39" s="59">
        <v>0</v>
      </c>
      <c r="CV39" s="59">
        <v>5500</v>
      </c>
      <c r="CW39" s="59">
        <v>0</v>
      </c>
      <c r="CX39" s="59">
        <v>0</v>
      </c>
      <c r="CY39" s="59">
        <v>5075</v>
      </c>
      <c r="CZ39" s="59">
        <v>10526</v>
      </c>
      <c r="DA39" s="59">
        <v>0</v>
      </c>
      <c r="DB39" s="59">
        <v>0</v>
      </c>
      <c r="DC39" s="59">
        <v>0</v>
      </c>
    </row>
    <row r="40" spans="1:107">
      <c r="A40" s="48" t="s">
        <v>126</v>
      </c>
      <c r="B40" s="59">
        <v>1804347</v>
      </c>
      <c r="C40" s="59">
        <v>202130</v>
      </c>
      <c r="D40" s="59">
        <v>0</v>
      </c>
      <c r="E40" s="59">
        <v>0</v>
      </c>
      <c r="F40" s="59">
        <v>5000</v>
      </c>
      <c r="G40" s="59">
        <v>0</v>
      </c>
      <c r="H40" s="59">
        <v>1597217</v>
      </c>
      <c r="I40" s="59">
        <v>0</v>
      </c>
      <c r="J40" s="59">
        <v>0</v>
      </c>
      <c r="K40" s="59">
        <v>0</v>
      </c>
      <c r="L40" s="59">
        <v>0</v>
      </c>
      <c r="M40" s="59">
        <v>0</v>
      </c>
      <c r="N40" s="59">
        <v>0</v>
      </c>
      <c r="O40" s="59">
        <v>0</v>
      </c>
      <c r="P40" s="59">
        <v>0</v>
      </c>
      <c r="Q40" s="59">
        <v>0</v>
      </c>
      <c r="R40" s="59">
        <v>0</v>
      </c>
      <c r="S40" s="59">
        <v>0</v>
      </c>
      <c r="T40" s="59">
        <v>0</v>
      </c>
      <c r="U40" s="59">
        <v>0</v>
      </c>
      <c r="V40" s="59">
        <v>0</v>
      </c>
      <c r="W40" s="59">
        <v>0</v>
      </c>
      <c r="X40" s="59">
        <v>0</v>
      </c>
      <c r="Y40" s="59">
        <v>0</v>
      </c>
      <c r="Z40" s="59">
        <v>0</v>
      </c>
      <c r="AA40" s="59">
        <v>0</v>
      </c>
      <c r="AB40" s="59">
        <v>0</v>
      </c>
      <c r="AC40" s="59">
        <v>0</v>
      </c>
      <c r="AD40" s="59">
        <v>0</v>
      </c>
      <c r="AE40" s="59">
        <v>0</v>
      </c>
      <c r="AF40" s="59">
        <v>0</v>
      </c>
      <c r="AG40" s="59">
        <v>0</v>
      </c>
      <c r="AH40" s="59">
        <v>0</v>
      </c>
      <c r="AI40" s="59">
        <v>0</v>
      </c>
      <c r="AJ40" s="59">
        <v>0</v>
      </c>
      <c r="AK40" s="59">
        <v>0</v>
      </c>
      <c r="AL40" s="59">
        <v>5000</v>
      </c>
      <c r="AM40" s="59">
        <v>0</v>
      </c>
      <c r="AN40" s="59">
        <v>0</v>
      </c>
      <c r="AO40" s="59">
        <v>0</v>
      </c>
      <c r="AP40" s="59">
        <v>0</v>
      </c>
      <c r="AQ40" s="59">
        <v>0</v>
      </c>
      <c r="AR40" s="59">
        <v>0</v>
      </c>
      <c r="AS40" s="59">
        <v>0</v>
      </c>
      <c r="AT40" s="59">
        <v>0</v>
      </c>
      <c r="AU40" s="59">
        <v>0</v>
      </c>
      <c r="AV40" s="59">
        <v>0</v>
      </c>
      <c r="AW40" s="59">
        <v>0</v>
      </c>
      <c r="AX40" s="59">
        <v>0</v>
      </c>
      <c r="AY40" s="59">
        <v>0</v>
      </c>
      <c r="AZ40" s="59">
        <v>0</v>
      </c>
      <c r="BA40" s="59">
        <v>0</v>
      </c>
      <c r="BB40" s="59">
        <v>8000</v>
      </c>
      <c r="BC40" s="59">
        <v>0</v>
      </c>
      <c r="BD40" s="59">
        <v>30000</v>
      </c>
      <c r="BE40" s="59">
        <v>22130</v>
      </c>
      <c r="BF40" s="59">
        <v>8000</v>
      </c>
      <c r="BG40" s="59">
        <v>8000</v>
      </c>
      <c r="BH40" s="59">
        <v>0</v>
      </c>
      <c r="BI40" s="59">
        <v>0</v>
      </c>
      <c r="BJ40" s="59">
        <v>0</v>
      </c>
      <c r="BK40" s="59">
        <v>0</v>
      </c>
      <c r="BL40" s="59">
        <v>0</v>
      </c>
      <c r="BM40" s="59">
        <v>0</v>
      </c>
      <c r="BN40" s="59">
        <v>0</v>
      </c>
      <c r="BO40" s="59">
        <v>0</v>
      </c>
      <c r="BP40" s="59">
        <v>0</v>
      </c>
      <c r="BQ40" s="59">
        <v>0</v>
      </c>
      <c r="BR40" s="59">
        <v>3000</v>
      </c>
      <c r="BS40" s="59">
        <v>0</v>
      </c>
      <c r="BT40" s="59">
        <v>0</v>
      </c>
      <c r="BU40" s="59">
        <v>0</v>
      </c>
      <c r="BV40" s="59">
        <v>0</v>
      </c>
      <c r="BW40" s="59">
        <v>0</v>
      </c>
      <c r="BX40" s="59">
        <v>0</v>
      </c>
      <c r="BY40" s="59">
        <v>0</v>
      </c>
      <c r="BZ40" s="59">
        <v>0</v>
      </c>
      <c r="CA40" s="59">
        <v>0</v>
      </c>
      <c r="CB40" s="59">
        <v>0</v>
      </c>
      <c r="CC40" s="59">
        <v>5000</v>
      </c>
      <c r="CD40" s="59">
        <v>5000</v>
      </c>
      <c r="CE40" s="59">
        <v>0</v>
      </c>
      <c r="CF40" s="59">
        <v>0</v>
      </c>
      <c r="CG40" s="59">
        <v>18000</v>
      </c>
      <c r="CH40" s="59">
        <v>30000</v>
      </c>
      <c r="CI40" s="59">
        <v>0</v>
      </c>
      <c r="CJ40" s="59">
        <v>0</v>
      </c>
      <c r="CK40" s="59">
        <v>0</v>
      </c>
      <c r="CL40" s="59">
        <v>0</v>
      </c>
      <c r="CM40" s="59">
        <v>20000</v>
      </c>
      <c r="CN40" s="59">
        <v>0</v>
      </c>
      <c r="CO40" s="59">
        <v>0</v>
      </c>
      <c r="CP40" s="59">
        <v>10000</v>
      </c>
      <c r="CQ40" s="59">
        <v>0</v>
      </c>
      <c r="CR40" s="59">
        <v>0</v>
      </c>
      <c r="CS40" s="59">
        <v>15000</v>
      </c>
      <c r="CT40" s="59">
        <v>0</v>
      </c>
      <c r="CU40" s="59">
        <v>0</v>
      </c>
      <c r="CV40" s="59">
        <v>0</v>
      </c>
      <c r="CW40" s="59">
        <v>0</v>
      </c>
      <c r="CX40" s="59">
        <v>20000</v>
      </c>
      <c r="CY40" s="59">
        <v>0</v>
      </c>
      <c r="CZ40" s="59">
        <v>0</v>
      </c>
      <c r="DA40" s="59">
        <v>0</v>
      </c>
      <c r="DB40" s="59">
        <v>0</v>
      </c>
      <c r="DC40" s="59">
        <v>0</v>
      </c>
    </row>
    <row r="41" spans="1:107">
      <c r="A41" s="48" t="s">
        <v>127</v>
      </c>
      <c r="B41" s="59">
        <v>252296.01</v>
      </c>
      <c r="C41" s="59">
        <v>0</v>
      </c>
      <c r="D41" s="59">
        <v>67169.8</v>
      </c>
      <c r="E41" s="59">
        <v>0</v>
      </c>
      <c r="F41" s="59">
        <v>0</v>
      </c>
      <c r="G41" s="59">
        <v>0</v>
      </c>
      <c r="H41" s="59">
        <v>0</v>
      </c>
      <c r="I41" s="59">
        <v>0</v>
      </c>
      <c r="J41" s="59">
        <v>0</v>
      </c>
      <c r="K41" s="59">
        <v>0</v>
      </c>
      <c r="L41" s="59">
        <v>0</v>
      </c>
      <c r="M41" s="59">
        <v>35126.21</v>
      </c>
      <c r="N41" s="59">
        <v>0</v>
      </c>
      <c r="O41" s="59">
        <v>0</v>
      </c>
      <c r="P41" s="59">
        <v>150000</v>
      </c>
      <c r="Q41" s="59">
        <v>0</v>
      </c>
      <c r="R41" s="59">
        <v>0</v>
      </c>
      <c r="S41" s="59">
        <v>0</v>
      </c>
      <c r="T41" s="59">
        <v>0</v>
      </c>
      <c r="U41" s="59">
        <v>0</v>
      </c>
      <c r="V41" s="59">
        <v>0</v>
      </c>
      <c r="W41" s="59">
        <v>0</v>
      </c>
      <c r="X41" s="59">
        <v>0</v>
      </c>
      <c r="Y41" s="59">
        <v>0</v>
      </c>
      <c r="Z41" s="59">
        <v>0</v>
      </c>
      <c r="AA41" s="59">
        <v>0</v>
      </c>
      <c r="AB41" s="59">
        <v>0</v>
      </c>
      <c r="AC41" s="59">
        <v>0</v>
      </c>
      <c r="AD41" s="59">
        <v>0</v>
      </c>
      <c r="AE41" s="59">
        <v>0</v>
      </c>
      <c r="AF41" s="59">
        <v>0</v>
      </c>
      <c r="AG41" s="59">
        <v>38867.919999999998</v>
      </c>
      <c r="AH41" s="59">
        <v>28301.88</v>
      </c>
      <c r="AI41" s="59">
        <v>0</v>
      </c>
      <c r="AJ41" s="59">
        <v>0</v>
      </c>
      <c r="AK41" s="59">
        <v>0</v>
      </c>
      <c r="AL41" s="59">
        <v>0</v>
      </c>
      <c r="AM41" s="59">
        <v>0</v>
      </c>
      <c r="AN41" s="59">
        <v>0</v>
      </c>
      <c r="AO41" s="59">
        <v>0</v>
      </c>
      <c r="AP41" s="59">
        <v>0</v>
      </c>
      <c r="AQ41" s="59">
        <v>0</v>
      </c>
      <c r="AR41" s="59">
        <v>0</v>
      </c>
      <c r="AS41" s="59">
        <v>0</v>
      </c>
      <c r="AT41" s="59">
        <v>0</v>
      </c>
      <c r="AU41" s="59">
        <v>0</v>
      </c>
      <c r="AV41" s="59">
        <v>0</v>
      </c>
      <c r="AW41" s="59">
        <v>0</v>
      </c>
      <c r="AX41" s="59">
        <v>0</v>
      </c>
      <c r="AY41" s="59">
        <v>0</v>
      </c>
      <c r="AZ41" s="59">
        <v>0</v>
      </c>
      <c r="BA41" s="59">
        <v>0</v>
      </c>
      <c r="BB41" s="59">
        <v>0</v>
      </c>
      <c r="BC41" s="59">
        <v>0</v>
      </c>
      <c r="BD41" s="59">
        <v>0</v>
      </c>
      <c r="BE41" s="59">
        <v>0</v>
      </c>
      <c r="BF41" s="59">
        <v>0</v>
      </c>
      <c r="BG41" s="59">
        <v>0</v>
      </c>
      <c r="BH41" s="59">
        <v>0</v>
      </c>
      <c r="BI41" s="59">
        <v>0</v>
      </c>
      <c r="BJ41" s="59">
        <v>0</v>
      </c>
      <c r="BK41" s="59">
        <v>0</v>
      </c>
      <c r="BL41" s="59">
        <v>0</v>
      </c>
      <c r="BM41" s="59">
        <v>0</v>
      </c>
      <c r="BN41" s="59">
        <v>0</v>
      </c>
      <c r="BO41" s="59">
        <v>0</v>
      </c>
      <c r="BP41" s="59">
        <v>0</v>
      </c>
      <c r="BQ41" s="59">
        <v>0</v>
      </c>
      <c r="BR41" s="59">
        <v>0</v>
      </c>
      <c r="BS41" s="59">
        <v>0</v>
      </c>
      <c r="BT41" s="59">
        <v>0</v>
      </c>
      <c r="BU41" s="59">
        <v>0</v>
      </c>
      <c r="BV41" s="59">
        <v>0</v>
      </c>
      <c r="BW41" s="59">
        <v>0</v>
      </c>
      <c r="BX41" s="59">
        <v>0</v>
      </c>
      <c r="BY41" s="59">
        <v>0</v>
      </c>
      <c r="BZ41" s="59">
        <v>0</v>
      </c>
      <c r="CA41" s="59">
        <v>0</v>
      </c>
      <c r="CB41" s="59">
        <v>0</v>
      </c>
      <c r="CC41" s="59">
        <v>0</v>
      </c>
      <c r="CD41" s="59">
        <v>0</v>
      </c>
      <c r="CE41" s="59">
        <v>0</v>
      </c>
      <c r="CF41" s="59">
        <v>0</v>
      </c>
      <c r="CG41" s="59">
        <v>0</v>
      </c>
      <c r="CH41" s="59">
        <v>0</v>
      </c>
      <c r="CI41" s="59">
        <v>0</v>
      </c>
      <c r="CJ41" s="59">
        <v>0</v>
      </c>
      <c r="CK41" s="59">
        <v>0</v>
      </c>
      <c r="CL41" s="59">
        <v>0</v>
      </c>
      <c r="CM41" s="59">
        <v>0</v>
      </c>
      <c r="CN41" s="59">
        <v>0</v>
      </c>
      <c r="CO41" s="59">
        <v>0</v>
      </c>
      <c r="CP41" s="59">
        <v>0</v>
      </c>
      <c r="CQ41" s="59">
        <v>0</v>
      </c>
      <c r="CR41" s="59">
        <v>0</v>
      </c>
      <c r="CS41" s="59">
        <v>0</v>
      </c>
      <c r="CT41" s="59">
        <v>0</v>
      </c>
      <c r="CU41" s="59">
        <v>0</v>
      </c>
      <c r="CV41" s="59">
        <v>0</v>
      </c>
      <c r="CW41" s="59">
        <v>0</v>
      </c>
      <c r="CX41" s="59">
        <v>0</v>
      </c>
      <c r="CY41" s="59">
        <v>0</v>
      </c>
      <c r="CZ41" s="59">
        <v>0</v>
      </c>
      <c r="DA41" s="59">
        <v>0</v>
      </c>
      <c r="DB41" s="59">
        <v>0</v>
      </c>
      <c r="DC41" s="59">
        <v>0</v>
      </c>
    </row>
    <row r="42" spans="1:107">
      <c r="A42" s="48" t="s">
        <v>128</v>
      </c>
      <c r="B42" s="59">
        <v>350</v>
      </c>
      <c r="C42" s="59">
        <v>-1050</v>
      </c>
      <c r="D42" s="59">
        <v>0</v>
      </c>
      <c r="E42" s="59">
        <v>1400</v>
      </c>
      <c r="F42" s="59">
        <v>0</v>
      </c>
      <c r="G42" s="59">
        <v>0</v>
      </c>
      <c r="H42" s="59">
        <v>0</v>
      </c>
      <c r="I42" s="59">
        <v>0</v>
      </c>
      <c r="J42" s="59">
        <v>0</v>
      </c>
      <c r="K42" s="59">
        <v>0</v>
      </c>
      <c r="L42" s="59">
        <v>0</v>
      </c>
      <c r="M42" s="59">
        <v>0</v>
      </c>
      <c r="N42" s="59">
        <v>0</v>
      </c>
      <c r="O42" s="59">
        <v>0</v>
      </c>
      <c r="P42" s="59">
        <v>0</v>
      </c>
      <c r="Q42" s="59">
        <v>0</v>
      </c>
      <c r="R42" s="59">
        <v>0</v>
      </c>
      <c r="S42" s="59">
        <v>0</v>
      </c>
      <c r="T42" s="59">
        <v>0</v>
      </c>
      <c r="U42" s="59">
        <v>0</v>
      </c>
      <c r="V42" s="59">
        <v>0</v>
      </c>
      <c r="W42" s="59">
        <v>0</v>
      </c>
      <c r="X42" s="59">
        <v>0</v>
      </c>
      <c r="Y42" s="59">
        <v>0</v>
      </c>
      <c r="Z42" s="59">
        <v>1400</v>
      </c>
      <c r="AA42" s="59">
        <v>0</v>
      </c>
      <c r="AB42" s="59">
        <v>0</v>
      </c>
      <c r="AC42" s="59">
        <v>0</v>
      </c>
      <c r="AD42" s="59">
        <v>0</v>
      </c>
      <c r="AE42" s="59">
        <v>0</v>
      </c>
      <c r="AF42" s="59">
        <v>0</v>
      </c>
      <c r="AG42" s="59">
        <v>0</v>
      </c>
      <c r="AH42" s="59">
        <v>0</v>
      </c>
      <c r="AI42" s="59">
        <v>0</v>
      </c>
      <c r="AJ42" s="59">
        <v>0</v>
      </c>
      <c r="AK42" s="59">
        <v>0</v>
      </c>
      <c r="AL42" s="59">
        <v>0</v>
      </c>
      <c r="AM42" s="59">
        <v>0</v>
      </c>
      <c r="AN42" s="59">
        <v>0</v>
      </c>
      <c r="AO42" s="59">
        <v>0</v>
      </c>
      <c r="AP42" s="59">
        <v>0</v>
      </c>
      <c r="AQ42" s="59">
        <v>0</v>
      </c>
      <c r="AR42" s="59">
        <v>0</v>
      </c>
      <c r="AS42" s="59">
        <v>0</v>
      </c>
      <c r="AT42" s="59">
        <v>0</v>
      </c>
      <c r="AU42" s="59">
        <v>0</v>
      </c>
      <c r="AV42" s="59">
        <v>0</v>
      </c>
      <c r="AW42" s="59">
        <v>0</v>
      </c>
      <c r="AX42" s="59">
        <v>0</v>
      </c>
      <c r="AY42" s="59">
        <v>0</v>
      </c>
      <c r="AZ42" s="59">
        <v>0</v>
      </c>
      <c r="BA42" s="59">
        <v>0</v>
      </c>
      <c r="BB42" s="59">
        <v>0</v>
      </c>
      <c r="BC42" s="59">
        <v>0</v>
      </c>
      <c r="BD42" s="59">
        <v>0</v>
      </c>
      <c r="BE42" s="59">
        <v>0</v>
      </c>
      <c r="BF42" s="59">
        <v>0</v>
      </c>
      <c r="BG42" s="59">
        <v>0</v>
      </c>
      <c r="BH42" s="59">
        <v>0</v>
      </c>
      <c r="BI42" s="59">
        <v>0</v>
      </c>
      <c r="BJ42" s="59">
        <v>0</v>
      </c>
      <c r="BK42" s="59">
        <v>0</v>
      </c>
      <c r="BL42" s="59">
        <v>0</v>
      </c>
      <c r="BM42" s="59">
        <v>0</v>
      </c>
      <c r="BN42" s="59">
        <v>0</v>
      </c>
      <c r="BO42" s="59">
        <v>0</v>
      </c>
      <c r="BP42" s="59">
        <v>0</v>
      </c>
      <c r="BQ42" s="59">
        <v>0</v>
      </c>
      <c r="BR42" s="59">
        <v>0</v>
      </c>
      <c r="BS42" s="59">
        <v>0</v>
      </c>
      <c r="BT42" s="59">
        <v>0</v>
      </c>
      <c r="BU42" s="59">
        <v>0</v>
      </c>
      <c r="BV42" s="59">
        <v>0</v>
      </c>
      <c r="BW42" s="59">
        <v>0</v>
      </c>
      <c r="BX42" s="59">
        <v>0</v>
      </c>
      <c r="BY42" s="59">
        <v>0</v>
      </c>
      <c r="BZ42" s="59">
        <v>0</v>
      </c>
      <c r="CA42" s="59">
        <v>0</v>
      </c>
      <c r="CB42" s="59">
        <v>0</v>
      </c>
      <c r="CC42" s="59">
        <v>0</v>
      </c>
      <c r="CD42" s="59">
        <v>-1050</v>
      </c>
      <c r="CE42" s="59">
        <v>0</v>
      </c>
      <c r="CF42" s="59">
        <v>0</v>
      </c>
      <c r="CG42" s="59">
        <v>0</v>
      </c>
      <c r="CH42" s="59">
        <v>0</v>
      </c>
      <c r="CI42" s="59">
        <v>0</v>
      </c>
      <c r="CJ42" s="59">
        <v>0</v>
      </c>
      <c r="CK42" s="59">
        <v>0</v>
      </c>
      <c r="CL42" s="59">
        <v>0</v>
      </c>
      <c r="CM42" s="59">
        <v>0</v>
      </c>
      <c r="CN42" s="59">
        <v>0</v>
      </c>
      <c r="CO42" s="59">
        <v>0</v>
      </c>
      <c r="CP42" s="59">
        <v>0</v>
      </c>
      <c r="CQ42" s="59">
        <v>0</v>
      </c>
      <c r="CR42" s="59">
        <v>0</v>
      </c>
      <c r="CS42" s="59">
        <v>0</v>
      </c>
      <c r="CT42" s="59">
        <v>0</v>
      </c>
      <c r="CU42" s="59">
        <v>0</v>
      </c>
      <c r="CV42" s="59">
        <v>0</v>
      </c>
      <c r="CW42" s="59">
        <v>0</v>
      </c>
      <c r="CX42" s="59">
        <v>0</v>
      </c>
      <c r="CY42" s="59">
        <v>0</v>
      </c>
      <c r="CZ42" s="59">
        <v>0</v>
      </c>
      <c r="DA42" s="59">
        <v>0</v>
      </c>
      <c r="DB42" s="59">
        <v>0</v>
      </c>
      <c r="DC42" s="59">
        <v>0</v>
      </c>
    </row>
    <row r="43" spans="1:107">
      <c r="A43" s="48" t="s">
        <v>129</v>
      </c>
      <c r="B43" s="59">
        <v>4084761.18</v>
      </c>
      <c r="C43" s="59">
        <v>3359972.73</v>
      </c>
      <c r="D43" s="59">
        <v>0</v>
      </c>
      <c r="E43" s="59">
        <v>195227.25</v>
      </c>
      <c r="F43" s="59">
        <v>122994.53</v>
      </c>
      <c r="G43" s="59">
        <v>0</v>
      </c>
      <c r="H43" s="59">
        <v>0</v>
      </c>
      <c r="I43" s="59">
        <v>0</v>
      </c>
      <c r="J43" s="59">
        <v>0</v>
      </c>
      <c r="K43" s="59">
        <v>0</v>
      </c>
      <c r="L43" s="59">
        <v>0</v>
      </c>
      <c r="M43" s="59">
        <v>0</v>
      </c>
      <c r="N43" s="59">
        <v>0</v>
      </c>
      <c r="O43" s="59">
        <v>0</v>
      </c>
      <c r="P43" s="59">
        <v>0</v>
      </c>
      <c r="Q43" s="59">
        <v>0</v>
      </c>
      <c r="R43" s="59">
        <v>0</v>
      </c>
      <c r="S43" s="59">
        <v>0</v>
      </c>
      <c r="T43" s="59">
        <v>0</v>
      </c>
      <c r="U43" s="59">
        <v>406566.67</v>
      </c>
      <c r="V43" s="59">
        <v>0</v>
      </c>
      <c r="W43" s="59">
        <v>0</v>
      </c>
      <c r="X43" s="59">
        <v>0</v>
      </c>
      <c r="Y43" s="59">
        <v>0</v>
      </c>
      <c r="Z43" s="59">
        <v>11008</v>
      </c>
      <c r="AA43" s="59">
        <v>0</v>
      </c>
      <c r="AB43" s="59">
        <v>34400</v>
      </c>
      <c r="AC43" s="59">
        <v>68904</v>
      </c>
      <c r="AD43" s="59">
        <v>80915.25</v>
      </c>
      <c r="AE43" s="59">
        <v>0</v>
      </c>
      <c r="AF43" s="59">
        <v>0</v>
      </c>
      <c r="AG43" s="59">
        <v>0</v>
      </c>
      <c r="AH43" s="59">
        <v>0</v>
      </c>
      <c r="AI43" s="59">
        <v>0</v>
      </c>
      <c r="AJ43" s="59">
        <v>0</v>
      </c>
      <c r="AK43" s="59">
        <v>122994.53</v>
      </c>
      <c r="AL43" s="59">
        <v>0</v>
      </c>
      <c r="AM43" s="59">
        <v>0</v>
      </c>
      <c r="AN43" s="59">
        <v>0</v>
      </c>
      <c r="AO43" s="59">
        <v>219000</v>
      </c>
      <c r="AP43" s="59">
        <v>0</v>
      </c>
      <c r="AQ43" s="59">
        <v>0</v>
      </c>
      <c r="AR43" s="59">
        <v>0</v>
      </c>
      <c r="AS43" s="59">
        <v>3371.67</v>
      </c>
      <c r="AT43" s="59">
        <v>128628.27</v>
      </c>
      <c r="AU43" s="59">
        <v>168826.14</v>
      </c>
      <c r="AV43" s="59">
        <v>215657.66</v>
      </c>
      <c r="AW43" s="59">
        <v>103975.24</v>
      </c>
      <c r="AX43" s="59">
        <v>163599.44</v>
      </c>
      <c r="AY43" s="59">
        <v>154767.79999999999</v>
      </c>
      <c r="AZ43" s="59">
        <v>88770.16</v>
      </c>
      <c r="BA43" s="59">
        <v>201762.94</v>
      </c>
      <c r="BB43" s="59">
        <v>139409.54</v>
      </c>
      <c r="BC43" s="59">
        <v>93420.44</v>
      </c>
      <c r="BD43" s="59">
        <v>223791.28</v>
      </c>
      <c r="BE43" s="59">
        <v>155204.28</v>
      </c>
      <c r="BF43" s="59">
        <v>112036.72</v>
      </c>
      <c r="BG43" s="59">
        <v>99752.18</v>
      </c>
      <c r="BH43" s="59">
        <v>94964.46</v>
      </c>
      <c r="BI43" s="59">
        <v>60784.44</v>
      </c>
      <c r="BJ43" s="59">
        <v>100043.66</v>
      </c>
      <c r="BK43" s="59">
        <v>76355.14</v>
      </c>
      <c r="BL43" s="59">
        <v>90299.82</v>
      </c>
      <c r="BM43" s="59">
        <v>41559.440000000002</v>
      </c>
      <c r="BN43" s="59">
        <v>48442.46</v>
      </c>
      <c r="BO43" s="59">
        <v>104229.41</v>
      </c>
      <c r="BP43" s="59">
        <v>11419.46</v>
      </c>
      <c r="BQ43" s="59">
        <v>20704</v>
      </c>
      <c r="BR43" s="59">
        <v>8803</v>
      </c>
      <c r="BS43" s="59">
        <v>24046</v>
      </c>
      <c r="BT43" s="59">
        <v>8086</v>
      </c>
      <c r="BU43" s="59">
        <v>16042</v>
      </c>
      <c r="BV43" s="59">
        <v>26205</v>
      </c>
      <c r="BW43" s="59">
        <v>9143</v>
      </c>
      <c r="BX43" s="59">
        <v>5479</v>
      </c>
      <c r="BY43" s="59">
        <v>11854</v>
      </c>
      <c r="BZ43" s="59">
        <v>3713</v>
      </c>
      <c r="CA43" s="59">
        <v>4560</v>
      </c>
      <c r="CB43" s="59">
        <v>11721</v>
      </c>
      <c r="CC43" s="59">
        <v>74911.899999999994</v>
      </c>
      <c r="CD43" s="59">
        <v>151638</v>
      </c>
      <c r="CE43" s="59">
        <v>9066.76</v>
      </c>
      <c r="CF43" s="59">
        <v>0</v>
      </c>
      <c r="CG43" s="59">
        <v>1084</v>
      </c>
      <c r="CH43" s="59">
        <v>7276</v>
      </c>
      <c r="CI43" s="59">
        <v>0</v>
      </c>
      <c r="CJ43" s="59">
        <v>417</v>
      </c>
      <c r="CK43" s="59">
        <v>107.4</v>
      </c>
      <c r="CL43" s="59">
        <v>6000</v>
      </c>
      <c r="CM43" s="59">
        <v>8707</v>
      </c>
      <c r="CN43" s="59">
        <v>6069</v>
      </c>
      <c r="CO43" s="59">
        <v>0</v>
      </c>
      <c r="CP43" s="59">
        <v>591</v>
      </c>
      <c r="CQ43" s="59">
        <v>4415</v>
      </c>
      <c r="CR43" s="59">
        <v>0</v>
      </c>
      <c r="CS43" s="59">
        <v>2021.53</v>
      </c>
      <c r="CT43" s="59">
        <v>4360</v>
      </c>
      <c r="CU43" s="59">
        <v>217.98</v>
      </c>
      <c r="CV43" s="59">
        <v>0</v>
      </c>
      <c r="CW43" s="59">
        <v>0</v>
      </c>
      <c r="CX43" s="59">
        <v>0</v>
      </c>
      <c r="CY43" s="59">
        <v>0</v>
      </c>
      <c r="CZ43" s="59">
        <v>0</v>
      </c>
      <c r="DA43" s="59">
        <v>0</v>
      </c>
      <c r="DB43" s="59">
        <v>11662.11</v>
      </c>
      <c r="DC43" s="59">
        <v>21000</v>
      </c>
    </row>
    <row r="44" spans="1:107">
      <c r="A44" s="48" t="s">
        <v>130</v>
      </c>
      <c r="B44" s="59">
        <v>1680583.9</v>
      </c>
      <c r="C44" s="59">
        <v>756491.33</v>
      </c>
      <c r="D44" s="59">
        <v>3533.97</v>
      </c>
      <c r="E44" s="59">
        <v>302704.14</v>
      </c>
      <c r="F44" s="59">
        <v>5953.02</v>
      </c>
      <c r="G44" s="59">
        <v>0</v>
      </c>
      <c r="H44" s="59">
        <v>0</v>
      </c>
      <c r="I44" s="59">
        <v>0</v>
      </c>
      <c r="J44" s="59">
        <v>0</v>
      </c>
      <c r="K44" s="59">
        <v>49505.2</v>
      </c>
      <c r="L44" s="59">
        <v>0</v>
      </c>
      <c r="M44" s="59">
        <v>0</v>
      </c>
      <c r="N44" s="59">
        <v>0</v>
      </c>
      <c r="O44" s="59">
        <v>0</v>
      </c>
      <c r="P44" s="59">
        <v>0</v>
      </c>
      <c r="Q44" s="59">
        <v>0</v>
      </c>
      <c r="R44" s="59">
        <v>0</v>
      </c>
      <c r="S44" s="59">
        <v>33679.26</v>
      </c>
      <c r="T44" s="59">
        <v>0</v>
      </c>
      <c r="U44" s="59">
        <v>528716.98</v>
      </c>
      <c r="V44" s="59">
        <v>0</v>
      </c>
      <c r="W44" s="59">
        <v>0</v>
      </c>
      <c r="X44" s="59">
        <v>0</v>
      </c>
      <c r="Y44" s="59">
        <v>0</v>
      </c>
      <c r="Z44" s="59">
        <v>76360</v>
      </c>
      <c r="AA44" s="59">
        <v>0</v>
      </c>
      <c r="AB44" s="59">
        <v>2303.4</v>
      </c>
      <c r="AC44" s="59">
        <v>112020.37</v>
      </c>
      <c r="AD44" s="59">
        <v>112020.37</v>
      </c>
      <c r="AE44" s="59">
        <v>0</v>
      </c>
      <c r="AF44" s="59">
        <v>0</v>
      </c>
      <c r="AG44" s="59">
        <v>1600</v>
      </c>
      <c r="AH44" s="59">
        <v>0</v>
      </c>
      <c r="AI44" s="59">
        <v>1933.97</v>
      </c>
      <c r="AJ44" s="59">
        <v>0</v>
      </c>
      <c r="AK44" s="59">
        <v>3373.02</v>
      </c>
      <c r="AL44" s="59">
        <v>2580</v>
      </c>
      <c r="AM44" s="59">
        <v>0</v>
      </c>
      <c r="AN44" s="59">
        <v>0</v>
      </c>
      <c r="AO44" s="59">
        <v>10000</v>
      </c>
      <c r="AP44" s="59">
        <v>0</v>
      </c>
      <c r="AQ44" s="59">
        <v>2000</v>
      </c>
      <c r="AR44" s="59">
        <v>0</v>
      </c>
      <c r="AS44" s="59">
        <v>0</v>
      </c>
      <c r="AT44" s="59">
        <v>40356</v>
      </c>
      <c r="AU44" s="59">
        <v>53362</v>
      </c>
      <c r="AV44" s="59">
        <v>57465</v>
      </c>
      <c r="AW44" s="59">
        <v>34989</v>
      </c>
      <c r="AX44" s="59">
        <v>55739.53</v>
      </c>
      <c r="AY44" s="59">
        <v>46758</v>
      </c>
      <c r="AZ44" s="59">
        <v>19326</v>
      </c>
      <c r="BA44" s="59">
        <v>57712</v>
      </c>
      <c r="BB44" s="59">
        <v>19571</v>
      </c>
      <c r="BC44" s="59">
        <v>20529.34</v>
      </c>
      <c r="BD44" s="59">
        <v>33888</v>
      </c>
      <c r="BE44" s="59">
        <v>35898</v>
      </c>
      <c r="BF44" s="59">
        <v>22221</v>
      </c>
      <c r="BG44" s="59">
        <v>26999</v>
      </c>
      <c r="BH44" s="59">
        <v>19606</v>
      </c>
      <c r="BI44" s="59">
        <v>18967</v>
      </c>
      <c r="BJ44" s="59">
        <v>17495</v>
      </c>
      <c r="BK44" s="59">
        <v>18406</v>
      </c>
      <c r="BL44" s="59">
        <v>16784</v>
      </c>
      <c r="BM44" s="59">
        <v>7853</v>
      </c>
      <c r="BN44" s="59">
        <v>13594</v>
      </c>
      <c r="BO44" s="59">
        <v>18292</v>
      </c>
      <c r="BP44" s="59">
        <v>3674</v>
      </c>
      <c r="BQ44" s="59">
        <v>6628</v>
      </c>
      <c r="BR44" s="59">
        <v>3852</v>
      </c>
      <c r="BS44" s="59">
        <v>9604</v>
      </c>
      <c r="BT44" s="59">
        <v>4145</v>
      </c>
      <c r="BU44" s="59">
        <v>7906</v>
      </c>
      <c r="BV44" s="59">
        <v>7081</v>
      </c>
      <c r="BW44" s="59">
        <v>5044</v>
      </c>
      <c r="BX44" s="59">
        <v>2306</v>
      </c>
      <c r="BY44" s="59">
        <v>5796</v>
      </c>
      <c r="BZ44" s="59">
        <v>1972</v>
      </c>
      <c r="CA44" s="59">
        <v>2421</v>
      </c>
      <c r="CB44" s="59">
        <v>5754</v>
      </c>
      <c r="CC44" s="59">
        <v>4416</v>
      </c>
      <c r="CD44" s="59">
        <v>10865</v>
      </c>
      <c r="CE44" s="59">
        <v>1860</v>
      </c>
      <c r="CF44" s="59">
        <v>0</v>
      </c>
      <c r="CG44" s="59">
        <v>544</v>
      </c>
      <c r="CH44" s="59">
        <v>1333</v>
      </c>
      <c r="CI44" s="59">
        <v>0</v>
      </c>
      <c r="CJ44" s="59">
        <v>248</v>
      </c>
      <c r="CK44" s="59">
        <v>120.54</v>
      </c>
      <c r="CL44" s="59">
        <v>0</v>
      </c>
      <c r="CM44" s="59">
        <v>514</v>
      </c>
      <c r="CN44" s="59">
        <v>64.92</v>
      </c>
      <c r="CO44" s="59">
        <v>0</v>
      </c>
      <c r="CP44" s="59">
        <v>335</v>
      </c>
      <c r="CQ44" s="59">
        <v>84</v>
      </c>
      <c r="CR44" s="59">
        <v>0</v>
      </c>
      <c r="CS44" s="59">
        <v>1030</v>
      </c>
      <c r="CT44" s="59">
        <v>470</v>
      </c>
      <c r="CU44" s="59">
        <v>213</v>
      </c>
      <c r="CV44" s="59">
        <v>0</v>
      </c>
      <c r="CW44" s="59">
        <v>0</v>
      </c>
      <c r="CX44" s="59">
        <v>0</v>
      </c>
      <c r="CY44" s="59">
        <v>0</v>
      </c>
      <c r="CZ44" s="59">
        <v>0</v>
      </c>
      <c r="DA44" s="59">
        <v>0</v>
      </c>
      <c r="DB44" s="59">
        <v>0</v>
      </c>
      <c r="DC44" s="59">
        <v>400</v>
      </c>
    </row>
    <row r="45" spans="1:107">
      <c r="A45" s="48" t="s">
        <v>131</v>
      </c>
      <c r="B45" s="59">
        <v>21436878.620000001</v>
      </c>
      <c r="C45" s="59">
        <v>15117220.59</v>
      </c>
      <c r="D45" s="59">
        <v>511307.9</v>
      </c>
      <c r="E45" s="59">
        <v>1646211.81</v>
      </c>
      <c r="F45" s="59">
        <v>734456.78</v>
      </c>
      <c r="G45" s="59">
        <v>0</v>
      </c>
      <c r="H45" s="59">
        <v>0</v>
      </c>
      <c r="I45" s="59">
        <v>0</v>
      </c>
      <c r="J45" s="59">
        <v>371715.56</v>
      </c>
      <c r="K45" s="59">
        <v>0</v>
      </c>
      <c r="L45" s="59">
        <v>0</v>
      </c>
      <c r="M45" s="59">
        <v>0</v>
      </c>
      <c r="N45" s="59">
        <v>86892</v>
      </c>
      <c r="O45" s="59">
        <v>0</v>
      </c>
      <c r="P45" s="59">
        <v>0</v>
      </c>
      <c r="Q45" s="59">
        <v>0</v>
      </c>
      <c r="R45" s="59">
        <v>0</v>
      </c>
      <c r="S45" s="59">
        <v>28063.57</v>
      </c>
      <c r="T45" s="59">
        <v>0</v>
      </c>
      <c r="U45" s="59">
        <v>2829166.69</v>
      </c>
      <c r="V45" s="59">
        <v>0</v>
      </c>
      <c r="W45" s="59">
        <v>0</v>
      </c>
      <c r="X45" s="59">
        <v>1187692.1100000001</v>
      </c>
      <c r="Y45" s="59">
        <v>0</v>
      </c>
      <c r="Z45" s="59">
        <v>118189.32</v>
      </c>
      <c r="AA45" s="59">
        <v>0</v>
      </c>
      <c r="AB45" s="59">
        <v>118184.32000000001</v>
      </c>
      <c r="AC45" s="59">
        <v>110302.34</v>
      </c>
      <c r="AD45" s="59">
        <v>111843.72</v>
      </c>
      <c r="AE45" s="59">
        <v>0</v>
      </c>
      <c r="AF45" s="59">
        <v>154563.12</v>
      </c>
      <c r="AG45" s="59">
        <v>160376.64000000001</v>
      </c>
      <c r="AH45" s="59">
        <v>196368.14</v>
      </c>
      <c r="AI45" s="59">
        <v>0</v>
      </c>
      <c r="AJ45" s="59">
        <v>111843.72</v>
      </c>
      <c r="AK45" s="59">
        <v>362205.95</v>
      </c>
      <c r="AL45" s="59">
        <v>372250.83</v>
      </c>
      <c r="AM45" s="59">
        <v>0</v>
      </c>
      <c r="AN45" s="59">
        <v>0</v>
      </c>
      <c r="AO45" s="59">
        <v>0</v>
      </c>
      <c r="AP45" s="59">
        <v>0</v>
      </c>
      <c r="AQ45" s="59">
        <v>0</v>
      </c>
      <c r="AR45" s="59">
        <v>0</v>
      </c>
      <c r="AS45" s="59">
        <v>0</v>
      </c>
      <c r="AT45" s="59">
        <v>438143.5</v>
      </c>
      <c r="AU45" s="59">
        <v>606136.66</v>
      </c>
      <c r="AV45" s="59">
        <v>599871.01</v>
      </c>
      <c r="AW45" s="59">
        <v>466608</v>
      </c>
      <c r="AX45" s="59">
        <v>778160.18</v>
      </c>
      <c r="AY45" s="59">
        <v>267844.34000000003</v>
      </c>
      <c r="AZ45" s="59">
        <v>122356.51</v>
      </c>
      <c r="BA45" s="59">
        <v>260424</v>
      </c>
      <c r="BB45" s="59">
        <v>746808</v>
      </c>
      <c r="BC45" s="59">
        <v>826712.47</v>
      </c>
      <c r="BD45" s="59">
        <v>1259511.22</v>
      </c>
      <c r="BE45" s="59">
        <v>652560.69999999995</v>
      </c>
      <c r="BF45" s="59">
        <v>1148666.05</v>
      </c>
      <c r="BG45" s="59">
        <v>781579.14</v>
      </c>
      <c r="BH45" s="59">
        <v>374025.97</v>
      </c>
      <c r="BI45" s="59">
        <v>94717</v>
      </c>
      <c r="BJ45" s="59">
        <v>296538.49</v>
      </c>
      <c r="BK45" s="59">
        <v>162368.48000000001</v>
      </c>
      <c r="BL45" s="59">
        <v>183494.66</v>
      </c>
      <c r="BM45" s="59">
        <v>177602</v>
      </c>
      <c r="BN45" s="59">
        <v>167441.96</v>
      </c>
      <c r="BO45" s="59">
        <v>239476.6</v>
      </c>
      <c r="BP45" s="59">
        <v>247311.52</v>
      </c>
      <c r="BQ45" s="59">
        <v>47320</v>
      </c>
      <c r="BR45" s="59">
        <v>80318</v>
      </c>
      <c r="BS45" s="59">
        <v>68089.41</v>
      </c>
      <c r="BT45" s="59">
        <v>73498.36</v>
      </c>
      <c r="BU45" s="59">
        <v>123887</v>
      </c>
      <c r="BV45" s="59">
        <v>84261.46</v>
      </c>
      <c r="BW45" s="59">
        <v>368434.76</v>
      </c>
      <c r="BX45" s="59">
        <v>74456.36</v>
      </c>
      <c r="BY45" s="59">
        <v>162133.35999999999</v>
      </c>
      <c r="BZ45" s="59">
        <v>32885.160000000003</v>
      </c>
      <c r="CA45" s="59">
        <v>23427.360000000001</v>
      </c>
      <c r="CB45" s="59">
        <v>77109.23</v>
      </c>
      <c r="CC45" s="59">
        <v>788379.18</v>
      </c>
      <c r="CD45" s="59">
        <v>180654.12</v>
      </c>
      <c r="CE45" s="59">
        <v>100880.8</v>
      </c>
      <c r="CF45" s="59">
        <v>98801.53</v>
      </c>
      <c r="CG45" s="59">
        <v>177213.35</v>
      </c>
      <c r="CH45" s="59">
        <v>65872.820000000007</v>
      </c>
      <c r="CI45" s="59">
        <v>55934.48</v>
      </c>
      <c r="CJ45" s="59">
        <v>54764.6</v>
      </c>
      <c r="CK45" s="59">
        <v>54625.05</v>
      </c>
      <c r="CL45" s="59">
        <v>53749.5</v>
      </c>
      <c r="CM45" s="59">
        <v>74486.039999999994</v>
      </c>
      <c r="CN45" s="59">
        <v>128541.97</v>
      </c>
      <c r="CO45" s="59">
        <v>51729</v>
      </c>
      <c r="CP45" s="59">
        <v>89127.1</v>
      </c>
      <c r="CQ45" s="59">
        <v>77892.14</v>
      </c>
      <c r="CR45" s="59">
        <v>33043.67</v>
      </c>
      <c r="CS45" s="59">
        <v>84349.78</v>
      </c>
      <c r="CT45" s="59">
        <v>30379.84</v>
      </c>
      <c r="CU45" s="59">
        <v>78200.320000000007</v>
      </c>
      <c r="CV45" s="59">
        <v>75923</v>
      </c>
      <c r="CW45" s="59">
        <v>43698.85</v>
      </c>
      <c r="CX45" s="59">
        <v>22260</v>
      </c>
      <c r="CY45" s="59">
        <v>81630.06</v>
      </c>
      <c r="CZ45" s="59">
        <v>35097.699999999997</v>
      </c>
      <c r="DA45" s="59">
        <v>149206.35</v>
      </c>
      <c r="DB45" s="59">
        <v>262833.74</v>
      </c>
      <c r="DC45" s="59">
        <v>53766.68</v>
      </c>
    </row>
    <row r="46" spans="1:107">
      <c r="A46" s="48" t="s">
        <v>132</v>
      </c>
      <c r="B46" s="59">
        <v>10416762.369999999</v>
      </c>
      <c r="C46" s="59">
        <v>1715724.14</v>
      </c>
      <c r="D46" s="59">
        <v>0</v>
      </c>
      <c r="E46" s="59">
        <v>446678.63</v>
      </c>
      <c r="F46" s="59">
        <v>144692.87</v>
      </c>
      <c r="G46" s="59">
        <v>0</v>
      </c>
      <c r="H46" s="59">
        <v>8109666.7300000004</v>
      </c>
      <c r="I46" s="59">
        <v>0</v>
      </c>
      <c r="J46" s="59">
        <v>0</v>
      </c>
      <c r="K46" s="59">
        <v>0</v>
      </c>
      <c r="L46" s="59">
        <v>0</v>
      </c>
      <c r="M46" s="59">
        <v>0</v>
      </c>
      <c r="N46" s="59">
        <v>0</v>
      </c>
      <c r="O46" s="59">
        <v>0</v>
      </c>
      <c r="P46" s="59">
        <v>0</v>
      </c>
      <c r="Q46" s="59">
        <v>0</v>
      </c>
      <c r="R46" s="59">
        <v>0</v>
      </c>
      <c r="S46" s="59">
        <v>0</v>
      </c>
      <c r="T46" s="59">
        <v>0</v>
      </c>
      <c r="U46" s="59">
        <v>0</v>
      </c>
      <c r="V46" s="59">
        <v>0</v>
      </c>
      <c r="W46" s="59">
        <v>0</v>
      </c>
      <c r="X46" s="59">
        <v>446678.63</v>
      </c>
      <c r="Y46" s="59">
        <v>0</v>
      </c>
      <c r="Z46" s="59">
        <v>0</v>
      </c>
      <c r="AA46" s="59">
        <v>0</v>
      </c>
      <c r="AB46" s="59">
        <v>0</v>
      </c>
      <c r="AC46" s="59">
        <v>0</v>
      </c>
      <c r="AD46" s="59">
        <v>0</v>
      </c>
      <c r="AE46" s="59">
        <v>0</v>
      </c>
      <c r="AF46" s="59">
        <v>0</v>
      </c>
      <c r="AG46" s="59">
        <v>0</v>
      </c>
      <c r="AH46" s="59">
        <v>0</v>
      </c>
      <c r="AI46" s="59">
        <v>0</v>
      </c>
      <c r="AJ46" s="59">
        <v>0</v>
      </c>
      <c r="AK46" s="59">
        <v>61693.3</v>
      </c>
      <c r="AL46" s="59">
        <v>79186.929999999993</v>
      </c>
      <c r="AM46" s="59">
        <v>3812.64</v>
      </c>
      <c r="AN46" s="59">
        <v>0</v>
      </c>
      <c r="AO46" s="59">
        <v>0</v>
      </c>
      <c r="AP46" s="59">
        <v>0</v>
      </c>
      <c r="AQ46" s="59">
        <v>0</v>
      </c>
      <c r="AR46" s="59">
        <v>0</v>
      </c>
      <c r="AS46" s="59">
        <v>0</v>
      </c>
      <c r="AT46" s="59">
        <v>107925.24</v>
      </c>
      <c r="AU46" s="59">
        <v>55645.09</v>
      </c>
      <c r="AV46" s="59">
        <v>76125.16</v>
      </c>
      <c r="AW46" s="59">
        <v>54801.71</v>
      </c>
      <c r="AX46" s="59">
        <v>57749.67</v>
      </c>
      <c r="AY46" s="59">
        <v>212340.44</v>
      </c>
      <c r="AZ46" s="59">
        <v>36541.019999999997</v>
      </c>
      <c r="BA46" s="59">
        <v>52344.94</v>
      </c>
      <c r="BB46" s="59">
        <v>47142.81</v>
      </c>
      <c r="BC46" s="59">
        <v>34286.519999999997</v>
      </c>
      <c r="BD46" s="59">
        <v>70199.100000000006</v>
      </c>
      <c r="BE46" s="59">
        <v>34863.550000000003</v>
      </c>
      <c r="BF46" s="59">
        <v>51736.2</v>
      </c>
      <c r="BG46" s="59">
        <v>81576.5</v>
      </c>
      <c r="BH46" s="59">
        <v>31771.91</v>
      </c>
      <c r="BI46" s="59">
        <v>41920.51</v>
      </c>
      <c r="BJ46" s="59">
        <v>18277.259999999998</v>
      </c>
      <c r="BK46" s="59">
        <v>20816.240000000002</v>
      </c>
      <c r="BL46" s="59">
        <v>43440.36</v>
      </c>
      <c r="BM46" s="59">
        <v>35044.620000000003</v>
      </c>
      <c r="BN46" s="59">
        <v>36199.5</v>
      </c>
      <c r="BO46" s="59">
        <v>23583.77</v>
      </c>
      <c r="BP46" s="59">
        <v>23315.47</v>
      </c>
      <c r="BQ46" s="59">
        <v>13622</v>
      </c>
      <c r="BR46" s="59">
        <v>31952.78</v>
      </c>
      <c r="BS46" s="59">
        <v>11787.88</v>
      </c>
      <c r="BT46" s="59">
        <v>21983.77</v>
      </c>
      <c r="BU46" s="59">
        <v>61262.22</v>
      </c>
      <c r="BV46" s="59">
        <v>16106.87</v>
      </c>
      <c r="BW46" s="59">
        <v>21492.41</v>
      </c>
      <c r="BX46" s="59">
        <v>5961.34</v>
      </c>
      <c r="BY46" s="59">
        <v>33086.06</v>
      </c>
      <c r="BZ46" s="59">
        <v>6421.52</v>
      </c>
      <c r="CA46" s="59">
        <v>5754.8</v>
      </c>
      <c r="CB46" s="59">
        <v>20107.599999999999</v>
      </c>
      <c r="CC46" s="59">
        <v>63031.21</v>
      </c>
      <c r="CD46" s="59">
        <v>67962.210000000006</v>
      </c>
      <c r="CE46" s="59">
        <v>3757.36</v>
      </c>
      <c r="CF46" s="59">
        <v>0</v>
      </c>
      <c r="CG46" s="59">
        <v>2330.64</v>
      </c>
      <c r="CH46" s="59">
        <v>6639.47</v>
      </c>
      <c r="CI46" s="59">
        <v>183.66</v>
      </c>
      <c r="CJ46" s="59">
        <v>2811.19</v>
      </c>
      <c r="CK46" s="59">
        <v>2052.2199999999998</v>
      </c>
      <c r="CL46" s="59">
        <v>1594.79</v>
      </c>
      <c r="CM46" s="59">
        <v>8863.14</v>
      </c>
      <c r="CN46" s="59">
        <v>13828.55</v>
      </c>
      <c r="CO46" s="59">
        <v>801.44</v>
      </c>
      <c r="CP46" s="59">
        <v>6519.23</v>
      </c>
      <c r="CQ46" s="59">
        <v>5920.2</v>
      </c>
      <c r="CR46" s="59">
        <v>695.25</v>
      </c>
      <c r="CS46" s="59">
        <v>6210.95</v>
      </c>
      <c r="CT46" s="59">
        <v>1300</v>
      </c>
      <c r="CU46" s="59">
        <v>9370.35</v>
      </c>
      <c r="CV46" s="59">
        <v>1116.71</v>
      </c>
      <c r="CW46" s="59">
        <v>283.06</v>
      </c>
      <c r="CX46" s="59">
        <v>2837.92</v>
      </c>
      <c r="CY46" s="59">
        <v>1438.9</v>
      </c>
      <c r="CZ46" s="59">
        <v>136.18</v>
      </c>
      <c r="DA46" s="59">
        <v>1269.56</v>
      </c>
      <c r="DB46" s="59">
        <v>7583.11</v>
      </c>
      <c r="DC46" s="59">
        <v>0</v>
      </c>
    </row>
    <row r="47" spans="1:107">
      <c r="A47" s="48" t="s">
        <v>133</v>
      </c>
      <c r="B47" s="59">
        <v>3295283.99</v>
      </c>
      <c r="C47" s="59">
        <v>57777.81</v>
      </c>
      <c r="D47" s="59">
        <v>0</v>
      </c>
      <c r="E47" s="59">
        <v>0</v>
      </c>
      <c r="F47" s="59">
        <v>358719.99</v>
      </c>
      <c r="G47" s="59">
        <v>0</v>
      </c>
      <c r="H47" s="59">
        <v>2878786.19</v>
      </c>
      <c r="I47" s="59">
        <v>0</v>
      </c>
      <c r="J47" s="59">
        <v>0</v>
      </c>
      <c r="K47" s="59">
        <v>0</v>
      </c>
      <c r="L47" s="59">
        <v>0</v>
      </c>
      <c r="M47" s="59">
        <v>0</v>
      </c>
      <c r="N47" s="59">
        <v>0</v>
      </c>
      <c r="O47" s="59">
        <v>0</v>
      </c>
      <c r="P47" s="59">
        <v>0</v>
      </c>
      <c r="Q47" s="59">
        <v>0</v>
      </c>
      <c r="R47" s="59">
        <v>0</v>
      </c>
      <c r="S47" s="59">
        <v>0</v>
      </c>
      <c r="T47" s="59">
        <v>0</v>
      </c>
      <c r="U47" s="59">
        <v>0</v>
      </c>
      <c r="V47" s="59">
        <v>0</v>
      </c>
      <c r="W47" s="59">
        <v>0</v>
      </c>
      <c r="X47" s="59">
        <v>0</v>
      </c>
      <c r="Y47" s="59">
        <v>0</v>
      </c>
      <c r="Z47" s="59">
        <v>0</v>
      </c>
      <c r="AA47" s="59">
        <v>0</v>
      </c>
      <c r="AB47" s="59">
        <v>0</v>
      </c>
      <c r="AC47" s="59">
        <v>0</v>
      </c>
      <c r="AD47" s="59">
        <v>0</v>
      </c>
      <c r="AE47" s="59">
        <v>0</v>
      </c>
      <c r="AF47" s="59">
        <v>0</v>
      </c>
      <c r="AG47" s="59">
        <v>0</v>
      </c>
      <c r="AH47" s="59">
        <v>0</v>
      </c>
      <c r="AI47" s="59">
        <v>0</v>
      </c>
      <c r="AJ47" s="59">
        <v>0</v>
      </c>
      <c r="AK47" s="59">
        <v>358719.99</v>
      </c>
      <c r="AL47" s="59">
        <v>0</v>
      </c>
      <c r="AM47" s="59">
        <v>0</v>
      </c>
      <c r="AN47" s="59">
        <v>0</v>
      </c>
      <c r="AO47" s="59">
        <v>0</v>
      </c>
      <c r="AP47" s="59">
        <v>11666.69</v>
      </c>
      <c r="AQ47" s="59">
        <v>0</v>
      </c>
      <c r="AR47" s="59">
        <v>0</v>
      </c>
      <c r="AS47" s="59">
        <v>0</v>
      </c>
      <c r="AT47" s="59">
        <v>0</v>
      </c>
      <c r="AU47" s="59">
        <v>0</v>
      </c>
      <c r="AV47" s="59">
        <v>0</v>
      </c>
      <c r="AW47" s="59">
        <v>0</v>
      </c>
      <c r="AX47" s="59">
        <v>0</v>
      </c>
      <c r="AY47" s="59">
        <v>0</v>
      </c>
      <c r="AZ47" s="59">
        <v>0</v>
      </c>
      <c r="BA47" s="59">
        <v>0</v>
      </c>
      <c r="BB47" s="59">
        <v>0</v>
      </c>
      <c r="BC47" s="59">
        <v>0</v>
      </c>
      <c r="BD47" s="59">
        <v>0</v>
      </c>
      <c r="BE47" s="59">
        <v>0</v>
      </c>
      <c r="BF47" s="59">
        <v>0</v>
      </c>
      <c r="BG47" s="59">
        <v>11111.12</v>
      </c>
      <c r="BH47" s="59">
        <v>0</v>
      </c>
      <c r="BI47" s="59">
        <v>0</v>
      </c>
      <c r="BJ47" s="59">
        <v>0</v>
      </c>
      <c r="BK47" s="59">
        <v>0</v>
      </c>
      <c r="BL47" s="59">
        <v>0</v>
      </c>
      <c r="BM47" s="59">
        <v>0</v>
      </c>
      <c r="BN47" s="59">
        <v>0</v>
      </c>
      <c r="BO47" s="59">
        <v>0</v>
      </c>
      <c r="BP47" s="59">
        <v>0</v>
      </c>
      <c r="BQ47" s="59">
        <v>0</v>
      </c>
      <c r="BR47" s="59">
        <v>0</v>
      </c>
      <c r="BS47" s="59">
        <v>0</v>
      </c>
      <c r="BT47" s="59">
        <v>0</v>
      </c>
      <c r="BU47" s="59">
        <v>0</v>
      </c>
      <c r="BV47" s="59">
        <v>0</v>
      </c>
      <c r="BW47" s="59">
        <v>35000</v>
      </c>
      <c r="BX47" s="59">
        <v>0</v>
      </c>
      <c r="BY47" s="59">
        <v>0</v>
      </c>
      <c r="BZ47" s="59">
        <v>0</v>
      </c>
      <c r="CA47" s="59">
        <v>0</v>
      </c>
      <c r="CB47" s="59">
        <v>0</v>
      </c>
      <c r="CC47" s="59">
        <v>0</v>
      </c>
      <c r="CD47" s="59">
        <v>0</v>
      </c>
      <c r="CE47" s="59">
        <v>0</v>
      </c>
      <c r="CF47" s="59">
        <v>0</v>
      </c>
      <c r="CG47" s="59">
        <v>0</v>
      </c>
      <c r="CH47" s="59">
        <v>0</v>
      </c>
      <c r="CI47" s="59">
        <v>0</v>
      </c>
      <c r="CJ47" s="59">
        <v>0</v>
      </c>
      <c r="CK47" s="59">
        <v>0</v>
      </c>
      <c r="CL47" s="59">
        <v>0</v>
      </c>
      <c r="CM47" s="59">
        <v>0</v>
      </c>
      <c r="CN47" s="59">
        <v>0</v>
      </c>
      <c r="CO47" s="59">
        <v>0</v>
      </c>
      <c r="CP47" s="59">
        <v>0</v>
      </c>
      <c r="CQ47" s="59">
        <v>0</v>
      </c>
      <c r="CR47" s="59">
        <v>0</v>
      </c>
      <c r="CS47" s="59">
        <v>0</v>
      </c>
      <c r="CT47" s="59">
        <v>0</v>
      </c>
      <c r="CU47" s="59">
        <v>0</v>
      </c>
      <c r="CV47" s="59">
        <v>0</v>
      </c>
      <c r="CW47" s="59">
        <v>0</v>
      </c>
      <c r="CX47" s="59">
        <v>0</v>
      </c>
      <c r="CY47" s="59">
        <v>0</v>
      </c>
      <c r="CZ47" s="59">
        <v>0</v>
      </c>
      <c r="DA47" s="59">
        <v>0</v>
      </c>
      <c r="DB47" s="59">
        <v>0</v>
      </c>
      <c r="DC47" s="59">
        <v>0</v>
      </c>
    </row>
    <row r="48" spans="1:107">
      <c r="A48" s="48" t="s">
        <v>134</v>
      </c>
      <c r="B48" s="59">
        <v>4718768.13</v>
      </c>
      <c r="C48" s="59">
        <v>2363461.85</v>
      </c>
      <c r="D48" s="59">
        <v>274977.59999999998</v>
      </c>
      <c r="E48" s="59">
        <v>142745.63</v>
      </c>
      <c r="F48" s="59">
        <v>129748.69</v>
      </c>
      <c r="G48" s="59">
        <v>0</v>
      </c>
      <c r="H48" s="59">
        <v>1731294.51</v>
      </c>
      <c r="I48" s="59">
        <v>0</v>
      </c>
      <c r="J48" s="59">
        <v>0</v>
      </c>
      <c r="K48" s="59">
        <v>0</v>
      </c>
      <c r="L48" s="59">
        <v>0</v>
      </c>
      <c r="M48" s="59">
        <v>0</v>
      </c>
      <c r="N48" s="59">
        <v>0</v>
      </c>
      <c r="O48" s="59">
        <v>0</v>
      </c>
      <c r="P48" s="59">
        <v>0</v>
      </c>
      <c r="Q48" s="59">
        <v>0</v>
      </c>
      <c r="R48" s="59">
        <v>0</v>
      </c>
      <c r="S48" s="59">
        <v>0</v>
      </c>
      <c r="T48" s="59">
        <v>0</v>
      </c>
      <c r="U48" s="59">
        <v>42223.23</v>
      </c>
      <c r="V48" s="59">
        <v>0</v>
      </c>
      <c r="W48" s="59">
        <v>0</v>
      </c>
      <c r="X48" s="59">
        <v>27148.91</v>
      </c>
      <c r="Y48" s="59">
        <v>0</v>
      </c>
      <c r="Z48" s="59">
        <v>31367.18</v>
      </c>
      <c r="AA48" s="59">
        <v>0</v>
      </c>
      <c r="AB48" s="59">
        <v>28481.82</v>
      </c>
      <c r="AC48" s="59">
        <v>27948.46</v>
      </c>
      <c r="AD48" s="59">
        <v>27799.26</v>
      </c>
      <c r="AE48" s="59">
        <v>0</v>
      </c>
      <c r="AF48" s="59">
        <v>76542.679999999993</v>
      </c>
      <c r="AG48" s="59">
        <v>77796.12</v>
      </c>
      <c r="AH48" s="59">
        <v>120638.8</v>
      </c>
      <c r="AI48" s="59">
        <v>0</v>
      </c>
      <c r="AJ48" s="59">
        <v>34316.620000000003</v>
      </c>
      <c r="AK48" s="59">
        <v>62875.64</v>
      </c>
      <c r="AL48" s="59">
        <v>66873.05</v>
      </c>
      <c r="AM48" s="59">
        <v>0</v>
      </c>
      <c r="AN48" s="59">
        <v>0</v>
      </c>
      <c r="AO48" s="59">
        <v>3542.1</v>
      </c>
      <c r="AP48" s="59">
        <v>0</v>
      </c>
      <c r="AQ48" s="59">
        <v>0</v>
      </c>
      <c r="AR48" s="59">
        <v>0</v>
      </c>
      <c r="AS48" s="59">
        <v>0</v>
      </c>
      <c r="AT48" s="59">
        <v>18381.84</v>
      </c>
      <c r="AU48" s="59">
        <v>78029.27</v>
      </c>
      <c r="AV48" s="59">
        <v>283467.34999999998</v>
      </c>
      <c r="AW48" s="59">
        <v>22370.880000000001</v>
      </c>
      <c r="AX48" s="59">
        <v>78685.84</v>
      </c>
      <c r="AY48" s="59">
        <v>250228.4</v>
      </c>
      <c r="AZ48" s="59">
        <v>98117.14</v>
      </c>
      <c r="BA48" s="59">
        <v>0</v>
      </c>
      <c r="BB48" s="59">
        <v>100335.3</v>
      </c>
      <c r="BC48" s="59">
        <v>105501.84</v>
      </c>
      <c r="BD48" s="59">
        <v>0</v>
      </c>
      <c r="BE48" s="59">
        <v>0</v>
      </c>
      <c r="BF48" s="59">
        <v>0</v>
      </c>
      <c r="BG48" s="59">
        <v>65390</v>
      </c>
      <c r="BH48" s="59">
        <v>0</v>
      </c>
      <c r="BI48" s="59">
        <v>113558.44</v>
      </c>
      <c r="BJ48" s="59">
        <v>19626.68</v>
      </c>
      <c r="BK48" s="59">
        <v>12306.8</v>
      </c>
      <c r="BL48" s="59">
        <v>27462.66</v>
      </c>
      <c r="BM48" s="59">
        <v>29712.83</v>
      </c>
      <c r="BN48" s="59">
        <v>76601.119999999995</v>
      </c>
      <c r="BO48" s="59">
        <v>50883.95</v>
      </c>
      <c r="BP48" s="59">
        <v>70064.320000000007</v>
      </c>
      <c r="BQ48" s="59">
        <v>24738.560000000001</v>
      </c>
      <c r="BR48" s="59">
        <v>64296.24</v>
      </c>
      <c r="BS48" s="59">
        <v>0</v>
      </c>
      <c r="BT48" s="59">
        <v>37286.879999999997</v>
      </c>
      <c r="BU48" s="59">
        <v>57793.760000000002</v>
      </c>
      <c r="BV48" s="59">
        <v>38582.339999999997</v>
      </c>
      <c r="BW48" s="59">
        <v>113519.29</v>
      </c>
      <c r="BX48" s="59">
        <v>30286.82</v>
      </c>
      <c r="BY48" s="59">
        <v>6422.24</v>
      </c>
      <c r="BZ48" s="59">
        <v>21420</v>
      </c>
      <c r="CA48" s="59">
        <v>9979.2800000000007</v>
      </c>
      <c r="CB48" s="59">
        <v>30057.200000000001</v>
      </c>
      <c r="CC48" s="59">
        <v>189540.24</v>
      </c>
      <c r="CD48" s="59">
        <v>29256.98</v>
      </c>
      <c r="CE48" s="59">
        <v>0</v>
      </c>
      <c r="CF48" s="59">
        <v>7142.13</v>
      </c>
      <c r="CG48" s="59">
        <v>0</v>
      </c>
      <c r="CH48" s="59">
        <v>6933.36</v>
      </c>
      <c r="CI48" s="59">
        <v>1180.3499999999999</v>
      </c>
      <c r="CJ48" s="59">
        <v>83522.22</v>
      </c>
      <c r="CK48" s="59">
        <v>890</v>
      </c>
      <c r="CL48" s="59">
        <v>11459.65</v>
      </c>
      <c r="CM48" s="59">
        <v>10851.12</v>
      </c>
      <c r="CN48" s="59">
        <v>9043.4500000000007</v>
      </c>
      <c r="CO48" s="59">
        <v>1025.97</v>
      </c>
      <c r="CP48" s="59">
        <v>12652.1</v>
      </c>
      <c r="CQ48" s="59">
        <v>0</v>
      </c>
      <c r="CR48" s="59">
        <v>4852.5200000000004</v>
      </c>
      <c r="CS48" s="59">
        <v>21533.47</v>
      </c>
      <c r="CT48" s="59">
        <v>4491.78</v>
      </c>
      <c r="CU48" s="59">
        <v>6995.84</v>
      </c>
      <c r="CV48" s="59">
        <v>0</v>
      </c>
      <c r="CW48" s="59">
        <v>0</v>
      </c>
      <c r="CX48" s="59">
        <v>17263.54</v>
      </c>
      <c r="CY48" s="59">
        <v>0</v>
      </c>
      <c r="CZ48" s="59">
        <v>0</v>
      </c>
      <c r="DA48" s="59">
        <v>0</v>
      </c>
      <c r="DB48" s="59">
        <v>6177.76</v>
      </c>
      <c r="DC48" s="59">
        <v>0</v>
      </c>
    </row>
    <row r="49" spans="1:107">
      <c r="A49" s="48" t="s">
        <v>135</v>
      </c>
      <c r="B49" s="59">
        <v>37668.089999999997</v>
      </c>
      <c r="C49" s="59">
        <v>3253</v>
      </c>
      <c r="D49" s="59">
        <v>0</v>
      </c>
      <c r="E49" s="59">
        <v>0</v>
      </c>
      <c r="F49" s="59">
        <v>0</v>
      </c>
      <c r="G49" s="59">
        <v>0</v>
      </c>
      <c r="H49" s="59">
        <v>0</v>
      </c>
      <c r="I49" s="59">
        <v>0</v>
      </c>
      <c r="J49" s="59">
        <v>0</v>
      </c>
      <c r="K49" s="59">
        <v>0</v>
      </c>
      <c r="L49" s="59">
        <v>0</v>
      </c>
      <c r="M49" s="59">
        <v>0</v>
      </c>
      <c r="N49" s="59">
        <v>0</v>
      </c>
      <c r="O49" s="59">
        <v>0</v>
      </c>
      <c r="P49" s="59">
        <v>0</v>
      </c>
      <c r="Q49" s="59">
        <v>0</v>
      </c>
      <c r="R49" s="59">
        <v>0</v>
      </c>
      <c r="S49" s="59">
        <v>0</v>
      </c>
      <c r="T49" s="59">
        <v>0</v>
      </c>
      <c r="U49" s="59">
        <v>33215.089999999997</v>
      </c>
      <c r="V49" s="59">
        <v>0</v>
      </c>
      <c r="W49" s="59">
        <v>0</v>
      </c>
      <c r="X49" s="59">
        <v>0</v>
      </c>
      <c r="Y49" s="59">
        <v>0</v>
      </c>
      <c r="Z49" s="59">
        <v>0</v>
      </c>
      <c r="AA49" s="59">
        <v>0</v>
      </c>
      <c r="AB49" s="59">
        <v>0</v>
      </c>
      <c r="AC49" s="59">
        <v>0</v>
      </c>
      <c r="AD49" s="59">
        <v>0</v>
      </c>
      <c r="AE49" s="59">
        <v>0</v>
      </c>
      <c r="AF49" s="59">
        <v>0</v>
      </c>
      <c r="AG49" s="59">
        <v>0</v>
      </c>
      <c r="AH49" s="59">
        <v>0</v>
      </c>
      <c r="AI49" s="59">
        <v>0</v>
      </c>
      <c r="AJ49" s="59">
        <v>1200</v>
      </c>
      <c r="AK49" s="59">
        <v>0</v>
      </c>
      <c r="AL49" s="59">
        <v>0</v>
      </c>
      <c r="AM49" s="59">
        <v>0</v>
      </c>
      <c r="AN49" s="59">
        <v>0</v>
      </c>
      <c r="AO49" s="59">
        <v>0</v>
      </c>
      <c r="AP49" s="59">
        <v>0</v>
      </c>
      <c r="AQ49" s="59">
        <v>0</v>
      </c>
      <c r="AR49" s="59">
        <v>0</v>
      </c>
      <c r="AS49" s="59">
        <v>0</v>
      </c>
      <c r="AT49" s="59">
        <v>0</v>
      </c>
      <c r="AU49" s="59">
        <v>0</v>
      </c>
      <c r="AV49" s="59">
        <v>0</v>
      </c>
      <c r="AW49" s="59">
        <v>0</v>
      </c>
      <c r="AX49" s="59">
        <v>0</v>
      </c>
      <c r="AY49" s="59">
        <v>0</v>
      </c>
      <c r="AZ49" s="59">
        <v>0</v>
      </c>
      <c r="BA49" s="59">
        <v>0</v>
      </c>
      <c r="BB49" s="59">
        <v>0</v>
      </c>
      <c r="BC49" s="59">
        <v>0</v>
      </c>
      <c r="BD49" s="59">
        <v>0</v>
      </c>
      <c r="BE49" s="59">
        <v>0</v>
      </c>
      <c r="BF49" s="59">
        <v>0</v>
      </c>
      <c r="BG49" s="59">
        <v>3253</v>
      </c>
      <c r="BH49" s="59">
        <v>0</v>
      </c>
      <c r="BI49" s="59">
        <v>0</v>
      </c>
      <c r="BJ49" s="59">
        <v>0</v>
      </c>
      <c r="BK49" s="59">
        <v>0</v>
      </c>
      <c r="BL49" s="59">
        <v>0</v>
      </c>
      <c r="BM49" s="59">
        <v>0</v>
      </c>
      <c r="BN49" s="59">
        <v>0</v>
      </c>
      <c r="BO49" s="59">
        <v>0</v>
      </c>
      <c r="BP49" s="59">
        <v>0</v>
      </c>
      <c r="BQ49" s="59">
        <v>0</v>
      </c>
      <c r="BR49" s="59">
        <v>0</v>
      </c>
      <c r="BS49" s="59">
        <v>0</v>
      </c>
      <c r="BT49" s="59">
        <v>0</v>
      </c>
      <c r="BU49" s="59">
        <v>0</v>
      </c>
      <c r="BV49" s="59">
        <v>0</v>
      </c>
      <c r="BW49" s="59">
        <v>0</v>
      </c>
      <c r="BX49" s="59">
        <v>0</v>
      </c>
      <c r="BY49" s="59">
        <v>0</v>
      </c>
      <c r="BZ49" s="59">
        <v>0</v>
      </c>
      <c r="CA49" s="59">
        <v>0</v>
      </c>
      <c r="CB49" s="59">
        <v>0</v>
      </c>
      <c r="CC49" s="59">
        <v>0</v>
      </c>
      <c r="CD49" s="59">
        <v>0</v>
      </c>
      <c r="CE49" s="59">
        <v>0</v>
      </c>
      <c r="CF49" s="59">
        <v>0</v>
      </c>
      <c r="CG49" s="59">
        <v>0</v>
      </c>
      <c r="CH49" s="59">
        <v>0</v>
      </c>
      <c r="CI49" s="59">
        <v>0</v>
      </c>
      <c r="CJ49" s="59">
        <v>0</v>
      </c>
      <c r="CK49" s="59">
        <v>0</v>
      </c>
      <c r="CL49" s="59">
        <v>0</v>
      </c>
      <c r="CM49" s="59">
        <v>0</v>
      </c>
      <c r="CN49" s="59">
        <v>0</v>
      </c>
      <c r="CO49" s="59">
        <v>0</v>
      </c>
      <c r="CP49" s="59">
        <v>0</v>
      </c>
      <c r="CQ49" s="59">
        <v>0</v>
      </c>
      <c r="CR49" s="59">
        <v>0</v>
      </c>
      <c r="CS49" s="59">
        <v>0</v>
      </c>
      <c r="CT49" s="59">
        <v>0</v>
      </c>
      <c r="CU49" s="59">
        <v>0</v>
      </c>
      <c r="CV49" s="59">
        <v>0</v>
      </c>
      <c r="CW49" s="59">
        <v>0</v>
      </c>
      <c r="CX49" s="59">
        <v>0</v>
      </c>
      <c r="CY49" s="59">
        <v>0</v>
      </c>
      <c r="CZ49" s="59">
        <v>0</v>
      </c>
      <c r="DA49" s="59">
        <v>0</v>
      </c>
      <c r="DB49" s="59">
        <v>0</v>
      </c>
      <c r="DC49" s="59">
        <v>0</v>
      </c>
    </row>
    <row r="50" spans="1:107" s="52" customFormat="1">
      <c r="A50" s="60" t="s">
        <v>98</v>
      </c>
      <c r="B50" s="61">
        <v>54870567.149999999</v>
      </c>
      <c r="C50" s="61">
        <v>27630561.280000001</v>
      </c>
      <c r="D50" s="61">
        <v>988684.32</v>
      </c>
      <c r="E50" s="61">
        <v>3096905.41</v>
      </c>
      <c r="F50" s="61">
        <v>1658043.8</v>
      </c>
      <c r="G50" s="61">
        <v>31260.75</v>
      </c>
      <c r="H50" s="61">
        <v>15392937.039999999</v>
      </c>
      <c r="I50" s="61">
        <v>111843.88</v>
      </c>
      <c r="J50" s="61">
        <v>1408595.76</v>
      </c>
      <c r="K50" s="61">
        <v>69967.78</v>
      </c>
      <c r="L50" s="61">
        <v>1448.19</v>
      </c>
      <c r="M50" s="61">
        <v>38320.699999999997</v>
      </c>
      <c r="N50" s="61">
        <v>95706.39</v>
      </c>
      <c r="O50" s="61">
        <v>886.74</v>
      </c>
      <c r="P50" s="61">
        <v>154187.13</v>
      </c>
      <c r="Q50" s="61">
        <v>2953.05</v>
      </c>
      <c r="R50" s="61">
        <v>4078.08</v>
      </c>
      <c r="S50" s="61">
        <v>71308.58</v>
      </c>
      <c r="T50" s="61">
        <v>10294.84</v>
      </c>
      <c r="U50" s="61">
        <v>3916711.51</v>
      </c>
      <c r="V50" s="61">
        <v>0</v>
      </c>
      <c r="W50" s="61">
        <v>0</v>
      </c>
      <c r="X50" s="61">
        <v>1719901.52</v>
      </c>
      <c r="Y50" s="61">
        <v>0</v>
      </c>
      <c r="Z50" s="61">
        <v>346382.56</v>
      </c>
      <c r="AA50" s="61">
        <v>0</v>
      </c>
      <c r="AB50" s="61">
        <v>244263.51</v>
      </c>
      <c r="AC50" s="61">
        <v>397063.09</v>
      </c>
      <c r="AD50" s="61">
        <v>389273.98</v>
      </c>
      <c r="AE50" s="61">
        <v>20.75</v>
      </c>
      <c r="AF50" s="61">
        <v>290544.46000000002</v>
      </c>
      <c r="AG50" s="61">
        <v>299870.3</v>
      </c>
      <c r="AH50" s="61">
        <v>372737.51</v>
      </c>
      <c r="AI50" s="61">
        <v>25532.05</v>
      </c>
      <c r="AJ50" s="61">
        <v>185871.92</v>
      </c>
      <c r="AK50" s="61">
        <v>1063405.96</v>
      </c>
      <c r="AL50" s="61">
        <v>587886.92000000004</v>
      </c>
      <c r="AM50" s="61">
        <v>6750.92</v>
      </c>
      <c r="AN50" s="61">
        <v>0</v>
      </c>
      <c r="AO50" s="61">
        <v>235331.8</v>
      </c>
      <c r="AP50" s="61">
        <v>18317.349999999999</v>
      </c>
      <c r="AQ50" s="61">
        <v>36076.089999999997</v>
      </c>
      <c r="AR50" s="61">
        <v>13357.46</v>
      </c>
      <c r="AS50" s="61">
        <v>13570.48</v>
      </c>
      <c r="AT50" s="61">
        <v>953392.07</v>
      </c>
      <c r="AU50" s="61">
        <v>1244979.3600000001</v>
      </c>
      <c r="AV50" s="61">
        <v>1291837.3600000001</v>
      </c>
      <c r="AW50" s="61">
        <v>932077.38</v>
      </c>
      <c r="AX50" s="61">
        <v>1314828.48</v>
      </c>
      <c r="AY50" s="61">
        <v>1142503.67</v>
      </c>
      <c r="AZ50" s="61">
        <v>447935.18</v>
      </c>
      <c r="BA50" s="61">
        <v>828859.78</v>
      </c>
      <c r="BB50" s="61">
        <v>1149031.77</v>
      </c>
      <c r="BC50" s="61">
        <v>1174513.29</v>
      </c>
      <c r="BD50" s="61">
        <v>1865204.77</v>
      </c>
      <c r="BE50" s="61">
        <v>1098443.8400000001</v>
      </c>
      <c r="BF50" s="61">
        <v>1566620.95</v>
      </c>
      <c r="BG50" s="61">
        <v>1187191.33</v>
      </c>
      <c r="BH50" s="61">
        <v>650974.47</v>
      </c>
      <c r="BI50" s="61">
        <v>372694.79</v>
      </c>
      <c r="BJ50" s="61">
        <v>530724.51</v>
      </c>
      <c r="BK50" s="61">
        <v>430793.8</v>
      </c>
      <c r="BL50" s="61">
        <v>451021.02</v>
      </c>
      <c r="BM50" s="61">
        <v>339955.12</v>
      </c>
      <c r="BN50" s="61">
        <v>393558.07</v>
      </c>
      <c r="BO50" s="61">
        <v>643705.15</v>
      </c>
      <c r="BP50" s="61">
        <v>371266.79</v>
      </c>
      <c r="BQ50" s="61">
        <v>124362.06</v>
      </c>
      <c r="BR50" s="61">
        <v>217552.6</v>
      </c>
      <c r="BS50" s="61">
        <v>125526.29</v>
      </c>
      <c r="BT50" s="61">
        <v>162863.67000000001</v>
      </c>
      <c r="BU50" s="61">
        <v>297177.40000000002</v>
      </c>
      <c r="BV50" s="61">
        <v>197330.67</v>
      </c>
      <c r="BW50" s="61">
        <v>710942.16</v>
      </c>
      <c r="BX50" s="61">
        <v>133190.63</v>
      </c>
      <c r="BY50" s="61">
        <v>281477.65000000002</v>
      </c>
      <c r="BZ50" s="61">
        <v>77096.679999999993</v>
      </c>
      <c r="CA50" s="61">
        <v>85185.5</v>
      </c>
      <c r="CB50" s="61">
        <v>151563.63</v>
      </c>
      <c r="CC50" s="61">
        <v>1207632.21</v>
      </c>
      <c r="CD50" s="61">
        <v>505493.06</v>
      </c>
      <c r="CE50" s="61">
        <v>118731.92</v>
      </c>
      <c r="CF50" s="61">
        <v>106543.66</v>
      </c>
      <c r="CG50" s="61">
        <v>204175.45</v>
      </c>
      <c r="CH50" s="61">
        <v>119979.25</v>
      </c>
      <c r="CI50" s="61">
        <v>62199.49</v>
      </c>
      <c r="CJ50" s="61">
        <v>143146.01</v>
      </c>
      <c r="CK50" s="61">
        <v>60263.21</v>
      </c>
      <c r="CL50" s="61">
        <v>81761.94</v>
      </c>
      <c r="CM50" s="61">
        <v>131885.41</v>
      </c>
      <c r="CN50" s="61">
        <v>164162.89000000001</v>
      </c>
      <c r="CO50" s="61">
        <v>57065.25</v>
      </c>
      <c r="CP50" s="61">
        <v>123198.43</v>
      </c>
      <c r="CQ50" s="61">
        <v>94832.34</v>
      </c>
      <c r="CR50" s="61">
        <v>43342.44</v>
      </c>
      <c r="CS50" s="61">
        <v>134956.79</v>
      </c>
      <c r="CT50" s="61">
        <v>41021.620000000003</v>
      </c>
      <c r="CU50" s="61">
        <v>96366.49</v>
      </c>
      <c r="CV50" s="61">
        <v>85454.71</v>
      </c>
      <c r="CW50" s="61">
        <v>44481.91</v>
      </c>
      <c r="CX50" s="61">
        <v>66935.460000000006</v>
      </c>
      <c r="CY50" s="61">
        <v>94153.66</v>
      </c>
      <c r="CZ50" s="61">
        <v>49630.879999999997</v>
      </c>
      <c r="DA50" s="61">
        <v>150865.91</v>
      </c>
      <c r="DB50" s="61">
        <v>302976.76</v>
      </c>
      <c r="DC50" s="66">
        <v>76269.06</v>
      </c>
    </row>
    <row r="51" spans="1:107" s="52" customFormat="1">
      <c r="A51" s="62" t="s">
        <v>4</v>
      </c>
      <c r="B51" s="63">
        <v>410378667.64999998</v>
      </c>
      <c r="C51" s="63">
        <v>203540745.66999999</v>
      </c>
      <c r="D51" s="63">
        <v>99548642.620000005</v>
      </c>
      <c r="E51" s="63">
        <v>19186534.219999999</v>
      </c>
      <c r="F51" s="63">
        <v>10375107.050000001</v>
      </c>
      <c r="G51" s="63">
        <v>10169920.52</v>
      </c>
      <c r="H51" s="63">
        <v>26853151.68</v>
      </c>
      <c r="I51" s="63">
        <v>1498691.17</v>
      </c>
      <c r="J51" s="63">
        <v>6424847.2300000004</v>
      </c>
      <c r="K51" s="63">
        <v>3138298.1</v>
      </c>
      <c r="L51" s="63">
        <v>1331204.02</v>
      </c>
      <c r="M51" s="63">
        <v>2096631.79</v>
      </c>
      <c r="N51" s="63">
        <v>566923.66</v>
      </c>
      <c r="O51" s="63">
        <v>358217.47</v>
      </c>
      <c r="P51" s="63">
        <v>1755042.52</v>
      </c>
      <c r="Q51" s="63">
        <v>1501686.21</v>
      </c>
      <c r="R51" s="63">
        <v>1665805.64</v>
      </c>
      <c r="S51" s="63">
        <v>3673014.7</v>
      </c>
      <c r="T51" s="63">
        <v>2893147.53</v>
      </c>
      <c r="U51" s="63">
        <v>9458571.5399999991</v>
      </c>
      <c r="V51" s="63">
        <v>64404.22</v>
      </c>
      <c r="W51" s="63">
        <v>19327.96</v>
      </c>
      <c r="X51" s="63">
        <v>3403523.56</v>
      </c>
      <c r="Y51" s="63">
        <v>40534.32</v>
      </c>
      <c r="Z51" s="63">
        <v>6625701.75</v>
      </c>
      <c r="AA51" s="63">
        <v>3776.58</v>
      </c>
      <c r="AB51" s="63">
        <v>2654607.59</v>
      </c>
      <c r="AC51" s="63">
        <v>3557335.68</v>
      </c>
      <c r="AD51" s="63">
        <v>2751876.72</v>
      </c>
      <c r="AE51" s="63">
        <v>149178.01999999999</v>
      </c>
      <c r="AF51" s="63">
        <v>2308496.75</v>
      </c>
      <c r="AG51" s="63">
        <v>71767455.819999993</v>
      </c>
      <c r="AH51" s="63">
        <v>17554896.550000001</v>
      </c>
      <c r="AI51" s="63">
        <v>7917793.5</v>
      </c>
      <c r="AJ51" s="63">
        <v>4243741.74</v>
      </c>
      <c r="AK51" s="63">
        <v>7154541.5</v>
      </c>
      <c r="AL51" s="63">
        <v>2654590.63</v>
      </c>
      <c r="AM51" s="63">
        <v>565974.92000000004</v>
      </c>
      <c r="AN51" s="63">
        <v>15010.39</v>
      </c>
      <c r="AO51" s="63">
        <v>51972273.93</v>
      </c>
      <c r="AP51" s="63">
        <v>2160064.8199999998</v>
      </c>
      <c r="AQ51" s="63">
        <v>2086120.01</v>
      </c>
      <c r="AR51" s="63">
        <v>4235621.87</v>
      </c>
      <c r="AS51" s="63">
        <v>1926824.61</v>
      </c>
      <c r="AT51" s="63">
        <v>5863135.7999999998</v>
      </c>
      <c r="AU51" s="63">
        <v>7398384.1399999997</v>
      </c>
      <c r="AV51" s="63">
        <v>7880644.4000000004</v>
      </c>
      <c r="AW51" s="63">
        <v>7796726.0499999998</v>
      </c>
      <c r="AX51" s="63">
        <v>6293777.3300000001</v>
      </c>
      <c r="AY51" s="63">
        <v>6477825.1399999997</v>
      </c>
      <c r="AZ51" s="63">
        <v>3106139</v>
      </c>
      <c r="BA51" s="63">
        <v>7535340.7699999996</v>
      </c>
      <c r="BB51" s="63">
        <v>3345010.72</v>
      </c>
      <c r="BC51" s="63">
        <v>2776082.47</v>
      </c>
      <c r="BD51" s="63">
        <v>7591724.6600000001</v>
      </c>
      <c r="BE51" s="63">
        <v>6330910.1699999999</v>
      </c>
      <c r="BF51" s="63">
        <v>5406382.79</v>
      </c>
      <c r="BG51" s="63">
        <v>5259838.3</v>
      </c>
      <c r="BH51" s="63">
        <v>3039433.96</v>
      </c>
      <c r="BI51" s="63">
        <v>2877982.33</v>
      </c>
      <c r="BJ51" s="63">
        <v>3347577.71</v>
      </c>
      <c r="BK51" s="63">
        <v>3016778.48</v>
      </c>
      <c r="BL51" s="63">
        <v>2056386.24</v>
      </c>
      <c r="BM51" s="63">
        <v>2078578.27</v>
      </c>
      <c r="BN51" s="63">
        <v>2683296.7400000002</v>
      </c>
      <c r="BO51" s="63">
        <v>3543490.11</v>
      </c>
      <c r="BP51" s="63">
        <v>1384950.94</v>
      </c>
      <c r="BQ51" s="63">
        <v>1247389.02</v>
      </c>
      <c r="BR51" s="63">
        <v>917772.5</v>
      </c>
      <c r="BS51" s="63">
        <v>1497041.85</v>
      </c>
      <c r="BT51" s="63">
        <v>1159467.67</v>
      </c>
      <c r="BU51" s="63">
        <v>2343821.37</v>
      </c>
      <c r="BV51" s="63">
        <v>1281646.4099999999</v>
      </c>
      <c r="BW51" s="63">
        <v>8891017.7799999993</v>
      </c>
      <c r="BX51" s="63">
        <v>549737.65</v>
      </c>
      <c r="BY51" s="63">
        <v>1192077.04</v>
      </c>
      <c r="BZ51" s="63">
        <v>701422.4</v>
      </c>
      <c r="CA51" s="63">
        <v>731755.16</v>
      </c>
      <c r="CB51" s="63">
        <v>877558.93</v>
      </c>
      <c r="CC51" s="63">
        <v>2722727.75</v>
      </c>
      <c r="CD51" s="63">
        <v>2549310.87</v>
      </c>
      <c r="CE51" s="63">
        <v>481990.12</v>
      </c>
      <c r="CF51" s="63">
        <v>185697.64</v>
      </c>
      <c r="CG51" s="63">
        <v>493709.67</v>
      </c>
      <c r="CH51" s="63">
        <v>317992.81</v>
      </c>
      <c r="CI51" s="63">
        <v>254032.09</v>
      </c>
      <c r="CJ51" s="63">
        <v>361115.28</v>
      </c>
      <c r="CK51" s="63">
        <v>296614.46999999997</v>
      </c>
      <c r="CL51" s="63">
        <v>331053.42</v>
      </c>
      <c r="CM51" s="63">
        <v>394293.93</v>
      </c>
      <c r="CN51" s="63">
        <v>368281.1</v>
      </c>
      <c r="CO51" s="63">
        <v>160567.28</v>
      </c>
      <c r="CP51" s="63">
        <v>389537.37</v>
      </c>
      <c r="CQ51" s="63">
        <v>331154.46000000002</v>
      </c>
      <c r="CR51" s="63">
        <v>188323.45</v>
      </c>
      <c r="CS51" s="63">
        <v>460815.97</v>
      </c>
      <c r="CT51" s="63">
        <v>169730.41</v>
      </c>
      <c r="CU51" s="63">
        <v>309367.15000000002</v>
      </c>
      <c r="CV51" s="63">
        <v>257266.67</v>
      </c>
      <c r="CW51" s="63">
        <v>95920.03</v>
      </c>
      <c r="CX51" s="63">
        <v>174108.62</v>
      </c>
      <c r="CY51" s="63">
        <v>339711.8</v>
      </c>
      <c r="CZ51" s="63">
        <v>166697.89000000001</v>
      </c>
      <c r="DA51" s="63">
        <v>237987.35</v>
      </c>
      <c r="DB51" s="63">
        <v>358110.81</v>
      </c>
      <c r="DC51" s="67">
        <v>282617.71999999997</v>
      </c>
    </row>
    <row r="54" spans="1:107">
      <c r="A54" s="53" t="s">
        <v>419</v>
      </c>
    </row>
    <row r="55" spans="1:107">
      <c r="A55" s="55"/>
      <c r="B55" s="56" t="s">
        <v>328</v>
      </c>
      <c r="C55" s="57" t="s">
        <v>329</v>
      </c>
      <c r="D55" s="57" t="s">
        <v>330</v>
      </c>
      <c r="E55" s="57" t="s">
        <v>331</v>
      </c>
      <c r="F55" s="57" t="s">
        <v>332</v>
      </c>
      <c r="G55" s="58" t="s">
        <v>333</v>
      </c>
      <c r="H55" s="58" t="s">
        <v>241</v>
      </c>
      <c r="I55" s="64" t="s">
        <v>334</v>
      </c>
      <c r="J55" s="64" t="s">
        <v>335</v>
      </c>
      <c r="K55" s="64" t="s">
        <v>336</v>
      </c>
      <c r="L55" s="64" t="s">
        <v>337</v>
      </c>
      <c r="M55" s="64" t="s">
        <v>338</v>
      </c>
      <c r="N55" s="64" t="s">
        <v>339</v>
      </c>
      <c r="O55" s="64" t="s">
        <v>340</v>
      </c>
      <c r="P55" s="64" t="s">
        <v>341</v>
      </c>
      <c r="Q55" s="64" t="s">
        <v>76</v>
      </c>
      <c r="R55" s="64" t="s">
        <v>342</v>
      </c>
      <c r="S55" s="64" t="s">
        <v>343</v>
      </c>
      <c r="T55" s="64" t="s">
        <v>344</v>
      </c>
      <c r="U55" s="64" t="s">
        <v>345</v>
      </c>
      <c r="V55" s="64" t="s">
        <v>346</v>
      </c>
      <c r="W55" s="64" t="s">
        <v>347</v>
      </c>
      <c r="X55" s="64" t="s">
        <v>20</v>
      </c>
      <c r="Y55" s="64" t="s">
        <v>348</v>
      </c>
      <c r="Z55" s="64" t="s">
        <v>74</v>
      </c>
      <c r="AA55" s="64" t="s">
        <v>16</v>
      </c>
      <c r="AB55" s="64" t="s">
        <v>17</v>
      </c>
      <c r="AC55" s="64" t="s">
        <v>349</v>
      </c>
      <c r="AD55" s="64" t="s">
        <v>19</v>
      </c>
      <c r="AE55" s="64" t="s">
        <v>18</v>
      </c>
      <c r="AF55" s="64" t="s">
        <v>350</v>
      </c>
      <c r="AG55" s="64" t="s">
        <v>79</v>
      </c>
      <c r="AH55" s="64" t="s">
        <v>351</v>
      </c>
      <c r="AI55" s="64" t="s">
        <v>78</v>
      </c>
      <c r="AJ55" s="64" t="s">
        <v>9</v>
      </c>
      <c r="AK55" s="64" t="s">
        <v>141</v>
      </c>
      <c r="AL55" s="64" t="s">
        <v>352</v>
      </c>
      <c r="AM55" s="64" t="s">
        <v>140</v>
      </c>
      <c r="AN55" s="64" t="s">
        <v>142</v>
      </c>
      <c r="AO55" s="64" t="s">
        <v>353</v>
      </c>
      <c r="AP55" s="64" t="s">
        <v>354</v>
      </c>
      <c r="AQ55" s="64" t="s">
        <v>30</v>
      </c>
      <c r="AR55" s="64" t="s">
        <v>355</v>
      </c>
      <c r="AS55" s="64" t="s">
        <v>356</v>
      </c>
      <c r="AT55" s="64" t="s">
        <v>357</v>
      </c>
      <c r="AU55" s="64" t="s">
        <v>358</v>
      </c>
      <c r="AV55" s="64" t="s">
        <v>359</v>
      </c>
      <c r="AW55" s="64" t="s">
        <v>360</v>
      </c>
      <c r="AX55" s="64" t="s">
        <v>361</v>
      </c>
      <c r="AY55" s="64" t="s">
        <v>362</v>
      </c>
      <c r="AZ55" s="64" t="s">
        <v>363</v>
      </c>
      <c r="BA55" s="64" t="s">
        <v>364</v>
      </c>
      <c r="BB55" s="64" t="s">
        <v>365</v>
      </c>
      <c r="BC55" s="64" t="s">
        <v>366</v>
      </c>
      <c r="BD55" s="64" t="s">
        <v>367</v>
      </c>
      <c r="BE55" s="64" t="s">
        <v>368</v>
      </c>
      <c r="BF55" s="64" t="s">
        <v>369</v>
      </c>
      <c r="BG55" s="64" t="s">
        <v>370</v>
      </c>
      <c r="BH55" s="64" t="s">
        <v>371</v>
      </c>
      <c r="BI55" s="64" t="s">
        <v>372</v>
      </c>
      <c r="BJ55" s="64" t="s">
        <v>373</v>
      </c>
      <c r="BK55" s="64" t="s">
        <v>374</v>
      </c>
      <c r="BL55" s="64" t="s">
        <v>375</v>
      </c>
      <c r="BM55" s="64" t="s">
        <v>376</v>
      </c>
      <c r="BN55" s="64" t="s">
        <v>377</v>
      </c>
      <c r="BO55" s="64" t="s">
        <v>378</v>
      </c>
      <c r="BP55" s="64" t="s">
        <v>379</v>
      </c>
      <c r="BQ55" s="64" t="s">
        <v>380</v>
      </c>
      <c r="BR55" s="64" t="s">
        <v>381</v>
      </c>
      <c r="BS55" s="64" t="s">
        <v>382</v>
      </c>
      <c r="BT55" s="64" t="s">
        <v>383</v>
      </c>
      <c r="BU55" s="64" t="s">
        <v>384</v>
      </c>
      <c r="BV55" s="64" t="s">
        <v>385</v>
      </c>
      <c r="BW55" s="64" t="s">
        <v>386</v>
      </c>
      <c r="BX55" s="64" t="s">
        <v>387</v>
      </c>
      <c r="BY55" s="64" t="s">
        <v>388</v>
      </c>
      <c r="BZ55" s="64" t="s">
        <v>389</v>
      </c>
      <c r="CA55" s="64" t="s">
        <v>390</v>
      </c>
      <c r="CB55" s="64" t="s">
        <v>391</v>
      </c>
      <c r="CC55" s="64" t="s">
        <v>392</v>
      </c>
      <c r="CD55" s="64" t="s">
        <v>393</v>
      </c>
      <c r="CE55" s="64" t="s">
        <v>394</v>
      </c>
      <c r="CF55" s="64" t="s">
        <v>395</v>
      </c>
      <c r="CG55" s="64" t="s">
        <v>396</v>
      </c>
      <c r="CH55" s="64" t="s">
        <v>397</v>
      </c>
      <c r="CI55" s="64" t="s">
        <v>398</v>
      </c>
      <c r="CJ55" s="64" t="s">
        <v>399</v>
      </c>
      <c r="CK55" s="64" t="s">
        <v>400</v>
      </c>
      <c r="CL55" s="64" t="s">
        <v>401</v>
      </c>
      <c r="CM55" s="64" t="s">
        <v>402</v>
      </c>
      <c r="CN55" s="64" t="s">
        <v>403</v>
      </c>
      <c r="CO55" s="64" t="s">
        <v>404</v>
      </c>
      <c r="CP55" s="64" t="s">
        <v>405</v>
      </c>
      <c r="CQ55" s="64" t="s">
        <v>406</v>
      </c>
      <c r="CR55" s="64" t="s">
        <v>407</v>
      </c>
      <c r="CS55" s="64" t="s">
        <v>408</v>
      </c>
      <c r="CT55" s="64" t="s">
        <v>409</v>
      </c>
      <c r="CU55" s="64" t="s">
        <v>410</v>
      </c>
      <c r="CV55" s="64" t="s">
        <v>411</v>
      </c>
      <c r="CW55" s="64" t="s">
        <v>412</v>
      </c>
      <c r="CX55" s="64" t="s">
        <v>413</v>
      </c>
      <c r="CY55" s="64" t="s">
        <v>414</v>
      </c>
      <c r="CZ55" s="64" t="s">
        <v>415</v>
      </c>
      <c r="DA55" s="64" t="s">
        <v>416</v>
      </c>
      <c r="DB55" s="64" t="s">
        <v>417</v>
      </c>
      <c r="DC55" s="65" t="s">
        <v>418</v>
      </c>
    </row>
    <row r="56" spans="1:107">
      <c r="A56" s="48" t="s">
        <v>88</v>
      </c>
      <c r="B56" s="59">
        <v>13936246.470000001</v>
      </c>
      <c r="C56" s="59">
        <v>6488971.0199999996</v>
      </c>
      <c r="D56" s="59">
        <v>1890112.13</v>
      </c>
      <c r="E56" s="59">
        <v>1163948.9099999999</v>
      </c>
      <c r="F56" s="59">
        <v>663465.5</v>
      </c>
      <c r="G56" s="59">
        <v>781666.67</v>
      </c>
      <c r="H56" s="59">
        <v>0</v>
      </c>
      <c r="I56" s="59">
        <v>111804.48</v>
      </c>
      <c r="J56" s="59">
        <v>232689.85</v>
      </c>
      <c r="K56" s="59">
        <v>287746.53999999998</v>
      </c>
      <c r="L56" s="59">
        <v>99197.96</v>
      </c>
      <c r="M56" s="59">
        <v>183615.82</v>
      </c>
      <c r="N56" s="59">
        <v>0</v>
      </c>
      <c r="O56" s="59">
        <v>17290.91</v>
      </c>
      <c r="P56" s="59">
        <v>151513.82</v>
      </c>
      <c r="Q56" s="59">
        <v>139578.82999999999</v>
      </c>
      <c r="R56" s="59">
        <v>160952.53</v>
      </c>
      <c r="S56" s="59">
        <v>328266.46999999997</v>
      </c>
      <c r="T56" s="59">
        <v>278936.53000000003</v>
      </c>
      <c r="U56" s="59">
        <v>512844.76</v>
      </c>
      <c r="V56" s="59">
        <v>36980</v>
      </c>
      <c r="W56" s="59">
        <v>0</v>
      </c>
      <c r="X56" s="59">
        <v>64329.33</v>
      </c>
      <c r="Y56" s="59">
        <v>37329.33</v>
      </c>
      <c r="Z56" s="59">
        <v>350482.82</v>
      </c>
      <c r="AA56" s="59">
        <v>0</v>
      </c>
      <c r="AB56" s="59">
        <v>187082.19</v>
      </c>
      <c r="AC56" s="59">
        <v>254008.42</v>
      </c>
      <c r="AD56" s="59">
        <v>152641.16</v>
      </c>
      <c r="AE56" s="59">
        <v>118075.66</v>
      </c>
      <c r="AF56" s="59">
        <v>172745.05</v>
      </c>
      <c r="AG56" s="59">
        <v>470845.01</v>
      </c>
      <c r="AH56" s="59">
        <v>746247.61</v>
      </c>
      <c r="AI56" s="59">
        <v>500274.46</v>
      </c>
      <c r="AJ56" s="59">
        <v>399247.74</v>
      </c>
      <c r="AK56" s="59">
        <v>444427.83</v>
      </c>
      <c r="AL56" s="59">
        <v>164039.67000000001</v>
      </c>
      <c r="AM56" s="59">
        <v>54998</v>
      </c>
      <c r="AN56" s="59">
        <v>7416</v>
      </c>
      <c r="AO56" s="59">
        <v>189522.95</v>
      </c>
      <c r="AP56" s="59">
        <v>236260.4</v>
      </c>
      <c r="AQ56" s="59">
        <v>136616.01</v>
      </c>
      <c r="AR56" s="59">
        <v>162797.84</v>
      </c>
      <c r="AS56" s="59">
        <v>185481.48</v>
      </c>
      <c r="AT56" s="59">
        <v>315755.2</v>
      </c>
      <c r="AU56" s="59">
        <v>307136.3</v>
      </c>
      <c r="AV56" s="59">
        <v>350803.48</v>
      </c>
      <c r="AW56" s="59">
        <v>255657.55</v>
      </c>
      <c r="AX56" s="59">
        <v>270084.82</v>
      </c>
      <c r="AY56" s="59">
        <v>245708.05</v>
      </c>
      <c r="AZ56" s="59">
        <v>119138.04</v>
      </c>
      <c r="BA56" s="59">
        <v>268572.52</v>
      </c>
      <c r="BB56" s="59">
        <v>105045</v>
      </c>
      <c r="BC56" s="59">
        <v>93536.37</v>
      </c>
      <c r="BD56" s="59">
        <v>285447.21999999997</v>
      </c>
      <c r="BE56" s="59">
        <v>184943.85</v>
      </c>
      <c r="BF56" s="59">
        <v>243800.7</v>
      </c>
      <c r="BG56" s="59">
        <v>164282.57999999999</v>
      </c>
      <c r="BH56" s="59">
        <v>112641.17</v>
      </c>
      <c r="BI56" s="59">
        <v>143724.56</v>
      </c>
      <c r="BJ56" s="59">
        <v>151365.79999999999</v>
      </c>
      <c r="BK56" s="59">
        <v>121423.85</v>
      </c>
      <c r="BL56" s="59">
        <v>88119.45</v>
      </c>
      <c r="BM56" s="59">
        <v>102667.52</v>
      </c>
      <c r="BN56" s="59">
        <v>111613.45</v>
      </c>
      <c r="BO56" s="59">
        <v>141282.04</v>
      </c>
      <c r="BP56" s="59">
        <v>46258.73</v>
      </c>
      <c r="BQ56" s="59">
        <v>58110.65</v>
      </c>
      <c r="BR56" s="59">
        <v>37875.94</v>
      </c>
      <c r="BS56" s="59">
        <v>54080.01</v>
      </c>
      <c r="BT56" s="59">
        <v>56988.88</v>
      </c>
      <c r="BU56" s="59">
        <v>101835.69</v>
      </c>
      <c r="BV56" s="59">
        <v>44008.14</v>
      </c>
      <c r="BW56" s="59">
        <v>330971.74</v>
      </c>
      <c r="BX56" s="59">
        <v>13380</v>
      </c>
      <c r="BY56" s="59">
        <v>36805.519999999997</v>
      </c>
      <c r="BZ56" s="59">
        <v>28202</v>
      </c>
      <c r="CA56" s="59">
        <v>23475.16</v>
      </c>
      <c r="CB56" s="59">
        <v>39185.699999999997</v>
      </c>
      <c r="CC56" s="59">
        <v>89242.67</v>
      </c>
      <c r="CD56" s="59">
        <v>50172.4</v>
      </c>
      <c r="CE56" s="59">
        <v>23800.91</v>
      </c>
      <c r="CF56" s="59">
        <v>8000</v>
      </c>
      <c r="CG56" s="59">
        <v>14200</v>
      </c>
      <c r="CH56" s="59">
        <v>14420</v>
      </c>
      <c r="CI56" s="59">
        <v>4582.67</v>
      </c>
      <c r="CJ56" s="59">
        <v>30200</v>
      </c>
      <c r="CK56" s="59">
        <v>20369.650000000001</v>
      </c>
      <c r="CL56" s="59">
        <v>14137.72</v>
      </c>
      <c r="CM56" s="59">
        <v>23751.56</v>
      </c>
      <c r="CN56" s="59">
        <v>8000</v>
      </c>
      <c r="CO56" s="59">
        <v>8000</v>
      </c>
      <c r="CP56" s="59">
        <v>9600</v>
      </c>
      <c r="CQ56" s="59">
        <v>17135.509999999998</v>
      </c>
      <c r="CR56" s="59">
        <v>8000</v>
      </c>
      <c r="CS56" s="59">
        <v>14554</v>
      </c>
      <c r="CT56" s="59">
        <v>8000</v>
      </c>
      <c r="CU56" s="59">
        <v>13977.21</v>
      </c>
      <c r="CV56" s="59">
        <v>12815.17</v>
      </c>
      <c r="CW56" s="59">
        <v>8000</v>
      </c>
      <c r="CX56" s="59">
        <v>16572.64</v>
      </c>
      <c r="CY56" s="59">
        <v>17126.27</v>
      </c>
      <c r="CZ56" s="59">
        <v>8000</v>
      </c>
      <c r="DA56" s="59">
        <v>11760</v>
      </c>
      <c r="DB56" s="59">
        <v>13318</v>
      </c>
      <c r="DC56" s="68">
        <v>56628.28</v>
      </c>
    </row>
    <row r="57" spans="1:107">
      <c r="A57" s="48" t="s">
        <v>89</v>
      </c>
      <c r="B57" s="59">
        <v>169953.53</v>
      </c>
      <c r="C57" s="59">
        <v>44244.42</v>
      </c>
      <c r="D57" s="59">
        <v>35637.800000000003</v>
      </c>
      <c r="E57" s="59">
        <v>1470</v>
      </c>
      <c r="F57" s="59">
        <v>884.11</v>
      </c>
      <c r="G57" s="59">
        <v>0</v>
      </c>
      <c r="H57" s="59">
        <v>0</v>
      </c>
      <c r="I57" s="59">
        <v>2695</v>
      </c>
      <c r="J57" s="59">
        <v>14420</v>
      </c>
      <c r="K57" s="59">
        <v>10185</v>
      </c>
      <c r="L57" s="59">
        <v>2695</v>
      </c>
      <c r="M57" s="59">
        <v>5913</v>
      </c>
      <c r="N57" s="59">
        <v>0</v>
      </c>
      <c r="O57" s="59">
        <v>490</v>
      </c>
      <c r="P57" s="59">
        <v>6335</v>
      </c>
      <c r="Q57" s="59">
        <v>5040</v>
      </c>
      <c r="R57" s="59">
        <v>2730</v>
      </c>
      <c r="S57" s="59">
        <v>10193</v>
      </c>
      <c r="T57" s="59">
        <v>9765</v>
      </c>
      <c r="U57" s="59">
        <v>1897</v>
      </c>
      <c r="V57" s="59">
        <v>0</v>
      </c>
      <c r="W57" s="59">
        <v>0</v>
      </c>
      <c r="X57" s="59">
        <v>0</v>
      </c>
      <c r="Y57" s="59">
        <v>0</v>
      </c>
      <c r="Z57" s="59">
        <v>70</v>
      </c>
      <c r="AA57" s="59">
        <v>0</v>
      </c>
      <c r="AB57" s="59">
        <v>1400</v>
      </c>
      <c r="AC57" s="59">
        <v>0</v>
      </c>
      <c r="AD57" s="59">
        <v>0</v>
      </c>
      <c r="AE57" s="59">
        <v>0</v>
      </c>
      <c r="AF57" s="59">
        <v>6685</v>
      </c>
      <c r="AG57" s="59">
        <v>8088</v>
      </c>
      <c r="AH57" s="59">
        <v>4865</v>
      </c>
      <c r="AI57" s="59">
        <v>15999.8</v>
      </c>
      <c r="AJ57" s="59">
        <v>15260</v>
      </c>
      <c r="AK57" s="59">
        <v>398.21</v>
      </c>
      <c r="AL57" s="59">
        <v>485.9</v>
      </c>
      <c r="AM57" s="59">
        <v>0</v>
      </c>
      <c r="AN57" s="59">
        <v>99.2</v>
      </c>
      <c r="AO57" s="59">
        <v>1890</v>
      </c>
      <c r="AP57" s="59">
        <v>10150</v>
      </c>
      <c r="AQ57" s="59">
        <v>4305</v>
      </c>
      <c r="AR57" s="59">
        <v>4445</v>
      </c>
      <c r="AS57" s="59">
        <v>7630</v>
      </c>
      <c r="AT57" s="59">
        <v>0</v>
      </c>
      <c r="AU57" s="59">
        <v>-454.93</v>
      </c>
      <c r="AV57" s="59">
        <v>0</v>
      </c>
      <c r="AW57" s="59">
        <v>-221.93</v>
      </c>
      <c r="AX57" s="59">
        <v>0</v>
      </c>
      <c r="AY57" s="59">
        <v>0</v>
      </c>
      <c r="AZ57" s="59">
        <v>0</v>
      </c>
      <c r="BA57" s="59">
        <v>0</v>
      </c>
      <c r="BB57" s="59">
        <v>0</v>
      </c>
      <c r="BC57" s="59">
        <v>0</v>
      </c>
      <c r="BD57" s="59">
        <v>91</v>
      </c>
      <c r="BE57" s="59">
        <v>0</v>
      </c>
      <c r="BF57" s="59">
        <v>941.8</v>
      </c>
      <c r="BG57" s="59">
        <v>0</v>
      </c>
      <c r="BH57" s="59">
        <v>0</v>
      </c>
      <c r="BI57" s="59">
        <v>0</v>
      </c>
      <c r="BJ57" s="59">
        <v>0</v>
      </c>
      <c r="BK57" s="59">
        <v>-1075.96</v>
      </c>
      <c r="BL57" s="59">
        <v>0</v>
      </c>
      <c r="BM57" s="59">
        <v>0</v>
      </c>
      <c r="BN57" s="59">
        <v>0</v>
      </c>
      <c r="BO57" s="59">
        <v>0</v>
      </c>
      <c r="BP57" s="59">
        <v>0</v>
      </c>
      <c r="BQ57" s="59">
        <v>0</v>
      </c>
      <c r="BR57" s="59">
        <v>0</v>
      </c>
      <c r="BS57" s="59">
        <v>0</v>
      </c>
      <c r="BT57" s="59">
        <v>0</v>
      </c>
      <c r="BU57" s="59">
        <v>10000</v>
      </c>
      <c r="BV57" s="59">
        <v>0</v>
      </c>
      <c r="BW57" s="59">
        <v>4795</v>
      </c>
      <c r="BX57" s="59">
        <v>0</v>
      </c>
      <c r="BY57" s="59">
        <v>0</v>
      </c>
      <c r="BZ57" s="59">
        <v>0</v>
      </c>
      <c r="CA57" s="59">
        <v>0</v>
      </c>
      <c r="CB57" s="59">
        <v>-1075.96</v>
      </c>
      <c r="CC57" s="59">
        <v>0</v>
      </c>
      <c r="CD57" s="59">
        <v>0</v>
      </c>
      <c r="CE57" s="59">
        <v>0</v>
      </c>
      <c r="CF57" s="59">
        <v>0</v>
      </c>
      <c r="CG57" s="59">
        <v>0</v>
      </c>
      <c r="CH57" s="59">
        <v>0</v>
      </c>
      <c r="CI57" s="59">
        <v>0</v>
      </c>
      <c r="CJ57" s="59">
        <v>0</v>
      </c>
      <c r="CK57" s="59">
        <v>0</v>
      </c>
      <c r="CL57" s="59">
        <v>0</v>
      </c>
      <c r="CM57" s="59">
        <v>0</v>
      </c>
      <c r="CN57" s="59">
        <v>0</v>
      </c>
      <c r="CO57" s="59">
        <v>0</v>
      </c>
      <c r="CP57" s="59">
        <v>0</v>
      </c>
      <c r="CQ57" s="59">
        <v>0</v>
      </c>
      <c r="CR57" s="59">
        <v>0</v>
      </c>
      <c r="CS57" s="59">
        <v>0</v>
      </c>
      <c r="CT57" s="59">
        <v>0</v>
      </c>
      <c r="CU57" s="59">
        <v>0</v>
      </c>
      <c r="CV57" s="59">
        <v>0</v>
      </c>
      <c r="CW57" s="59">
        <v>0</v>
      </c>
      <c r="CX57" s="59">
        <v>0</v>
      </c>
      <c r="CY57" s="59">
        <v>0</v>
      </c>
      <c r="CZ57" s="59">
        <v>0</v>
      </c>
      <c r="DA57" s="59">
        <v>1883.6</v>
      </c>
      <c r="DB57" s="59">
        <v>0</v>
      </c>
      <c r="DC57" s="68">
        <v>941.8</v>
      </c>
    </row>
    <row r="58" spans="1:107">
      <c r="A58" s="48" t="s">
        <v>90</v>
      </c>
      <c r="B58" s="59">
        <v>583216.69999999995</v>
      </c>
      <c r="C58" s="59">
        <v>213537.37</v>
      </c>
      <c r="D58" s="59">
        <v>121157.98</v>
      </c>
      <c r="E58" s="59">
        <v>21827.21</v>
      </c>
      <c r="F58" s="59">
        <v>15058.27</v>
      </c>
      <c r="G58" s="59">
        <v>15641.73</v>
      </c>
      <c r="H58" s="59">
        <v>136601.49</v>
      </c>
      <c r="I58" s="59">
        <v>2252.89</v>
      </c>
      <c r="J58" s="59">
        <v>4731.59</v>
      </c>
      <c r="K58" s="59">
        <v>5754.93</v>
      </c>
      <c r="L58" s="59">
        <v>1983.96</v>
      </c>
      <c r="M58" s="59">
        <v>3672.32</v>
      </c>
      <c r="N58" s="59">
        <v>0</v>
      </c>
      <c r="O58" s="59">
        <v>345.82</v>
      </c>
      <c r="P58" s="59">
        <v>3030.28</v>
      </c>
      <c r="Q58" s="59">
        <v>2791.58</v>
      </c>
      <c r="R58" s="59">
        <v>3219.05</v>
      </c>
      <c r="S58" s="59">
        <v>6573.73</v>
      </c>
      <c r="T58" s="59">
        <v>5578.73</v>
      </c>
      <c r="U58" s="59">
        <v>10542.9</v>
      </c>
      <c r="V58" s="59">
        <v>748</v>
      </c>
      <c r="W58" s="59">
        <v>0</v>
      </c>
      <c r="X58" s="59">
        <v>1286.5899999999999</v>
      </c>
      <c r="Y58" s="59">
        <v>746.59</v>
      </c>
      <c r="Z58" s="59">
        <v>7009.66</v>
      </c>
      <c r="AA58" s="59">
        <v>0</v>
      </c>
      <c r="AB58" s="59">
        <v>3741.63</v>
      </c>
      <c r="AC58" s="59">
        <v>3628.41</v>
      </c>
      <c r="AD58" s="59">
        <v>3052.82</v>
      </c>
      <c r="AE58" s="59">
        <v>2361.5100000000002</v>
      </c>
      <c r="AF58" s="59">
        <v>3454.9</v>
      </c>
      <c r="AG58" s="59">
        <v>80938.899999999994</v>
      </c>
      <c r="AH58" s="59">
        <v>14924.95</v>
      </c>
      <c r="AI58" s="59">
        <v>21839.23</v>
      </c>
      <c r="AJ58" s="59">
        <v>8010.15</v>
      </c>
      <c r="AK58" s="59">
        <v>10576.72</v>
      </c>
      <c r="AL58" s="59">
        <v>3339.59</v>
      </c>
      <c r="AM58" s="59">
        <v>1141.96</v>
      </c>
      <c r="AN58" s="59">
        <v>156.72</v>
      </c>
      <c r="AO58" s="59">
        <v>4205.96</v>
      </c>
      <c r="AP58" s="59">
        <v>4725.21</v>
      </c>
      <c r="AQ58" s="59">
        <v>2740.72</v>
      </c>
      <c r="AR58" s="59">
        <v>3255.96</v>
      </c>
      <c r="AS58" s="59">
        <v>3709.63</v>
      </c>
      <c r="AT58" s="59">
        <v>9371.66</v>
      </c>
      <c r="AU58" s="59">
        <v>11988.18</v>
      </c>
      <c r="AV58" s="59">
        <v>14317.79</v>
      </c>
      <c r="AW58" s="59">
        <v>8410.57</v>
      </c>
      <c r="AX58" s="59">
        <v>10552.76</v>
      </c>
      <c r="AY58" s="59">
        <v>8287.5300000000007</v>
      </c>
      <c r="AZ58" s="59">
        <v>4328.57</v>
      </c>
      <c r="BA58" s="59">
        <v>12102.01</v>
      </c>
      <c r="BB58" s="59">
        <v>3260.43</v>
      </c>
      <c r="BC58" s="59">
        <v>2311.42</v>
      </c>
      <c r="BD58" s="59">
        <v>9996.08</v>
      </c>
      <c r="BE58" s="59">
        <v>7547.63</v>
      </c>
      <c r="BF58" s="59">
        <v>7400.68</v>
      </c>
      <c r="BG58" s="59">
        <v>4566.1400000000003</v>
      </c>
      <c r="BH58" s="59">
        <v>3457.57</v>
      </c>
      <c r="BI58" s="59">
        <v>4284.78</v>
      </c>
      <c r="BJ58" s="59">
        <v>5792.71</v>
      </c>
      <c r="BK58" s="59">
        <v>4162.6499999999996</v>
      </c>
      <c r="BL58" s="59">
        <v>3129.23</v>
      </c>
      <c r="BM58" s="59">
        <v>3533.11</v>
      </c>
      <c r="BN58" s="59">
        <v>5026.63</v>
      </c>
      <c r="BO58" s="59">
        <v>4451.17</v>
      </c>
      <c r="BP58" s="59">
        <v>1869.05</v>
      </c>
      <c r="BQ58" s="59">
        <v>1754.9</v>
      </c>
      <c r="BR58" s="59">
        <v>853.72</v>
      </c>
      <c r="BS58" s="59">
        <v>2050.5100000000002</v>
      </c>
      <c r="BT58" s="59">
        <v>2105.6</v>
      </c>
      <c r="BU58" s="59">
        <v>3362.57</v>
      </c>
      <c r="BV58" s="59">
        <v>2337.4899999999998</v>
      </c>
      <c r="BW58" s="59">
        <v>11327.26</v>
      </c>
      <c r="BX58" s="59">
        <v>697.75</v>
      </c>
      <c r="BY58" s="59">
        <v>1981.39</v>
      </c>
      <c r="BZ58" s="59">
        <v>1062.8599999999999</v>
      </c>
      <c r="CA58" s="59">
        <v>1203.18</v>
      </c>
      <c r="CB58" s="59">
        <v>1115.22</v>
      </c>
      <c r="CC58" s="59">
        <v>3799.05</v>
      </c>
      <c r="CD58" s="59">
        <v>1579.75</v>
      </c>
      <c r="CE58" s="59">
        <v>501.15</v>
      </c>
      <c r="CF58" s="59">
        <v>190.73</v>
      </c>
      <c r="CG58" s="59">
        <v>538.54999999999995</v>
      </c>
      <c r="CH58" s="59">
        <v>386.14</v>
      </c>
      <c r="CI58" s="59">
        <v>106.94</v>
      </c>
      <c r="CJ58" s="59">
        <v>620.79999999999995</v>
      </c>
      <c r="CK58" s="59">
        <v>491.63</v>
      </c>
      <c r="CL58" s="59">
        <v>367.23</v>
      </c>
      <c r="CM58" s="59">
        <v>758.04</v>
      </c>
      <c r="CN58" s="59">
        <v>245.4</v>
      </c>
      <c r="CO58" s="59">
        <v>174.48</v>
      </c>
      <c r="CP58" s="59">
        <v>315.63</v>
      </c>
      <c r="CQ58" s="59">
        <v>519.91</v>
      </c>
      <c r="CR58" s="59">
        <v>203.08</v>
      </c>
      <c r="CS58" s="59">
        <v>353.82</v>
      </c>
      <c r="CT58" s="59">
        <v>239.71</v>
      </c>
      <c r="CU58" s="59">
        <v>326.31</v>
      </c>
      <c r="CV58" s="59">
        <v>348.58</v>
      </c>
      <c r="CW58" s="59">
        <v>168.4</v>
      </c>
      <c r="CX58" s="59">
        <v>349.85</v>
      </c>
      <c r="CY58" s="59">
        <v>392.1</v>
      </c>
      <c r="CZ58" s="59">
        <v>172.27</v>
      </c>
      <c r="DA58" s="59">
        <v>243.6</v>
      </c>
      <c r="DB58" s="59">
        <v>339.77</v>
      </c>
      <c r="DC58" s="68">
        <v>1166.17</v>
      </c>
    </row>
    <row r="59" spans="1:107">
      <c r="A59" s="48" t="s">
        <v>91</v>
      </c>
      <c r="B59" s="59">
        <v>50700.63</v>
      </c>
      <c r="C59" s="59">
        <v>50700.63</v>
      </c>
      <c r="D59" s="59">
        <v>0</v>
      </c>
      <c r="E59" s="59">
        <v>0</v>
      </c>
      <c r="F59" s="59">
        <v>0</v>
      </c>
      <c r="G59" s="59">
        <v>0</v>
      </c>
      <c r="H59" s="59">
        <v>0</v>
      </c>
      <c r="I59" s="59">
        <v>0</v>
      </c>
      <c r="J59" s="59">
        <v>0</v>
      </c>
      <c r="K59" s="59">
        <v>0</v>
      </c>
      <c r="L59" s="59">
        <v>0</v>
      </c>
      <c r="M59" s="59">
        <v>0</v>
      </c>
      <c r="N59" s="59">
        <v>0</v>
      </c>
      <c r="O59" s="59">
        <v>0</v>
      </c>
      <c r="P59" s="59">
        <v>0</v>
      </c>
      <c r="Q59" s="59">
        <v>0</v>
      </c>
      <c r="R59" s="59">
        <v>0</v>
      </c>
      <c r="S59" s="59">
        <v>0</v>
      </c>
      <c r="T59" s="59">
        <v>0</v>
      </c>
      <c r="U59" s="59">
        <v>0</v>
      </c>
      <c r="V59" s="59">
        <v>0</v>
      </c>
      <c r="W59" s="59">
        <v>0</v>
      </c>
      <c r="X59" s="59">
        <v>0</v>
      </c>
      <c r="Y59" s="59">
        <v>0</v>
      </c>
      <c r="Z59" s="59">
        <v>0</v>
      </c>
      <c r="AA59" s="59">
        <v>0</v>
      </c>
      <c r="AB59" s="59">
        <v>0</v>
      </c>
      <c r="AC59" s="59">
        <v>0</v>
      </c>
      <c r="AD59" s="59">
        <v>0</v>
      </c>
      <c r="AE59" s="59">
        <v>0</v>
      </c>
      <c r="AF59" s="59">
        <v>0</v>
      </c>
      <c r="AG59" s="59">
        <v>0</v>
      </c>
      <c r="AH59" s="59">
        <v>0</v>
      </c>
      <c r="AI59" s="59">
        <v>0</v>
      </c>
      <c r="AJ59" s="59">
        <v>0</v>
      </c>
      <c r="AK59" s="59">
        <v>0</v>
      </c>
      <c r="AL59" s="59">
        <v>0</v>
      </c>
      <c r="AM59" s="59">
        <v>0</v>
      </c>
      <c r="AN59" s="59">
        <v>0</v>
      </c>
      <c r="AO59" s="59">
        <v>0</v>
      </c>
      <c r="AP59" s="59">
        <v>0</v>
      </c>
      <c r="AQ59" s="59">
        <v>0</v>
      </c>
      <c r="AR59" s="59">
        <v>0</v>
      </c>
      <c r="AS59" s="59">
        <v>0</v>
      </c>
      <c r="AT59" s="59">
        <v>0</v>
      </c>
      <c r="AU59" s="59">
        <v>0</v>
      </c>
      <c r="AV59" s="59">
        <v>0</v>
      </c>
      <c r="AW59" s="59">
        <v>0</v>
      </c>
      <c r="AX59" s="59">
        <v>0</v>
      </c>
      <c r="AY59" s="59">
        <v>0</v>
      </c>
      <c r="AZ59" s="59">
        <v>0</v>
      </c>
      <c r="BA59" s="59">
        <v>0</v>
      </c>
      <c r="BB59" s="59">
        <v>1904</v>
      </c>
      <c r="BC59" s="59">
        <v>1149.9000000000001</v>
      </c>
      <c r="BD59" s="59">
        <v>0</v>
      </c>
      <c r="BE59" s="59">
        <v>7401</v>
      </c>
      <c r="BF59" s="59">
        <v>0</v>
      </c>
      <c r="BG59" s="59">
        <v>0</v>
      </c>
      <c r="BH59" s="59">
        <v>11655</v>
      </c>
      <c r="BI59" s="59">
        <v>2247</v>
      </c>
      <c r="BJ59" s="59">
        <v>0</v>
      </c>
      <c r="BK59" s="59">
        <v>4066</v>
      </c>
      <c r="BL59" s="59">
        <v>0</v>
      </c>
      <c r="BM59" s="59">
        <v>0</v>
      </c>
      <c r="BN59" s="59">
        <v>4380</v>
      </c>
      <c r="BO59" s="59">
        <v>0</v>
      </c>
      <c r="BP59" s="59">
        <v>0</v>
      </c>
      <c r="BQ59" s="59">
        <v>0</v>
      </c>
      <c r="BR59" s="59">
        <v>834</v>
      </c>
      <c r="BS59" s="59">
        <v>0</v>
      </c>
      <c r="BT59" s="59">
        <v>0</v>
      </c>
      <c r="BU59" s="59">
        <v>2316</v>
      </c>
      <c r="BV59" s="59">
        <v>0</v>
      </c>
      <c r="BW59" s="59">
        <v>8642.7999999999993</v>
      </c>
      <c r="BX59" s="59">
        <v>0</v>
      </c>
      <c r="BY59" s="59">
        <v>0</v>
      </c>
      <c r="BZ59" s="59">
        <v>0</v>
      </c>
      <c r="CA59" s="59">
        <v>0</v>
      </c>
      <c r="CB59" s="59">
        <v>0</v>
      </c>
      <c r="CC59" s="59">
        <v>2264.5</v>
      </c>
      <c r="CD59" s="59">
        <v>0</v>
      </c>
      <c r="CE59" s="59">
        <v>109</v>
      </c>
      <c r="CF59" s="59">
        <v>0</v>
      </c>
      <c r="CG59" s="59">
        <v>0</v>
      </c>
      <c r="CH59" s="59">
        <v>0</v>
      </c>
      <c r="CI59" s="59">
        <v>1379.14</v>
      </c>
      <c r="CJ59" s="59">
        <v>0</v>
      </c>
      <c r="CK59" s="59">
        <v>0</v>
      </c>
      <c r="CL59" s="59">
        <v>514.29</v>
      </c>
      <c r="CM59" s="59">
        <v>200</v>
      </c>
      <c r="CN59" s="59">
        <v>0</v>
      </c>
      <c r="CO59" s="59">
        <v>0</v>
      </c>
      <c r="CP59" s="59">
        <v>0</v>
      </c>
      <c r="CQ59" s="59">
        <v>0</v>
      </c>
      <c r="CR59" s="59">
        <v>0</v>
      </c>
      <c r="CS59" s="59">
        <v>900</v>
      </c>
      <c r="CT59" s="59">
        <v>0</v>
      </c>
      <c r="CU59" s="59">
        <v>0</v>
      </c>
      <c r="CV59" s="59">
        <v>0</v>
      </c>
      <c r="CW59" s="59">
        <v>0</v>
      </c>
      <c r="CX59" s="59">
        <v>238</v>
      </c>
      <c r="CY59" s="59">
        <v>500</v>
      </c>
      <c r="CZ59" s="59">
        <v>0</v>
      </c>
      <c r="DA59" s="59">
        <v>0</v>
      </c>
      <c r="DB59" s="59">
        <v>0</v>
      </c>
      <c r="DC59" s="68">
        <v>0</v>
      </c>
    </row>
    <row r="60" spans="1:107">
      <c r="A60" s="48" t="s">
        <v>92</v>
      </c>
      <c r="B60" s="59">
        <v>3211228.13</v>
      </c>
      <c r="C60" s="59">
        <v>1601395.6</v>
      </c>
      <c r="D60" s="59">
        <v>385850.58</v>
      </c>
      <c r="E60" s="59">
        <v>248789.95</v>
      </c>
      <c r="F60" s="59">
        <v>197625.56</v>
      </c>
      <c r="G60" s="59">
        <v>63461.2</v>
      </c>
      <c r="H60" s="59">
        <v>0</v>
      </c>
      <c r="I60" s="59">
        <v>25594.54</v>
      </c>
      <c r="J60" s="59">
        <v>61598.22</v>
      </c>
      <c r="K60" s="59">
        <v>68973.600000000006</v>
      </c>
      <c r="L60" s="59">
        <v>20083.52</v>
      </c>
      <c r="M60" s="59">
        <v>37949.79</v>
      </c>
      <c r="N60" s="59">
        <v>0</v>
      </c>
      <c r="O60" s="59">
        <v>5223.6400000000003</v>
      </c>
      <c r="P60" s="59">
        <v>35326.06</v>
      </c>
      <c r="Q60" s="59">
        <v>28561.74</v>
      </c>
      <c r="R60" s="59">
        <v>32086.2</v>
      </c>
      <c r="S60" s="59">
        <v>87358.15</v>
      </c>
      <c r="T60" s="59">
        <v>79199.25</v>
      </c>
      <c r="U60" s="59">
        <v>115407.28</v>
      </c>
      <c r="V60" s="59">
        <v>6256.22</v>
      </c>
      <c r="W60" s="59">
        <v>0</v>
      </c>
      <c r="X60" s="59">
        <v>21546.07</v>
      </c>
      <c r="Y60" s="59">
        <v>0</v>
      </c>
      <c r="Z60" s="59">
        <v>71045.91</v>
      </c>
      <c r="AA60" s="59">
        <v>0</v>
      </c>
      <c r="AB60" s="59">
        <v>67925.7</v>
      </c>
      <c r="AC60" s="59">
        <v>54565.24</v>
      </c>
      <c r="AD60" s="59">
        <v>33422.03</v>
      </c>
      <c r="AE60" s="59">
        <v>285</v>
      </c>
      <c r="AF60" s="59">
        <v>36808.01</v>
      </c>
      <c r="AG60" s="59">
        <v>129504.38</v>
      </c>
      <c r="AH60" s="59">
        <v>82079.97</v>
      </c>
      <c r="AI60" s="59">
        <v>137458.22</v>
      </c>
      <c r="AJ60" s="59">
        <v>109081.99</v>
      </c>
      <c r="AK60" s="59">
        <v>146750.07</v>
      </c>
      <c r="AL60" s="59">
        <v>32458.400000000001</v>
      </c>
      <c r="AM60" s="59">
        <v>18417.09</v>
      </c>
      <c r="AN60" s="59">
        <v>1405.04</v>
      </c>
      <c r="AO60" s="59">
        <v>17553.8</v>
      </c>
      <c r="AP60" s="59">
        <v>51542.84</v>
      </c>
      <c r="AQ60" s="59">
        <v>35293.9</v>
      </c>
      <c r="AR60" s="59">
        <v>34772.980000000003</v>
      </c>
      <c r="AS60" s="59">
        <v>42487.56</v>
      </c>
      <c r="AT60" s="59">
        <v>74237.64</v>
      </c>
      <c r="AU60" s="59">
        <v>79789.22</v>
      </c>
      <c r="AV60" s="59">
        <v>57205.03</v>
      </c>
      <c r="AW60" s="59">
        <v>66076.34</v>
      </c>
      <c r="AX60" s="59">
        <v>74525.73</v>
      </c>
      <c r="AY60" s="59">
        <v>67589.350000000006</v>
      </c>
      <c r="AZ60" s="59">
        <v>6285.69</v>
      </c>
      <c r="BA60" s="59">
        <v>61413.32</v>
      </c>
      <c r="BB60" s="59">
        <v>40429.269999999997</v>
      </c>
      <c r="BC60" s="59">
        <v>32504.61</v>
      </c>
      <c r="BD60" s="59">
        <v>111087.07</v>
      </c>
      <c r="BE60" s="59">
        <v>50228.66</v>
      </c>
      <c r="BF60" s="59">
        <v>62162.04</v>
      </c>
      <c r="BG60" s="59">
        <v>47392.36</v>
      </c>
      <c r="BH60" s="59">
        <v>37281.82</v>
      </c>
      <c r="BI60" s="59">
        <v>1606.1</v>
      </c>
      <c r="BJ60" s="59">
        <v>27126.25</v>
      </c>
      <c r="BK60" s="59">
        <v>31549.15</v>
      </c>
      <c r="BL60" s="59">
        <v>28577.040000000001</v>
      </c>
      <c r="BM60" s="59">
        <v>2190.75</v>
      </c>
      <c r="BN60" s="59">
        <v>32666.02</v>
      </c>
      <c r="BO60" s="59">
        <v>46602.29</v>
      </c>
      <c r="BP60" s="59">
        <v>11010.79</v>
      </c>
      <c r="BQ60" s="59">
        <v>3781.56</v>
      </c>
      <c r="BR60" s="59">
        <v>7249.07</v>
      </c>
      <c r="BS60" s="59">
        <v>17595.97</v>
      </c>
      <c r="BT60" s="59">
        <v>11704.31</v>
      </c>
      <c r="BU60" s="59">
        <v>23666.45</v>
      </c>
      <c r="BV60" s="59">
        <v>12422.56</v>
      </c>
      <c r="BW60" s="59">
        <v>117732.61</v>
      </c>
      <c r="BX60" s="59">
        <v>4073.06</v>
      </c>
      <c r="BY60" s="59">
        <v>11131.31</v>
      </c>
      <c r="BZ60" s="59">
        <v>6589.37</v>
      </c>
      <c r="CA60" s="59">
        <v>7014.78</v>
      </c>
      <c r="CB60" s="59">
        <v>13066.15</v>
      </c>
      <c r="CC60" s="59">
        <v>40180.160000000003</v>
      </c>
      <c r="CD60" s="59">
        <v>14236.2</v>
      </c>
      <c r="CE60" s="59">
        <v>5158.05</v>
      </c>
      <c r="CF60" s="59">
        <v>1216.9000000000001</v>
      </c>
      <c r="CG60" s="59">
        <v>3871.36</v>
      </c>
      <c r="CH60" s="59">
        <v>990.5</v>
      </c>
      <c r="CI60" s="59">
        <v>2062.1</v>
      </c>
      <c r="CJ60" s="59">
        <v>3467.64</v>
      </c>
      <c r="CK60" s="59">
        <v>1903.7</v>
      </c>
      <c r="CL60" s="59">
        <v>3311.1</v>
      </c>
      <c r="CM60" s="59">
        <v>2536.9499999999998</v>
      </c>
      <c r="CN60" s="59">
        <v>1604.94</v>
      </c>
      <c r="CO60" s="59">
        <v>0</v>
      </c>
      <c r="CP60" s="59">
        <v>3026</v>
      </c>
      <c r="CQ60" s="59">
        <v>221.93</v>
      </c>
      <c r="CR60" s="59">
        <v>2399.02</v>
      </c>
      <c r="CS60" s="59">
        <v>4119.16</v>
      </c>
      <c r="CT60" s="59">
        <v>2336.6799999999998</v>
      </c>
      <c r="CU60" s="59">
        <v>2566.1</v>
      </c>
      <c r="CV60" s="59">
        <v>2264</v>
      </c>
      <c r="CW60" s="59">
        <v>0</v>
      </c>
      <c r="CX60" s="59">
        <v>6484.8</v>
      </c>
      <c r="CY60" s="59">
        <v>2771.16</v>
      </c>
      <c r="CZ60" s="59">
        <v>1599.22</v>
      </c>
      <c r="DA60" s="59">
        <v>6072.53</v>
      </c>
      <c r="DB60" s="59">
        <v>2539.11</v>
      </c>
      <c r="DC60" s="68">
        <v>17241.47</v>
      </c>
    </row>
    <row r="61" spans="1:107">
      <c r="A61" s="48" t="s">
        <v>93</v>
      </c>
      <c r="B61" s="59">
        <v>0</v>
      </c>
      <c r="C61" s="59">
        <v>0</v>
      </c>
      <c r="D61" s="59">
        <v>0</v>
      </c>
      <c r="E61" s="59">
        <v>0</v>
      </c>
      <c r="F61" s="59">
        <v>0</v>
      </c>
      <c r="G61" s="59">
        <v>0</v>
      </c>
      <c r="H61" s="59">
        <v>0</v>
      </c>
      <c r="I61" s="59">
        <v>0</v>
      </c>
      <c r="J61" s="59">
        <v>0</v>
      </c>
      <c r="K61" s="59">
        <v>0</v>
      </c>
      <c r="L61" s="59">
        <v>0</v>
      </c>
      <c r="M61" s="59">
        <v>0</v>
      </c>
      <c r="N61" s="59">
        <v>0</v>
      </c>
      <c r="O61" s="59">
        <v>0</v>
      </c>
      <c r="P61" s="59">
        <v>0</v>
      </c>
      <c r="Q61" s="59">
        <v>0</v>
      </c>
      <c r="R61" s="59">
        <v>0</v>
      </c>
      <c r="S61" s="59">
        <v>0</v>
      </c>
      <c r="T61" s="59">
        <v>0</v>
      </c>
      <c r="U61" s="59">
        <v>0</v>
      </c>
      <c r="V61" s="59">
        <v>0</v>
      </c>
      <c r="W61" s="59">
        <v>0</v>
      </c>
      <c r="X61" s="59">
        <v>0</v>
      </c>
      <c r="Y61" s="59">
        <v>0</v>
      </c>
      <c r="Z61" s="59">
        <v>0</v>
      </c>
      <c r="AA61" s="59">
        <v>0</v>
      </c>
      <c r="AB61" s="59">
        <v>0</v>
      </c>
      <c r="AC61" s="59">
        <v>0</v>
      </c>
      <c r="AD61" s="59">
        <v>0</v>
      </c>
      <c r="AE61" s="59">
        <v>0</v>
      </c>
      <c r="AF61" s="59">
        <v>0</v>
      </c>
      <c r="AG61" s="59">
        <v>0</v>
      </c>
      <c r="AH61" s="59">
        <v>0</v>
      </c>
      <c r="AI61" s="59">
        <v>0</v>
      </c>
      <c r="AJ61" s="59">
        <v>0</v>
      </c>
      <c r="AK61" s="59">
        <v>0</v>
      </c>
      <c r="AL61" s="59">
        <v>0</v>
      </c>
      <c r="AM61" s="59">
        <v>0</v>
      </c>
      <c r="AN61" s="59">
        <v>0</v>
      </c>
      <c r="AO61" s="59">
        <v>0</v>
      </c>
      <c r="AP61" s="59">
        <v>0</v>
      </c>
      <c r="AQ61" s="59">
        <v>0</v>
      </c>
      <c r="AR61" s="59">
        <v>0</v>
      </c>
      <c r="AS61" s="59">
        <v>0</v>
      </c>
      <c r="AT61" s="59">
        <v>0</v>
      </c>
      <c r="AU61" s="59">
        <v>0</v>
      </c>
      <c r="AV61" s="59">
        <v>0</v>
      </c>
      <c r="AW61" s="59">
        <v>0</v>
      </c>
      <c r="AX61" s="59">
        <v>0</v>
      </c>
      <c r="AY61" s="59">
        <v>0</v>
      </c>
      <c r="AZ61" s="59">
        <v>0</v>
      </c>
      <c r="BA61" s="59">
        <v>0</v>
      </c>
      <c r="BB61" s="59">
        <v>0</v>
      </c>
      <c r="BC61" s="59">
        <v>0</v>
      </c>
      <c r="BD61" s="59">
        <v>0</v>
      </c>
      <c r="BE61" s="59">
        <v>0</v>
      </c>
      <c r="BF61" s="59">
        <v>0</v>
      </c>
      <c r="BG61" s="59">
        <v>0</v>
      </c>
      <c r="BH61" s="59">
        <v>0</v>
      </c>
      <c r="BI61" s="59">
        <v>0</v>
      </c>
      <c r="BJ61" s="59">
        <v>0</v>
      </c>
      <c r="BK61" s="59">
        <v>0</v>
      </c>
      <c r="BL61" s="59">
        <v>0</v>
      </c>
      <c r="BM61" s="59">
        <v>0</v>
      </c>
      <c r="BN61" s="59">
        <v>0</v>
      </c>
      <c r="BO61" s="59">
        <v>0</v>
      </c>
      <c r="BP61" s="59">
        <v>0</v>
      </c>
      <c r="BQ61" s="59">
        <v>0</v>
      </c>
      <c r="BR61" s="59">
        <v>0</v>
      </c>
      <c r="BS61" s="59">
        <v>0</v>
      </c>
      <c r="BT61" s="59">
        <v>0</v>
      </c>
      <c r="BU61" s="59">
        <v>0</v>
      </c>
      <c r="BV61" s="59">
        <v>0</v>
      </c>
      <c r="BW61" s="59">
        <v>0</v>
      </c>
      <c r="BX61" s="59">
        <v>0</v>
      </c>
      <c r="BY61" s="59">
        <v>0</v>
      </c>
      <c r="BZ61" s="59">
        <v>0</v>
      </c>
      <c r="CA61" s="59">
        <v>0</v>
      </c>
      <c r="CB61" s="59">
        <v>0</v>
      </c>
      <c r="CC61" s="59">
        <v>0</v>
      </c>
      <c r="CD61" s="59">
        <v>0</v>
      </c>
      <c r="CE61" s="59">
        <v>0</v>
      </c>
      <c r="CF61" s="59">
        <v>0</v>
      </c>
      <c r="CG61" s="59">
        <v>0</v>
      </c>
      <c r="CH61" s="59">
        <v>0</v>
      </c>
      <c r="CI61" s="59">
        <v>0</v>
      </c>
      <c r="CJ61" s="59">
        <v>0</v>
      </c>
      <c r="CK61" s="59">
        <v>0</v>
      </c>
      <c r="CL61" s="59">
        <v>0</v>
      </c>
      <c r="CM61" s="59">
        <v>0</v>
      </c>
      <c r="CN61" s="59">
        <v>0</v>
      </c>
      <c r="CO61" s="59">
        <v>0</v>
      </c>
      <c r="CP61" s="59">
        <v>0</v>
      </c>
      <c r="CQ61" s="59">
        <v>0</v>
      </c>
      <c r="CR61" s="59">
        <v>0</v>
      </c>
      <c r="CS61" s="59">
        <v>0</v>
      </c>
      <c r="CT61" s="59">
        <v>0</v>
      </c>
      <c r="CU61" s="59">
        <v>0</v>
      </c>
      <c r="CV61" s="59">
        <v>0</v>
      </c>
      <c r="CW61" s="59">
        <v>0</v>
      </c>
      <c r="CX61" s="59">
        <v>0</v>
      </c>
      <c r="CY61" s="59">
        <v>0</v>
      </c>
      <c r="CZ61" s="59">
        <v>0</v>
      </c>
      <c r="DA61" s="59">
        <v>0</v>
      </c>
      <c r="DB61" s="59">
        <v>0</v>
      </c>
      <c r="DC61" s="68">
        <v>0</v>
      </c>
    </row>
    <row r="62" spans="1:107">
      <c r="A62" s="48" t="s">
        <v>94</v>
      </c>
      <c r="B62" s="59">
        <v>-2433</v>
      </c>
      <c r="C62" s="59">
        <v>-1216.5</v>
      </c>
      <c r="D62" s="59">
        <v>0</v>
      </c>
      <c r="E62" s="59">
        <v>-1216.5</v>
      </c>
      <c r="F62" s="59">
        <v>0</v>
      </c>
      <c r="G62" s="59">
        <v>0</v>
      </c>
      <c r="H62" s="59">
        <v>0</v>
      </c>
      <c r="I62" s="59">
        <v>0</v>
      </c>
      <c r="J62" s="59">
        <v>0</v>
      </c>
      <c r="K62" s="59">
        <v>0</v>
      </c>
      <c r="L62" s="59">
        <v>0</v>
      </c>
      <c r="M62" s="59">
        <v>0</v>
      </c>
      <c r="N62" s="59">
        <v>0</v>
      </c>
      <c r="O62" s="59">
        <v>0</v>
      </c>
      <c r="P62" s="59">
        <v>0</v>
      </c>
      <c r="Q62" s="59">
        <v>0</v>
      </c>
      <c r="R62" s="59">
        <v>0</v>
      </c>
      <c r="S62" s="59">
        <v>0</v>
      </c>
      <c r="T62" s="59">
        <v>0</v>
      </c>
      <c r="U62" s="59">
        <v>0</v>
      </c>
      <c r="V62" s="59">
        <v>0</v>
      </c>
      <c r="W62" s="59">
        <v>0</v>
      </c>
      <c r="X62" s="59">
        <v>0</v>
      </c>
      <c r="Y62" s="59">
        <v>0</v>
      </c>
      <c r="Z62" s="59">
        <v>0</v>
      </c>
      <c r="AA62" s="59">
        <v>0</v>
      </c>
      <c r="AB62" s="59">
        <v>0</v>
      </c>
      <c r="AC62" s="59">
        <v>0</v>
      </c>
      <c r="AD62" s="59">
        <v>-1216.5</v>
      </c>
      <c r="AE62" s="59">
        <v>0</v>
      </c>
      <c r="AF62" s="59">
        <v>0</v>
      </c>
      <c r="AG62" s="59">
        <v>0</v>
      </c>
      <c r="AH62" s="59">
        <v>0</v>
      </c>
      <c r="AI62" s="59">
        <v>0</v>
      </c>
      <c r="AJ62" s="59">
        <v>0</v>
      </c>
      <c r="AK62" s="59">
        <v>0</v>
      </c>
      <c r="AL62" s="59">
        <v>0</v>
      </c>
      <c r="AM62" s="59">
        <v>0</v>
      </c>
      <c r="AN62" s="59">
        <v>0</v>
      </c>
      <c r="AO62" s="59">
        <v>0</v>
      </c>
      <c r="AP62" s="59">
        <v>0</v>
      </c>
      <c r="AQ62" s="59">
        <v>0</v>
      </c>
      <c r="AR62" s="59">
        <v>-1216.5</v>
      </c>
      <c r="AS62" s="59">
        <v>0</v>
      </c>
      <c r="AT62" s="59">
        <v>0</v>
      </c>
      <c r="AU62" s="59">
        <v>0</v>
      </c>
      <c r="AV62" s="59">
        <v>0</v>
      </c>
      <c r="AW62" s="59">
        <v>0</v>
      </c>
      <c r="AX62" s="59">
        <v>0</v>
      </c>
      <c r="AY62" s="59">
        <v>0</v>
      </c>
      <c r="AZ62" s="59">
        <v>0</v>
      </c>
      <c r="BA62" s="59">
        <v>0</v>
      </c>
      <c r="BB62" s="59">
        <v>0</v>
      </c>
      <c r="BC62" s="59">
        <v>0</v>
      </c>
      <c r="BD62" s="59">
        <v>0</v>
      </c>
      <c r="BE62" s="59">
        <v>0</v>
      </c>
      <c r="BF62" s="59">
        <v>0</v>
      </c>
      <c r="BG62" s="59">
        <v>0</v>
      </c>
      <c r="BH62" s="59">
        <v>0</v>
      </c>
      <c r="BI62" s="59">
        <v>0</v>
      </c>
      <c r="BJ62" s="59">
        <v>0</v>
      </c>
      <c r="BK62" s="59">
        <v>0</v>
      </c>
      <c r="BL62" s="59">
        <v>0</v>
      </c>
      <c r="BM62" s="59">
        <v>0</v>
      </c>
      <c r="BN62" s="59">
        <v>0</v>
      </c>
      <c r="BO62" s="59">
        <v>0</v>
      </c>
      <c r="BP62" s="59">
        <v>0</v>
      </c>
      <c r="BQ62" s="59">
        <v>0</v>
      </c>
      <c r="BR62" s="59">
        <v>0</v>
      </c>
      <c r="BS62" s="59">
        <v>0</v>
      </c>
      <c r="BT62" s="59">
        <v>0</v>
      </c>
      <c r="BU62" s="59">
        <v>0</v>
      </c>
      <c r="BV62" s="59">
        <v>0</v>
      </c>
      <c r="BW62" s="59">
        <v>0</v>
      </c>
      <c r="BX62" s="59">
        <v>0</v>
      </c>
      <c r="BY62" s="59">
        <v>0</v>
      </c>
      <c r="BZ62" s="59">
        <v>0</v>
      </c>
      <c r="CA62" s="59">
        <v>0</v>
      </c>
      <c r="CB62" s="59">
        <v>0</v>
      </c>
      <c r="CC62" s="59">
        <v>0</v>
      </c>
      <c r="CD62" s="59">
        <v>0</v>
      </c>
      <c r="CE62" s="59">
        <v>0</v>
      </c>
      <c r="CF62" s="59">
        <v>0</v>
      </c>
      <c r="CG62" s="59">
        <v>0</v>
      </c>
      <c r="CH62" s="59">
        <v>0</v>
      </c>
      <c r="CI62" s="59">
        <v>0</v>
      </c>
      <c r="CJ62" s="59">
        <v>0</v>
      </c>
      <c r="CK62" s="59">
        <v>0</v>
      </c>
      <c r="CL62" s="59">
        <v>0</v>
      </c>
      <c r="CM62" s="59">
        <v>0</v>
      </c>
      <c r="CN62" s="59">
        <v>0</v>
      </c>
      <c r="CO62" s="59">
        <v>0</v>
      </c>
      <c r="CP62" s="59">
        <v>0</v>
      </c>
      <c r="CQ62" s="59">
        <v>0</v>
      </c>
      <c r="CR62" s="59">
        <v>0</v>
      </c>
      <c r="CS62" s="59">
        <v>0</v>
      </c>
      <c r="CT62" s="59">
        <v>0</v>
      </c>
      <c r="CU62" s="59">
        <v>0</v>
      </c>
      <c r="CV62" s="59">
        <v>0</v>
      </c>
      <c r="CW62" s="59">
        <v>0</v>
      </c>
      <c r="CX62" s="59">
        <v>0</v>
      </c>
      <c r="CY62" s="59">
        <v>0</v>
      </c>
      <c r="CZ62" s="59">
        <v>0</v>
      </c>
      <c r="DA62" s="59">
        <v>0</v>
      </c>
      <c r="DB62" s="59">
        <v>0</v>
      </c>
      <c r="DC62" s="68">
        <v>0</v>
      </c>
    </row>
    <row r="63" spans="1:107">
      <c r="A63" s="48" t="s">
        <v>95</v>
      </c>
      <c r="B63" s="59">
        <v>127440</v>
      </c>
      <c r="C63" s="59">
        <v>87020</v>
      </c>
      <c r="D63" s="59">
        <v>0</v>
      </c>
      <c r="E63" s="59">
        <v>0</v>
      </c>
      <c r="F63" s="59">
        <v>19820</v>
      </c>
      <c r="G63" s="59">
        <v>420</v>
      </c>
      <c r="H63" s="59">
        <v>0</v>
      </c>
      <c r="I63" s="59">
        <v>840</v>
      </c>
      <c r="J63" s="59">
        <v>2520</v>
      </c>
      <c r="K63" s="59">
        <v>0</v>
      </c>
      <c r="L63" s="59">
        <v>0</v>
      </c>
      <c r="M63" s="59">
        <v>0</v>
      </c>
      <c r="N63" s="59">
        <v>0</v>
      </c>
      <c r="O63" s="59">
        <v>0</v>
      </c>
      <c r="P63" s="59">
        <v>0</v>
      </c>
      <c r="Q63" s="59">
        <v>0</v>
      </c>
      <c r="R63" s="59">
        <v>0</v>
      </c>
      <c r="S63" s="59">
        <v>420</v>
      </c>
      <c r="T63" s="59">
        <v>0</v>
      </c>
      <c r="U63" s="59">
        <v>14300</v>
      </c>
      <c r="V63" s="59">
        <v>420</v>
      </c>
      <c r="W63" s="59">
        <v>0</v>
      </c>
      <c r="X63" s="59">
        <v>0</v>
      </c>
      <c r="Y63" s="59">
        <v>0</v>
      </c>
      <c r="Z63" s="59">
        <v>0</v>
      </c>
      <c r="AA63" s="59">
        <v>0</v>
      </c>
      <c r="AB63" s="59">
        <v>0</v>
      </c>
      <c r="AC63" s="59">
        <v>0</v>
      </c>
      <c r="AD63" s="59">
        <v>0</v>
      </c>
      <c r="AE63" s="59">
        <v>0</v>
      </c>
      <c r="AF63" s="59">
        <v>0</v>
      </c>
      <c r="AG63" s="59">
        <v>0</v>
      </c>
      <c r="AH63" s="59">
        <v>0</v>
      </c>
      <c r="AI63" s="59">
        <v>0</v>
      </c>
      <c r="AJ63" s="59">
        <v>1260</v>
      </c>
      <c r="AK63" s="59">
        <v>14780</v>
      </c>
      <c r="AL63" s="59">
        <v>2940</v>
      </c>
      <c r="AM63" s="59">
        <v>2100</v>
      </c>
      <c r="AN63" s="59">
        <v>420</v>
      </c>
      <c r="AO63" s="59">
        <v>0</v>
      </c>
      <c r="AP63" s="59">
        <v>0</v>
      </c>
      <c r="AQ63" s="59">
        <v>420</v>
      </c>
      <c r="AR63" s="59">
        <v>0</v>
      </c>
      <c r="AS63" s="59">
        <v>0</v>
      </c>
      <c r="AT63" s="59">
        <v>2520</v>
      </c>
      <c r="AU63" s="59">
        <v>2520</v>
      </c>
      <c r="AV63" s="59">
        <v>4200</v>
      </c>
      <c r="AW63" s="59">
        <v>2520</v>
      </c>
      <c r="AX63" s="59">
        <v>2940</v>
      </c>
      <c r="AY63" s="59">
        <v>2100</v>
      </c>
      <c r="AZ63" s="59">
        <v>1260</v>
      </c>
      <c r="BA63" s="59">
        <v>1260</v>
      </c>
      <c r="BB63" s="59">
        <v>1260</v>
      </c>
      <c r="BC63" s="59">
        <v>1680</v>
      </c>
      <c r="BD63" s="59">
        <v>2520</v>
      </c>
      <c r="BE63" s="59">
        <v>3360</v>
      </c>
      <c r="BF63" s="59">
        <v>2520</v>
      </c>
      <c r="BG63" s="59">
        <v>2520</v>
      </c>
      <c r="BH63" s="59">
        <v>1680</v>
      </c>
      <c r="BI63" s="59">
        <v>1260</v>
      </c>
      <c r="BJ63" s="59">
        <v>1260</v>
      </c>
      <c r="BK63" s="59">
        <v>1680</v>
      </c>
      <c r="BL63" s="59">
        <v>1260</v>
      </c>
      <c r="BM63" s="59">
        <v>840</v>
      </c>
      <c r="BN63" s="59">
        <v>1680</v>
      </c>
      <c r="BO63" s="59">
        <v>2100</v>
      </c>
      <c r="BP63" s="59">
        <v>840</v>
      </c>
      <c r="BQ63" s="59">
        <v>840</v>
      </c>
      <c r="BR63" s="59">
        <v>840</v>
      </c>
      <c r="BS63" s="59">
        <v>840</v>
      </c>
      <c r="BT63" s="59">
        <v>840</v>
      </c>
      <c r="BU63" s="59">
        <v>840</v>
      </c>
      <c r="BV63" s="59">
        <v>840</v>
      </c>
      <c r="BW63" s="59">
        <v>13020</v>
      </c>
      <c r="BX63" s="59">
        <v>840</v>
      </c>
      <c r="BY63" s="59">
        <v>840</v>
      </c>
      <c r="BZ63" s="59">
        <v>420</v>
      </c>
      <c r="CA63" s="59">
        <v>840</v>
      </c>
      <c r="CB63" s="59">
        <v>840</v>
      </c>
      <c r="CC63" s="59">
        <v>2520</v>
      </c>
      <c r="CD63" s="59">
        <v>1260</v>
      </c>
      <c r="CE63" s="59">
        <v>840</v>
      </c>
      <c r="CF63" s="59">
        <v>420</v>
      </c>
      <c r="CG63" s="59">
        <v>840</v>
      </c>
      <c r="CH63" s="59">
        <v>420</v>
      </c>
      <c r="CI63" s="59">
        <v>420</v>
      </c>
      <c r="CJ63" s="59">
        <v>840</v>
      </c>
      <c r="CK63" s="59">
        <v>420</v>
      </c>
      <c r="CL63" s="59">
        <v>840</v>
      </c>
      <c r="CM63" s="59">
        <v>420</v>
      </c>
      <c r="CN63" s="59">
        <v>420</v>
      </c>
      <c r="CO63" s="59">
        <v>420</v>
      </c>
      <c r="CP63" s="59">
        <v>420</v>
      </c>
      <c r="CQ63" s="59">
        <v>420</v>
      </c>
      <c r="CR63" s="59">
        <v>420</v>
      </c>
      <c r="CS63" s="59">
        <v>840</v>
      </c>
      <c r="CT63" s="59">
        <v>420</v>
      </c>
      <c r="CU63" s="59">
        <v>420</v>
      </c>
      <c r="CV63" s="59">
        <v>840</v>
      </c>
      <c r="CW63" s="59">
        <v>420</v>
      </c>
      <c r="CX63" s="59">
        <v>920</v>
      </c>
      <c r="CY63" s="59">
        <v>840</v>
      </c>
      <c r="CZ63" s="59">
        <v>420</v>
      </c>
      <c r="DA63" s="59">
        <v>420</v>
      </c>
      <c r="DB63" s="59">
        <v>420</v>
      </c>
      <c r="DC63" s="68">
        <v>1680</v>
      </c>
    </row>
    <row r="64" spans="1:107">
      <c r="A64" s="48" t="s">
        <v>96</v>
      </c>
      <c r="B64" s="59">
        <v>220731.59</v>
      </c>
      <c r="C64" s="59">
        <v>137469.28</v>
      </c>
      <c r="D64" s="59">
        <v>11048.42</v>
      </c>
      <c r="E64" s="59">
        <v>34654.879999999997</v>
      </c>
      <c r="F64" s="59">
        <v>0</v>
      </c>
      <c r="G64" s="59">
        <v>0</v>
      </c>
      <c r="H64" s="59">
        <v>0</v>
      </c>
      <c r="I64" s="59">
        <v>0</v>
      </c>
      <c r="J64" s="59">
        <v>19139.71</v>
      </c>
      <c r="K64" s="59">
        <v>0</v>
      </c>
      <c r="L64" s="59">
        <v>0</v>
      </c>
      <c r="M64" s="59">
        <v>5603.24</v>
      </c>
      <c r="N64" s="59">
        <v>12816.06</v>
      </c>
      <c r="O64" s="59">
        <v>0</v>
      </c>
      <c r="P64" s="59">
        <v>0</v>
      </c>
      <c r="Q64" s="59">
        <v>0</v>
      </c>
      <c r="R64" s="59">
        <v>0</v>
      </c>
      <c r="S64" s="59">
        <v>0</v>
      </c>
      <c r="T64" s="59">
        <v>0</v>
      </c>
      <c r="U64" s="59">
        <v>0</v>
      </c>
      <c r="V64" s="59">
        <v>0</v>
      </c>
      <c r="W64" s="59">
        <v>0</v>
      </c>
      <c r="X64" s="59">
        <v>34654.879999999997</v>
      </c>
      <c r="Y64" s="59">
        <v>0</v>
      </c>
      <c r="Z64" s="59">
        <v>0</v>
      </c>
      <c r="AA64" s="59">
        <v>0</v>
      </c>
      <c r="AB64" s="59">
        <v>0</v>
      </c>
      <c r="AC64" s="59">
        <v>0</v>
      </c>
      <c r="AD64" s="59">
        <v>0</v>
      </c>
      <c r="AE64" s="59">
        <v>0</v>
      </c>
      <c r="AF64" s="59">
        <v>11048.42</v>
      </c>
      <c r="AG64" s="59">
        <v>0</v>
      </c>
      <c r="AH64" s="59">
        <v>0</v>
      </c>
      <c r="AI64" s="59">
        <v>0</v>
      </c>
      <c r="AJ64" s="59">
        <v>0</v>
      </c>
      <c r="AK64" s="59">
        <v>0</v>
      </c>
      <c r="AL64" s="59">
        <v>0</v>
      </c>
      <c r="AM64" s="59">
        <v>0</v>
      </c>
      <c r="AN64" s="59">
        <v>0</v>
      </c>
      <c r="AO64" s="59">
        <v>0</v>
      </c>
      <c r="AP64" s="59">
        <v>0</v>
      </c>
      <c r="AQ64" s="59">
        <v>0</v>
      </c>
      <c r="AR64" s="59">
        <v>0</v>
      </c>
      <c r="AS64" s="59">
        <v>0</v>
      </c>
      <c r="AT64" s="59">
        <v>0</v>
      </c>
      <c r="AU64" s="59">
        <v>0</v>
      </c>
      <c r="AV64" s="59">
        <v>0</v>
      </c>
      <c r="AW64" s="59">
        <v>0</v>
      </c>
      <c r="AX64" s="59">
        <v>0</v>
      </c>
      <c r="AY64" s="59">
        <v>0</v>
      </c>
      <c r="AZ64" s="59">
        <v>0</v>
      </c>
      <c r="BA64" s="59">
        <v>0</v>
      </c>
      <c r="BB64" s="59">
        <v>0</v>
      </c>
      <c r="BC64" s="59">
        <v>0</v>
      </c>
      <c r="BD64" s="59">
        <v>0</v>
      </c>
      <c r="BE64" s="59">
        <v>0</v>
      </c>
      <c r="BF64" s="59">
        <v>0</v>
      </c>
      <c r="BG64" s="59">
        <v>0</v>
      </c>
      <c r="BH64" s="59">
        <v>0</v>
      </c>
      <c r="BI64" s="59">
        <v>0</v>
      </c>
      <c r="BJ64" s="59">
        <v>0</v>
      </c>
      <c r="BK64" s="59">
        <v>0</v>
      </c>
      <c r="BL64" s="59">
        <v>0</v>
      </c>
      <c r="BM64" s="59">
        <v>0</v>
      </c>
      <c r="BN64" s="59">
        <v>0</v>
      </c>
      <c r="BO64" s="59">
        <v>0</v>
      </c>
      <c r="BP64" s="59">
        <v>0</v>
      </c>
      <c r="BQ64" s="59">
        <v>0</v>
      </c>
      <c r="BR64" s="59">
        <v>0</v>
      </c>
      <c r="BS64" s="59">
        <v>0</v>
      </c>
      <c r="BT64" s="59">
        <v>0</v>
      </c>
      <c r="BU64" s="59">
        <v>0</v>
      </c>
      <c r="BV64" s="59">
        <v>0</v>
      </c>
      <c r="BW64" s="59">
        <v>137469.28</v>
      </c>
      <c r="BX64" s="59">
        <v>0</v>
      </c>
      <c r="BY64" s="59">
        <v>0</v>
      </c>
      <c r="BZ64" s="59">
        <v>0</v>
      </c>
      <c r="CA64" s="59">
        <v>0</v>
      </c>
      <c r="CB64" s="59">
        <v>0</v>
      </c>
      <c r="CC64" s="59">
        <v>0</v>
      </c>
      <c r="CD64" s="59">
        <v>0</v>
      </c>
      <c r="CE64" s="59">
        <v>0</v>
      </c>
      <c r="CF64" s="59">
        <v>0</v>
      </c>
      <c r="CG64" s="59">
        <v>0</v>
      </c>
      <c r="CH64" s="59">
        <v>0</v>
      </c>
      <c r="CI64" s="59">
        <v>0</v>
      </c>
      <c r="CJ64" s="59">
        <v>0</v>
      </c>
      <c r="CK64" s="59">
        <v>0</v>
      </c>
      <c r="CL64" s="59">
        <v>0</v>
      </c>
      <c r="CM64" s="59">
        <v>0</v>
      </c>
      <c r="CN64" s="59">
        <v>0</v>
      </c>
      <c r="CO64" s="59">
        <v>0</v>
      </c>
      <c r="CP64" s="59">
        <v>0</v>
      </c>
      <c r="CQ64" s="59">
        <v>0</v>
      </c>
      <c r="CR64" s="59">
        <v>0</v>
      </c>
      <c r="CS64" s="59">
        <v>0</v>
      </c>
      <c r="CT64" s="59">
        <v>0</v>
      </c>
      <c r="CU64" s="59">
        <v>0</v>
      </c>
      <c r="CV64" s="59">
        <v>0</v>
      </c>
      <c r="CW64" s="59">
        <v>0</v>
      </c>
      <c r="CX64" s="59">
        <v>0</v>
      </c>
      <c r="CY64" s="59">
        <v>0</v>
      </c>
      <c r="CZ64" s="59">
        <v>0</v>
      </c>
      <c r="DA64" s="59">
        <v>0</v>
      </c>
      <c r="DB64" s="59">
        <v>0</v>
      </c>
      <c r="DC64" s="68">
        <v>0</v>
      </c>
    </row>
    <row r="65" spans="1:120">
      <c r="A65" s="48" t="s">
        <v>97</v>
      </c>
      <c r="B65" s="59">
        <v>6830074.4800000004</v>
      </c>
      <c r="C65" s="59">
        <v>0</v>
      </c>
      <c r="D65" s="59">
        <v>0</v>
      </c>
      <c r="E65" s="59">
        <v>0</v>
      </c>
      <c r="F65" s="59">
        <v>0</v>
      </c>
      <c r="G65" s="59">
        <v>0</v>
      </c>
      <c r="H65" s="59">
        <v>6830074.4800000004</v>
      </c>
      <c r="I65" s="59">
        <v>0</v>
      </c>
      <c r="J65" s="59">
        <v>0</v>
      </c>
      <c r="K65" s="59">
        <v>0</v>
      </c>
      <c r="L65" s="59">
        <v>0</v>
      </c>
      <c r="M65" s="59">
        <v>0</v>
      </c>
      <c r="N65" s="59">
        <v>0</v>
      </c>
      <c r="O65" s="59">
        <v>0</v>
      </c>
      <c r="P65" s="59">
        <v>0</v>
      </c>
      <c r="Q65" s="59">
        <v>0</v>
      </c>
      <c r="R65" s="59">
        <v>0</v>
      </c>
      <c r="S65" s="59">
        <v>0</v>
      </c>
      <c r="T65" s="59">
        <v>0</v>
      </c>
      <c r="U65" s="59">
        <v>0</v>
      </c>
      <c r="V65" s="59">
        <v>0</v>
      </c>
      <c r="W65" s="59">
        <v>0</v>
      </c>
      <c r="X65" s="59">
        <v>0</v>
      </c>
      <c r="Y65" s="59">
        <v>0</v>
      </c>
      <c r="Z65" s="59">
        <v>0</v>
      </c>
      <c r="AA65" s="59">
        <v>0</v>
      </c>
      <c r="AB65" s="59">
        <v>0</v>
      </c>
      <c r="AC65" s="59">
        <v>0</v>
      </c>
      <c r="AD65" s="59">
        <v>0</v>
      </c>
      <c r="AE65" s="59">
        <v>0</v>
      </c>
      <c r="AF65" s="59">
        <v>0</v>
      </c>
      <c r="AG65" s="59">
        <v>0</v>
      </c>
      <c r="AH65" s="59">
        <v>0</v>
      </c>
      <c r="AI65" s="59">
        <v>0</v>
      </c>
      <c r="AJ65" s="59">
        <v>0</v>
      </c>
      <c r="AK65" s="59">
        <v>0</v>
      </c>
      <c r="AL65" s="59">
        <v>0</v>
      </c>
      <c r="AM65" s="59">
        <v>0</v>
      </c>
      <c r="AN65" s="59">
        <v>0</v>
      </c>
      <c r="AO65" s="59">
        <v>0</v>
      </c>
      <c r="AP65" s="59">
        <v>0</v>
      </c>
      <c r="AQ65" s="59">
        <v>0</v>
      </c>
      <c r="AR65" s="59">
        <v>0</v>
      </c>
      <c r="AS65" s="59">
        <v>0</v>
      </c>
      <c r="AT65" s="59">
        <v>0</v>
      </c>
      <c r="AU65" s="59">
        <v>0</v>
      </c>
      <c r="AV65" s="59">
        <v>0</v>
      </c>
      <c r="AW65" s="59">
        <v>0</v>
      </c>
      <c r="AX65" s="59">
        <v>0</v>
      </c>
      <c r="AY65" s="59">
        <v>0</v>
      </c>
      <c r="AZ65" s="59">
        <v>0</v>
      </c>
      <c r="BA65" s="59">
        <v>0</v>
      </c>
      <c r="BB65" s="59">
        <v>0</v>
      </c>
      <c r="BC65" s="59">
        <v>0</v>
      </c>
      <c r="BD65" s="59">
        <v>0</v>
      </c>
      <c r="BE65" s="59">
        <v>0</v>
      </c>
      <c r="BF65" s="59">
        <v>0</v>
      </c>
      <c r="BG65" s="59">
        <v>0</v>
      </c>
      <c r="BH65" s="59">
        <v>0</v>
      </c>
      <c r="BI65" s="59">
        <v>0</v>
      </c>
      <c r="BJ65" s="59">
        <v>0</v>
      </c>
      <c r="BK65" s="59">
        <v>0</v>
      </c>
      <c r="BL65" s="59">
        <v>0</v>
      </c>
      <c r="BM65" s="59">
        <v>0</v>
      </c>
      <c r="BN65" s="59">
        <v>0</v>
      </c>
      <c r="BO65" s="59">
        <v>0</v>
      </c>
      <c r="BP65" s="59">
        <v>0</v>
      </c>
      <c r="BQ65" s="59">
        <v>0</v>
      </c>
      <c r="BR65" s="59">
        <v>0</v>
      </c>
      <c r="BS65" s="59">
        <v>0</v>
      </c>
      <c r="BT65" s="59">
        <v>0</v>
      </c>
      <c r="BU65" s="59">
        <v>0</v>
      </c>
      <c r="BV65" s="59">
        <v>0</v>
      </c>
      <c r="BW65" s="59">
        <v>0</v>
      </c>
      <c r="BX65" s="59">
        <v>0</v>
      </c>
      <c r="BY65" s="59">
        <v>0</v>
      </c>
      <c r="BZ65" s="59">
        <v>0</v>
      </c>
      <c r="CA65" s="59">
        <v>0</v>
      </c>
      <c r="CB65" s="59">
        <v>0</v>
      </c>
      <c r="CC65" s="59">
        <v>0</v>
      </c>
      <c r="CD65" s="59">
        <v>0</v>
      </c>
      <c r="CE65" s="59">
        <v>0</v>
      </c>
      <c r="CF65" s="59">
        <v>0</v>
      </c>
      <c r="CG65" s="59">
        <v>0</v>
      </c>
      <c r="CH65" s="59">
        <v>0</v>
      </c>
      <c r="CI65" s="59">
        <v>0</v>
      </c>
      <c r="CJ65" s="59">
        <v>0</v>
      </c>
      <c r="CK65" s="59">
        <v>0</v>
      </c>
      <c r="CL65" s="59">
        <v>0</v>
      </c>
      <c r="CM65" s="59">
        <v>0</v>
      </c>
      <c r="CN65" s="59">
        <v>0</v>
      </c>
      <c r="CO65" s="59">
        <v>0</v>
      </c>
      <c r="CP65" s="59">
        <v>0</v>
      </c>
      <c r="CQ65" s="59">
        <v>0</v>
      </c>
      <c r="CR65" s="59">
        <v>0</v>
      </c>
      <c r="CS65" s="59">
        <v>0</v>
      </c>
      <c r="CT65" s="59">
        <v>0</v>
      </c>
      <c r="CU65" s="59">
        <v>0</v>
      </c>
      <c r="CV65" s="59">
        <v>0</v>
      </c>
      <c r="CW65" s="59">
        <v>0</v>
      </c>
      <c r="CX65" s="59">
        <v>0</v>
      </c>
      <c r="CY65" s="59">
        <v>0</v>
      </c>
      <c r="CZ65" s="59">
        <v>0</v>
      </c>
      <c r="DA65" s="59">
        <v>0</v>
      </c>
      <c r="DB65" s="59">
        <v>0</v>
      </c>
      <c r="DC65" s="68">
        <v>0</v>
      </c>
    </row>
    <row r="66" spans="1:120" s="52" customFormat="1">
      <c r="A66" s="60" t="s">
        <v>98</v>
      </c>
      <c r="B66" s="61">
        <v>25127158.530000001</v>
      </c>
      <c r="C66" s="61">
        <v>8622121.8200000003</v>
      </c>
      <c r="D66" s="61">
        <v>2443806.91</v>
      </c>
      <c r="E66" s="61">
        <v>1469474.45</v>
      </c>
      <c r="F66" s="61">
        <v>896853.44</v>
      </c>
      <c r="G66" s="61">
        <v>861189.6</v>
      </c>
      <c r="H66" s="61">
        <v>6966675.9699999997</v>
      </c>
      <c r="I66" s="61">
        <v>143186.91</v>
      </c>
      <c r="J66" s="61">
        <v>335099.37</v>
      </c>
      <c r="K66" s="61">
        <v>372660.07</v>
      </c>
      <c r="L66" s="61">
        <v>123960.44</v>
      </c>
      <c r="M66" s="61">
        <v>236754.17</v>
      </c>
      <c r="N66" s="61">
        <v>12816.06</v>
      </c>
      <c r="O66" s="61">
        <v>23350.37</v>
      </c>
      <c r="P66" s="61">
        <v>196205.16</v>
      </c>
      <c r="Q66" s="61">
        <v>175972.15</v>
      </c>
      <c r="R66" s="61">
        <v>198987.78</v>
      </c>
      <c r="S66" s="61">
        <v>432811.35</v>
      </c>
      <c r="T66" s="61">
        <v>373479.51</v>
      </c>
      <c r="U66" s="61">
        <v>654991.93999999994</v>
      </c>
      <c r="V66" s="61">
        <v>44404.22</v>
      </c>
      <c r="W66" s="61">
        <v>0</v>
      </c>
      <c r="X66" s="61">
        <v>121816.87</v>
      </c>
      <c r="Y66" s="61">
        <v>38075.919999999998</v>
      </c>
      <c r="Z66" s="61">
        <v>428608.39</v>
      </c>
      <c r="AA66" s="61">
        <v>0</v>
      </c>
      <c r="AB66" s="61">
        <v>260149.52</v>
      </c>
      <c r="AC66" s="61">
        <v>312202.07</v>
      </c>
      <c r="AD66" s="61">
        <v>187899.51</v>
      </c>
      <c r="AE66" s="61">
        <v>120722.17</v>
      </c>
      <c r="AF66" s="61">
        <v>230741.38</v>
      </c>
      <c r="AG66" s="61">
        <v>689376.29</v>
      </c>
      <c r="AH66" s="61">
        <v>848117.53</v>
      </c>
      <c r="AI66" s="61">
        <v>675571.71</v>
      </c>
      <c r="AJ66" s="61">
        <v>532859.88</v>
      </c>
      <c r="AK66" s="61">
        <v>616932.82999999996</v>
      </c>
      <c r="AL66" s="61">
        <v>203263.56</v>
      </c>
      <c r="AM66" s="61">
        <v>76657.05</v>
      </c>
      <c r="AN66" s="61">
        <v>9496.9599999999991</v>
      </c>
      <c r="AO66" s="61">
        <v>213172.71</v>
      </c>
      <c r="AP66" s="61">
        <v>302678.45</v>
      </c>
      <c r="AQ66" s="61">
        <v>179375.63</v>
      </c>
      <c r="AR66" s="61">
        <v>204055.28</v>
      </c>
      <c r="AS66" s="61">
        <v>239308.67</v>
      </c>
      <c r="AT66" s="61">
        <v>401884.5</v>
      </c>
      <c r="AU66" s="61">
        <v>400978.77</v>
      </c>
      <c r="AV66" s="61">
        <v>426526.3</v>
      </c>
      <c r="AW66" s="61">
        <v>332442.53000000003</v>
      </c>
      <c r="AX66" s="61">
        <v>358103.31</v>
      </c>
      <c r="AY66" s="61">
        <v>323684.93</v>
      </c>
      <c r="AZ66" s="61">
        <v>131012.3</v>
      </c>
      <c r="BA66" s="61">
        <v>343347.85</v>
      </c>
      <c r="BB66" s="61">
        <v>151898.70000000001</v>
      </c>
      <c r="BC66" s="61">
        <v>131182.29999999999</v>
      </c>
      <c r="BD66" s="61">
        <v>409141.37</v>
      </c>
      <c r="BE66" s="61">
        <v>253481.14</v>
      </c>
      <c r="BF66" s="61">
        <v>316825.21999999997</v>
      </c>
      <c r="BG66" s="61">
        <v>218761.08</v>
      </c>
      <c r="BH66" s="61">
        <v>166715.56</v>
      </c>
      <c r="BI66" s="61">
        <v>153122.44</v>
      </c>
      <c r="BJ66" s="61">
        <v>185544.76</v>
      </c>
      <c r="BK66" s="61">
        <v>161805.69</v>
      </c>
      <c r="BL66" s="61">
        <v>121085.72</v>
      </c>
      <c r="BM66" s="61">
        <v>109231.38</v>
      </c>
      <c r="BN66" s="61">
        <v>155366.1</v>
      </c>
      <c r="BO66" s="61">
        <v>194435.5</v>
      </c>
      <c r="BP66" s="61">
        <v>59978.57</v>
      </c>
      <c r="BQ66" s="61">
        <v>64487.11</v>
      </c>
      <c r="BR66" s="61">
        <v>47652.73</v>
      </c>
      <c r="BS66" s="61">
        <v>74566.490000000005</v>
      </c>
      <c r="BT66" s="61">
        <v>71638.789999999994</v>
      </c>
      <c r="BU66" s="61">
        <v>142020.71</v>
      </c>
      <c r="BV66" s="61">
        <v>59608.19</v>
      </c>
      <c r="BW66" s="61">
        <v>623958.68999999994</v>
      </c>
      <c r="BX66" s="61">
        <v>18990.810000000001</v>
      </c>
      <c r="BY66" s="61">
        <v>50758.22</v>
      </c>
      <c r="BZ66" s="61">
        <v>36274.230000000003</v>
      </c>
      <c r="CA66" s="61">
        <v>32533.119999999999</v>
      </c>
      <c r="CB66" s="61">
        <v>53131.11</v>
      </c>
      <c r="CC66" s="61">
        <v>138006.38</v>
      </c>
      <c r="CD66" s="61">
        <v>67248.350000000006</v>
      </c>
      <c r="CE66" s="61">
        <v>30409.11</v>
      </c>
      <c r="CF66" s="61">
        <v>9827.6299999999992</v>
      </c>
      <c r="CG66" s="61">
        <v>19449.91</v>
      </c>
      <c r="CH66" s="61">
        <v>16216.64</v>
      </c>
      <c r="CI66" s="61">
        <v>8550.85</v>
      </c>
      <c r="CJ66" s="61">
        <v>35128.44</v>
      </c>
      <c r="CK66" s="61">
        <v>23184.98</v>
      </c>
      <c r="CL66" s="61">
        <v>19170.34</v>
      </c>
      <c r="CM66" s="61">
        <v>27666.55</v>
      </c>
      <c r="CN66" s="61">
        <v>10270.34</v>
      </c>
      <c r="CO66" s="61">
        <v>8594.48</v>
      </c>
      <c r="CP66" s="61">
        <v>13361.63</v>
      </c>
      <c r="CQ66" s="61">
        <v>18297.349999999999</v>
      </c>
      <c r="CR66" s="61">
        <v>11022.1</v>
      </c>
      <c r="CS66" s="61">
        <v>20766.98</v>
      </c>
      <c r="CT66" s="61">
        <v>10996.39</v>
      </c>
      <c r="CU66" s="61">
        <v>17289.62</v>
      </c>
      <c r="CV66" s="61">
        <v>16267.75</v>
      </c>
      <c r="CW66" s="61">
        <v>8588.4</v>
      </c>
      <c r="CX66" s="61">
        <v>24565.29</v>
      </c>
      <c r="CY66" s="61">
        <v>21629.53</v>
      </c>
      <c r="CZ66" s="61">
        <v>10191.49</v>
      </c>
      <c r="DA66" s="61">
        <v>20379.73</v>
      </c>
      <c r="DB66" s="61">
        <v>16616.88</v>
      </c>
      <c r="DC66" s="61">
        <v>77657.72</v>
      </c>
      <c r="DD66" s="61">
        <f t="shared" ref="DD66:DP66" si="0">SUM(DD56:DD65)</f>
        <v>0</v>
      </c>
      <c r="DE66" s="61">
        <f t="shared" si="0"/>
        <v>0</v>
      </c>
      <c r="DF66" s="61">
        <f t="shared" si="0"/>
        <v>0</v>
      </c>
      <c r="DG66" s="61">
        <f t="shared" si="0"/>
        <v>0</v>
      </c>
      <c r="DH66" s="61">
        <f t="shared" si="0"/>
        <v>0</v>
      </c>
      <c r="DI66" s="61">
        <f t="shared" si="0"/>
        <v>0</v>
      </c>
      <c r="DJ66" s="61">
        <f t="shared" si="0"/>
        <v>0</v>
      </c>
      <c r="DK66" s="61">
        <f t="shared" si="0"/>
        <v>0</v>
      </c>
      <c r="DL66" s="61">
        <f t="shared" si="0"/>
        <v>0</v>
      </c>
      <c r="DM66" s="61">
        <f t="shared" si="0"/>
        <v>0</v>
      </c>
      <c r="DN66" s="61">
        <f t="shared" si="0"/>
        <v>0</v>
      </c>
      <c r="DO66" s="61">
        <f t="shared" si="0"/>
        <v>0</v>
      </c>
      <c r="DP66" s="61">
        <f t="shared" si="0"/>
        <v>0</v>
      </c>
    </row>
    <row r="67" spans="1:120">
      <c r="A67" s="48" t="s">
        <v>100</v>
      </c>
      <c r="B67" s="59">
        <v>7936531.6600000001</v>
      </c>
      <c r="C67" s="59">
        <v>3639333</v>
      </c>
      <c r="D67" s="59">
        <v>4167787</v>
      </c>
      <c r="E67" s="59">
        <v>59783.66</v>
      </c>
      <c r="F67" s="59">
        <v>69628</v>
      </c>
      <c r="G67" s="59">
        <v>0</v>
      </c>
      <c r="H67" s="59">
        <v>0</v>
      </c>
      <c r="I67" s="59">
        <v>0</v>
      </c>
      <c r="J67" s="59">
        <v>0</v>
      </c>
      <c r="K67" s="59">
        <v>0</v>
      </c>
      <c r="L67" s="59">
        <v>0</v>
      </c>
      <c r="M67" s="59">
        <v>0</v>
      </c>
      <c r="N67" s="59">
        <v>0</v>
      </c>
      <c r="O67" s="59">
        <v>0</v>
      </c>
      <c r="P67" s="59">
        <v>0</v>
      </c>
      <c r="Q67" s="59">
        <v>0</v>
      </c>
      <c r="R67" s="59">
        <v>0</v>
      </c>
      <c r="S67" s="59">
        <v>0</v>
      </c>
      <c r="T67" s="59">
        <v>0</v>
      </c>
      <c r="U67" s="59">
        <v>0</v>
      </c>
      <c r="V67" s="59">
        <v>0</v>
      </c>
      <c r="W67" s="59">
        <v>0</v>
      </c>
      <c r="X67" s="59">
        <v>0</v>
      </c>
      <c r="Y67" s="59">
        <v>0</v>
      </c>
      <c r="Z67" s="59">
        <v>0</v>
      </c>
      <c r="AA67" s="59">
        <v>0</v>
      </c>
      <c r="AB67" s="59">
        <v>0</v>
      </c>
      <c r="AC67" s="59">
        <v>-62353.32</v>
      </c>
      <c r="AD67" s="59">
        <v>122136.98</v>
      </c>
      <c r="AE67" s="59">
        <v>0</v>
      </c>
      <c r="AF67" s="59">
        <v>0</v>
      </c>
      <c r="AG67" s="59">
        <v>3576100</v>
      </c>
      <c r="AH67" s="59">
        <v>0</v>
      </c>
      <c r="AI67" s="59">
        <v>591687</v>
      </c>
      <c r="AJ67" s="59">
        <v>0</v>
      </c>
      <c r="AK67" s="59">
        <v>69628</v>
      </c>
      <c r="AL67" s="59">
        <v>0</v>
      </c>
      <c r="AM67" s="59">
        <v>0</v>
      </c>
      <c r="AN67" s="59">
        <v>0</v>
      </c>
      <c r="AO67" s="59">
        <v>20774.96</v>
      </c>
      <c r="AP67" s="59">
        <v>0</v>
      </c>
      <c r="AQ67" s="59">
        <v>0</v>
      </c>
      <c r="AR67" s="59">
        <v>0</v>
      </c>
      <c r="AS67" s="59">
        <v>0</v>
      </c>
      <c r="AT67" s="59">
        <v>138247.78</v>
      </c>
      <c r="AU67" s="59">
        <v>280742.83</v>
      </c>
      <c r="AV67" s="59">
        <v>360885.79</v>
      </c>
      <c r="AW67" s="59">
        <v>145947.82</v>
      </c>
      <c r="AX67" s="59">
        <v>243383.33</v>
      </c>
      <c r="AY67" s="59">
        <v>162568.4</v>
      </c>
      <c r="AZ67" s="59">
        <v>94830.41</v>
      </c>
      <c r="BA67" s="59">
        <v>296107.77</v>
      </c>
      <c r="BB67" s="59">
        <v>35116.449999999997</v>
      </c>
      <c r="BC67" s="59">
        <v>19554.580000000002</v>
      </c>
      <c r="BD67" s="59">
        <v>190636.51</v>
      </c>
      <c r="BE67" s="59">
        <v>170828.01</v>
      </c>
      <c r="BF67" s="59">
        <v>103393.02</v>
      </c>
      <c r="BG67" s="59">
        <v>61104.33</v>
      </c>
      <c r="BH67" s="59">
        <v>56557.13</v>
      </c>
      <c r="BI67" s="59">
        <v>67434.05</v>
      </c>
      <c r="BJ67" s="59">
        <v>135549.82999999999</v>
      </c>
      <c r="BK67" s="59">
        <v>71754.259999999995</v>
      </c>
      <c r="BL67" s="59">
        <v>40188.160000000003</v>
      </c>
      <c r="BM67" s="59">
        <v>72381.72</v>
      </c>
      <c r="BN67" s="59">
        <v>103123.05</v>
      </c>
      <c r="BO67" s="59">
        <v>79176.240000000005</v>
      </c>
      <c r="BP67" s="59">
        <v>15742.12</v>
      </c>
      <c r="BQ67" s="59">
        <v>21924.45</v>
      </c>
      <c r="BR67" s="59">
        <v>3970.41</v>
      </c>
      <c r="BS67" s="59">
        <v>47205.41</v>
      </c>
      <c r="BT67" s="59">
        <v>47451.34</v>
      </c>
      <c r="BU67" s="59">
        <v>62953.01</v>
      </c>
      <c r="BV67" s="59">
        <v>66346.17</v>
      </c>
      <c r="BW67" s="59">
        <v>220851.09</v>
      </c>
      <c r="BX67" s="59">
        <v>6997.66</v>
      </c>
      <c r="BY67" s="59">
        <v>58684.22</v>
      </c>
      <c r="BZ67" s="59">
        <v>24361.05</v>
      </c>
      <c r="CA67" s="59">
        <v>21823.55</v>
      </c>
      <c r="CB67" s="59">
        <v>3755.19</v>
      </c>
      <c r="CC67" s="59">
        <v>9972.68</v>
      </c>
      <c r="CD67" s="59">
        <v>16355.1</v>
      </c>
      <c r="CE67" s="59">
        <v>416.45</v>
      </c>
      <c r="CF67" s="59">
        <v>1116.6600000000001</v>
      </c>
      <c r="CG67" s="59">
        <v>11887.57</v>
      </c>
      <c r="CH67" s="59">
        <v>1727.04</v>
      </c>
      <c r="CI67" s="59">
        <v>344.57</v>
      </c>
      <c r="CJ67" s="59">
        <v>0</v>
      </c>
      <c r="CK67" s="59">
        <v>3791.82</v>
      </c>
      <c r="CL67" s="59">
        <v>3383.91</v>
      </c>
      <c r="CM67" s="59">
        <v>8630.66</v>
      </c>
      <c r="CN67" s="59">
        <v>3850.24</v>
      </c>
      <c r="CO67" s="59">
        <v>303.81</v>
      </c>
      <c r="CP67" s="59">
        <v>5405.64</v>
      </c>
      <c r="CQ67" s="59">
        <v>4443.46</v>
      </c>
      <c r="CR67" s="59">
        <v>1734.16</v>
      </c>
      <c r="CS67" s="59">
        <v>2297.1</v>
      </c>
      <c r="CT67" s="59">
        <v>3565.48</v>
      </c>
      <c r="CU67" s="59">
        <v>848.2</v>
      </c>
      <c r="CV67" s="59">
        <v>3773.75</v>
      </c>
      <c r="CW67" s="59">
        <v>0</v>
      </c>
      <c r="CX67" s="59">
        <v>0</v>
      </c>
      <c r="CY67" s="59">
        <v>1638.72</v>
      </c>
      <c r="CZ67" s="59">
        <v>193.31</v>
      </c>
      <c r="DA67" s="59">
        <v>0</v>
      </c>
      <c r="DB67" s="59">
        <v>1300.57</v>
      </c>
      <c r="DC67" s="68">
        <v>0</v>
      </c>
    </row>
    <row r="68" spans="1:120">
      <c r="A68" s="48" t="s">
        <v>101</v>
      </c>
      <c r="B68" s="59">
        <v>6820073.1299999999</v>
      </c>
      <c r="C68" s="59">
        <v>5884287.3700000001</v>
      </c>
      <c r="D68" s="59">
        <v>935785.76</v>
      </c>
      <c r="E68" s="59">
        <v>0</v>
      </c>
      <c r="F68" s="59">
        <v>0</v>
      </c>
      <c r="G68" s="59">
        <v>0</v>
      </c>
      <c r="H68" s="59">
        <v>0</v>
      </c>
      <c r="I68" s="59">
        <v>0</v>
      </c>
      <c r="J68" s="59">
        <v>0</v>
      </c>
      <c r="K68" s="59">
        <v>0</v>
      </c>
      <c r="L68" s="59">
        <v>0</v>
      </c>
      <c r="M68" s="59">
        <v>0</v>
      </c>
      <c r="N68" s="59">
        <v>0</v>
      </c>
      <c r="O68" s="59">
        <v>0</v>
      </c>
      <c r="P68" s="59">
        <v>0</v>
      </c>
      <c r="Q68" s="59">
        <v>0</v>
      </c>
      <c r="R68" s="59">
        <v>0</v>
      </c>
      <c r="S68" s="59">
        <v>0</v>
      </c>
      <c r="T68" s="59">
        <v>0</v>
      </c>
      <c r="U68" s="59">
        <v>0</v>
      </c>
      <c r="V68" s="59">
        <v>0</v>
      </c>
      <c r="W68" s="59">
        <v>0</v>
      </c>
      <c r="X68" s="59">
        <v>0</v>
      </c>
      <c r="Y68" s="59">
        <v>0</v>
      </c>
      <c r="Z68" s="59">
        <v>0</v>
      </c>
      <c r="AA68" s="59">
        <v>0</v>
      </c>
      <c r="AB68" s="59">
        <v>0</v>
      </c>
      <c r="AC68" s="59">
        <v>0</v>
      </c>
      <c r="AD68" s="59">
        <v>0</v>
      </c>
      <c r="AE68" s="59">
        <v>0</v>
      </c>
      <c r="AF68" s="59">
        <v>0</v>
      </c>
      <c r="AG68" s="59">
        <v>31200</v>
      </c>
      <c r="AH68" s="59">
        <v>0</v>
      </c>
      <c r="AI68" s="59">
        <v>904585.76</v>
      </c>
      <c r="AJ68" s="59">
        <v>0</v>
      </c>
      <c r="AK68" s="59">
        <v>0</v>
      </c>
      <c r="AL68" s="59">
        <v>0</v>
      </c>
      <c r="AM68" s="59">
        <v>0</v>
      </c>
      <c r="AN68" s="59">
        <v>0</v>
      </c>
      <c r="AO68" s="59">
        <v>5759929.04</v>
      </c>
      <c r="AP68" s="59">
        <v>0</v>
      </c>
      <c r="AQ68" s="59">
        <v>0</v>
      </c>
      <c r="AR68" s="59">
        <v>0</v>
      </c>
      <c r="AS68" s="59">
        <v>0</v>
      </c>
      <c r="AT68" s="59">
        <v>0</v>
      </c>
      <c r="AU68" s="59">
        <v>0</v>
      </c>
      <c r="AV68" s="59">
        <v>0</v>
      </c>
      <c r="AW68" s="59">
        <v>0</v>
      </c>
      <c r="AX68" s="59">
        <v>0</v>
      </c>
      <c r="AY68" s="59">
        <v>0</v>
      </c>
      <c r="AZ68" s="59">
        <v>0</v>
      </c>
      <c r="BA68" s="59">
        <v>0</v>
      </c>
      <c r="BB68" s="59">
        <v>0</v>
      </c>
      <c r="BC68" s="59">
        <v>0</v>
      </c>
      <c r="BD68" s="59">
        <v>0</v>
      </c>
      <c r="BE68" s="59">
        <v>0</v>
      </c>
      <c r="BF68" s="59">
        <v>0</v>
      </c>
      <c r="BG68" s="59">
        <v>5063.46</v>
      </c>
      <c r="BH68" s="59">
        <v>0</v>
      </c>
      <c r="BI68" s="59">
        <v>0</v>
      </c>
      <c r="BJ68" s="59">
        <v>0</v>
      </c>
      <c r="BK68" s="59">
        <v>0</v>
      </c>
      <c r="BL68" s="59">
        <v>0</v>
      </c>
      <c r="BM68" s="59">
        <v>0</v>
      </c>
      <c r="BN68" s="59">
        <v>0</v>
      </c>
      <c r="BO68" s="59">
        <v>0</v>
      </c>
      <c r="BP68" s="59">
        <v>0</v>
      </c>
      <c r="BQ68" s="59">
        <v>0</v>
      </c>
      <c r="BR68" s="59">
        <v>0</v>
      </c>
      <c r="BS68" s="59">
        <v>0</v>
      </c>
      <c r="BT68" s="59">
        <v>0</v>
      </c>
      <c r="BU68" s="59">
        <v>0</v>
      </c>
      <c r="BV68" s="59">
        <v>0</v>
      </c>
      <c r="BW68" s="59">
        <v>119168.87</v>
      </c>
      <c r="BX68" s="59">
        <v>0</v>
      </c>
      <c r="BY68" s="59">
        <v>0</v>
      </c>
      <c r="BZ68" s="59">
        <v>0</v>
      </c>
      <c r="CA68" s="59">
        <v>0</v>
      </c>
      <c r="CB68" s="59">
        <v>0</v>
      </c>
      <c r="CC68" s="59">
        <v>0</v>
      </c>
      <c r="CD68" s="59">
        <v>0</v>
      </c>
      <c r="CE68" s="59">
        <v>0</v>
      </c>
      <c r="CF68" s="59">
        <v>0</v>
      </c>
      <c r="CG68" s="59">
        <v>0</v>
      </c>
      <c r="CH68" s="59">
        <v>0</v>
      </c>
      <c r="CI68" s="59">
        <v>126</v>
      </c>
      <c r="CJ68" s="59">
        <v>0</v>
      </c>
      <c r="CK68" s="59">
        <v>0</v>
      </c>
      <c r="CL68" s="59">
        <v>0</v>
      </c>
      <c r="CM68" s="59">
        <v>0</v>
      </c>
      <c r="CN68" s="59">
        <v>0</v>
      </c>
      <c r="CO68" s="59">
        <v>0</v>
      </c>
      <c r="CP68" s="59">
        <v>0</v>
      </c>
      <c r="CQ68" s="59">
        <v>0</v>
      </c>
      <c r="CR68" s="59">
        <v>0</v>
      </c>
      <c r="CS68" s="59">
        <v>0</v>
      </c>
      <c r="CT68" s="59">
        <v>0</v>
      </c>
      <c r="CU68" s="59">
        <v>0</v>
      </c>
      <c r="CV68" s="59">
        <v>0</v>
      </c>
      <c r="CW68" s="59">
        <v>0</v>
      </c>
      <c r="CX68" s="59">
        <v>0</v>
      </c>
      <c r="CY68" s="59">
        <v>0</v>
      </c>
      <c r="CZ68" s="59">
        <v>0</v>
      </c>
      <c r="DA68" s="59">
        <v>0</v>
      </c>
      <c r="DB68" s="59">
        <v>0</v>
      </c>
      <c r="DC68" s="68">
        <v>0</v>
      </c>
    </row>
    <row r="69" spans="1:120">
      <c r="A69" s="48" t="s">
        <v>102</v>
      </c>
      <c r="B69" s="59">
        <v>4543794.6900000004</v>
      </c>
      <c r="C69" s="59">
        <v>4175929.59</v>
      </c>
      <c r="D69" s="59">
        <v>1629678.85</v>
      </c>
      <c r="E69" s="59">
        <v>199915.15</v>
      </c>
      <c r="F69" s="59">
        <v>5.4</v>
      </c>
      <c r="G69" s="59">
        <v>0</v>
      </c>
      <c r="H69" s="59">
        <v>-952863.57</v>
      </c>
      <c r="I69" s="59">
        <v>0</v>
      </c>
      <c r="J69" s="59">
        <v>0</v>
      </c>
      <c r="K69" s="59">
        <v>0</v>
      </c>
      <c r="L69" s="59">
        <v>0</v>
      </c>
      <c r="M69" s="59">
        <v>0</v>
      </c>
      <c r="N69" s="59">
        <v>0</v>
      </c>
      <c r="O69" s="59">
        <v>0</v>
      </c>
      <c r="P69" s="59">
        <v>0</v>
      </c>
      <c r="Q69" s="59">
        <v>0</v>
      </c>
      <c r="R69" s="59">
        <v>0</v>
      </c>
      <c r="S69" s="59">
        <v>0</v>
      </c>
      <c r="T69" s="59">
        <v>0</v>
      </c>
      <c r="U69" s="59">
        <v>0</v>
      </c>
      <c r="V69" s="59">
        <v>0</v>
      </c>
      <c r="W69" s="59">
        <v>6323.45</v>
      </c>
      <c r="X69" s="59">
        <v>17.600000000000001</v>
      </c>
      <c r="Y69" s="59">
        <v>0</v>
      </c>
      <c r="Z69" s="59">
        <v>867543.04000000004</v>
      </c>
      <c r="AA69" s="59">
        <v>0</v>
      </c>
      <c r="AB69" s="59">
        <v>-645405.29</v>
      </c>
      <c r="AC69" s="59">
        <v>-50943.12</v>
      </c>
      <c r="AD69" s="59">
        <v>28702.92</v>
      </c>
      <c r="AE69" s="59">
        <v>0</v>
      </c>
      <c r="AF69" s="59">
        <v>0</v>
      </c>
      <c r="AG69" s="59">
        <v>1309767.49</v>
      </c>
      <c r="AH69" s="59">
        <v>175130.83</v>
      </c>
      <c r="AI69" s="59">
        <v>144780.53</v>
      </c>
      <c r="AJ69" s="59">
        <v>-515194.18</v>
      </c>
      <c r="AK69" s="59">
        <v>-0.94</v>
      </c>
      <c r="AL69" s="59">
        <v>6.34</v>
      </c>
      <c r="AM69" s="59">
        <v>0</v>
      </c>
      <c r="AN69" s="59">
        <v>0</v>
      </c>
      <c r="AO69" s="59">
        <v>6034.49</v>
      </c>
      <c r="AP69" s="59">
        <v>7932.03</v>
      </c>
      <c r="AQ69" s="59">
        <v>0</v>
      </c>
      <c r="AR69" s="59">
        <v>1119698.8700000001</v>
      </c>
      <c r="AS69" s="59">
        <v>0</v>
      </c>
      <c r="AT69" s="59">
        <v>129569.84</v>
      </c>
      <c r="AU69" s="59">
        <v>185128.01</v>
      </c>
      <c r="AV69" s="59">
        <v>160922.63</v>
      </c>
      <c r="AW69" s="59">
        <v>125230.96</v>
      </c>
      <c r="AX69" s="59">
        <v>164418.43</v>
      </c>
      <c r="AY69" s="59">
        <v>156641.04</v>
      </c>
      <c r="AZ69" s="59">
        <v>49641</v>
      </c>
      <c r="BA69" s="59">
        <v>174757.46</v>
      </c>
      <c r="BB69" s="59">
        <v>63555.25</v>
      </c>
      <c r="BC69" s="59">
        <v>55705.48</v>
      </c>
      <c r="BD69" s="59">
        <v>134973.12</v>
      </c>
      <c r="BE69" s="59">
        <v>493856.13</v>
      </c>
      <c r="BF69" s="59">
        <v>74835.66</v>
      </c>
      <c r="BG69" s="59">
        <v>118043.88</v>
      </c>
      <c r="BH69" s="59">
        <v>43992.03</v>
      </c>
      <c r="BI69" s="59">
        <v>50289.37</v>
      </c>
      <c r="BJ69" s="59">
        <v>53531.08</v>
      </c>
      <c r="BK69" s="59">
        <v>55948.12</v>
      </c>
      <c r="BL69" s="59">
        <v>47048.54</v>
      </c>
      <c r="BM69" s="59">
        <v>23601.22</v>
      </c>
      <c r="BN69" s="59">
        <v>36088.910000000003</v>
      </c>
      <c r="BO69" s="59">
        <v>55947.839999999997</v>
      </c>
      <c r="BP69" s="59">
        <v>12171.72</v>
      </c>
      <c r="BQ69" s="59">
        <v>19273.95</v>
      </c>
      <c r="BR69" s="59">
        <v>10656.45</v>
      </c>
      <c r="BS69" s="59">
        <v>20964.87</v>
      </c>
      <c r="BT69" s="59">
        <v>9142.07</v>
      </c>
      <c r="BU69" s="59">
        <v>20670.18</v>
      </c>
      <c r="BV69" s="59">
        <v>12161.88</v>
      </c>
      <c r="BW69" s="59">
        <v>8091.51</v>
      </c>
      <c r="BX69" s="59">
        <v>8089.11</v>
      </c>
      <c r="BY69" s="59">
        <v>14238.75</v>
      </c>
      <c r="BZ69" s="59">
        <v>4823.2299999999996</v>
      </c>
      <c r="CA69" s="59">
        <v>6079.21</v>
      </c>
      <c r="CB69" s="59">
        <v>13753.72</v>
      </c>
      <c r="CC69" s="59">
        <v>9880.25</v>
      </c>
      <c r="CD69" s="59">
        <v>405095.97</v>
      </c>
      <c r="CE69" s="59">
        <v>4503.5600000000004</v>
      </c>
      <c r="CF69" s="59">
        <v>4.63</v>
      </c>
      <c r="CG69" s="59">
        <v>3022.89</v>
      </c>
      <c r="CH69" s="59">
        <v>-838.75</v>
      </c>
      <c r="CI69" s="59">
        <v>30.24</v>
      </c>
      <c r="CJ69" s="59">
        <v>1683.68</v>
      </c>
      <c r="CK69" s="59">
        <v>146.53</v>
      </c>
      <c r="CL69" s="59">
        <v>31.32</v>
      </c>
      <c r="CM69" s="59">
        <v>217.5</v>
      </c>
      <c r="CN69" s="59">
        <v>-222.16</v>
      </c>
      <c r="CO69" s="59">
        <v>9.0500000000000007</v>
      </c>
      <c r="CP69" s="59">
        <v>-6.71</v>
      </c>
      <c r="CQ69" s="59">
        <v>1262.3499999999999</v>
      </c>
      <c r="CR69" s="59">
        <v>27.67</v>
      </c>
      <c r="CS69" s="59">
        <v>2404.13</v>
      </c>
      <c r="CT69" s="59">
        <v>124.88</v>
      </c>
      <c r="CU69" s="59">
        <v>275.58999999999997</v>
      </c>
      <c r="CV69" s="59">
        <v>3.78</v>
      </c>
      <c r="CW69" s="59">
        <v>4.32</v>
      </c>
      <c r="CX69" s="59">
        <v>67.91</v>
      </c>
      <c r="CY69" s="59">
        <v>262.94</v>
      </c>
      <c r="CZ69" s="59">
        <v>0</v>
      </c>
      <c r="DA69" s="59">
        <v>7.0000000000000007E-2</v>
      </c>
      <c r="DB69" s="59">
        <v>79.459999999999994</v>
      </c>
      <c r="DC69" s="68">
        <v>350.45</v>
      </c>
    </row>
    <row r="70" spans="1:120">
      <c r="A70" s="48" t="s">
        <v>103</v>
      </c>
      <c r="B70" s="59">
        <v>23293.01</v>
      </c>
      <c r="C70" s="59">
        <v>23293.01</v>
      </c>
      <c r="D70" s="59">
        <v>0</v>
      </c>
      <c r="E70" s="59">
        <v>0</v>
      </c>
      <c r="F70" s="59">
        <v>0</v>
      </c>
      <c r="G70" s="59">
        <v>0</v>
      </c>
      <c r="H70" s="59">
        <v>0</v>
      </c>
      <c r="I70" s="59">
        <v>0</v>
      </c>
      <c r="J70" s="59">
        <v>0</v>
      </c>
      <c r="K70" s="59">
        <v>0</v>
      </c>
      <c r="L70" s="59">
        <v>0</v>
      </c>
      <c r="M70" s="59">
        <v>0</v>
      </c>
      <c r="N70" s="59">
        <v>0</v>
      </c>
      <c r="O70" s="59">
        <v>0</v>
      </c>
      <c r="P70" s="59">
        <v>0</v>
      </c>
      <c r="Q70" s="59">
        <v>0</v>
      </c>
      <c r="R70" s="59">
        <v>0</v>
      </c>
      <c r="S70" s="59">
        <v>0</v>
      </c>
      <c r="T70" s="59">
        <v>0</v>
      </c>
      <c r="U70" s="59">
        <v>0</v>
      </c>
      <c r="V70" s="59">
        <v>0</v>
      </c>
      <c r="W70" s="59">
        <v>0</v>
      </c>
      <c r="X70" s="59">
        <v>0</v>
      </c>
      <c r="Y70" s="59">
        <v>0</v>
      </c>
      <c r="Z70" s="59">
        <v>0</v>
      </c>
      <c r="AA70" s="59">
        <v>0</v>
      </c>
      <c r="AB70" s="59">
        <v>0</v>
      </c>
      <c r="AC70" s="59">
        <v>0</v>
      </c>
      <c r="AD70" s="59">
        <v>0</v>
      </c>
      <c r="AE70" s="59">
        <v>0</v>
      </c>
      <c r="AF70" s="59">
        <v>0</v>
      </c>
      <c r="AG70" s="59">
        <v>0</v>
      </c>
      <c r="AH70" s="59">
        <v>0</v>
      </c>
      <c r="AI70" s="59">
        <v>0</v>
      </c>
      <c r="AJ70" s="59">
        <v>0</v>
      </c>
      <c r="AK70" s="59">
        <v>0</v>
      </c>
      <c r="AL70" s="59">
        <v>0</v>
      </c>
      <c r="AM70" s="59">
        <v>0</v>
      </c>
      <c r="AN70" s="59">
        <v>0</v>
      </c>
      <c r="AO70" s="59">
        <v>0</v>
      </c>
      <c r="AP70" s="59">
        <v>0</v>
      </c>
      <c r="AQ70" s="59">
        <v>0</v>
      </c>
      <c r="AR70" s="59">
        <v>0</v>
      </c>
      <c r="AS70" s="59">
        <v>0</v>
      </c>
      <c r="AT70" s="59">
        <v>0</v>
      </c>
      <c r="AU70" s="59">
        <v>0</v>
      </c>
      <c r="AV70" s="59">
        <v>0</v>
      </c>
      <c r="AW70" s="59">
        <v>0</v>
      </c>
      <c r="AX70" s="59">
        <v>4581.6400000000003</v>
      </c>
      <c r="AY70" s="59">
        <v>1752.33</v>
      </c>
      <c r="AZ70" s="59">
        <v>0</v>
      </c>
      <c r="BA70" s="59">
        <v>0</v>
      </c>
      <c r="BB70" s="59">
        <v>0</v>
      </c>
      <c r="BC70" s="59">
        <v>0</v>
      </c>
      <c r="BD70" s="59">
        <v>1946.24</v>
      </c>
      <c r="BE70" s="59">
        <v>7963.06</v>
      </c>
      <c r="BF70" s="59">
        <v>0</v>
      </c>
      <c r="BG70" s="59">
        <v>0</v>
      </c>
      <c r="BH70" s="59">
        <v>569.89</v>
      </c>
      <c r="BI70" s="59">
        <v>685.23</v>
      </c>
      <c r="BJ70" s="59">
        <v>671.66</v>
      </c>
      <c r="BK70" s="59">
        <v>0</v>
      </c>
      <c r="BL70" s="59">
        <v>0</v>
      </c>
      <c r="BM70" s="59">
        <v>278.97000000000003</v>
      </c>
      <c r="BN70" s="59">
        <v>0</v>
      </c>
      <c r="BO70" s="59">
        <v>2383.15</v>
      </c>
      <c r="BP70" s="59">
        <v>0</v>
      </c>
      <c r="BQ70" s="59">
        <v>0</v>
      </c>
      <c r="BR70" s="59">
        <v>1803.04</v>
      </c>
      <c r="BS70" s="59">
        <v>0</v>
      </c>
      <c r="BT70" s="59">
        <v>0</v>
      </c>
      <c r="BU70" s="59">
        <v>0</v>
      </c>
      <c r="BV70" s="59">
        <v>281.57</v>
      </c>
      <c r="BW70" s="59">
        <v>0</v>
      </c>
      <c r="BX70" s="59">
        <v>0</v>
      </c>
      <c r="BY70" s="59">
        <v>0</v>
      </c>
      <c r="BZ70" s="59">
        <v>0</v>
      </c>
      <c r="CA70" s="59">
        <v>0</v>
      </c>
      <c r="CB70" s="59">
        <v>0</v>
      </c>
      <c r="CC70" s="59">
        <v>0</v>
      </c>
      <c r="CD70" s="59">
        <v>0</v>
      </c>
      <c r="CE70" s="59">
        <v>0</v>
      </c>
      <c r="CF70" s="59">
        <v>0</v>
      </c>
      <c r="CG70" s="59">
        <v>0</v>
      </c>
      <c r="CH70" s="59">
        <v>0</v>
      </c>
      <c r="CI70" s="59">
        <v>0</v>
      </c>
      <c r="CJ70" s="59">
        <v>0</v>
      </c>
      <c r="CK70" s="59">
        <v>0</v>
      </c>
      <c r="CL70" s="59">
        <v>0</v>
      </c>
      <c r="CM70" s="59">
        <v>0</v>
      </c>
      <c r="CN70" s="59">
        <v>0</v>
      </c>
      <c r="CO70" s="59">
        <v>0</v>
      </c>
      <c r="CP70" s="59">
        <v>0</v>
      </c>
      <c r="CQ70" s="59">
        <v>0</v>
      </c>
      <c r="CR70" s="59">
        <v>0</v>
      </c>
      <c r="CS70" s="59">
        <v>0</v>
      </c>
      <c r="CT70" s="59">
        <v>0</v>
      </c>
      <c r="CU70" s="59">
        <v>0</v>
      </c>
      <c r="CV70" s="59">
        <v>0</v>
      </c>
      <c r="CW70" s="59">
        <v>0</v>
      </c>
      <c r="CX70" s="59">
        <v>0</v>
      </c>
      <c r="CY70" s="59">
        <v>0</v>
      </c>
      <c r="CZ70" s="59">
        <v>0</v>
      </c>
      <c r="DA70" s="59">
        <v>376.23</v>
      </c>
      <c r="DB70" s="59">
        <v>0</v>
      </c>
      <c r="DC70" s="68">
        <v>0</v>
      </c>
    </row>
    <row r="71" spans="1:120">
      <c r="A71" s="48" t="s">
        <v>104</v>
      </c>
      <c r="B71" s="59">
        <v>2568307.1</v>
      </c>
      <c r="C71" s="59">
        <v>20000</v>
      </c>
      <c r="D71" s="59">
        <v>0</v>
      </c>
      <c r="E71" s="59">
        <v>-383650</v>
      </c>
      <c r="F71" s="59">
        <v>0</v>
      </c>
      <c r="G71" s="59">
        <v>0</v>
      </c>
      <c r="H71" s="59">
        <v>2931957.1</v>
      </c>
      <c r="I71" s="59">
        <v>0</v>
      </c>
      <c r="J71" s="59">
        <v>0</v>
      </c>
      <c r="K71" s="59">
        <v>0</v>
      </c>
      <c r="L71" s="59">
        <v>0</v>
      </c>
      <c r="M71" s="59">
        <v>0</v>
      </c>
      <c r="N71" s="59">
        <v>0</v>
      </c>
      <c r="O71" s="59">
        <v>0</v>
      </c>
      <c r="P71" s="59">
        <v>0</v>
      </c>
      <c r="Q71" s="59">
        <v>0</v>
      </c>
      <c r="R71" s="59">
        <v>0</v>
      </c>
      <c r="S71" s="59">
        <v>0</v>
      </c>
      <c r="T71" s="59">
        <v>0</v>
      </c>
      <c r="U71" s="59">
        <v>0</v>
      </c>
      <c r="V71" s="59">
        <v>0</v>
      </c>
      <c r="W71" s="59">
        <v>0</v>
      </c>
      <c r="X71" s="59">
        <v>0</v>
      </c>
      <c r="Y71" s="59">
        <v>0</v>
      </c>
      <c r="Z71" s="59">
        <v>-383650</v>
      </c>
      <c r="AA71" s="59">
        <v>0</v>
      </c>
      <c r="AB71" s="59">
        <v>0</v>
      </c>
      <c r="AC71" s="59">
        <v>0</v>
      </c>
      <c r="AD71" s="59">
        <v>0</v>
      </c>
      <c r="AE71" s="59">
        <v>0</v>
      </c>
      <c r="AF71" s="59">
        <v>0</v>
      </c>
      <c r="AG71" s="59">
        <v>0</v>
      </c>
      <c r="AH71" s="59">
        <v>0</v>
      </c>
      <c r="AI71" s="59">
        <v>0</v>
      </c>
      <c r="AJ71" s="59">
        <v>0</v>
      </c>
      <c r="AK71" s="59">
        <v>0</v>
      </c>
      <c r="AL71" s="59">
        <v>0</v>
      </c>
      <c r="AM71" s="59">
        <v>0</v>
      </c>
      <c r="AN71" s="59">
        <v>0</v>
      </c>
      <c r="AO71" s="59">
        <v>0</v>
      </c>
      <c r="AP71" s="59">
        <v>0</v>
      </c>
      <c r="AQ71" s="59">
        <v>0</v>
      </c>
      <c r="AR71" s="59">
        <v>0</v>
      </c>
      <c r="AS71" s="59">
        <v>0</v>
      </c>
      <c r="AT71" s="59">
        <v>0</v>
      </c>
      <c r="AU71" s="59">
        <v>0</v>
      </c>
      <c r="AV71" s="59">
        <v>0</v>
      </c>
      <c r="AW71" s="59">
        <v>0</v>
      </c>
      <c r="AX71" s="59">
        <v>0</v>
      </c>
      <c r="AY71" s="59">
        <v>0</v>
      </c>
      <c r="AZ71" s="59">
        <v>0</v>
      </c>
      <c r="BA71" s="59">
        <v>0</v>
      </c>
      <c r="BB71" s="59">
        <v>0</v>
      </c>
      <c r="BC71" s="59">
        <v>0</v>
      </c>
      <c r="BD71" s="59">
        <v>0</v>
      </c>
      <c r="BE71" s="59">
        <v>0</v>
      </c>
      <c r="BF71" s="59">
        <v>0</v>
      </c>
      <c r="BG71" s="59">
        <v>0</v>
      </c>
      <c r="BH71" s="59">
        <v>0</v>
      </c>
      <c r="BI71" s="59">
        <v>0</v>
      </c>
      <c r="BJ71" s="59">
        <v>0</v>
      </c>
      <c r="BK71" s="59">
        <v>0</v>
      </c>
      <c r="BL71" s="59">
        <v>0</v>
      </c>
      <c r="BM71" s="59">
        <v>0</v>
      </c>
      <c r="BN71" s="59">
        <v>0</v>
      </c>
      <c r="BO71" s="59">
        <v>0</v>
      </c>
      <c r="BP71" s="59">
        <v>0</v>
      </c>
      <c r="BQ71" s="59">
        <v>0</v>
      </c>
      <c r="BR71" s="59">
        <v>0</v>
      </c>
      <c r="BS71" s="59">
        <v>0</v>
      </c>
      <c r="BT71" s="59">
        <v>0</v>
      </c>
      <c r="BU71" s="59">
        <v>0</v>
      </c>
      <c r="BV71" s="59">
        <v>0</v>
      </c>
      <c r="BW71" s="59">
        <v>0</v>
      </c>
      <c r="BX71" s="59">
        <v>0</v>
      </c>
      <c r="BY71" s="59">
        <v>0</v>
      </c>
      <c r="BZ71" s="59">
        <v>0</v>
      </c>
      <c r="CA71" s="59">
        <v>0</v>
      </c>
      <c r="CB71" s="59">
        <v>0</v>
      </c>
      <c r="CC71" s="59">
        <v>0</v>
      </c>
      <c r="CD71" s="59">
        <v>0</v>
      </c>
      <c r="CE71" s="59">
        <v>0</v>
      </c>
      <c r="CF71" s="59">
        <v>0</v>
      </c>
      <c r="CG71" s="59">
        <v>0</v>
      </c>
      <c r="CH71" s="59">
        <v>0</v>
      </c>
      <c r="CI71" s="59">
        <v>0</v>
      </c>
      <c r="CJ71" s="59">
        <v>0</v>
      </c>
      <c r="CK71" s="59">
        <v>0</v>
      </c>
      <c r="CL71" s="59">
        <v>0</v>
      </c>
      <c r="CM71" s="59">
        <v>0</v>
      </c>
      <c r="CN71" s="59">
        <v>0</v>
      </c>
      <c r="CO71" s="59">
        <v>0</v>
      </c>
      <c r="CP71" s="59">
        <v>0</v>
      </c>
      <c r="CQ71" s="59">
        <v>0</v>
      </c>
      <c r="CR71" s="59">
        <v>0</v>
      </c>
      <c r="CS71" s="59">
        <v>0</v>
      </c>
      <c r="CT71" s="59">
        <v>0</v>
      </c>
      <c r="CU71" s="59">
        <v>0</v>
      </c>
      <c r="CV71" s="59">
        <v>0</v>
      </c>
      <c r="CW71" s="59">
        <v>10000</v>
      </c>
      <c r="CX71" s="59">
        <v>0</v>
      </c>
      <c r="CY71" s="59">
        <v>10000</v>
      </c>
      <c r="CZ71" s="59">
        <v>0</v>
      </c>
      <c r="DA71" s="59">
        <v>0</v>
      </c>
      <c r="DB71" s="59">
        <v>0</v>
      </c>
      <c r="DC71" s="68">
        <v>0</v>
      </c>
    </row>
    <row r="72" spans="1:120" s="52" customFormat="1">
      <c r="A72" s="60" t="s">
        <v>98</v>
      </c>
      <c r="B72" s="61">
        <v>21891999.59</v>
      </c>
      <c r="C72" s="61">
        <v>13742842.970000001</v>
      </c>
      <c r="D72" s="61">
        <v>6733251.6100000003</v>
      </c>
      <c r="E72" s="61">
        <v>-123951.19</v>
      </c>
      <c r="F72" s="61">
        <v>69633.399999999994</v>
      </c>
      <c r="G72" s="61">
        <v>0</v>
      </c>
      <c r="H72" s="61">
        <v>1979093.53</v>
      </c>
      <c r="I72" s="61">
        <v>0</v>
      </c>
      <c r="J72" s="61">
        <v>0</v>
      </c>
      <c r="K72" s="61">
        <v>0</v>
      </c>
      <c r="L72" s="61">
        <v>0</v>
      </c>
      <c r="M72" s="61">
        <v>0</v>
      </c>
      <c r="N72" s="61">
        <v>0</v>
      </c>
      <c r="O72" s="61">
        <v>0</v>
      </c>
      <c r="P72" s="61">
        <v>0</v>
      </c>
      <c r="Q72" s="61">
        <v>0</v>
      </c>
      <c r="R72" s="61">
        <v>0</v>
      </c>
      <c r="S72" s="61">
        <v>0</v>
      </c>
      <c r="T72" s="61">
        <v>0</v>
      </c>
      <c r="U72" s="61">
        <v>0</v>
      </c>
      <c r="V72" s="61">
        <v>0</v>
      </c>
      <c r="W72" s="61">
        <v>6323.45</v>
      </c>
      <c r="X72" s="61">
        <v>17.600000000000001</v>
      </c>
      <c r="Y72" s="61">
        <v>0</v>
      </c>
      <c r="Z72" s="61">
        <v>483893.04</v>
      </c>
      <c r="AA72" s="61">
        <v>0</v>
      </c>
      <c r="AB72" s="61">
        <v>-645405.29</v>
      </c>
      <c r="AC72" s="61">
        <v>-113296.44</v>
      </c>
      <c r="AD72" s="61">
        <v>150839.9</v>
      </c>
      <c r="AE72" s="61">
        <v>0</v>
      </c>
      <c r="AF72" s="61">
        <v>0</v>
      </c>
      <c r="AG72" s="61">
        <v>4917067.49</v>
      </c>
      <c r="AH72" s="61">
        <v>175130.83</v>
      </c>
      <c r="AI72" s="61">
        <v>1641053.29</v>
      </c>
      <c r="AJ72" s="61">
        <v>-515194.18</v>
      </c>
      <c r="AK72" s="61">
        <v>69627.06</v>
      </c>
      <c r="AL72" s="61">
        <v>6.34</v>
      </c>
      <c r="AM72" s="61">
        <v>0</v>
      </c>
      <c r="AN72" s="61">
        <v>0</v>
      </c>
      <c r="AO72" s="61">
        <v>5786738.4900000002</v>
      </c>
      <c r="AP72" s="61">
        <v>7932.03</v>
      </c>
      <c r="AQ72" s="61">
        <v>0</v>
      </c>
      <c r="AR72" s="61">
        <v>1119698.8700000001</v>
      </c>
      <c r="AS72" s="61">
        <v>0</v>
      </c>
      <c r="AT72" s="61">
        <v>267817.62</v>
      </c>
      <c r="AU72" s="61">
        <v>465870.84</v>
      </c>
      <c r="AV72" s="61">
        <v>521808.42</v>
      </c>
      <c r="AW72" s="61">
        <v>271178.78000000003</v>
      </c>
      <c r="AX72" s="61">
        <v>412383.4</v>
      </c>
      <c r="AY72" s="61">
        <v>320961.77</v>
      </c>
      <c r="AZ72" s="61">
        <v>144471.41</v>
      </c>
      <c r="BA72" s="61">
        <v>470865.23</v>
      </c>
      <c r="BB72" s="61">
        <v>98671.7</v>
      </c>
      <c r="BC72" s="61">
        <v>75260.06</v>
      </c>
      <c r="BD72" s="61">
        <v>327555.87</v>
      </c>
      <c r="BE72" s="61">
        <v>672647.2</v>
      </c>
      <c r="BF72" s="61">
        <v>178228.68</v>
      </c>
      <c r="BG72" s="61">
        <v>184211.67</v>
      </c>
      <c r="BH72" s="61">
        <v>101119.05</v>
      </c>
      <c r="BI72" s="61">
        <v>118408.65</v>
      </c>
      <c r="BJ72" s="61">
        <v>189752.57</v>
      </c>
      <c r="BK72" s="61">
        <v>127702.38</v>
      </c>
      <c r="BL72" s="61">
        <v>87236.7</v>
      </c>
      <c r="BM72" s="61">
        <v>96261.91</v>
      </c>
      <c r="BN72" s="61">
        <v>139211.96</v>
      </c>
      <c r="BO72" s="61">
        <v>137507.23000000001</v>
      </c>
      <c r="BP72" s="61">
        <v>27913.84</v>
      </c>
      <c r="BQ72" s="61">
        <v>41198.400000000001</v>
      </c>
      <c r="BR72" s="61">
        <v>16429.900000000001</v>
      </c>
      <c r="BS72" s="61">
        <v>68170.28</v>
      </c>
      <c r="BT72" s="61">
        <v>56593.41</v>
      </c>
      <c r="BU72" s="61">
        <v>83623.19</v>
      </c>
      <c r="BV72" s="61">
        <v>78789.62</v>
      </c>
      <c r="BW72" s="61">
        <v>348111.47</v>
      </c>
      <c r="BX72" s="61">
        <v>15086.77</v>
      </c>
      <c r="BY72" s="61">
        <v>72922.97</v>
      </c>
      <c r="BZ72" s="61">
        <v>29184.28</v>
      </c>
      <c r="CA72" s="61">
        <v>27902.76</v>
      </c>
      <c r="CB72" s="61">
        <v>17508.91</v>
      </c>
      <c r="CC72" s="61">
        <v>19852.93</v>
      </c>
      <c r="CD72" s="61">
        <v>421451.07</v>
      </c>
      <c r="CE72" s="61">
        <v>4920.01</v>
      </c>
      <c r="CF72" s="61">
        <v>1121.29</v>
      </c>
      <c r="CG72" s="61">
        <v>14910.46</v>
      </c>
      <c r="CH72" s="61">
        <v>888.29</v>
      </c>
      <c r="CI72" s="61">
        <v>500.81</v>
      </c>
      <c r="CJ72" s="61">
        <v>1683.68</v>
      </c>
      <c r="CK72" s="61">
        <v>3938.35</v>
      </c>
      <c r="CL72" s="61">
        <v>3415.23</v>
      </c>
      <c r="CM72" s="61">
        <v>8848.16</v>
      </c>
      <c r="CN72" s="61">
        <v>3628.08</v>
      </c>
      <c r="CO72" s="61">
        <v>312.86</v>
      </c>
      <c r="CP72" s="61">
        <v>5398.93</v>
      </c>
      <c r="CQ72" s="61">
        <v>5705.81</v>
      </c>
      <c r="CR72" s="61">
        <v>1761.83</v>
      </c>
      <c r="CS72" s="61">
        <v>4701.2299999999996</v>
      </c>
      <c r="CT72" s="61">
        <v>3690.36</v>
      </c>
      <c r="CU72" s="61">
        <v>1123.79</v>
      </c>
      <c r="CV72" s="61">
        <v>3777.53</v>
      </c>
      <c r="CW72" s="61">
        <v>10004.32</v>
      </c>
      <c r="CX72" s="61">
        <v>67.91</v>
      </c>
      <c r="CY72" s="61">
        <v>11901.66</v>
      </c>
      <c r="CZ72" s="61">
        <v>193.31</v>
      </c>
      <c r="DA72" s="61">
        <v>376.3</v>
      </c>
      <c r="DB72" s="61">
        <v>1380.03</v>
      </c>
      <c r="DC72" s="61">
        <v>350.45</v>
      </c>
      <c r="DD72" s="61">
        <f t="shared" ref="DD72:DL72" si="1">SUM(DD67:DD71)</f>
        <v>0</v>
      </c>
      <c r="DE72" s="61">
        <f t="shared" si="1"/>
        <v>0</v>
      </c>
      <c r="DF72" s="61">
        <f t="shared" si="1"/>
        <v>0</v>
      </c>
      <c r="DG72" s="61">
        <f t="shared" si="1"/>
        <v>0</v>
      </c>
      <c r="DH72" s="61">
        <f t="shared" si="1"/>
        <v>0</v>
      </c>
      <c r="DI72" s="61">
        <f t="shared" si="1"/>
        <v>0</v>
      </c>
      <c r="DJ72" s="61">
        <f t="shared" si="1"/>
        <v>0</v>
      </c>
      <c r="DK72" s="61">
        <f t="shared" si="1"/>
        <v>0</v>
      </c>
      <c r="DL72" s="61">
        <f t="shared" si="1"/>
        <v>0</v>
      </c>
    </row>
    <row r="73" spans="1:120">
      <c r="A73" s="48" t="s">
        <v>106</v>
      </c>
      <c r="B73" s="59">
        <v>1895217.84</v>
      </c>
      <c r="C73" s="59">
        <v>739575.18</v>
      </c>
      <c r="D73" s="59">
        <v>409489.79</v>
      </c>
      <c r="E73" s="59">
        <v>121464.81</v>
      </c>
      <c r="F73" s="59">
        <v>70687.75</v>
      </c>
      <c r="G73" s="59">
        <v>26555.14</v>
      </c>
      <c r="H73" s="59">
        <v>270323</v>
      </c>
      <c r="I73" s="59">
        <v>1191</v>
      </c>
      <c r="J73" s="59">
        <v>100211.6</v>
      </c>
      <c r="K73" s="59">
        <v>7388.93</v>
      </c>
      <c r="L73" s="59">
        <v>27173</v>
      </c>
      <c r="M73" s="59">
        <v>1176</v>
      </c>
      <c r="N73" s="59">
        <v>0</v>
      </c>
      <c r="O73" s="59">
        <v>3149</v>
      </c>
      <c r="P73" s="59">
        <v>3405</v>
      </c>
      <c r="Q73" s="59">
        <v>0</v>
      </c>
      <c r="R73" s="59">
        <v>2247</v>
      </c>
      <c r="S73" s="59">
        <v>8112.66</v>
      </c>
      <c r="T73" s="59">
        <v>0</v>
      </c>
      <c r="U73" s="59">
        <v>0</v>
      </c>
      <c r="V73" s="59">
        <v>0</v>
      </c>
      <c r="W73" s="59">
        <v>0</v>
      </c>
      <c r="X73" s="59">
        <v>8232.5</v>
      </c>
      <c r="Y73" s="59">
        <v>0</v>
      </c>
      <c r="Z73" s="59">
        <v>32640.31</v>
      </c>
      <c r="AA73" s="59">
        <v>1661</v>
      </c>
      <c r="AB73" s="59">
        <v>7742</v>
      </c>
      <c r="AC73" s="59">
        <v>26536.5</v>
      </c>
      <c r="AD73" s="59">
        <v>36225.5</v>
      </c>
      <c r="AE73" s="59">
        <v>8427</v>
      </c>
      <c r="AF73" s="59">
        <v>10744</v>
      </c>
      <c r="AG73" s="59">
        <v>327173.23</v>
      </c>
      <c r="AH73" s="59">
        <v>27158.31</v>
      </c>
      <c r="AI73" s="59">
        <v>44414.25</v>
      </c>
      <c r="AJ73" s="59">
        <v>103067.98</v>
      </c>
      <c r="AK73" s="59">
        <v>41527.599999999999</v>
      </c>
      <c r="AL73" s="59">
        <v>27873.35</v>
      </c>
      <c r="AM73" s="59">
        <v>1286.8</v>
      </c>
      <c r="AN73" s="59">
        <v>0</v>
      </c>
      <c r="AO73" s="59">
        <v>4395</v>
      </c>
      <c r="AP73" s="59">
        <v>4173</v>
      </c>
      <c r="AQ73" s="59">
        <v>9276</v>
      </c>
      <c r="AR73" s="59">
        <v>0</v>
      </c>
      <c r="AS73" s="59">
        <v>8379</v>
      </c>
      <c r="AT73" s="59">
        <v>47756.4</v>
      </c>
      <c r="AU73" s="59">
        <v>45998.84</v>
      </c>
      <c r="AV73" s="59">
        <v>28046</v>
      </c>
      <c r="AW73" s="59">
        <v>43194.38</v>
      </c>
      <c r="AX73" s="59">
        <v>4143</v>
      </c>
      <c r="AY73" s="59">
        <v>28772.2</v>
      </c>
      <c r="AZ73" s="59">
        <v>7573</v>
      </c>
      <c r="BA73" s="59">
        <v>7449</v>
      </c>
      <c r="BB73" s="59">
        <v>21807.5</v>
      </c>
      <c r="BC73" s="59">
        <v>17631.5</v>
      </c>
      <c r="BD73" s="59">
        <v>36474.6</v>
      </c>
      <c r="BE73" s="59">
        <v>4294</v>
      </c>
      <c r="BF73" s="59">
        <v>18053</v>
      </c>
      <c r="BG73" s="59">
        <v>23446</v>
      </c>
      <c r="BH73" s="59">
        <v>4564</v>
      </c>
      <c r="BI73" s="59">
        <v>20938</v>
      </c>
      <c r="BJ73" s="59">
        <v>0</v>
      </c>
      <c r="BK73" s="59">
        <v>17283.599999999999</v>
      </c>
      <c r="BL73" s="59">
        <v>2400</v>
      </c>
      <c r="BM73" s="59">
        <v>0</v>
      </c>
      <c r="BN73" s="59">
        <v>14574</v>
      </c>
      <c r="BO73" s="59">
        <v>6273</v>
      </c>
      <c r="BP73" s="59">
        <v>12165.5</v>
      </c>
      <c r="BQ73" s="59">
        <v>39105</v>
      </c>
      <c r="BR73" s="59">
        <v>0</v>
      </c>
      <c r="BS73" s="59">
        <v>0</v>
      </c>
      <c r="BT73" s="59">
        <v>2687</v>
      </c>
      <c r="BU73" s="59">
        <v>3265.4</v>
      </c>
      <c r="BV73" s="59">
        <v>1553</v>
      </c>
      <c r="BW73" s="59">
        <v>3142</v>
      </c>
      <c r="BX73" s="59">
        <v>0</v>
      </c>
      <c r="BY73" s="59">
        <v>5388.6</v>
      </c>
      <c r="BZ73" s="59">
        <v>0</v>
      </c>
      <c r="CA73" s="59">
        <v>0</v>
      </c>
      <c r="CB73" s="59">
        <v>12340</v>
      </c>
      <c r="CC73" s="59">
        <v>30247.7</v>
      </c>
      <c r="CD73" s="59">
        <v>13466.28</v>
      </c>
      <c r="CE73" s="59">
        <v>11459</v>
      </c>
      <c r="CF73" s="59">
        <v>10846</v>
      </c>
      <c r="CG73" s="59">
        <v>6942.3</v>
      </c>
      <c r="CH73" s="59">
        <v>1082</v>
      </c>
      <c r="CI73" s="59">
        <v>41235.360000000001</v>
      </c>
      <c r="CJ73" s="59">
        <v>2397</v>
      </c>
      <c r="CK73" s="59">
        <v>4108</v>
      </c>
      <c r="CL73" s="59">
        <v>234</v>
      </c>
      <c r="CM73" s="59">
        <v>1399</v>
      </c>
      <c r="CN73" s="59">
        <v>0</v>
      </c>
      <c r="CO73" s="59">
        <v>0</v>
      </c>
      <c r="CP73" s="59">
        <v>10138</v>
      </c>
      <c r="CQ73" s="59">
        <v>21606.22</v>
      </c>
      <c r="CR73" s="59">
        <v>557</v>
      </c>
      <c r="CS73" s="59">
        <v>4992</v>
      </c>
      <c r="CT73" s="59">
        <v>7093.9</v>
      </c>
      <c r="CU73" s="59">
        <v>1528</v>
      </c>
      <c r="CV73" s="59">
        <v>0</v>
      </c>
      <c r="CW73" s="59">
        <v>7324</v>
      </c>
      <c r="CX73" s="59">
        <v>23821</v>
      </c>
      <c r="CY73" s="59">
        <v>8597</v>
      </c>
      <c r="CZ73" s="59">
        <v>9816.9</v>
      </c>
      <c r="DA73" s="59">
        <v>3886</v>
      </c>
      <c r="DB73" s="59">
        <v>885</v>
      </c>
      <c r="DC73" s="68">
        <v>9372</v>
      </c>
    </row>
    <row r="74" spans="1:120">
      <c r="A74" s="48" t="s">
        <v>107</v>
      </c>
      <c r="B74" s="59">
        <v>1267550.46</v>
      </c>
      <c r="C74" s="59">
        <v>288484.3</v>
      </c>
      <c r="D74" s="59">
        <v>484007.84</v>
      </c>
      <c r="E74" s="59">
        <v>162454.03</v>
      </c>
      <c r="F74" s="59">
        <v>58814.78</v>
      </c>
      <c r="G74" s="59">
        <v>64901.88</v>
      </c>
      <c r="H74" s="59">
        <v>0</v>
      </c>
      <c r="I74" s="59">
        <v>7000.21</v>
      </c>
      <c r="J74" s="59">
        <v>8967.74</v>
      </c>
      <c r="K74" s="59">
        <v>9697</v>
      </c>
      <c r="L74" s="59">
        <v>13428.08</v>
      </c>
      <c r="M74" s="59">
        <v>23613.94</v>
      </c>
      <c r="N74" s="59">
        <v>0</v>
      </c>
      <c r="O74" s="59">
        <v>0</v>
      </c>
      <c r="P74" s="59">
        <v>2370</v>
      </c>
      <c r="Q74" s="59">
        <v>14816</v>
      </c>
      <c r="R74" s="59">
        <v>21259.03</v>
      </c>
      <c r="S74" s="59">
        <v>49480.33</v>
      </c>
      <c r="T74" s="59">
        <v>4143.5</v>
      </c>
      <c r="U74" s="59">
        <v>4467.0600000000004</v>
      </c>
      <c r="V74" s="59">
        <v>0</v>
      </c>
      <c r="W74" s="59">
        <v>0</v>
      </c>
      <c r="X74" s="59">
        <v>15296.75</v>
      </c>
      <c r="Y74" s="59">
        <v>2458.4</v>
      </c>
      <c r="Z74" s="59">
        <v>70934.19</v>
      </c>
      <c r="AA74" s="59">
        <v>2115.58</v>
      </c>
      <c r="AB74" s="59">
        <v>11199.7</v>
      </c>
      <c r="AC74" s="59">
        <v>15237.62</v>
      </c>
      <c r="AD74" s="59">
        <v>25203.69</v>
      </c>
      <c r="AE74" s="59">
        <v>20008.099999999999</v>
      </c>
      <c r="AF74" s="59">
        <v>25941</v>
      </c>
      <c r="AG74" s="59">
        <v>303958.14</v>
      </c>
      <c r="AH74" s="59">
        <v>70447.240000000005</v>
      </c>
      <c r="AI74" s="59">
        <v>83661.460000000006</v>
      </c>
      <c r="AJ74" s="59">
        <v>48867.74</v>
      </c>
      <c r="AK74" s="59">
        <v>26530.09</v>
      </c>
      <c r="AL74" s="59">
        <v>11745.17</v>
      </c>
      <c r="AM74" s="59">
        <v>20539.52</v>
      </c>
      <c r="AN74" s="59">
        <v>777</v>
      </c>
      <c r="AO74" s="59">
        <v>711.32</v>
      </c>
      <c r="AP74" s="59">
        <v>28494.51</v>
      </c>
      <c r="AQ74" s="59">
        <v>30190.82</v>
      </c>
      <c r="AR74" s="59">
        <v>3782.5</v>
      </c>
      <c r="AS74" s="59">
        <v>14053.08</v>
      </c>
      <c r="AT74" s="59">
        <v>7170</v>
      </c>
      <c r="AU74" s="59">
        <v>8183</v>
      </c>
      <c r="AV74" s="59">
        <v>0</v>
      </c>
      <c r="AW74" s="59">
        <v>11183.39</v>
      </c>
      <c r="AX74" s="59">
        <v>1421</v>
      </c>
      <c r="AY74" s="59">
        <v>3170.5</v>
      </c>
      <c r="AZ74" s="59">
        <v>477</v>
      </c>
      <c r="BA74" s="59">
        <v>16606.5</v>
      </c>
      <c r="BB74" s="59">
        <v>11098.5</v>
      </c>
      <c r="BC74" s="59">
        <v>4303.5</v>
      </c>
      <c r="BD74" s="59">
        <v>18216.34</v>
      </c>
      <c r="BE74" s="59">
        <v>3349</v>
      </c>
      <c r="BF74" s="59">
        <v>1450.8</v>
      </c>
      <c r="BG74" s="59">
        <v>9114.08</v>
      </c>
      <c r="BH74" s="59">
        <v>3046.21</v>
      </c>
      <c r="BI74" s="59">
        <v>9472.85</v>
      </c>
      <c r="BJ74" s="59">
        <v>0</v>
      </c>
      <c r="BK74" s="59">
        <v>3621.61</v>
      </c>
      <c r="BL74" s="59">
        <v>0</v>
      </c>
      <c r="BM74" s="59">
        <v>0</v>
      </c>
      <c r="BN74" s="59">
        <v>1654</v>
      </c>
      <c r="BO74" s="59">
        <v>9563.5</v>
      </c>
      <c r="BP74" s="59">
        <v>5658.92</v>
      </c>
      <c r="BQ74" s="59">
        <v>0</v>
      </c>
      <c r="BR74" s="59">
        <v>0</v>
      </c>
      <c r="BS74" s="59">
        <v>0</v>
      </c>
      <c r="BT74" s="59">
        <v>0</v>
      </c>
      <c r="BU74" s="59">
        <v>1856.5</v>
      </c>
      <c r="BV74" s="59">
        <v>0</v>
      </c>
      <c r="BW74" s="59">
        <v>595.28</v>
      </c>
      <c r="BX74" s="59">
        <v>623</v>
      </c>
      <c r="BY74" s="59">
        <v>4957</v>
      </c>
      <c r="BZ74" s="59">
        <v>0</v>
      </c>
      <c r="CA74" s="59">
        <v>0</v>
      </c>
      <c r="CB74" s="59">
        <v>0</v>
      </c>
      <c r="CC74" s="59">
        <v>3435.5</v>
      </c>
      <c r="CD74" s="59">
        <v>3529</v>
      </c>
      <c r="CE74" s="59">
        <v>3350</v>
      </c>
      <c r="CF74" s="59">
        <v>1935.5</v>
      </c>
      <c r="CG74" s="59">
        <v>5029.68</v>
      </c>
      <c r="CH74" s="59">
        <v>3284.9</v>
      </c>
      <c r="CI74" s="59">
        <v>3755</v>
      </c>
      <c r="CJ74" s="59">
        <v>1884.5</v>
      </c>
      <c r="CK74" s="59">
        <v>3279</v>
      </c>
      <c r="CL74" s="59">
        <v>0</v>
      </c>
      <c r="CM74" s="59">
        <v>2023</v>
      </c>
      <c r="CN74" s="59">
        <v>0</v>
      </c>
      <c r="CO74" s="59">
        <v>2682</v>
      </c>
      <c r="CP74" s="59">
        <v>3665.5</v>
      </c>
      <c r="CQ74" s="59">
        <v>1509.5</v>
      </c>
      <c r="CR74" s="59">
        <v>8148.5</v>
      </c>
      <c r="CS74" s="59">
        <v>797.6</v>
      </c>
      <c r="CT74" s="59">
        <v>2693.9</v>
      </c>
      <c r="CU74" s="59">
        <v>1613</v>
      </c>
      <c r="CV74" s="59">
        <v>0</v>
      </c>
      <c r="CW74" s="59">
        <v>0</v>
      </c>
      <c r="CX74" s="59">
        <v>2350</v>
      </c>
      <c r="CY74" s="59">
        <v>8649.7999999999993</v>
      </c>
      <c r="CZ74" s="59">
        <v>3985.4</v>
      </c>
      <c r="DA74" s="59">
        <v>2617.7800000000002</v>
      </c>
      <c r="DB74" s="59">
        <v>1666</v>
      </c>
      <c r="DC74" s="68">
        <v>2574.5300000000002</v>
      </c>
    </row>
    <row r="75" spans="1:120">
      <c r="A75" s="48" t="s">
        <v>108</v>
      </c>
      <c r="B75" s="59">
        <v>491910.59</v>
      </c>
      <c r="C75" s="59">
        <v>197928.18</v>
      </c>
      <c r="D75" s="59">
        <v>202100.83</v>
      </c>
      <c r="E75" s="59">
        <v>6946.63</v>
      </c>
      <c r="F75" s="59">
        <v>2509.71</v>
      </c>
      <c r="G75" s="59">
        <v>6567.8</v>
      </c>
      <c r="H75" s="59">
        <v>310.89999999999998</v>
      </c>
      <c r="I75" s="59">
        <v>1000</v>
      </c>
      <c r="J75" s="59">
        <v>63159.62</v>
      </c>
      <c r="K75" s="59">
        <v>4784</v>
      </c>
      <c r="L75" s="59">
        <v>0</v>
      </c>
      <c r="M75" s="59">
        <v>0</v>
      </c>
      <c r="N75" s="59">
        <v>0</v>
      </c>
      <c r="O75" s="59">
        <v>0</v>
      </c>
      <c r="P75" s="59">
        <v>0</v>
      </c>
      <c r="Q75" s="59">
        <v>0</v>
      </c>
      <c r="R75" s="59">
        <v>223.92</v>
      </c>
      <c r="S75" s="59">
        <v>3827</v>
      </c>
      <c r="T75" s="59">
        <v>0</v>
      </c>
      <c r="U75" s="59">
        <v>0</v>
      </c>
      <c r="V75" s="59">
        <v>0</v>
      </c>
      <c r="W75" s="59">
        <v>0</v>
      </c>
      <c r="X75" s="59">
        <v>1046.8699999999999</v>
      </c>
      <c r="Y75" s="59">
        <v>0</v>
      </c>
      <c r="Z75" s="59">
        <v>1392.19</v>
      </c>
      <c r="AA75" s="59">
        <v>0</v>
      </c>
      <c r="AB75" s="59">
        <v>898.19</v>
      </c>
      <c r="AC75" s="59">
        <v>935.19</v>
      </c>
      <c r="AD75" s="59">
        <v>2674.19</v>
      </c>
      <c r="AE75" s="59">
        <v>0</v>
      </c>
      <c r="AF75" s="59">
        <v>1930</v>
      </c>
      <c r="AG75" s="59">
        <v>156271.1</v>
      </c>
      <c r="AH75" s="59">
        <v>26030</v>
      </c>
      <c r="AI75" s="59">
        <v>17869.73</v>
      </c>
      <c r="AJ75" s="59">
        <v>2552</v>
      </c>
      <c r="AK75" s="59">
        <v>1462.81</v>
      </c>
      <c r="AL75" s="59">
        <v>0</v>
      </c>
      <c r="AM75" s="59">
        <v>1046.9000000000001</v>
      </c>
      <c r="AN75" s="59">
        <v>0</v>
      </c>
      <c r="AO75" s="59">
        <v>0</v>
      </c>
      <c r="AP75" s="59">
        <v>316</v>
      </c>
      <c r="AQ75" s="59">
        <v>0</v>
      </c>
      <c r="AR75" s="59">
        <v>0</v>
      </c>
      <c r="AS75" s="59">
        <v>0</v>
      </c>
      <c r="AT75" s="59">
        <v>23604</v>
      </c>
      <c r="AU75" s="59">
        <v>10396</v>
      </c>
      <c r="AV75" s="59">
        <v>2700</v>
      </c>
      <c r="AW75" s="59">
        <v>12755.99</v>
      </c>
      <c r="AX75" s="59">
        <v>7562.79</v>
      </c>
      <c r="AY75" s="59">
        <v>14975.64</v>
      </c>
      <c r="AZ75" s="59">
        <v>0</v>
      </c>
      <c r="BA75" s="59">
        <v>1984.5</v>
      </c>
      <c r="BB75" s="59">
        <v>2905.47</v>
      </c>
      <c r="BC75" s="59">
        <v>90.2</v>
      </c>
      <c r="BD75" s="59">
        <v>16714.900000000001</v>
      </c>
      <c r="BE75" s="59">
        <v>2801.8</v>
      </c>
      <c r="BF75" s="59">
        <v>5920.5</v>
      </c>
      <c r="BG75" s="59">
        <v>1215.9000000000001</v>
      </c>
      <c r="BH75" s="59">
        <v>2655.81</v>
      </c>
      <c r="BI75" s="59">
        <v>0</v>
      </c>
      <c r="BJ75" s="59">
        <v>0</v>
      </c>
      <c r="BK75" s="59">
        <v>13150.7</v>
      </c>
      <c r="BL75" s="59">
        <v>0</v>
      </c>
      <c r="BM75" s="59">
        <v>0</v>
      </c>
      <c r="BN75" s="59">
        <v>12786</v>
      </c>
      <c r="BO75" s="59">
        <v>5951</v>
      </c>
      <c r="BP75" s="59">
        <v>3132.6</v>
      </c>
      <c r="BQ75" s="59">
        <v>3424.28</v>
      </c>
      <c r="BR75" s="59">
        <v>0</v>
      </c>
      <c r="BS75" s="59">
        <v>0</v>
      </c>
      <c r="BT75" s="59">
        <v>0</v>
      </c>
      <c r="BU75" s="59">
        <v>620.29999999999995</v>
      </c>
      <c r="BV75" s="59">
        <v>767.5</v>
      </c>
      <c r="BW75" s="59">
        <v>150</v>
      </c>
      <c r="BX75" s="59">
        <v>537.46</v>
      </c>
      <c r="BY75" s="59">
        <v>9219</v>
      </c>
      <c r="BZ75" s="59">
        <v>0</v>
      </c>
      <c r="CA75" s="59">
        <v>0</v>
      </c>
      <c r="CB75" s="59">
        <v>0</v>
      </c>
      <c r="CC75" s="59">
        <v>3918.3</v>
      </c>
      <c r="CD75" s="59">
        <v>0</v>
      </c>
      <c r="CE75" s="59">
        <v>2059.6999999999998</v>
      </c>
      <c r="CF75" s="59">
        <v>1179.7</v>
      </c>
      <c r="CG75" s="59">
        <v>1334</v>
      </c>
      <c r="CH75" s="59">
        <v>293.97000000000003</v>
      </c>
      <c r="CI75" s="59">
        <v>540.29999999999995</v>
      </c>
      <c r="CJ75" s="59">
        <v>0</v>
      </c>
      <c r="CK75" s="59">
        <v>0</v>
      </c>
      <c r="CL75" s="59">
        <v>0</v>
      </c>
      <c r="CM75" s="59">
        <v>0</v>
      </c>
      <c r="CN75" s="59">
        <v>0</v>
      </c>
      <c r="CO75" s="59">
        <v>3379.3</v>
      </c>
      <c r="CP75" s="59">
        <v>1526.9</v>
      </c>
      <c r="CQ75" s="59">
        <v>452.9</v>
      </c>
      <c r="CR75" s="59">
        <v>4998.8999999999996</v>
      </c>
      <c r="CS75" s="59">
        <v>1178.68</v>
      </c>
      <c r="CT75" s="59">
        <v>0</v>
      </c>
      <c r="CU75" s="59">
        <v>3400.65</v>
      </c>
      <c r="CV75" s="59">
        <v>0</v>
      </c>
      <c r="CW75" s="59">
        <v>5913.9</v>
      </c>
      <c r="CX75" s="59">
        <v>123</v>
      </c>
      <c r="CY75" s="59">
        <v>0</v>
      </c>
      <c r="CZ75" s="59">
        <v>4304</v>
      </c>
      <c r="DA75" s="59">
        <v>2334.13</v>
      </c>
      <c r="DB75" s="59">
        <v>0</v>
      </c>
      <c r="DC75" s="68">
        <v>4651.51</v>
      </c>
    </row>
    <row r="76" spans="1:120">
      <c r="A76" s="48" t="s">
        <v>109</v>
      </c>
      <c r="B76" s="59">
        <v>144195.46</v>
      </c>
      <c r="C76" s="59">
        <v>69619.45</v>
      </c>
      <c r="D76" s="59">
        <v>52170</v>
      </c>
      <c r="E76" s="59">
        <v>480</v>
      </c>
      <c r="F76" s="59">
        <v>0</v>
      </c>
      <c r="G76" s="59">
        <v>0</v>
      </c>
      <c r="H76" s="59">
        <v>0</v>
      </c>
      <c r="I76" s="59">
        <v>0</v>
      </c>
      <c r="J76" s="59">
        <v>3430</v>
      </c>
      <c r="K76" s="59">
        <v>4670.37</v>
      </c>
      <c r="L76" s="59">
        <v>0</v>
      </c>
      <c r="M76" s="59">
        <v>0</v>
      </c>
      <c r="N76" s="59">
        <v>0</v>
      </c>
      <c r="O76" s="59">
        <v>0</v>
      </c>
      <c r="P76" s="59">
        <v>0</v>
      </c>
      <c r="Q76" s="59">
        <v>0</v>
      </c>
      <c r="R76" s="59">
        <v>0</v>
      </c>
      <c r="S76" s="59">
        <v>0</v>
      </c>
      <c r="T76" s="59">
        <v>0</v>
      </c>
      <c r="U76" s="59">
        <v>13825.64</v>
      </c>
      <c r="V76" s="59">
        <v>0</v>
      </c>
      <c r="W76" s="59">
        <v>0</v>
      </c>
      <c r="X76" s="59">
        <v>0</v>
      </c>
      <c r="Y76" s="59">
        <v>0</v>
      </c>
      <c r="Z76" s="59">
        <v>480</v>
      </c>
      <c r="AA76" s="59">
        <v>0</v>
      </c>
      <c r="AB76" s="59">
        <v>0</v>
      </c>
      <c r="AC76" s="59">
        <v>0</v>
      </c>
      <c r="AD76" s="59">
        <v>0</v>
      </c>
      <c r="AE76" s="59">
        <v>0</v>
      </c>
      <c r="AF76" s="59">
        <v>0</v>
      </c>
      <c r="AG76" s="59">
        <v>42121</v>
      </c>
      <c r="AH76" s="59">
        <v>9410</v>
      </c>
      <c r="AI76" s="59">
        <v>639</v>
      </c>
      <c r="AJ76" s="59">
        <v>0</v>
      </c>
      <c r="AK76" s="59">
        <v>0</v>
      </c>
      <c r="AL76" s="59">
        <v>0</v>
      </c>
      <c r="AM76" s="59">
        <v>0</v>
      </c>
      <c r="AN76" s="59">
        <v>0</v>
      </c>
      <c r="AO76" s="59">
        <v>0</v>
      </c>
      <c r="AP76" s="59">
        <v>750</v>
      </c>
      <c r="AQ76" s="59">
        <v>0</v>
      </c>
      <c r="AR76" s="59">
        <v>0</v>
      </c>
      <c r="AS76" s="59">
        <v>0</v>
      </c>
      <c r="AT76" s="59">
        <v>0</v>
      </c>
      <c r="AU76" s="59">
        <v>0</v>
      </c>
      <c r="AV76" s="59">
        <v>2495</v>
      </c>
      <c r="AW76" s="59">
        <v>3085.47</v>
      </c>
      <c r="AX76" s="59">
        <v>3573.5</v>
      </c>
      <c r="AY76" s="59">
        <v>780.6</v>
      </c>
      <c r="AZ76" s="59">
        <v>0</v>
      </c>
      <c r="BA76" s="59">
        <v>9295</v>
      </c>
      <c r="BB76" s="59">
        <v>4791.5600000000004</v>
      </c>
      <c r="BC76" s="59">
        <v>1778.42</v>
      </c>
      <c r="BD76" s="59">
        <v>358.37</v>
      </c>
      <c r="BE76" s="59">
        <v>0</v>
      </c>
      <c r="BF76" s="59">
        <v>400</v>
      </c>
      <c r="BG76" s="59">
        <v>0</v>
      </c>
      <c r="BH76" s="59">
        <v>3742.92</v>
      </c>
      <c r="BI76" s="59">
        <v>0</v>
      </c>
      <c r="BJ76" s="59">
        <v>0</v>
      </c>
      <c r="BK76" s="59">
        <v>1691</v>
      </c>
      <c r="BL76" s="59">
        <v>0</v>
      </c>
      <c r="BM76" s="59">
        <v>0</v>
      </c>
      <c r="BN76" s="59">
        <v>0</v>
      </c>
      <c r="BO76" s="59">
        <v>2347.52</v>
      </c>
      <c r="BP76" s="59">
        <v>0</v>
      </c>
      <c r="BQ76" s="59">
        <v>0</v>
      </c>
      <c r="BR76" s="59">
        <v>0</v>
      </c>
      <c r="BS76" s="59">
        <v>0</v>
      </c>
      <c r="BT76" s="59">
        <v>0</v>
      </c>
      <c r="BU76" s="59">
        <v>1059.5</v>
      </c>
      <c r="BV76" s="59">
        <v>0</v>
      </c>
      <c r="BW76" s="59">
        <v>1082.05</v>
      </c>
      <c r="BX76" s="59">
        <v>190</v>
      </c>
      <c r="BY76" s="59">
        <v>10163</v>
      </c>
      <c r="BZ76" s="59">
        <v>0</v>
      </c>
      <c r="CA76" s="59">
        <v>0</v>
      </c>
      <c r="CB76" s="59">
        <v>0</v>
      </c>
      <c r="CC76" s="59">
        <v>0</v>
      </c>
      <c r="CD76" s="59">
        <v>335.24</v>
      </c>
      <c r="CE76" s="59">
        <v>2023.6</v>
      </c>
      <c r="CF76" s="59">
        <v>0</v>
      </c>
      <c r="CG76" s="59">
        <v>0</v>
      </c>
      <c r="CH76" s="59">
        <v>0</v>
      </c>
      <c r="CI76" s="59">
        <v>6538.5</v>
      </c>
      <c r="CJ76" s="59">
        <v>0</v>
      </c>
      <c r="CK76" s="59">
        <v>0</v>
      </c>
      <c r="CL76" s="59">
        <v>0</v>
      </c>
      <c r="CM76" s="59">
        <v>0</v>
      </c>
      <c r="CN76" s="59">
        <v>0</v>
      </c>
      <c r="CO76" s="59">
        <v>0</v>
      </c>
      <c r="CP76" s="59">
        <v>2399.4</v>
      </c>
      <c r="CQ76" s="59">
        <v>1000</v>
      </c>
      <c r="CR76" s="59">
        <v>0</v>
      </c>
      <c r="CS76" s="59">
        <v>0</v>
      </c>
      <c r="CT76" s="59">
        <v>2646.8</v>
      </c>
      <c r="CU76" s="59">
        <v>1894</v>
      </c>
      <c r="CV76" s="59">
        <v>0</v>
      </c>
      <c r="CW76" s="59">
        <v>1600</v>
      </c>
      <c r="CX76" s="59">
        <v>0</v>
      </c>
      <c r="CY76" s="59">
        <v>368</v>
      </c>
      <c r="CZ76" s="59">
        <v>1730</v>
      </c>
      <c r="DA76" s="59">
        <v>1500</v>
      </c>
      <c r="DB76" s="59">
        <v>0</v>
      </c>
      <c r="DC76" s="68">
        <v>0</v>
      </c>
    </row>
    <row r="77" spans="1:120">
      <c r="A77" s="48" t="s">
        <v>110</v>
      </c>
      <c r="B77" s="59">
        <v>193295.3</v>
      </c>
      <c r="C77" s="59">
        <v>59443.54</v>
      </c>
      <c r="D77" s="59">
        <v>3800</v>
      </c>
      <c r="E77" s="59">
        <v>0</v>
      </c>
      <c r="F77" s="59">
        <v>0</v>
      </c>
      <c r="G77" s="59">
        <v>0</v>
      </c>
      <c r="H77" s="59">
        <v>110968.94</v>
      </c>
      <c r="I77" s="59">
        <v>17572.82</v>
      </c>
      <c r="J77" s="59">
        <v>1510</v>
      </c>
      <c r="K77" s="59">
        <v>0</v>
      </c>
      <c r="L77" s="59">
        <v>0</v>
      </c>
      <c r="M77" s="59">
        <v>0</v>
      </c>
      <c r="N77" s="59">
        <v>0</v>
      </c>
      <c r="O77" s="59">
        <v>0</v>
      </c>
      <c r="P77" s="59">
        <v>0</v>
      </c>
      <c r="Q77" s="59">
        <v>0</v>
      </c>
      <c r="R77" s="59">
        <v>0</v>
      </c>
      <c r="S77" s="59">
        <v>0</v>
      </c>
      <c r="T77" s="59">
        <v>0</v>
      </c>
      <c r="U77" s="59">
        <v>0</v>
      </c>
      <c r="V77" s="59">
        <v>0</v>
      </c>
      <c r="W77" s="59">
        <v>0</v>
      </c>
      <c r="X77" s="59">
        <v>0</v>
      </c>
      <c r="Y77" s="59">
        <v>0</v>
      </c>
      <c r="Z77" s="59">
        <v>0</v>
      </c>
      <c r="AA77" s="59">
        <v>0</v>
      </c>
      <c r="AB77" s="59">
        <v>0</v>
      </c>
      <c r="AC77" s="59">
        <v>0</v>
      </c>
      <c r="AD77" s="59">
        <v>0</v>
      </c>
      <c r="AE77" s="59">
        <v>0</v>
      </c>
      <c r="AF77" s="59">
        <v>3800</v>
      </c>
      <c r="AG77" s="59">
        <v>0</v>
      </c>
      <c r="AH77" s="59">
        <v>0</v>
      </c>
      <c r="AI77" s="59">
        <v>0</v>
      </c>
      <c r="AJ77" s="59">
        <v>0</v>
      </c>
      <c r="AK77" s="59">
        <v>0</v>
      </c>
      <c r="AL77" s="59">
        <v>0</v>
      </c>
      <c r="AM77" s="59">
        <v>0</v>
      </c>
      <c r="AN77" s="59">
        <v>0</v>
      </c>
      <c r="AO77" s="59">
        <v>0</v>
      </c>
      <c r="AP77" s="59">
        <v>0</v>
      </c>
      <c r="AQ77" s="59">
        <v>0</v>
      </c>
      <c r="AR77" s="59">
        <v>0</v>
      </c>
      <c r="AS77" s="59">
        <v>0</v>
      </c>
      <c r="AT77" s="59">
        <v>0</v>
      </c>
      <c r="AU77" s="59">
        <v>0</v>
      </c>
      <c r="AV77" s="59">
        <v>0</v>
      </c>
      <c r="AW77" s="59">
        <v>14532.04</v>
      </c>
      <c r="AX77" s="59">
        <v>0</v>
      </c>
      <c r="AY77" s="59">
        <v>0</v>
      </c>
      <c r="AZ77" s="59">
        <v>0</v>
      </c>
      <c r="BA77" s="59">
        <v>0</v>
      </c>
      <c r="BB77" s="59">
        <v>0</v>
      </c>
      <c r="BC77" s="59">
        <v>0</v>
      </c>
      <c r="BD77" s="59">
        <v>3350</v>
      </c>
      <c r="BE77" s="59">
        <v>5631.07</v>
      </c>
      <c r="BF77" s="59">
        <v>0</v>
      </c>
      <c r="BG77" s="59">
        <v>0</v>
      </c>
      <c r="BH77" s="59">
        <v>0</v>
      </c>
      <c r="BI77" s="59">
        <v>0</v>
      </c>
      <c r="BJ77" s="59">
        <v>0</v>
      </c>
      <c r="BK77" s="59">
        <v>6833.4</v>
      </c>
      <c r="BL77" s="59">
        <v>0</v>
      </c>
      <c r="BM77" s="59">
        <v>0</v>
      </c>
      <c r="BN77" s="59">
        <v>0</v>
      </c>
      <c r="BO77" s="59">
        <v>0</v>
      </c>
      <c r="BP77" s="59">
        <v>0</v>
      </c>
      <c r="BQ77" s="59">
        <v>240</v>
      </c>
      <c r="BR77" s="59">
        <v>2333.33</v>
      </c>
      <c r="BS77" s="59">
        <v>0</v>
      </c>
      <c r="BT77" s="59">
        <v>0</v>
      </c>
      <c r="BU77" s="59">
        <v>0</v>
      </c>
      <c r="BV77" s="59">
        <v>-188.3</v>
      </c>
      <c r="BW77" s="59">
        <v>0</v>
      </c>
      <c r="BX77" s="59">
        <v>0</v>
      </c>
      <c r="BY77" s="59">
        <v>0</v>
      </c>
      <c r="BZ77" s="59">
        <v>0</v>
      </c>
      <c r="CA77" s="59">
        <v>0</v>
      </c>
      <c r="CB77" s="59">
        <v>0</v>
      </c>
      <c r="CC77" s="59">
        <v>0</v>
      </c>
      <c r="CD77" s="59">
        <v>3519</v>
      </c>
      <c r="CE77" s="59">
        <v>0</v>
      </c>
      <c r="CF77" s="59">
        <v>4041</v>
      </c>
      <c r="CG77" s="59">
        <v>0</v>
      </c>
      <c r="CH77" s="59">
        <v>0</v>
      </c>
      <c r="CI77" s="59">
        <v>9181</v>
      </c>
      <c r="CJ77" s="59">
        <v>0</v>
      </c>
      <c r="CK77" s="59">
        <v>300</v>
      </c>
      <c r="CL77" s="59">
        <v>0</v>
      </c>
      <c r="CM77" s="59">
        <v>0</v>
      </c>
      <c r="CN77" s="59">
        <v>0</v>
      </c>
      <c r="CO77" s="59">
        <v>0</v>
      </c>
      <c r="CP77" s="59">
        <v>0</v>
      </c>
      <c r="CQ77" s="59">
        <v>0</v>
      </c>
      <c r="CR77" s="59">
        <v>0</v>
      </c>
      <c r="CS77" s="59">
        <v>0</v>
      </c>
      <c r="CT77" s="59">
        <v>0</v>
      </c>
      <c r="CU77" s="59">
        <v>340</v>
      </c>
      <c r="CV77" s="59">
        <v>0</v>
      </c>
      <c r="CW77" s="59">
        <v>0</v>
      </c>
      <c r="CX77" s="59">
        <v>0</v>
      </c>
      <c r="CY77" s="59">
        <v>779</v>
      </c>
      <c r="CZ77" s="59">
        <v>2000</v>
      </c>
      <c r="DA77" s="59">
        <v>0</v>
      </c>
      <c r="DB77" s="59">
        <v>0</v>
      </c>
      <c r="DC77" s="68">
        <v>6552</v>
      </c>
    </row>
    <row r="78" spans="1:120">
      <c r="A78" s="48" t="s">
        <v>111</v>
      </c>
      <c r="B78" s="59">
        <v>-185547.17</v>
      </c>
      <c r="C78" s="59">
        <v>3698.11</v>
      </c>
      <c r="D78" s="59">
        <v>0</v>
      </c>
      <c r="E78" s="59">
        <v>-260000</v>
      </c>
      <c r="F78" s="59">
        <v>70754.720000000001</v>
      </c>
      <c r="G78" s="59">
        <v>0</v>
      </c>
      <c r="H78" s="59">
        <v>0</v>
      </c>
      <c r="I78" s="59">
        <v>0</v>
      </c>
      <c r="J78" s="59">
        <v>0</v>
      </c>
      <c r="K78" s="59">
        <v>0</v>
      </c>
      <c r="L78" s="59">
        <v>0</v>
      </c>
      <c r="M78" s="59">
        <v>0</v>
      </c>
      <c r="N78" s="59">
        <v>0</v>
      </c>
      <c r="O78" s="59">
        <v>0</v>
      </c>
      <c r="P78" s="59">
        <v>0</v>
      </c>
      <c r="Q78" s="59">
        <v>0</v>
      </c>
      <c r="R78" s="59">
        <v>0</v>
      </c>
      <c r="S78" s="59">
        <v>0</v>
      </c>
      <c r="T78" s="59">
        <v>0</v>
      </c>
      <c r="U78" s="59">
        <v>0</v>
      </c>
      <c r="V78" s="59">
        <v>0</v>
      </c>
      <c r="W78" s="59">
        <v>0</v>
      </c>
      <c r="X78" s="59">
        <v>0</v>
      </c>
      <c r="Y78" s="59">
        <v>0</v>
      </c>
      <c r="Z78" s="59">
        <v>-260000</v>
      </c>
      <c r="AA78" s="59">
        <v>0</v>
      </c>
      <c r="AB78" s="59">
        <v>0</v>
      </c>
      <c r="AC78" s="59">
        <v>0</v>
      </c>
      <c r="AD78" s="59">
        <v>0</v>
      </c>
      <c r="AE78" s="59">
        <v>0</v>
      </c>
      <c r="AF78" s="59">
        <v>0</v>
      </c>
      <c r="AG78" s="59">
        <v>0</v>
      </c>
      <c r="AH78" s="59">
        <v>0</v>
      </c>
      <c r="AI78" s="59">
        <v>0</v>
      </c>
      <c r="AJ78" s="59">
        <v>0</v>
      </c>
      <c r="AK78" s="59">
        <v>70754.720000000001</v>
      </c>
      <c r="AL78" s="59">
        <v>0</v>
      </c>
      <c r="AM78" s="59">
        <v>0</v>
      </c>
      <c r="AN78" s="59">
        <v>0</v>
      </c>
      <c r="AO78" s="59">
        <v>3698.11</v>
      </c>
      <c r="AP78" s="59">
        <v>0</v>
      </c>
      <c r="AQ78" s="59">
        <v>0</v>
      </c>
      <c r="AR78" s="59">
        <v>0</v>
      </c>
      <c r="AS78" s="59">
        <v>0</v>
      </c>
      <c r="AT78" s="59">
        <v>0</v>
      </c>
      <c r="AU78" s="59">
        <v>0</v>
      </c>
      <c r="AV78" s="59">
        <v>0</v>
      </c>
      <c r="AW78" s="59">
        <v>0</v>
      </c>
      <c r="AX78" s="59">
        <v>0</v>
      </c>
      <c r="AY78" s="59">
        <v>0</v>
      </c>
      <c r="AZ78" s="59">
        <v>0</v>
      </c>
      <c r="BA78" s="59">
        <v>0</v>
      </c>
      <c r="BB78" s="59">
        <v>0</v>
      </c>
      <c r="BC78" s="59">
        <v>0</v>
      </c>
      <c r="BD78" s="59">
        <v>0</v>
      </c>
      <c r="BE78" s="59">
        <v>0</v>
      </c>
      <c r="BF78" s="59">
        <v>0</v>
      </c>
      <c r="BG78" s="59">
        <v>0</v>
      </c>
      <c r="BH78" s="59">
        <v>0</v>
      </c>
      <c r="BI78" s="59">
        <v>0</v>
      </c>
      <c r="BJ78" s="59">
        <v>0</v>
      </c>
      <c r="BK78" s="59">
        <v>0</v>
      </c>
      <c r="BL78" s="59">
        <v>0</v>
      </c>
      <c r="BM78" s="59">
        <v>0</v>
      </c>
      <c r="BN78" s="59">
        <v>0</v>
      </c>
      <c r="BO78" s="59">
        <v>0</v>
      </c>
      <c r="BP78" s="59">
        <v>0</v>
      </c>
      <c r="BQ78" s="59">
        <v>0</v>
      </c>
      <c r="BR78" s="59">
        <v>0</v>
      </c>
      <c r="BS78" s="59">
        <v>0</v>
      </c>
      <c r="BT78" s="59">
        <v>0</v>
      </c>
      <c r="BU78" s="59">
        <v>0</v>
      </c>
      <c r="BV78" s="59">
        <v>0</v>
      </c>
      <c r="BW78" s="59">
        <v>0</v>
      </c>
      <c r="BX78" s="59">
        <v>0</v>
      </c>
      <c r="BY78" s="59">
        <v>0</v>
      </c>
      <c r="BZ78" s="59">
        <v>0</v>
      </c>
      <c r="CA78" s="59">
        <v>0</v>
      </c>
      <c r="CB78" s="59">
        <v>0</v>
      </c>
      <c r="CC78" s="59">
        <v>0</v>
      </c>
      <c r="CD78" s="59">
        <v>0</v>
      </c>
      <c r="CE78" s="59">
        <v>0</v>
      </c>
      <c r="CF78" s="59">
        <v>0</v>
      </c>
      <c r="CG78" s="59">
        <v>0</v>
      </c>
      <c r="CH78" s="59">
        <v>0</v>
      </c>
      <c r="CI78" s="59">
        <v>0</v>
      </c>
      <c r="CJ78" s="59">
        <v>0</v>
      </c>
      <c r="CK78" s="59">
        <v>0</v>
      </c>
      <c r="CL78" s="59">
        <v>0</v>
      </c>
      <c r="CM78" s="59">
        <v>0</v>
      </c>
      <c r="CN78" s="59">
        <v>0</v>
      </c>
      <c r="CO78" s="59">
        <v>0</v>
      </c>
      <c r="CP78" s="59">
        <v>0</v>
      </c>
      <c r="CQ78" s="59">
        <v>0</v>
      </c>
      <c r="CR78" s="59">
        <v>0</v>
      </c>
      <c r="CS78" s="59">
        <v>0</v>
      </c>
      <c r="CT78" s="59">
        <v>0</v>
      </c>
      <c r="CU78" s="59">
        <v>0</v>
      </c>
      <c r="CV78" s="59">
        <v>0</v>
      </c>
      <c r="CW78" s="59">
        <v>0</v>
      </c>
      <c r="CX78" s="59">
        <v>0</v>
      </c>
      <c r="CY78" s="59">
        <v>0</v>
      </c>
      <c r="CZ78" s="59">
        <v>0</v>
      </c>
      <c r="DA78" s="59">
        <v>0</v>
      </c>
      <c r="DB78" s="59">
        <v>0</v>
      </c>
      <c r="DC78" s="68">
        <v>0</v>
      </c>
    </row>
    <row r="79" spans="1:120">
      <c r="A79" s="48" t="s">
        <v>112</v>
      </c>
      <c r="B79" s="59">
        <v>423036.14</v>
      </c>
      <c r="C79" s="59">
        <v>116177.13</v>
      </c>
      <c r="D79" s="59">
        <v>0</v>
      </c>
      <c r="E79" s="59">
        <v>0</v>
      </c>
      <c r="F79" s="59">
        <v>0</v>
      </c>
      <c r="G79" s="59">
        <v>0</v>
      </c>
      <c r="H79" s="59">
        <v>0</v>
      </c>
      <c r="I79" s="59">
        <v>0</v>
      </c>
      <c r="J79" s="59">
        <v>229932.59</v>
      </c>
      <c r="K79" s="59">
        <v>0</v>
      </c>
      <c r="L79" s="59">
        <v>0</v>
      </c>
      <c r="M79" s="59">
        <v>0</v>
      </c>
      <c r="N79" s="59">
        <v>0</v>
      </c>
      <c r="O79" s="59">
        <v>70226.42</v>
      </c>
      <c r="P79" s="59">
        <v>0</v>
      </c>
      <c r="Q79" s="59">
        <v>0</v>
      </c>
      <c r="R79" s="59">
        <v>0</v>
      </c>
      <c r="S79" s="59">
        <v>6700</v>
      </c>
      <c r="T79" s="59">
        <v>0</v>
      </c>
      <c r="U79" s="59">
        <v>0</v>
      </c>
      <c r="V79" s="59">
        <v>0</v>
      </c>
      <c r="W79" s="59">
        <v>0</v>
      </c>
      <c r="X79" s="59">
        <v>0</v>
      </c>
      <c r="Y79" s="59">
        <v>0</v>
      </c>
      <c r="Z79" s="59">
        <v>0</v>
      </c>
      <c r="AA79" s="59">
        <v>0</v>
      </c>
      <c r="AB79" s="59">
        <v>0</v>
      </c>
      <c r="AC79" s="59">
        <v>0</v>
      </c>
      <c r="AD79" s="59">
        <v>0</v>
      </c>
      <c r="AE79" s="59">
        <v>0</v>
      </c>
      <c r="AF79" s="59">
        <v>0</v>
      </c>
      <c r="AG79" s="59">
        <v>0</v>
      </c>
      <c r="AH79" s="59">
        <v>0</v>
      </c>
      <c r="AI79" s="59">
        <v>0</v>
      </c>
      <c r="AJ79" s="59">
        <v>0</v>
      </c>
      <c r="AK79" s="59">
        <v>0</v>
      </c>
      <c r="AL79" s="59">
        <v>0</v>
      </c>
      <c r="AM79" s="59">
        <v>0</v>
      </c>
      <c r="AN79" s="59">
        <v>0</v>
      </c>
      <c r="AO79" s="59">
        <v>88448.51</v>
      </c>
      <c r="AP79" s="59">
        <v>0</v>
      </c>
      <c r="AQ79" s="59">
        <v>0</v>
      </c>
      <c r="AR79" s="59">
        <v>0</v>
      </c>
      <c r="AS79" s="59">
        <v>21879.56</v>
      </c>
      <c r="AT79" s="59">
        <v>0</v>
      </c>
      <c r="AU79" s="59">
        <v>0</v>
      </c>
      <c r="AV79" s="59">
        <v>5849.06</v>
      </c>
      <c r="AW79" s="59">
        <v>0</v>
      </c>
      <c r="AX79" s="59">
        <v>0</v>
      </c>
      <c r="AY79" s="59">
        <v>0</v>
      </c>
      <c r="AZ79" s="59">
        <v>0</v>
      </c>
      <c r="BA79" s="59">
        <v>0</v>
      </c>
      <c r="BB79" s="59">
        <v>0</v>
      </c>
      <c r="BC79" s="59">
        <v>0</v>
      </c>
      <c r="BD79" s="59">
        <v>0</v>
      </c>
      <c r="BE79" s="59">
        <v>0</v>
      </c>
      <c r="BF79" s="59">
        <v>0</v>
      </c>
      <c r="BG79" s="59">
        <v>0</v>
      </c>
      <c r="BH79" s="59">
        <v>0</v>
      </c>
      <c r="BI79" s="59">
        <v>0</v>
      </c>
      <c r="BJ79" s="59">
        <v>0</v>
      </c>
      <c r="BK79" s="59">
        <v>0</v>
      </c>
      <c r="BL79" s="59">
        <v>0</v>
      </c>
      <c r="BM79" s="59">
        <v>0</v>
      </c>
      <c r="BN79" s="59">
        <v>0</v>
      </c>
      <c r="BO79" s="59">
        <v>0</v>
      </c>
      <c r="BP79" s="59">
        <v>0</v>
      </c>
      <c r="BQ79" s="59">
        <v>0</v>
      </c>
      <c r="BR79" s="59">
        <v>0</v>
      </c>
      <c r="BS79" s="59">
        <v>0</v>
      </c>
      <c r="BT79" s="59">
        <v>0</v>
      </c>
      <c r="BU79" s="59">
        <v>0</v>
      </c>
      <c r="BV79" s="59">
        <v>0</v>
      </c>
      <c r="BW79" s="59">
        <v>0</v>
      </c>
      <c r="BX79" s="59">
        <v>0</v>
      </c>
      <c r="BY79" s="59">
        <v>0</v>
      </c>
      <c r="BZ79" s="59">
        <v>0</v>
      </c>
      <c r="CA79" s="59">
        <v>0</v>
      </c>
      <c r="CB79" s="59">
        <v>0</v>
      </c>
      <c r="CC79" s="59">
        <v>0</v>
      </c>
      <c r="CD79" s="59">
        <v>0</v>
      </c>
      <c r="CE79" s="59">
        <v>0</v>
      </c>
      <c r="CF79" s="59">
        <v>0</v>
      </c>
      <c r="CG79" s="59">
        <v>0</v>
      </c>
      <c r="CH79" s="59">
        <v>0</v>
      </c>
      <c r="CI79" s="59">
        <v>0</v>
      </c>
      <c r="CJ79" s="59">
        <v>0</v>
      </c>
      <c r="CK79" s="59">
        <v>0</v>
      </c>
      <c r="CL79" s="59">
        <v>0</v>
      </c>
      <c r="CM79" s="59">
        <v>0</v>
      </c>
      <c r="CN79" s="59">
        <v>0</v>
      </c>
      <c r="CO79" s="59">
        <v>0</v>
      </c>
      <c r="CP79" s="59">
        <v>0</v>
      </c>
      <c r="CQ79" s="59">
        <v>0</v>
      </c>
      <c r="CR79" s="59">
        <v>0</v>
      </c>
      <c r="CS79" s="59">
        <v>0</v>
      </c>
      <c r="CT79" s="59">
        <v>0</v>
      </c>
      <c r="CU79" s="59">
        <v>0</v>
      </c>
      <c r="CV79" s="59">
        <v>0</v>
      </c>
      <c r="CW79" s="59">
        <v>0</v>
      </c>
      <c r="CX79" s="59">
        <v>0</v>
      </c>
      <c r="CY79" s="59">
        <v>0</v>
      </c>
      <c r="CZ79" s="59">
        <v>0</v>
      </c>
      <c r="DA79" s="59">
        <v>0</v>
      </c>
      <c r="DB79" s="59">
        <v>0</v>
      </c>
      <c r="DC79" s="68">
        <v>0</v>
      </c>
    </row>
    <row r="80" spans="1:120">
      <c r="A80" s="48" t="s">
        <v>113</v>
      </c>
      <c r="B80" s="59">
        <v>28047.93</v>
      </c>
      <c r="C80" s="59">
        <v>7703.19</v>
      </c>
      <c r="D80" s="59">
        <v>20296.740000000002</v>
      </c>
      <c r="E80" s="59">
        <v>0</v>
      </c>
      <c r="F80" s="59">
        <v>0</v>
      </c>
      <c r="G80" s="59">
        <v>0</v>
      </c>
      <c r="H80" s="59">
        <v>0</v>
      </c>
      <c r="I80" s="59">
        <v>0</v>
      </c>
      <c r="J80" s="59">
        <v>0</v>
      </c>
      <c r="K80" s="59">
        <v>0</v>
      </c>
      <c r="L80" s="59">
        <v>48</v>
      </c>
      <c r="M80" s="59">
        <v>0</v>
      </c>
      <c r="N80" s="59">
        <v>0</v>
      </c>
      <c r="O80" s="59">
        <v>0</v>
      </c>
      <c r="P80" s="59">
        <v>0</v>
      </c>
      <c r="Q80" s="59">
        <v>0</v>
      </c>
      <c r="R80" s="59">
        <v>0</v>
      </c>
      <c r="S80" s="59">
        <v>0</v>
      </c>
      <c r="T80" s="59">
        <v>0</v>
      </c>
      <c r="U80" s="59">
        <v>0</v>
      </c>
      <c r="V80" s="59">
        <v>0</v>
      </c>
      <c r="W80" s="59">
        <v>0</v>
      </c>
      <c r="X80" s="59">
        <v>0</v>
      </c>
      <c r="Y80" s="59">
        <v>0</v>
      </c>
      <c r="Z80" s="59">
        <v>0</v>
      </c>
      <c r="AA80" s="59">
        <v>0</v>
      </c>
      <c r="AB80" s="59">
        <v>0</v>
      </c>
      <c r="AC80" s="59">
        <v>0</v>
      </c>
      <c r="AD80" s="59">
        <v>0</v>
      </c>
      <c r="AE80" s="59">
        <v>0</v>
      </c>
      <c r="AF80" s="59">
        <v>0</v>
      </c>
      <c r="AG80" s="59">
        <v>17316.580000000002</v>
      </c>
      <c r="AH80" s="59">
        <v>1152</v>
      </c>
      <c r="AI80" s="59">
        <v>1828.16</v>
      </c>
      <c r="AJ80" s="59">
        <v>0</v>
      </c>
      <c r="AK80" s="59">
        <v>0</v>
      </c>
      <c r="AL80" s="59">
        <v>0</v>
      </c>
      <c r="AM80" s="59">
        <v>0</v>
      </c>
      <c r="AN80" s="59">
        <v>0</v>
      </c>
      <c r="AO80" s="59">
        <v>0</v>
      </c>
      <c r="AP80" s="59">
        <v>0</v>
      </c>
      <c r="AQ80" s="59">
        <v>0</v>
      </c>
      <c r="AR80" s="59">
        <v>0</v>
      </c>
      <c r="AS80" s="59">
        <v>0</v>
      </c>
      <c r="AT80" s="59">
        <v>0</v>
      </c>
      <c r="AU80" s="59">
        <v>120</v>
      </c>
      <c r="AV80" s="59">
        <v>0</v>
      </c>
      <c r="AW80" s="59">
        <v>0</v>
      </c>
      <c r="AX80" s="59">
        <v>0</v>
      </c>
      <c r="AY80" s="59">
        <v>2000</v>
      </c>
      <c r="AZ80" s="59">
        <v>150</v>
      </c>
      <c r="BA80" s="59">
        <v>0</v>
      </c>
      <c r="BB80" s="59">
        <v>0</v>
      </c>
      <c r="BC80" s="59">
        <v>0</v>
      </c>
      <c r="BD80" s="59">
        <v>2489.3200000000002</v>
      </c>
      <c r="BE80" s="59">
        <v>0</v>
      </c>
      <c r="BF80" s="59">
        <v>0</v>
      </c>
      <c r="BG80" s="59">
        <v>0</v>
      </c>
      <c r="BH80" s="59">
        <v>0</v>
      </c>
      <c r="BI80" s="59">
        <v>0</v>
      </c>
      <c r="BJ80" s="59">
        <v>0</v>
      </c>
      <c r="BK80" s="59">
        <v>0</v>
      </c>
      <c r="BL80" s="59">
        <v>0</v>
      </c>
      <c r="BM80" s="59">
        <v>0</v>
      </c>
      <c r="BN80" s="59">
        <v>970.87</v>
      </c>
      <c r="BO80" s="59">
        <v>0</v>
      </c>
      <c r="BP80" s="59">
        <v>0</v>
      </c>
      <c r="BQ80" s="59">
        <v>0</v>
      </c>
      <c r="BR80" s="59">
        <v>0</v>
      </c>
      <c r="BS80" s="59">
        <v>0</v>
      </c>
      <c r="BT80" s="59">
        <v>0</v>
      </c>
      <c r="BU80" s="59">
        <v>1335</v>
      </c>
      <c r="BV80" s="59">
        <v>0</v>
      </c>
      <c r="BW80" s="59">
        <v>0</v>
      </c>
      <c r="BX80" s="59">
        <v>0</v>
      </c>
      <c r="BY80" s="59">
        <v>0</v>
      </c>
      <c r="BZ80" s="59">
        <v>0</v>
      </c>
      <c r="CA80" s="59">
        <v>0</v>
      </c>
      <c r="CB80" s="59">
        <v>0</v>
      </c>
      <c r="CC80" s="59">
        <v>0</v>
      </c>
      <c r="CD80" s="59">
        <v>0</v>
      </c>
      <c r="CE80" s="59">
        <v>0</v>
      </c>
      <c r="CF80" s="59">
        <v>0</v>
      </c>
      <c r="CG80" s="59">
        <v>0</v>
      </c>
      <c r="CH80" s="59">
        <v>0</v>
      </c>
      <c r="CI80" s="59">
        <v>0</v>
      </c>
      <c r="CJ80" s="59">
        <v>0</v>
      </c>
      <c r="CK80" s="59">
        <v>0</v>
      </c>
      <c r="CL80" s="59">
        <v>0</v>
      </c>
      <c r="CM80" s="59">
        <v>638</v>
      </c>
      <c r="CN80" s="59">
        <v>0</v>
      </c>
      <c r="CO80" s="59">
        <v>0</v>
      </c>
      <c r="CP80" s="59">
        <v>0</v>
      </c>
      <c r="CQ80" s="59">
        <v>0</v>
      </c>
      <c r="CR80" s="59">
        <v>0</v>
      </c>
      <c r="CS80" s="59">
        <v>0</v>
      </c>
      <c r="CT80" s="59">
        <v>0</v>
      </c>
      <c r="CU80" s="59">
        <v>0</v>
      </c>
      <c r="CV80" s="59">
        <v>0</v>
      </c>
      <c r="CW80" s="59">
        <v>0</v>
      </c>
      <c r="CX80" s="59">
        <v>0</v>
      </c>
      <c r="CY80" s="59">
        <v>0</v>
      </c>
      <c r="CZ80" s="59">
        <v>0</v>
      </c>
      <c r="DA80" s="59">
        <v>0</v>
      </c>
      <c r="DB80" s="59">
        <v>0</v>
      </c>
      <c r="DC80" s="68">
        <v>0</v>
      </c>
    </row>
    <row r="81" spans="1:118">
      <c r="A81" s="48" t="s">
        <v>114</v>
      </c>
      <c r="B81" s="59">
        <v>3173.3</v>
      </c>
      <c r="C81" s="59">
        <v>2829.5</v>
      </c>
      <c r="D81" s="59">
        <v>305.8</v>
      </c>
      <c r="E81" s="59">
        <v>0</v>
      </c>
      <c r="F81" s="59">
        <v>0</v>
      </c>
      <c r="G81" s="59">
        <v>0</v>
      </c>
      <c r="H81" s="59">
        <v>0</v>
      </c>
      <c r="I81" s="59">
        <v>0</v>
      </c>
      <c r="J81" s="59">
        <v>0</v>
      </c>
      <c r="K81" s="59">
        <v>0</v>
      </c>
      <c r="L81" s="59">
        <v>0</v>
      </c>
      <c r="M81" s="59">
        <v>0</v>
      </c>
      <c r="N81" s="59">
        <v>0</v>
      </c>
      <c r="O81" s="59">
        <v>0</v>
      </c>
      <c r="P81" s="59">
        <v>38</v>
      </c>
      <c r="Q81" s="59">
        <v>0</v>
      </c>
      <c r="R81" s="59">
        <v>0</v>
      </c>
      <c r="S81" s="59">
        <v>0</v>
      </c>
      <c r="T81" s="59">
        <v>0</v>
      </c>
      <c r="U81" s="59">
        <v>0</v>
      </c>
      <c r="V81" s="59">
        <v>0</v>
      </c>
      <c r="W81" s="59">
        <v>0</v>
      </c>
      <c r="X81" s="59">
        <v>0</v>
      </c>
      <c r="Y81" s="59">
        <v>0</v>
      </c>
      <c r="Z81" s="59">
        <v>0</v>
      </c>
      <c r="AA81" s="59">
        <v>0</v>
      </c>
      <c r="AB81" s="59">
        <v>0</v>
      </c>
      <c r="AC81" s="59">
        <v>0</v>
      </c>
      <c r="AD81" s="59">
        <v>0</v>
      </c>
      <c r="AE81" s="59">
        <v>0</v>
      </c>
      <c r="AF81" s="59">
        <v>0</v>
      </c>
      <c r="AG81" s="59">
        <v>0</v>
      </c>
      <c r="AH81" s="59">
        <v>0</v>
      </c>
      <c r="AI81" s="59">
        <v>305.8</v>
      </c>
      <c r="AJ81" s="59">
        <v>0</v>
      </c>
      <c r="AK81" s="59">
        <v>0</v>
      </c>
      <c r="AL81" s="59">
        <v>0</v>
      </c>
      <c r="AM81" s="59">
        <v>0</v>
      </c>
      <c r="AN81" s="59">
        <v>0</v>
      </c>
      <c r="AO81" s="59">
        <v>0</v>
      </c>
      <c r="AP81" s="59">
        <v>0</v>
      </c>
      <c r="AQ81" s="59">
        <v>0</v>
      </c>
      <c r="AR81" s="59">
        <v>0</v>
      </c>
      <c r="AS81" s="59">
        <v>0</v>
      </c>
      <c r="AT81" s="59">
        <v>0</v>
      </c>
      <c r="AU81" s="59">
        <v>0</v>
      </c>
      <c r="AV81" s="59">
        <v>0</v>
      </c>
      <c r="AW81" s="59">
        <v>0</v>
      </c>
      <c r="AX81" s="59">
        <v>0</v>
      </c>
      <c r="AY81" s="59">
        <v>0</v>
      </c>
      <c r="AZ81" s="59">
        <v>0</v>
      </c>
      <c r="BA81" s="59">
        <v>2000</v>
      </c>
      <c r="BB81" s="59">
        <v>0</v>
      </c>
      <c r="BC81" s="59">
        <v>421</v>
      </c>
      <c r="BD81" s="59">
        <v>0</v>
      </c>
      <c r="BE81" s="59">
        <v>0</v>
      </c>
      <c r="BF81" s="59">
        <v>0</v>
      </c>
      <c r="BG81" s="59">
        <v>0</v>
      </c>
      <c r="BH81" s="59">
        <v>0</v>
      </c>
      <c r="BI81" s="59">
        <v>0</v>
      </c>
      <c r="BJ81" s="59">
        <v>0</v>
      </c>
      <c r="BK81" s="59">
        <v>0</v>
      </c>
      <c r="BL81" s="59">
        <v>0</v>
      </c>
      <c r="BM81" s="59">
        <v>0</v>
      </c>
      <c r="BN81" s="59">
        <v>0</v>
      </c>
      <c r="BO81" s="59">
        <v>0</v>
      </c>
      <c r="BP81" s="59">
        <v>0</v>
      </c>
      <c r="BQ81" s="59">
        <v>0</v>
      </c>
      <c r="BR81" s="59">
        <v>0</v>
      </c>
      <c r="BS81" s="59">
        <v>0</v>
      </c>
      <c r="BT81" s="59">
        <v>0</v>
      </c>
      <c r="BU81" s="59">
        <v>0</v>
      </c>
      <c r="BV81" s="59">
        <v>0</v>
      </c>
      <c r="BW81" s="59">
        <v>0</v>
      </c>
      <c r="BX81" s="59">
        <v>63.8</v>
      </c>
      <c r="BY81" s="59">
        <v>0</v>
      </c>
      <c r="BZ81" s="59">
        <v>0</v>
      </c>
      <c r="CA81" s="59">
        <v>0</v>
      </c>
      <c r="CB81" s="59">
        <v>0</v>
      </c>
      <c r="CC81" s="59">
        <v>0</v>
      </c>
      <c r="CD81" s="59">
        <v>0</v>
      </c>
      <c r="CE81" s="59">
        <v>0</v>
      </c>
      <c r="CF81" s="59">
        <v>0</v>
      </c>
      <c r="CG81" s="59">
        <v>222</v>
      </c>
      <c r="CH81" s="59">
        <v>0</v>
      </c>
      <c r="CI81" s="59">
        <v>0</v>
      </c>
      <c r="CJ81" s="59">
        <v>0</v>
      </c>
      <c r="CK81" s="59">
        <v>0</v>
      </c>
      <c r="CL81" s="59">
        <v>0</v>
      </c>
      <c r="CM81" s="59">
        <v>0</v>
      </c>
      <c r="CN81" s="59">
        <v>0</v>
      </c>
      <c r="CO81" s="59">
        <v>0</v>
      </c>
      <c r="CP81" s="59">
        <v>122.7</v>
      </c>
      <c r="CQ81" s="59">
        <v>0</v>
      </c>
      <c r="CR81" s="59">
        <v>0</v>
      </c>
      <c r="CS81" s="59">
        <v>0</v>
      </c>
      <c r="CT81" s="59">
        <v>0</v>
      </c>
      <c r="CU81" s="59">
        <v>0</v>
      </c>
      <c r="CV81" s="59">
        <v>0</v>
      </c>
      <c r="CW81" s="59">
        <v>0</v>
      </c>
      <c r="CX81" s="59">
        <v>0</v>
      </c>
      <c r="CY81" s="59">
        <v>0</v>
      </c>
      <c r="CZ81" s="59">
        <v>0</v>
      </c>
      <c r="DA81" s="59">
        <v>0</v>
      </c>
      <c r="DB81" s="59">
        <v>0</v>
      </c>
      <c r="DC81" s="68">
        <v>0</v>
      </c>
    </row>
    <row r="82" spans="1:118">
      <c r="A82" s="48" t="s">
        <v>115</v>
      </c>
      <c r="B82" s="59">
        <v>93553.72</v>
      </c>
      <c r="C82" s="59">
        <v>28402.34</v>
      </c>
      <c r="D82" s="59">
        <v>38415.75</v>
      </c>
      <c r="E82" s="59">
        <v>7431.85</v>
      </c>
      <c r="F82" s="59">
        <v>3146.22</v>
      </c>
      <c r="G82" s="59">
        <v>4412.43</v>
      </c>
      <c r="H82" s="59">
        <v>1456</v>
      </c>
      <c r="I82" s="59">
        <v>339.95</v>
      </c>
      <c r="J82" s="59">
        <v>3082.69</v>
      </c>
      <c r="K82" s="59">
        <v>3020.7</v>
      </c>
      <c r="L82" s="59">
        <v>1450.58</v>
      </c>
      <c r="M82" s="59">
        <v>475.66</v>
      </c>
      <c r="N82" s="59">
        <v>0</v>
      </c>
      <c r="O82" s="59">
        <v>0</v>
      </c>
      <c r="P82" s="59">
        <v>0</v>
      </c>
      <c r="Q82" s="59">
        <v>378.41</v>
      </c>
      <c r="R82" s="59">
        <v>395.2</v>
      </c>
      <c r="S82" s="59">
        <v>501</v>
      </c>
      <c r="T82" s="59">
        <v>183.22</v>
      </c>
      <c r="U82" s="59">
        <v>252.86</v>
      </c>
      <c r="V82" s="59">
        <v>0</v>
      </c>
      <c r="W82" s="59">
        <v>0</v>
      </c>
      <c r="X82" s="59">
        <v>562.20000000000005</v>
      </c>
      <c r="Y82" s="59">
        <v>0</v>
      </c>
      <c r="Z82" s="59">
        <v>2100.9699999999998</v>
      </c>
      <c r="AA82" s="59">
        <v>0</v>
      </c>
      <c r="AB82" s="59">
        <v>1904.36</v>
      </c>
      <c r="AC82" s="59">
        <v>2301.2199999999998</v>
      </c>
      <c r="AD82" s="59">
        <v>563.1</v>
      </c>
      <c r="AE82" s="59">
        <v>0</v>
      </c>
      <c r="AF82" s="59">
        <v>1243.1099999999999</v>
      </c>
      <c r="AG82" s="59">
        <v>21096.3</v>
      </c>
      <c r="AH82" s="59">
        <v>2231</v>
      </c>
      <c r="AI82" s="59">
        <v>13845.34</v>
      </c>
      <c r="AJ82" s="59">
        <v>208.86</v>
      </c>
      <c r="AK82" s="59">
        <v>1338.77</v>
      </c>
      <c r="AL82" s="59">
        <v>655.23</v>
      </c>
      <c r="AM82" s="59">
        <v>1152.22</v>
      </c>
      <c r="AN82" s="59">
        <v>0</v>
      </c>
      <c r="AO82" s="59">
        <v>0</v>
      </c>
      <c r="AP82" s="59">
        <v>794.32</v>
      </c>
      <c r="AQ82" s="59">
        <v>447.26</v>
      </c>
      <c r="AR82" s="59">
        <v>0</v>
      </c>
      <c r="AS82" s="59">
        <v>105.34</v>
      </c>
      <c r="AT82" s="59">
        <v>86</v>
      </c>
      <c r="AU82" s="59">
        <v>950</v>
      </c>
      <c r="AV82" s="59">
        <v>0</v>
      </c>
      <c r="AW82" s="59">
        <v>0</v>
      </c>
      <c r="AX82" s="59">
        <v>0</v>
      </c>
      <c r="AY82" s="59">
        <v>0</v>
      </c>
      <c r="AZ82" s="59">
        <v>0</v>
      </c>
      <c r="BA82" s="59">
        <v>56</v>
      </c>
      <c r="BB82" s="59">
        <v>879</v>
      </c>
      <c r="BC82" s="59">
        <v>715</v>
      </c>
      <c r="BD82" s="59">
        <v>203</v>
      </c>
      <c r="BE82" s="59">
        <v>234</v>
      </c>
      <c r="BF82" s="59">
        <v>856.6</v>
      </c>
      <c r="BG82" s="59">
        <v>1215.5999999999999</v>
      </c>
      <c r="BH82" s="59">
        <v>542</v>
      </c>
      <c r="BI82" s="59">
        <v>0</v>
      </c>
      <c r="BJ82" s="59">
        <v>0</v>
      </c>
      <c r="BK82" s="59">
        <v>26</v>
      </c>
      <c r="BL82" s="59">
        <v>0</v>
      </c>
      <c r="BM82" s="59">
        <v>0</v>
      </c>
      <c r="BN82" s="59">
        <v>427</v>
      </c>
      <c r="BO82" s="59">
        <v>501.5</v>
      </c>
      <c r="BP82" s="59">
        <v>655</v>
      </c>
      <c r="BQ82" s="59">
        <v>211</v>
      </c>
      <c r="BR82" s="59">
        <v>0</v>
      </c>
      <c r="BS82" s="59">
        <v>0</v>
      </c>
      <c r="BT82" s="59">
        <v>0</v>
      </c>
      <c r="BU82" s="59">
        <v>559</v>
      </c>
      <c r="BV82" s="59">
        <v>0</v>
      </c>
      <c r="BW82" s="59">
        <v>1999.5</v>
      </c>
      <c r="BX82" s="59">
        <v>400.6</v>
      </c>
      <c r="BY82" s="59">
        <v>418</v>
      </c>
      <c r="BZ82" s="59">
        <v>0</v>
      </c>
      <c r="CA82" s="59">
        <v>0</v>
      </c>
      <c r="CB82" s="59">
        <v>198</v>
      </c>
      <c r="CC82" s="59">
        <v>5631.3</v>
      </c>
      <c r="CD82" s="59">
        <v>0</v>
      </c>
      <c r="CE82" s="59">
        <v>1982.3</v>
      </c>
      <c r="CF82" s="59">
        <v>0</v>
      </c>
      <c r="CG82" s="59">
        <v>0</v>
      </c>
      <c r="CH82" s="59">
        <v>863.8</v>
      </c>
      <c r="CI82" s="59">
        <v>1064</v>
      </c>
      <c r="CJ82" s="59">
        <v>745.9</v>
      </c>
      <c r="CK82" s="59">
        <v>89</v>
      </c>
      <c r="CL82" s="59">
        <v>147</v>
      </c>
      <c r="CM82" s="59">
        <v>458.2</v>
      </c>
      <c r="CN82" s="59">
        <v>0</v>
      </c>
      <c r="CO82" s="59">
        <v>0</v>
      </c>
      <c r="CP82" s="59">
        <v>0</v>
      </c>
      <c r="CQ82" s="59">
        <v>629.5</v>
      </c>
      <c r="CR82" s="59">
        <v>0</v>
      </c>
      <c r="CS82" s="59">
        <v>386.9</v>
      </c>
      <c r="CT82" s="59">
        <v>281.2</v>
      </c>
      <c r="CU82" s="59">
        <v>1626.9</v>
      </c>
      <c r="CV82" s="59">
        <v>0</v>
      </c>
      <c r="CW82" s="59">
        <v>745.66</v>
      </c>
      <c r="CX82" s="59">
        <v>141.52000000000001</v>
      </c>
      <c r="CY82" s="59">
        <v>0</v>
      </c>
      <c r="CZ82" s="59">
        <v>734.44</v>
      </c>
      <c r="DA82" s="59">
        <v>0</v>
      </c>
      <c r="DB82" s="59">
        <v>395</v>
      </c>
      <c r="DC82" s="68">
        <v>0</v>
      </c>
    </row>
    <row r="83" spans="1:118">
      <c r="A83" s="48" t="s">
        <v>116</v>
      </c>
      <c r="B83" s="59">
        <v>180514.13</v>
      </c>
      <c r="C83" s="59">
        <v>53938.98</v>
      </c>
      <c r="D83" s="59">
        <v>16544</v>
      </c>
      <c r="E83" s="59">
        <v>9368</v>
      </c>
      <c r="F83" s="59">
        <v>27040</v>
      </c>
      <c r="G83" s="59">
        <v>62171.61</v>
      </c>
      <c r="H83" s="59">
        <v>0</v>
      </c>
      <c r="I83" s="59">
        <v>0</v>
      </c>
      <c r="J83" s="59">
        <v>-31438.48</v>
      </c>
      <c r="K83" s="59">
        <v>2330</v>
      </c>
      <c r="L83" s="59">
        <v>0</v>
      </c>
      <c r="M83" s="59">
        <v>0</v>
      </c>
      <c r="N83" s="59">
        <v>18560.02</v>
      </c>
      <c r="O83" s="59">
        <v>0</v>
      </c>
      <c r="P83" s="59">
        <v>0</v>
      </c>
      <c r="Q83" s="59">
        <v>0</v>
      </c>
      <c r="R83" s="59">
        <v>0</v>
      </c>
      <c r="S83" s="59">
        <v>0</v>
      </c>
      <c r="T83" s="59">
        <v>0</v>
      </c>
      <c r="U83" s="59">
        <v>0</v>
      </c>
      <c r="V83" s="59">
        <v>20000</v>
      </c>
      <c r="W83" s="59">
        <v>0</v>
      </c>
      <c r="X83" s="59">
        <v>7543</v>
      </c>
      <c r="Y83" s="59">
        <v>0</v>
      </c>
      <c r="Z83" s="59">
        <v>0</v>
      </c>
      <c r="AA83" s="59">
        <v>0</v>
      </c>
      <c r="AB83" s="59">
        <v>0</v>
      </c>
      <c r="AC83" s="59">
        <v>0</v>
      </c>
      <c r="AD83" s="59">
        <v>1825</v>
      </c>
      <c r="AE83" s="59">
        <v>0</v>
      </c>
      <c r="AF83" s="59">
        <v>8017</v>
      </c>
      <c r="AG83" s="59">
        <v>2482</v>
      </c>
      <c r="AH83" s="59">
        <v>1345</v>
      </c>
      <c r="AI83" s="59">
        <v>4700</v>
      </c>
      <c r="AJ83" s="59">
        <v>2000</v>
      </c>
      <c r="AK83" s="59">
        <v>0</v>
      </c>
      <c r="AL83" s="59">
        <v>27040</v>
      </c>
      <c r="AM83" s="59">
        <v>0</v>
      </c>
      <c r="AN83" s="59">
        <v>0</v>
      </c>
      <c r="AO83" s="59">
        <v>0</v>
      </c>
      <c r="AP83" s="59">
        <v>0</v>
      </c>
      <c r="AQ83" s="59">
        <v>0</v>
      </c>
      <c r="AR83" s="59">
        <v>0</v>
      </c>
      <c r="AS83" s="59">
        <v>0</v>
      </c>
      <c r="AT83" s="59">
        <v>6927.36</v>
      </c>
      <c r="AU83" s="59">
        <v>0</v>
      </c>
      <c r="AV83" s="59">
        <v>3135</v>
      </c>
      <c r="AW83" s="59">
        <v>0</v>
      </c>
      <c r="AX83" s="59">
        <v>900</v>
      </c>
      <c r="AY83" s="59">
        <v>1900</v>
      </c>
      <c r="AZ83" s="59">
        <v>2273.4</v>
      </c>
      <c r="BA83" s="59">
        <v>4055</v>
      </c>
      <c r="BB83" s="59">
        <v>1791</v>
      </c>
      <c r="BC83" s="59">
        <v>0</v>
      </c>
      <c r="BD83" s="59">
        <v>3511.22</v>
      </c>
      <c r="BE83" s="59">
        <v>0</v>
      </c>
      <c r="BF83" s="59">
        <v>0</v>
      </c>
      <c r="BG83" s="59">
        <v>0</v>
      </c>
      <c r="BH83" s="59">
        <v>2907</v>
      </c>
      <c r="BI83" s="59">
        <v>1395</v>
      </c>
      <c r="BJ83" s="59">
        <v>0</v>
      </c>
      <c r="BK83" s="59">
        <v>2199</v>
      </c>
      <c r="BL83" s="59">
        <v>0</v>
      </c>
      <c r="BM83" s="59">
        <v>0</v>
      </c>
      <c r="BN83" s="59">
        <v>0</v>
      </c>
      <c r="BO83" s="59">
        <v>0</v>
      </c>
      <c r="BP83" s="59">
        <v>3724</v>
      </c>
      <c r="BQ83" s="59">
        <v>1300</v>
      </c>
      <c r="BR83" s="59">
        <v>0</v>
      </c>
      <c r="BS83" s="59">
        <v>0</v>
      </c>
      <c r="BT83" s="59">
        <v>774</v>
      </c>
      <c r="BU83" s="59">
        <v>5813</v>
      </c>
      <c r="BV83" s="59">
        <v>0</v>
      </c>
      <c r="BW83" s="59">
        <v>0</v>
      </c>
      <c r="BX83" s="59">
        <v>0</v>
      </c>
      <c r="BY83" s="59">
        <v>2000</v>
      </c>
      <c r="BZ83" s="59">
        <v>0</v>
      </c>
      <c r="CA83" s="59">
        <v>0</v>
      </c>
      <c r="CB83" s="59">
        <v>3600</v>
      </c>
      <c r="CC83" s="59">
        <v>1658</v>
      </c>
      <c r="CD83" s="59">
        <v>685</v>
      </c>
      <c r="CE83" s="59">
        <v>1611</v>
      </c>
      <c r="CF83" s="59">
        <v>0</v>
      </c>
      <c r="CG83" s="59">
        <v>0</v>
      </c>
      <c r="CH83" s="59">
        <v>0</v>
      </c>
      <c r="CI83" s="59">
        <v>40</v>
      </c>
      <c r="CJ83" s="59">
        <v>0</v>
      </c>
      <c r="CK83" s="59">
        <v>1310</v>
      </c>
      <c r="CL83" s="59">
        <v>0</v>
      </c>
      <c r="CM83" s="59">
        <v>0</v>
      </c>
      <c r="CN83" s="59">
        <v>0</v>
      </c>
      <c r="CO83" s="59">
        <v>0</v>
      </c>
      <c r="CP83" s="59">
        <v>0</v>
      </c>
      <c r="CQ83" s="59">
        <v>0</v>
      </c>
      <c r="CR83" s="59">
        <v>0</v>
      </c>
      <c r="CS83" s="59">
        <v>0</v>
      </c>
      <c r="CT83" s="59">
        <v>0</v>
      </c>
      <c r="CU83" s="59">
        <v>0</v>
      </c>
      <c r="CV83" s="59">
        <v>0</v>
      </c>
      <c r="CW83" s="59">
        <v>0</v>
      </c>
      <c r="CX83" s="59">
        <v>0</v>
      </c>
      <c r="CY83" s="59">
        <v>0</v>
      </c>
      <c r="CZ83" s="59">
        <v>0</v>
      </c>
      <c r="DA83" s="59">
        <v>0</v>
      </c>
      <c r="DB83" s="59">
        <v>430</v>
      </c>
      <c r="DC83" s="68">
        <v>0</v>
      </c>
    </row>
    <row r="84" spans="1:118">
      <c r="A84" s="48" t="s">
        <v>117</v>
      </c>
      <c r="B84" s="59">
        <v>659694.64</v>
      </c>
      <c r="C84" s="59">
        <v>659694.64</v>
      </c>
      <c r="D84" s="59">
        <v>0</v>
      </c>
      <c r="E84" s="59">
        <v>0</v>
      </c>
      <c r="F84" s="59">
        <v>0</v>
      </c>
      <c r="G84" s="59">
        <v>0</v>
      </c>
      <c r="H84" s="59">
        <v>0</v>
      </c>
      <c r="I84" s="59">
        <v>0</v>
      </c>
      <c r="J84" s="59">
        <v>0</v>
      </c>
      <c r="K84" s="59">
        <v>0</v>
      </c>
      <c r="L84" s="59">
        <v>0</v>
      </c>
      <c r="M84" s="59">
        <v>0</v>
      </c>
      <c r="N84" s="59">
        <v>0</v>
      </c>
      <c r="O84" s="59">
        <v>0</v>
      </c>
      <c r="P84" s="59">
        <v>0</v>
      </c>
      <c r="Q84" s="59">
        <v>0</v>
      </c>
      <c r="R84" s="59">
        <v>0</v>
      </c>
      <c r="S84" s="59">
        <v>0</v>
      </c>
      <c r="T84" s="59">
        <v>0</v>
      </c>
      <c r="U84" s="59">
        <v>0</v>
      </c>
      <c r="V84" s="59">
        <v>0</v>
      </c>
      <c r="W84" s="59">
        <v>0</v>
      </c>
      <c r="X84" s="59">
        <v>0</v>
      </c>
      <c r="Y84" s="59">
        <v>0</v>
      </c>
      <c r="Z84" s="59">
        <v>0</v>
      </c>
      <c r="AA84" s="59">
        <v>0</v>
      </c>
      <c r="AB84" s="59">
        <v>0</v>
      </c>
      <c r="AC84" s="59">
        <v>0</v>
      </c>
      <c r="AD84" s="59">
        <v>0</v>
      </c>
      <c r="AE84" s="59">
        <v>0</v>
      </c>
      <c r="AF84" s="59">
        <v>0</v>
      </c>
      <c r="AG84" s="59">
        <v>0</v>
      </c>
      <c r="AH84" s="59">
        <v>0</v>
      </c>
      <c r="AI84" s="59">
        <v>0</v>
      </c>
      <c r="AJ84" s="59">
        <v>0</v>
      </c>
      <c r="AK84" s="59">
        <v>0</v>
      </c>
      <c r="AL84" s="59">
        <v>0</v>
      </c>
      <c r="AM84" s="59">
        <v>0</v>
      </c>
      <c r="AN84" s="59">
        <v>0</v>
      </c>
      <c r="AO84" s="59">
        <v>0</v>
      </c>
      <c r="AP84" s="59">
        <v>0</v>
      </c>
      <c r="AQ84" s="59">
        <v>0</v>
      </c>
      <c r="AR84" s="59">
        <v>0</v>
      </c>
      <c r="AS84" s="59">
        <v>0</v>
      </c>
      <c r="AT84" s="59">
        <v>12060</v>
      </c>
      <c r="AU84" s="59">
        <v>9010</v>
      </c>
      <c r="AV84" s="59">
        <v>34989</v>
      </c>
      <c r="AW84" s="59">
        <v>16402.82</v>
      </c>
      <c r="AX84" s="59">
        <v>20330</v>
      </c>
      <c r="AY84" s="59">
        <v>78373.5</v>
      </c>
      <c r="AZ84" s="59">
        <v>1200</v>
      </c>
      <c r="BA84" s="59">
        <v>56730</v>
      </c>
      <c r="BB84" s="59">
        <v>21600</v>
      </c>
      <c r="BC84" s="59">
        <v>5570</v>
      </c>
      <c r="BD84" s="59">
        <v>32900</v>
      </c>
      <c r="BE84" s="59">
        <v>18250</v>
      </c>
      <c r="BF84" s="59">
        <v>20320</v>
      </c>
      <c r="BG84" s="59">
        <v>400</v>
      </c>
      <c r="BH84" s="59">
        <v>3239</v>
      </c>
      <c r="BI84" s="59">
        <v>3038</v>
      </c>
      <c r="BJ84" s="59">
        <v>1460</v>
      </c>
      <c r="BK84" s="59">
        <v>13274.34</v>
      </c>
      <c r="BL84" s="59">
        <v>26893.55</v>
      </c>
      <c r="BM84" s="59">
        <v>766.48</v>
      </c>
      <c r="BN84" s="59">
        <v>34915</v>
      </c>
      <c r="BO84" s="59">
        <v>0</v>
      </c>
      <c r="BP84" s="59">
        <v>30612</v>
      </c>
      <c r="BQ84" s="59">
        <v>6870</v>
      </c>
      <c r="BR84" s="59">
        <v>0</v>
      </c>
      <c r="BS84" s="59">
        <v>400</v>
      </c>
      <c r="BT84" s="59">
        <v>0</v>
      </c>
      <c r="BU84" s="59">
        <v>2500</v>
      </c>
      <c r="BV84" s="59">
        <v>18277</v>
      </c>
      <c r="BW84" s="59">
        <v>1520</v>
      </c>
      <c r="BX84" s="59">
        <v>13670</v>
      </c>
      <c r="BY84" s="59">
        <v>2740</v>
      </c>
      <c r="BZ84" s="59">
        <v>160</v>
      </c>
      <c r="CA84" s="59">
        <v>14020</v>
      </c>
      <c r="CB84" s="59">
        <v>11980</v>
      </c>
      <c r="CC84" s="59">
        <v>106714.51</v>
      </c>
      <c r="CD84" s="59">
        <v>11200</v>
      </c>
      <c r="CE84" s="59">
        <v>6994</v>
      </c>
      <c r="CF84" s="59">
        <v>0</v>
      </c>
      <c r="CG84" s="59">
        <v>0</v>
      </c>
      <c r="CH84" s="59">
        <v>2740</v>
      </c>
      <c r="CI84" s="59">
        <v>0</v>
      </c>
      <c r="CJ84" s="59">
        <v>528</v>
      </c>
      <c r="CK84" s="59">
        <v>0</v>
      </c>
      <c r="CL84" s="59">
        <v>0</v>
      </c>
      <c r="CM84" s="59">
        <v>5399</v>
      </c>
      <c r="CN84" s="59">
        <v>0</v>
      </c>
      <c r="CO84" s="59">
        <v>0</v>
      </c>
      <c r="CP84" s="59">
        <v>355.74</v>
      </c>
      <c r="CQ84" s="59">
        <v>3996.8</v>
      </c>
      <c r="CR84" s="59">
        <v>0</v>
      </c>
      <c r="CS84" s="59">
        <v>0</v>
      </c>
      <c r="CT84" s="59">
        <v>0</v>
      </c>
      <c r="CU84" s="59">
        <v>1070</v>
      </c>
      <c r="CV84" s="59">
        <v>0</v>
      </c>
      <c r="CW84" s="59">
        <v>0</v>
      </c>
      <c r="CX84" s="59">
        <v>0</v>
      </c>
      <c r="CY84" s="59">
        <v>0</v>
      </c>
      <c r="CZ84" s="59">
        <v>0</v>
      </c>
      <c r="DA84" s="59">
        <v>0</v>
      </c>
      <c r="DB84" s="59">
        <v>1950</v>
      </c>
      <c r="DC84" s="68">
        <v>4275.8999999999996</v>
      </c>
    </row>
    <row r="85" spans="1:118">
      <c r="A85" s="48" t="s">
        <v>118</v>
      </c>
      <c r="B85" s="59">
        <v>81569.91</v>
      </c>
      <c r="C85" s="59">
        <v>51249.91</v>
      </c>
      <c r="D85" s="59">
        <v>0</v>
      </c>
      <c r="E85" s="59">
        <v>0</v>
      </c>
      <c r="F85" s="59">
        <v>4520</v>
      </c>
      <c r="G85" s="59">
        <v>0</v>
      </c>
      <c r="H85" s="59">
        <v>0</v>
      </c>
      <c r="I85" s="59">
        <v>0</v>
      </c>
      <c r="J85" s="59">
        <v>0</v>
      </c>
      <c r="K85" s="59">
        <v>0</v>
      </c>
      <c r="L85" s="59">
        <v>0</v>
      </c>
      <c r="M85" s="59">
        <v>0</v>
      </c>
      <c r="N85" s="59">
        <v>0</v>
      </c>
      <c r="O85" s="59">
        <v>25800</v>
      </c>
      <c r="P85" s="59">
        <v>0</v>
      </c>
      <c r="Q85" s="59">
        <v>0</v>
      </c>
      <c r="R85" s="59">
        <v>0</v>
      </c>
      <c r="S85" s="59">
        <v>0</v>
      </c>
      <c r="T85" s="59">
        <v>0</v>
      </c>
      <c r="U85" s="59">
        <v>0</v>
      </c>
      <c r="V85" s="59">
        <v>0</v>
      </c>
      <c r="W85" s="59">
        <v>0</v>
      </c>
      <c r="X85" s="59">
        <v>0</v>
      </c>
      <c r="Y85" s="59">
        <v>0</v>
      </c>
      <c r="Z85" s="59">
        <v>0</v>
      </c>
      <c r="AA85" s="59">
        <v>0</v>
      </c>
      <c r="AB85" s="59">
        <v>0</v>
      </c>
      <c r="AC85" s="59">
        <v>0</v>
      </c>
      <c r="AD85" s="59">
        <v>0</v>
      </c>
      <c r="AE85" s="59">
        <v>0</v>
      </c>
      <c r="AF85" s="59">
        <v>0</v>
      </c>
      <c r="AG85" s="59">
        <v>0</v>
      </c>
      <c r="AH85" s="59">
        <v>0</v>
      </c>
      <c r="AI85" s="59">
        <v>0</v>
      </c>
      <c r="AJ85" s="59">
        <v>0</v>
      </c>
      <c r="AK85" s="59">
        <v>4520</v>
      </c>
      <c r="AL85" s="59">
        <v>0</v>
      </c>
      <c r="AM85" s="59">
        <v>0</v>
      </c>
      <c r="AN85" s="59">
        <v>0</v>
      </c>
      <c r="AO85" s="59">
        <v>0</v>
      </c>
      <c r="AP85" s="59">
        <v>0</v>
      </c>
      <c r="AQ85" s="59">
        <v>0</v>
      </c>
      <c r="AR85" s="59">
        <v>0</v>
      </c>
      <c r="AS85" s="59">
        <v>0</v>
      </c>
      <c r="AT85" s="59">
        <v>0</v>
      </c>
      <c r="AU85" s="59">
        <v>2700</v>
      </c>
      <c r="AV85" s="59">
        <v>0</v>
      </c>
      <c r="AW85" s="59">
        <v>0</v>
      </c>
      <c r="AX85" s="59">
        <v>0</v>
      </c>
      <c r="AY85" s="59">
        <v>0</v>
      </c>
      <c r="AZ85" s="59">
        <v>0</v>
      </c>
      <c r="BA85" s="59">
        <v>0</v>
      </c>
      <c r="BB85" s="59">
        <v>0</v>
      </c>
      <c r="BC85" s="59">
        <v>0</v>
      </c>
      <c r="BD85" s="59">
        <v>3800</v>
      </c>
      <c r="BE85" s="59">
        <v>0</v>
      </c>
      <c r="BF85" s="59">
        <v>1550</v>
      </c>
      <c r="BG85" s="59">
        <v>0</v>
      </c>
      <c r="BH85" s="59">
        <v>0</v>
      </c>
      <c r="BI85" s="59">
        <v>0</v>
      </c>
      <c r="BJ85" s="59">
        <v>0</v>
      </c>
      <c r="BK85" s="59">
        <v>0</v>
      </c>
      <c r="BL85" s="59">
        <v>0</v>
      </c>
      <c r="BM85" s="59">
        <v>0</v>
      </c>
      <c r="BN85" s="59">
        <v>0</v>
      </c>
      <c r="BO85" s="59">
        <v>38834.949999999997</v>
      </c>
      <c r="BP85" s="59">
        <v>0</v>
      </c>
      <c r="BQ85" s="59">
        <v>0</v>
      </c>
      <c r="BR85" s="59">
        <v>0</v>
      </c>
      <c r="BS85" s="59">
        <v>0</v>
      </c>
      <c r="BT85" s="59">
        <v>0</v>
      </c>
      <c r="BU85" s="59">
        <v>0</v>
      </c>
      <c r="BV85" s="59">
        <v>0</v>
      </c>
      <c r="BW85" s="59">
        <v>0</v>
      </c>
      <c r="BX85" s="59">
        <v>0</v>
      </c>
      <c r="BY85" s="59">
        <v>0</v>
      </c>
      <c r="BZ85" s="59">
        <v>0</v>
      </c>
      <c r="CA85" s="59">
        <v>0</v>
      </c>
      <c r="CB85" s="59">
        <v>2800</v>
      </c>
      <c r="CC85" s="59">
        <v>1564.96</v>
      </c>
      <c r="CD85" s="59">
        <v>0</v>
      </c>
      <c r="CE85" s="59">
        <v>0</v>
      </c>
      <c r="CF85" s="59">
        <v>0</v>
      </c>
      <c r="CG85" s="59">
        <v>0</v>
      </c>
      <c r="CH85" s="59">
        <v>0</v>
      </c>
      <c r="CI85" s="59">
        <v>0</v>
      </c>
      <c r="CJ85" s="59">
        <v>0</v>
      </c>
      <c r="CK85" s="59">
        <v>0</v>
      </c>
      <c r="CL85" s="59">
        <v>0</v>
      </c>
      <c r="CM85" s="59">
        <v>0</v>
      </c>
      <c r="CN85" s="59">
        <v>0</v>
      </c>
      <c r="CO85" s="59">
        <v>0</v>
      </c>
      <c r="CP85" s="59">
        <v>0</v>
      </c>
      <c r="CQ85" s="59">
        <v>0</v>
      </c>
      <c r="CR85" s="59">
        <v>0</v>
      </c>
      <c r="CS85" s="59">
        <v>0</v>
      </c>
      <c r="CT85" s="59">
        <v>0</v>
      </c>
      <c r="CU85" s="59">
        <v>0</v>
      </c>
      <c r="CV85" s="59">
        <v>0</v>
      </c>
      <c r="CW85" s="59">
        <v>0</v>
      </c>
      <c r="CX85" s="59">
        <v>0</v>
      </c>
      <c r="CY85" s="59">
        <v>0</v>
      </c>
      <c r="CZ85" s="59">
        <v>0</v>
      </c>
      <c r="DA85" s="59">
        <v>0</v>
      </c>
      <c r="DB85" s="59">
        <v>0</v>
      </c>
      <c r="DC85" s="68">
        <v>0</v>
      </c>
    </row>
    <row r="86" spans="1:118" s="52" customFormat="1">
      <c r="A86" s="60" t="s">
        <v>98</v>
      </c>
      <c r="B86" s="61">
        <v>5276212.25</v>
      </c>
      <c r="C86" s="61">
        <v>2278744.4500000002</v>
      </c>
      <c r="D86" s="61">
        <v>1227130.75</v>
      </c>
      <c r="E86" s="61">
        <v>48145.32</v>
      </c>
      <c r="F86" s="61">
        <v>237473.18</v>
      </c>
      <c r="G86" s="61">
        <v>164608.85999999999</v>
      </c>
      <c r="H86" s="61">
        <v>383058.84</v>
      </c>
      <c r="I86" s="61">
        <v>27103.98</v>
      </c>
      <c r="J86" s="61">
        <v>378855.76</v>
      </c>
      <c r="K86" s="61">
        <v>31891</v>
      </c>
      <c r="L86" s="61">
        <v>42099.66</v>
      </c>
      <c r="M86" s="61">
        <v>25265.599999999999</v>
      </c>
      <c r="N86" s="61">
        <v>18560.02</v>
      </c>
      <c r="O86" s="61">
        <v>99175.42</v>
      </c>
      <c r="P86" s="61">
        <v>5813</v>
      </c>
      <c r="Q86" s="61">
        <v>15194.41</v>
      </c>
      <c r="R86" s="61">
        <v>24125.15</v>
      </c>
      <c r="S86" s="61">
        <v>68620.990000000005</v>
      </c>
      <c r="T86" s="61">
        <v>4326.72</v>
      </c>
      <c r="U86" s="61">
        <v>18545.560000000001</v>
      </c>
      <c r="V86" s="61">
        <v>20000</v>
      </c>
      <c r="W86" s="61">
        <v>0</v>
      </c>
      <c r="X86" s="61">
        <v>32681.32</v>
      </c>
      <c r="Y86" s="61">
        <v>2458.4</v>
      </c>
      <c r="Z86" s="61">
        <v>-152452.34</v>
      </c>
      <c r="AA86" s="61">
        <v>3776.58</v>
      </c>
      <c r="AB86" s="61">
        <v>21744.25</v>
      </c>
      <c r="AC86" s="61">
        <v>45010.53</v>
      </c>
      <c r="AD86" s="61">
        <v>66491.48</v>
      </c>
      <c r="AE86" s="61">
        <v>28435.1</v>
      </c>
      <c r="AF86" s="61">
        <v>51675.11</v>
      </c>
      <c r="AG86" s="61">
        <v>870418.35</v>
      </c>
      <c r="AH86" s="61">
        <v>137773.54999999999</v>
      </c>
      <c r="AI86" s="61">
        <v>167263.74</v>
      </c>
      <c r="AJ86" s="61">
        <v>156696.57999999999</v>
      </c>
      <c r="AK86" s="61">
        <v>146133.99</v>
      </c>
      <c r="AL86" s="61">
        <v>67313.75</v>
      </c>
      <c r="AM86" s="61">
        <v>24025.439999999999</v>
      </c>
      <c r="AN86" s="61">
        <v>777</v>
      </c>
      <c r="AO86" s="61">
        <v>97252.94</v>
      </c>
      <c r="AP86" s="61">
        <v>34527.83</v>
      </c>
      <c r="AQ86" s="61">
        <v>39914.080000000002</v>
      </c>
      <c r="AR86" s="61">
        <v>3782.5</v>
      </c>
      <c r="AS86" s="61">
        <v>44416.98</v>
      </c>
      <c r="AT86" s="61">
        <v>97603.76</v>
      </c>
      <c r="AU86" s="61">
        <v>77357.84</v>
      </c>
      <c r="AV86" s="61">
        <v>77214.06</v>
      </c>
      <c r="AW86" s="61">
        <v>101154.09</v>
      </c>
      <c r="AX86" s="61">
        <v>37930.29</v>
      </c>
      <c r="AY86" s="61">
        <v>129972.44</v>
      </c>
      <c r="AZ86" s="61">
        <v>11673.4</v>
      </c>
      <c r="BA86" s="61">
        <v>98176</v>
      </c>
      <c r="BB86" s="61">
        <v>64873.03</v>
      </c>
      <c r="BC86" s="61">
        <v>30509.62</v>
      </c>
      <c r="BD86" s="61">
        <v>118017.75</v>
      </c>
      <c r="BE86" s="61">
        <v>34559.870000000003</v>
      </c>
      <c r="BF86" s="61">
        <v>48550.9</v>
      </c>
      <c r="BG86" s="61">
        <v>35391.58</v>
      </c>
      <c r="BH86" s="61">
        <v>20696.939999999999</v>
      </c>
      <c r="BI86" s="61">
        <v>34843.85</v>
      </c>
      <c r="BJ86" s="61">
        <v>1460</v>
      </c>
      <c r="BK86" s="61">
        <v>58079.65</v>
      </c>
      <c r="BL86" s="61">
        <v>29293.55</v>
      </c>
      <c r="BM86" s="61">
        <v>766.48</v>
      </c>
      <c r="BN86" s="61">
        <v>65326.87</v>
      </c>
      <c r="BO86" s="61">
        <v>63471.47</v>
      </c>
      <c r="BP86" s="61">
        <v>55948.02</v>
      </c>
      <c r="BQ86" s="61">
        <v>51150.28</v>
      </c>
      <c r="BR86" s="61">
        <v>2333.33</v>
      </c>
      <c r="BS86" s="61">
        <v>400</v>
      </c>
      <c r="BT86" s="61">
        <v>3461</v>
      </c>
      <c r="BU86" s="61">
        <v>17008.7</v>
      </c>
      <c r="BV86" s="61">
        <v>20409.2</v>
      </c>
      <c r="BW86" s="61">
        <v>8488.83</v>
      </c>
      <c r="BX86" s="61">
        <v>15484.86</v>
      </c>
      <c r="BY86" s="61">
        <v>34885.599999999999</v>
      </c>
      <c r="BZ86" s="61">
        <v>160</v>
      </c>
      <c r="CA86" s="61">
        <v>14020</v>
      </c>
      <c r="CB86" s="61">
        <v>30918</v>
      </c>
      <c r="CC86" s="61">
        <v>153170.26999999999</v>
      </c>
      <c r="CD86" s="61">
        <v>32734.52</v>
      </c>
      <c r="CE86" s="61">
        <v>29479.599999999999</v>
      </c>
      <c r="CF86" s="61">
        <v>18002.2</v>
      </c>
      <c r="CG86" s="61">
        <v>13527.98</v>
      </c>
      <c r="CH86" s="61">
        <v>8264.67</v>
      </c>
      <c r="CI86" s="61">
        <v>62354.16</v>
      </c>
      <c r="CJ86" s="61">
        <v>5555.4</v>
      </c>
      <c r="CK86" s="61">
        <v>9086</v>
      </c>
      <c r="CL86" s="61">
        <v>381</v>
      </c>
      <c r="CM86" s="61">
        <v>9917.2000000000007</v>
      </c>
      <c r="CN86" s="61">
        <v>0</v>
      </c>
      <c r="CO86" s="61">
        <v>6061.3</v>
      </c>
      <c r="CP86" s="61">
        <v>18208.240000000002</v>
      </c>
      <c r="CQ86" s="61">
        <v>29194.92</v>
      </c>
      <c r="CR86" s="61">
        <v>13704.4</v>
      </c>
      <c r="CS86" s="61">
        <v>7355.18</v>
      </c>
      <c r="CT86" s="61">
        <v>12715.8</v>
      </c>
      <c r="CU86" s="61">
        <v>11472.55</v>
      </c>
      <c r="CV86" s="61">
        <v>0</v>
      </c>
      <c r="CW86" s="61">
        <v>15583.56</v>
      </c>
      <c r="CX86" s="61">
        <v>26435.52</v>
      </c>
      <c r="CY86" s="61">
        <v>18393.8</v>
      </c>
      <c r="CZ86" s="61">
        <v>22570.74</v>
      </c>
      <c r="DA86" s="61">
        <v>10337.91</v>
      </c>
      <c r="DB86" s="61">
        <v>5326</v>
      </c>
      <c r="DC86" s="61">
        <v>27425.94</v>
      </c>
      <c r="DD86" s="61">
        <f t="shared" ref="DD86:DN86" si="2">SUM(DD73:DD85)</f>
        <v>0</v>
      </c>
      <c r="DE86" s="61">
        <f t="shared" si="2"/>
        <v>0</v>
      </c>
      <c r="DF86" s="61">
        <f t="shared" si="2"/>
        <v>0</v>
      </c>
      <c r="DG86" s="61">
        <f t="shared" si="2"/>
        <v>0</v>
      </c>
      <c r="DH86" s="61">
        <f t="shared" si="2"/>
        <v>0</v>
      </c>
      <c r="DI86" s="61">
        <f t="shared" si="2"/>
        <v>0</v>
      </c>
      <c r="DJ86" s="61">
        <f t="shared" si="2"/>
        <v>0</v>
      </c>
      <c r="DK86" s="61">
        <f t="shared" si="2"/>
        <v>0</v>
      </c>
      <c r="DL86" s="61">
        <f t="shared" si="2"/>
        <v>0</v>
      </c>
      <c r="DM86" s="61">
        <f t="shared" si="2"/>
        <v>0</v>
      </c>
      <c r="DN86" s="61">
        <f t="shared" si="2"/>
        <v>0</v>
      </c>
    </row>
    <row r="87" spans="1:118">
      <c r="A87" s="48" t="s">
        <v>120</v>
      </c>
      <c r="B87" s="59">
        <v>289302.98</v>
      </c>
      <c r="C87" s="59">
        <v>276427.52000000002</v>
      </c>
      <c r="D87" s="59">
        <v>0</v>
      </c>
      <c r="E87" s="59">
        <v>498.74</v>
      </c>
      <c r="F87" s="59">
        <v>12376.72</v>
      </c>
      <c r="G87" s="59">
        <v>0</v>
      </c>
      <c r="H87" s="59">
        <v>0</v>
      </c>
      <c r="I87" s="59">
        <v>0</v>
      </c>
      <c r="J87" s="59">
        <v>0</v>
      </c>
      <c r="K87" s="59">
        <v>0</v>
      </c>
      <c r="L87" s="59">
        <v>0</v>
      </c>
      <c r="M87" s="59">
        <v>0</v>
      </c>
      <c r="N87" s="59">
        <v>0</v>
      </c>
      <c r="O87" s="59">
        <v>0</v>
      </c>
      <c r="P87" s="59">
        <v>0</v>
      </c>
      <c r="Q87" s="59">
        <v>0</v>
      </c>
      <c r="R87" s="59">
        <v>0</v>
      </c>
      <c r="S87" s="59">
        <v>0</v>
      </c>
      <c r="T87" s="59">
        <v>0</v>
      </c>
      <c r="U87" s="59">
        <v>0</v>
      </c>
      <c r="V87" s="59">
        <v>0</v>
      </c>
      <c r="W87" s="59">
        <v>0</v>
      </c>
      <c r="X87" s="59">
        <v>498.74</v>
      </c>
      <c r="Y87" s="59">
        <v>0</v>
      </c>
      <c r="Z87" s="59">
        <v>0</v>
      </c>
      <c r="AA87" s="59">
        <v>0</v>
      </c>
      <c r="AB87" s="59">
        <v>0</v>
      </c>
      <c r="AC87" s="59">
        <v>0</v>
      </c>
      <c r="AD87" s="59">
        <v>0</v>
      </c>
      <c r="AE87" s="59">
        <v>0</v>
      </c>
      <c r="AF87" s="59">
        <v>0</v>
      </c>
      <c r="AG87" s="59">
        <v>0</v>
      </c>
      <c r="AH87" s="59">
        <v>0</v>
      </c>
      <c r="AI87" s="59">
        <v>0</v>
      </c>
      <c r="AJ87" s="59">
        <v>0</v>
      </c>
      <c r="AK87" s="59">
        <v>6188.36</v>
      </c>
      <c r="AL87" s="59">
        <v>6188.36</v>
      </c>
      <c r="AM87" s="59">
        <v>0</v>
      </c>
      <c r="AN87" s="59">
        <v>0</v>
      </c>
      <c r="AO87" s="59">
        <v>0</v>
      </c>
      <c r="AP87" s="59">
        <v>0</v>
      </c>
      <c r="AQ87" s="59">
        <v>0</v>
      </c>
      <c r="AR87" s="59">
        <v>0</v>
      </c>
      <c r="AS87" s="59">
        <v>0</v>
      </c>
      <c r="AT87" s="59">
        <v>20597.919999999998</v>
      </c>
      <c r="AU87" s="59">
        <v>15497.35</v>
      </c>
      <c r="AV87" s="59">
        <v>2886.79</v>
      </c>
      <c r="AW87" s="59">
        <v>10278</v>
      </c>
      <c r="AX87" s="59">
        <v>53032.47</v>
      </c>
      <c r="AY87" s="59">
        <v>14916.41</v>
      </c>
      <c r="AZ87" s="59">
        <v>7190.84</v>
      </c>
      <c r="BA87" s="59">
        <v>457</v>
      </c>
      <c r="BB87" s="59">
        <v>151</v>
      </c>
      <c r="BC87" s="59">
        <v>8672.01</v>
      </c>
      <c r="BD87" s="59">
        <v>-7314.7</v>
      </c>
      <c r="BE87" s="59">
        <v>34560</v>
      </c>
      <c r="BF87" s="59">
        <v>33449.58</v>
      </c>
      <c r="BG87" s="59">
        <v>1637.63</v>
      </c>
      <c r="BH87" s="59">
        <v>8887.4699999999993</v>
      </c>
      <c r="BI87" s="59">
        <v>148</v>
      </c>
      <c r="BJ87" s="59">
        <v>139</v>
      </c>
      <c r="BK87" s="59">
        <v>24931.1</v>
      </c>
      <c r="BL87" s="59">
        <v>137</v>
      </c>
      <c r="BM87" s="59">
        <v>62</v>
      </c>
      <c r="BN87" s="59">
        <v>8658.4599999999991</v>
      </c>
      <c r="BO87" s="59">
        <v>141</v>
      </c>
      <c r="BP87" s="59">
        <v>847.2</v>
      </c>
      <c r="BQ87" s="59">
        <v>1552</v>
      </c>
      <c r="BR87" s="59">
        <v>1670.34</v>
      </c>
      <c r="BS87" s="59">
        <v>72</v>
      </c>
      <c r="BT87" s="59">
        <v>2432</v>
      </c>
      <c r="BU87" s="59">
        <v>1644.49</v>
      </c>
      <c r="BV87" s="59">
        <v>6089</v>
      </c>
      <c r="BW87" s="59">
        <v>39</v>
      </c>
      <c r="BX87" s="59">
        <v>1018</v>
      </c>
      <c r="BY87" s="59">
        <v>11111</v>
      </c>
      <c r="BZ87" s="59">
        <v>14</v>
      </c>
      <c r="CA87" s="59">
        <v>18</v>
      </c>
      <c r="CB87" s="59">
        <v>45</v>
      </c>
      <c r="CC87" s="59">
        <v>4696</v>
      </c>
      <c r="CD87" s="59">
        <v>3173.19</v>
      </c>
      <c r="CE87" s="59">
        <v>16</v>
      </c>
      <c r="CF87" s="59">
        <v>0</v>
      </c>
      <c r="CG87" s="59">
        <v>767.09</v>
      </c>
      <c r="CH87" s="59">
        <v>12</v>
      </c>
      <c r="CI87" s="59">
        <v>0</v>
      </c>
      <c r="CJ87" s="59">
        <v>3</v>
      </c>
      <c r="CK87" s="59">
        <v>1</v>
      </c>
      <c r="CL87" s="59">
        <v>0</v>
      </c>
      <c r="CM87" s="59">
        <v>44</v>
      </c>
      <c r="CN87" s="59">
        <v>1</v>
      </c>
      <c r="CO87" s="59">
        <v>315.83999999999997</v>
      </c>
      <c r="CP87" s="59">
        <v>3</v>
      </c>
      <c r="CQ87" s="59">
        <v>408.3</v>
      </c>
      <c r="CR87" s="59">
        <v>0</v>
      </c>
      <c r="CS87" s="59">
        <v>8</v>
      </c>
      <c r="CT87" s="59">
        <v>0</v>
      </c>
      <c r="CU87" s="59">
        <v>3</v>
      </c>
      <c r="CV87" s="59">
        <v>0</v>
      </c>
      <c r="CW87" s="59">
        <v>500</v>
      </c>
      <c r="CX87" s="59">
        <v>0</v>
      </c>
      <c r="CY87" s="59">
        <v>655.7</v>
      </c>
      <c r="CZ87" s="59">
        <v>0</v>
      </c>
      <c r="DA87" s="59">
        <v>0</v>
      </c>
      <c r="DB87" s="59">
        <v>0.24</v>
      </c>
      <c r="DC87" s="68">
        <v>151.80000000000001</v>
      </c>
    </row>
    <row r="88" spans="1:118">
      <c r="A88" s="48" t="s">
        <v>121</v>
      </c>
      <c r="B88" s="59">
        <v>221911.49</v>
      </c>
      <c r="C88" s="59">
        <v>131471.85</v>
      </c>
      <c r="D88" s="59">
        <v>7124.57</v>
      </c>
      <c r="E88" s="59">
        <v>25550.29</v>
      </c>
      <c r="F88" s="59">
        <v>10404.959999999999</v>
      </c>
      <c r="G88" s="59">
        <v>1420.07</v>
      </c>
      <c r="H88" s="59">
        <v>0</v>
      </c>
      <c r="I88" s="59">
        <v>170.75</v>
      </c>
      <c r="J88" s="59">
        <v>38194.9</v>
      </c>
      <c r="K88" s="59">
        <v>2086.79</v>
      </c>
      <c r="L88" s="59">
        <v>230.19</v>
      </c>
      <c r="M88" s="59">
        <v>658.49</v>
      </c>
      <c r="N88" s="59">
        <v>0</v>
      </c>
      <c r="O88" s="59">
        <v>137.74</v>
      </c>
      <c r="P88" s="59">
        <v>42.45</v>
      </c>
      <c r="Q88" s="59">
        <v>0</v>
      </c>
      <c r="R88" s="59">
        <v>1232.08</v>
      </c>
      <c r="S88" s="59">
        <v>1262.73</v>
      </c>
      <c r="T88" s="59">
        <v>84.91</v>
      </c>
      <c r="U88" s="59">
        <v>1082.1199999999999</v>
      </c>
      <c r="V88" s="59">
        <v>0</v>
      </c>
      <c r="W88" s="59">
        <v>0</v>
      </c>
      <c r="X88" s="59">
        <v>4253.54</v>
      </c>
      <c r="Y88" s="59">
        <v>0</v>
      </c>
      <c r="Z88" s="59">
        <v>7067.12</v>
      </c>
      <c r="AA88" s="59">
        <v>0</v>
      </c>
      <c r="AB88" s="59">
        <v>3274.48</v>
      </c>
      <c r="AC88" s="59">
        <v>6195.23</v>
      </c>
      <c r="AD88" s="59">
        <v>4739.17</v>
      </c>
      <c r="AE88" s="59">
        <v>20.75</v>
      </c>
      <c r="AF88" s="59">
        <v>694.34</v>
      </c>
      <c r="AG88" s="59">
        <v>2737.9</v>
      </c>
      <c r="AH88" s="59">
        <v>729.25</v>
      </c>
      <c r="AI88" s="59">
        <v>2963.08</v>
      </c>
      <c r="AJ88" s="59">
        <v>756.6</v>
      </c>
      <c r="AK88" s="59">
        <v>3892.77</v>
      </c>
      <c r="AL88" s="59">
        <v>5417.03</v>
      </c>
      <c r="AM88" s="59">
        <v>1095.1600000000001</v>
      </c>
      <c r="AN88" s="59">
        <v>0</v>
      </c>
      <c r="AO88" s="59">
        <v>21.7</v>
      </c>
      <c r="AP88" s="59">
        <v>836.79</v>
      </c>
      <c r="AQ88" s="59">
        <v>3949.5</v>
      </c>
      <c r="AR88" s="59">
        <v>2304.73</v>
      </c>
      <c r="AS88" s="59">
        <v>569.80999999999995</v>
      </c>
      <c r="AT88" s="59">
        <v>4341.3100000000004</v>
      </c>
      <c r="AU88" s="59">
        <v>3879.78</v>
      </c>
      <c r="AV88" s="59">
        <v>0</v>
      </c>
      <c r="AW88" s="59">
        <v>7828.39</v>
      </c>
      <c r="AX88" s="59">
        <v>2001.53</v>
      </c>
      <c r="AY88" s="59">
        <v>3499.22</v>
      </c>
      <c r="AZ88" s="59">
        <v>7312.82</v>
      </c>
      <c r="BA88" s="59">
        <v>4520.3100000000004</v>
      </c>
      <c r="BB88" s="59">
        <v>10232.43</v>
      </c>
      <c r="BC88" s="59">
        <v>6367.8</v>
      </c>
      <c r="BD88" s="59">
        <v>5402.83</v>
      </c>
      <c r="BE88" s="59">
        <v>3810</v>
      </c>
      <c r="BF88" s="59">
        <v>8085.78</v>
      </c>
      <c r="BG88" s="59">
        <v>4315.28</v>
      </c>
      <c r="BH88" s="59">
        <v>876.74</v>
      </c>
      <c r="BI88" s="59">
        <v>400</v>
      </c>
      <c r="BJ88" s="59">
        <v>2324.83</v>
      </c>
      <c r="BK88" s="59">
        <v>3289.5</v>
      </c>
      <c r="BL88" s="59">
        <v>0</v>
      </c>
      <c r="BM88" s="59">
        <v>0</v>
      </c>
      <c r="BN88" s="59">
        <v>2268.5500000000002</v>
      </c>
      <c r="BO88" s="59">
        <v>991.71</v>
      </c>
      <c r="BP88" s="59">
        <v>68</v>
      </c>
      <c r="BQ88" s="59">
        <v>25</v>
      </c>
      <c r="BR88" s="59">
        <v>0</v>
      </c>
      <c r="BS88" s="59">
        <v>1300</v>
      </c>
      <c r="BT88" s="59">
        <v>0</v>
      </c>
      <c r="BU88" s="59">
        <v>1584.64</v>
      </c>
      <c r="BV88" s="59">
        <v>53</v>
      </c>
      <c r="BW88" s="59">
        <v>15666.79</v>
      </c>
      <c r="BX88" s="59">
        <v>2700</v>
      </c>
      <c r="BY88" s="59">
        <v>0</v>
      </c>
      <c r="BZ88" s="59">
        <v>0</v>
      </c>
      <c r="CA88" s="59">
        <v>0</v>
      </c>
      <c r="CB88" s="59">
        <v>900</v>
      </c>
      <c r="CC88" s="59">
        <v>5535.04</v>
      </c>
      <c r="CD88" s="59">
        <v>3888.26</v>
      </c>
      <c r="CE88" s="59">
        <v>228</v>
      </c>
      <c r="CF88" s="59">
        <v>500</v>
      </c>
      <c r="CG88" s="59">
        <v>0</v>
      </c>
      <c r="CH88" s="59">
        <v>120</v>
      </c>
      <c r="CI88" s="59">
        <v>3190</v>
      </c>
      <c r="CJ88" s="59">
        <v>0</v>
      </c>
      <c r="CK88" s="59">
        <v>50</v>
      </c>
      <c r="CL88" s="59">
        <v>0</v>
      </c>
      <c r="CM88" s="59">
        <v>69</v>
      </c>
      <c r="CN88" s="59">
        <v>0</v>
      </c>
      <c r="CO88" s="59">
        <v>0</v>
      </c>
      <c r="CP88" s="59">
        <v>0</v>
      </c>
      <c r="CQ88" s="59">
        <v>114</v>
      </c>
      <c r="CR88" s="59">
        <v>70</v>
      </c>
      <c r="CS88" s="59">
        <v>171</v>
      </c>
      <c r="CT88" s="59">
        <v>0</v>
      </c>
      <c r="CU88" s="59">
        <v>100</v>
      </c>
      <c r="CV88" s="59">
        <v>0</v>
      </c>
      <c r="CW88" s="59">
        <v>0</v>
      </c>
      <c r="CX88" s="59">
        <v>700</v>
      </c>
      <c r="CY88" s="59">
        <v>2790</v>
      </c>
      <c r="CZ88" s="59">
        <v>208</v>
      </c>
      <c r="DA88" s="59">
        <v>0</v>
      </c>
      <c r="DB88" s="59">
        <v>1186.2</v>
      </c>
      <c r="DC88" s="68">
        <v>823.58</v>
      </c>
    </row>
    <row r="89" spans="1:118">
      <c r="A89" s="48" t="s">
        <v>122</v>
      </c>
      <c r="B89" s="59">
        <v>0</v>
      </c>
      <c r="C89" s="59">
        <v>0</v>
      </c>
      <c r="D89" s="59">
        <v>0</v>
      </c>
      <c r="E89" s="59">
        <v>0</v>
      </c>
      <c r="F89" s="59">
        <v>0</v>
      </c>
      <c r="G89" s="59">
        <v>0</v>
      </c>
      <c r="H89" s="59">
        <v>0</v>
      </c>
      <c r="I89" s="59">
        <v>0</v>
      </c>
      <c r="J89" s="59">
        <v>0</v>
      </c>
      <c r="K89" s="59">
        <v>0</v>
      </c>
      <c r="L89" s="59">
        <v>0</v>
      </c>
      <c r="M89" s="59">
        <v>0</v>
      </c>
      <c r="N89" s="59">
        <v>0</v>
      </c>
      <c r="O89" s="59">
        <v>0</v>
      </c>
      <c r="P89" s="59">
        <v>0</v>
      </c>
      <c r="Q89" s="59">
        <v>0</v>
      </c>
      <c r="R89" s="59">
        <v>0</v>
      </c>
      <c r="S89" s="59">
        <v>0</v>
      </c>
      <c r="T89" s="59">
        <v>0</v>
      </c>
      <c r="U89" s="59">
        <v>0</v>
      </c>
      <c r="V89" s="59">
        <v>0</v>
      </c>
      <c r="W89" s="59">
        <v>0</v>
      </c>
      <c r="X89" s="59">
        <v>0</v>
      </c>
      <c r="Y89" s="59">
        <v>0</v>
      </c>
      <c r="Z89" s="59">
        <v>0</v>
      </c>
      <c r="AA89" s="59">
        <v>0</v>
      </c>
      <c r="AB89" s="59">
        <v>0</v>
      </c>
      <c r="AC89" s="59">
        <v>0</v>
      </c>
      <c r="AD89" s="59">
        <v>0</v>
      </c>
      <c r="AE89" s="59">
        <v>0</v>
      </c>
      <c r="AF89" s="59">
        <v>0</v>
      </c>
      <c r="AG89" s="59">
        <v>0</v>
      </c>
      <c r="AH89" s="59">
        <v>0</v>
      </c>
      <c r="AI89" s="59">
        <v>0</v>
      </c>
      <c r="AJ89" s="59">
        <v>0</v>
      </c>
      <c r="AK89" s="59">
        <v>0</v>
      </c>
      <c r="AL89" s="59">
        <v>0</v>
      </c>
      <c r="AM89" s="59">
        <v>0</v>
      </c>
      <c r="AN89" s="59">
        <v>0</v>
      </c>
      <c r="AO89" s="59">
        <v>0</v>
      </c>
      <c r="AP89" s="59">
        <v>0</v>
      </c>
      <c r="AQ89" s="59">
        <v>0</v>
      </c>
      <c r="AR89" s="59">
        <v>0</v>
      </c>
      <c r="AS89" s="59">
        <v>0</v>
      </c>
      <c r="AT89" s="59">
        <v>0</v>
      </c>
      <c r="AU89" s="59">
        <v>0</v>
      </c>
      <c r="AV89" s="59">
        <v>0</v>
      </c>
      <c r="AW89" s="59">
        <v>0</v>
      </c>
      <c r="AX89" s="59">
        <v>0</v>
      </c>
      <c r="AY89" s="59">
        <v>0</v>
      </c>
      <c r="AZ89" s="59">
        <v>0</v>
      </c>
      <c r="BA89" s="59">
        <v>0</v>
      </c>
      <c r="BB89" s="59">
        <v>0</v>
      </c>
      <c r="BC89" s="59">
        <v>0</v>
      </c>
      <c r="BD89" s="59">
        <v>0</v>
      </c>
      <c r="BE89" s="59">
        <v>0</v>
      </c>
      <c r="BF89" s="59">
        <v>0</v>
      </c>
      <c r="BG89" s="59">
        <v>0</v>
      </c>
      <c r="BH89" s="59">
        <v>0</v>
      </c>
      <c r="BI89" s="59">
        <v>0</v>
      </c>
      <c r="BJ89" s="59">
        <v>0</v>
      </c>
      <c r="BK89" s="59">
        <v>0</v>
      </c>
      <c r="BL89" s="59">
        <v>0</v>
      </c>
      <c r="BM89" s="59">
        <v>0</v>
      </c>
      <c r="BN89" s="59">
        <v>0</v>
      </c>
      <c r="BO89" s="59">
        <v>0</v>
      </c>
      <c r="BP89" s="59">
        <v>0</v>
      </c>
      <c r="BQ89" s="59">
        <v>0</v>
      </c>
      <c r="BR89" s="59">
        <v>0</v>
      </c>
      <c r="BS89" s="59">
        <v>0</v>
      </c>
      <c r="BT89" s="59">
        <v>0</v>
      </c>
      <c r="BU89" s="59">
        <v>0</v>
      </c>
      <c r="BV89" s="59">
        <v>0</v>
      </c>
      <c r="BW89" s="59">
        <v>0</v>
      </c>
      <c r="BX89" s="59">
        <v>0</v>
      </c>
      <c r="BY89" s="59">
        <v>0</v>
      </c>
      <c r="BZ89" s="59">
        <v>0</v>
      </c>
      <c r="CA89" s="59">
        <v>0</v>
      </c>
      <c r="CB89" s="59">
        <v>0</v>
      </c>
      <c r="CC89" s="59">
        <v>0</v>
      </c>
      <c r="CD89" s="59">
        <v>0</v>
      </c>
      <c r="CE89" s="59">
        <v>0</v>
      </c>
      <c r="CF89" s="59">
        <v>0</v>
      </c>
      <c r="CG89" s="59">
        <v>0</v>
      </c>
      <c r="CH89" s="59">
        <v>0</v>
      </c>
      <c r="CI89" s="59">
        <v>0</v>
      </c>
      <c r="CJ89" s="59">
        <v>0</v>
      </c>
      <c r="CK89" s="59">
        <v>0</v>
      </c>
      <c r="CL89" s="59">
        <v>0</v>
      </c>
      <c r="CM89" s="59">
        <v>0</v>
      </c>
      <c r="CN89" s="59">
        <v>0</v>
      </c>
      <c r="CO89" s="59">
        <v>0</v>
      </c>
      <c r="CP89" s="59">
        <v>0</v>
      </c>
      <c r="CQ89" s="59">
        <v>0</v>
      </c>
      <c r="CR89" s="59">
        <v>0</v>
      </c>
      <c r="CS89" s="59">
        <v>0</v>
      </c>
      <c r="CT89" s="59">
        <v>0</v>
      </c>
      <c r="CU89" s="59">
        <v>0</v>
      </c>
      <c r="CV89" s="59">
        <v>0</v>
      </c>
      <c r="CW89" s="59">
        <v>0</v>
      </c>
      <c r="CX89" s="59">
        <v>0</v>
      </c>
      <c r="CY89" s="59">
        <v>0</v>
      </c>
      <c r="CZ89" s="59">
        <v>0</v>
      </c>
      <c r="DA89" s="59">
        <v>0</v>
      </c>
      <c r="DB89" s="59">
        <v>0</v>
      </c>
      <c r="DC89" s="68">
        <v>0</v>
      </c>
    </row>
    <row r="90" spans="1:118">
      <c r="A90" s="48" t="s">
        <v>123</v>
      </c>
      <c r="B90" s="59">
        <v>224732.38</v>
      </c>
      <c r="C90" s="59">
        <v>202299.05</v>
      </c>
      <c r="D90" s="59">
        <v>0</v>
      </c>
      <c r="E90" s="59">
        <v>-1825.4</v>
      </c>
      <c r="F90" s="59">
        <v>0</v>
      </c>
      <c r="G90" s="59">
        <v>0</v>
      </c>
      <c r="H90" s="59">
        <v>0</v>
      </c>
      <c r="I90" s="59">
        <v>0</v>
      </c>
      <c r="J90" s="59">
        <v>22433.33</v>
      </c>
      <c r="K90" s="59">
        <v>0</v>
      </c>
      <c r="L90" s="59">
        <v>0</v>
      </c>
      <c r="M90" s="59">
        <v>0</v>
      </c>
      <c r="N90" s="59">
        <v>0</v>
      </c>
      <c r="O90" s="59">
        <v>0</v>
      </c>
      <c r="P90" s="59">
        <v>0</v>
      </c>
      <c r="Q90" s="59">
        <v>0</v>
      </c>
      <c r="R90" s="59">
        <v>0</v>
      </c>
      <c r="S90" s="59">
        <v>0</v>
      </c>
      <c r="T90" s="59">
        <v>0</v>
      </c>
      <c r="U90" s="59">
        <v>0</v>
      </c>
      <c r="V90" s="59">
        <v>0</v>
      </c>
      <c r="W90" s="59">
        <v>0</v>
      </c>
      <c r="X90" s="59">
        <v>-9127</v>
      </c>
      <c r="Y90" s="59">
        <v>0</v>
      </c>
      <c r="Z90" s="59">
        <v>1825.4</v>
      </c>
      <c r="AA90" s="59">
        <v>0</v>
      </c>
      <c r="AB90" s="59">
        <v>1825.4</v>
      </c>
      <c r="AC90" s="59">
        <v>1825.4</v>
      </c>
      <c r="AD90" s="59">
        <v>1825.4</v>
      </c>
      <c r="AE90" s="59">
        <v>0</v>
      </c>
      <c r="AF90" s="59">
        <v>0</v>
      </c>
      <c r="AG90" s="59">
        <v>0</v>
      </c>
      <c r="AH90" s="59">
        <v>0</v>
      </c>
      <c r="AI90" s="59">
        <v>0</v>
      </c>
      <c r="AJ90" s="59">
        <v>1825.4</v>
      </c>
      <c r="AK90" s="59">
        <v>0</v>
      </c>
      <c r="AL90" s="59">
        <v>0</v>
      </c>
      <c r="AM90" s="59">
        <v>0</v>
      </c>
      <c r="AN90" s="59">
        <v>0</v>
      </c>
      <c r="AO90" s="59">
        <v>0</v>
      </c>
      <c r="AP90" s="59">
        <v>0</v>
      </c>
      <c r="AQ90" s="59">
        <v>0</v>
      </c>
      <c r="AR90" s="59">
        <v>0</v>
      </c>
      <c r="AS90" s="59">
        <v>0</v>
      </c>
      <c r="AT90" s="59">
        <v>9180.65</v>
      </c>
      <c r="AU90" s="59">
        <v>658</v>
      </c>
      <c r="AV90" s="59">
        <v>3468</v>
      </c>
      <c r="AW90" s="59">
        <v>24876.14</v>
      </c>
      <c r="AX90" s="59">
        <v>7848.57</v>
      </c>
      <c r="AY90" s="59">
        <v>10723.39</v>
      </c>
      <c r="AZ90" s="59">
        <v>5238.66</v>
      </c>
      <c r="BA90" s="59">
        <v>1569</v>
      </c>
      <c r="BB90" s="59">
        <v>1182</v>
      </c>
      <c r="BC90" s="59">
        <v>14746</v>
      </c>
      <c r="BD90" s="59">
        <v>17161.91</v>
      </c>
      <c r="BE90" s="59">
        <v>13001.67</v>
      </c>
      <c r="BF90" s="59">
        <v>25290</v>
      </c>
      <c r="BG90" s="59">
        <v>47</v>
      </c>
      <c r="BH90" s="59">
        <v>4234.4799999999996</v>
      </c>
      <c r="BI90" s="59">
        <v>215</v>
      </c>
      <c r="BJ90" s="59">
        <v>386</v>
      </c>
      <c r="BK90" s="59">
        <v>17412</v>
      </c>
      <c r="BL90" s="59">
        <v>1395</v>
      </c>
      <c r="BM90" s="59">
        <v>968</v>
      </c>
      <c r="BN90" s="59">
        <v>574</v>
      </c>
      <c r="BO90" s="59">
        <v>539</v>
      </c>
      <c r="BP90" s="59">
        <v>1115</v>
      </c>
      <c r="BQ90" s="59">
        <v>218</v>
      </c>
      <c r="BR90" s="59">
        <v>385</v>
      </c>
      <c r="BS90" s="59">
        <v>365</v>
      </c>
      <c r="BT90" s="59">
        <v>372</v>
      </c>
      <c r="BU90" s="59">
        <v>1596</v>
      </c>
      <c r="BV90" s="59">
        <v>951</v>
      </c>
      <c r="BW90" s="59">
        <v>3143</v>
      </c>
      <c r="BX90" s="59">
        <v>163</v>
      </c>
      <c r="BY90" s="59">
        <v>7389</v>
      </c>
      <c r="BZ90" s="59">
        <v>162</v>
      </c>
      <c r="CA90" s="59">
        <v>495</v>
      </c>
      <c r="CB90" s="59">
        <v>430</v>
      </c>
      <c r="CC90" s="59">
        <v>4065.58</v>
      </c>
      <c r="CD90" s="59">
        <v>18500</v>
      </c>
      <c r="CE90" s="59">
        <v>542</v>
      </c>
      <c r="CF90" s="59">
        <v>16</v>
      </c>
      <c r="CG90" s="59">
        <v>3</v>
      </c>
      <c r="CH90" s="59">
        <v>103</v>
      </c>
      <c r="CI90" s="59">
        <v>111</v>
      </c>
      <c r="CJ90" s="59">
        <v>116</v>
      </c>
      <c r="CK90" s="59">
        <v>57</v>
      </c>
      <c r="CL90" s="59">
        <v>98</v>
      </c>
      <c r="CM90" s="59">
        <v>30</v>
      </c>
      <c r="CN90" s="59">
        <v>241</v>
      </c>
      <c r="CO90" s="59">
        <v>103</v>
      </c>
      <c r="CP90" s="59">
        <v>331</v>
      </c>
      <c r="CQ90" s="59">
        <v>134</v>
      </c>
      <c r="CR90" s="59">
        <v>25</v>
      </c>
      <c r="CS90" s="59">
        <v>48</v>
      </c>
      <c r="CT90" s="59">
        <v>20</v>
      </c>
      <c r="CU90" s="59">
        <v>34</v>
      </c>
      <c r="CV90" s="59">
        <v>15</v>
      </c>
      <c r="CW90" s="59">
        <v>0</v>
      </c>
      <c r="CX90" s="59">
        <v>74</v>
      </c>
      <c r="CY90" s="59">
        <v>10</v>
      </c>
      <c r="CZ90" s="59">
        <v>8</v>
      </c>
      <c r="DA90" s="59">
        <v>0</v>
      </c>
      <c r="DB90" s="59">
        <v>102</v>
      </c>
      <c r="DC90" s="68">
        <v>14</v>
      </c>
    </row>
    <row r="91" spans="1:118">
      <c r="A91" s="48" t="s">
        <v>124</v>
      </c>
      <c r="B91" s="59">
        <v>0</v>
      </c>
      <c r="C91" s="59">
        <v>0</v>
      </c>
      <c r="D91" s="59">
        <v>0</v>
      </c>
      <c r="E91" s="59">
        <v>0</v>
      </c>
      <c r="F91" s="59">
        <v>0</v>
      </c>
      <c r="G91" s="59">
        <v>0</v>
      </c>
      <c r="H91" s="59">
        <v>0</v>
      </c>
      <c r="I91" s="59">
        <v>0</v>
      </c>
      <c r="J91" s="59">
        <v>0</v>
      </c>
      <c r="K91" s="59">
        <v>0</v>
      </c>
      <c r="L91" s="59">
        <v>0</v>
      </c>
      <c r="M91" s="59">
        <v>0</v>
      </c>
      <c r="N91" s="59">
        <v>0</v>
      </c>
      <c r="O91" s="59">
        <v>0</v>
      </c>
      <c r="P91" s="59">
        <v>0</v>
      </c>
      <c r="Q91" s="59">
        <v>0</v>
      </c>
      <c r="R91" s="59">
        <v>0</v>
      </c>
      <c r="S91" s="59">
        <v>0</v>
      </c>
      <c r="T91" s="59">
        <v>0</v>
      </c>
      <c r="U91" s="59">
        <v>0</v>
      </c>
      <c r="V91" s="59">
        <v>0</v>
      </c>
      <c r="W91" s="59">
        <v>0</v>
      </c>
      <c r="X91" s="59">
        <v>0</v>
      </c>
      <c r="Y91" s="59">
        <v>0</v>
      </c>
      <c r="Z91" s="59">
        <v>0</v>
      </c>
      <c r="AA91" s="59">
        <v>0</v>
      </c>
      <c r="AB91" s="59">
        <v>0</v>
      </c>
      <c r="AC91" s="59">
        <v>0</v>
      </c>
      <c r="AD91" s="59">
        <v>0</v>
      </c>
      <c r="AE91" s="59">
        <v>0</v>
      </c>
      <c r="AF91" s="59">
        <v>0</v>
      </c>
      <c r="AG91" s="59">
        <v>0</v>
      </c>
      <c r="AH91" s="59">
        <v>0</v>
      </c>
      <c r="AI91" s="59">
        <v>0</v>
      </c>
      <c r="AJ91" s="59">
        <v>0</v>
      </c>
      <c r="AK91" s="59">
        <v>0</v>
      </c>
      <c r="AL91" s="59">
        <v>0</v>
      </c>
      <c r="AM91" s="59">
        <v>0</v>
      </c>
      <c r="AN91" s="59">
        <v>0</v>
      </c>
      <c r="AO91" s="59">
        <v>0</v>
      </c>
      <c r="AP91" s="59">
        <v>0</v>
      </c>
      <c r="AQ91" s="59">
        <v>0</v>
      </c>
      <c r="AR91" s="59">
        <v>0</v>
      </c>
      <c r="AS91" s="59">
        <v>0</v>
      </c>
      <c r="AT91" s="59">
        <v>0</v>
      </c>
      <c r="AU91" s="59">
        <v>0</v>
      </c>
      <c r="AV91" s="59">
        <v>0</v>
      </c>
      <c r="AW91" s="59">
        <v>0</v>
      </c>
      <c r="AX91" s="59">
        <v>0</v>
      </c>
      <c r="AY91" s="59">
        <v>0</v>
      </c>
      <c r="AZ91" s="59">
        <v>0</v>
      </c>
      <c r="BA91" s="59">
        <v>0</v>
      </c>
      <c r="BB91" s="59">
        <v>0</v>
      </c>
      <c r="BC91" s="59">
        <v>0</v>
      </c>
      <c r="BD91" s="59">
        <v>0</v>
      </c>
      <c r="BE91" s="59">
        <v>0</v>
      </c>
      <c r="BF91" s="59">
        <v>0</v>
      </c>
      <c r="BG91" s="59">
        <v>0</v>
      </c>
      <c r="BH91" s="59">
        <v>0</v>
      </c>
      <c r="BI91" s="59">
        <v>0</v>
      </c>
      <c r="BJ91" s="59">
        <v>0</v>
      </c>
      <c r="BK91" s="59">
        <v>0</v>
      </c>
      <c r="BL91" s="59">
        <v>0</v>
      </c>
      <c r="BM91" s="59">
        <v>0</v>
      </c>
      <c r="BN91" s="59">
        <v>0</v>
      </c>
      <c r="BO91" s="59">
        <v>0</v>
      </c>
      <c r="BP91" s="59">
        <v>0</v>
      </c>
      <c r="BQ91" s="59">
        <v>0</v>
      </c>
      <c r="BR91" s="59">
        <v>0</v>
      </c>
      <c r="BS91" s="59">
        <v>0</v>
      </c>
      <c r="BT91" s="59">
        <v>0</v>
      </c>
      <c r="BU91" s="59">
        <v>0</v>
      </c>
      <c r="BV91" s="59">
        <v>0</v>
      </c>
      <c r="BW91" s="59">
        <v>0</v>
      </c>
      <c r="BX91" s="59">
        <v>0</v>
      </c>
      <c r="BY91" s="59">
        <v>0</v>
      </c>
      <c r="BZ91" s="59">
        <v>0</v>
      </c>
      <c r="CA91" s="59">
        <v>0</v>
      </c>
      <c r="CB91" s="59">
        <v>0</v>
      </c>
      <c r="CC91" s="59">
        <v>0</v>
      </c>
      <c r="CD91" s="59">
        <v>0</v>
      </c>
      <c r="CE91" s="59">
        <v>0</v>
      </c>
      <c r="CF91" s="59">
        <v>0</v>
      </c>
      <c r="CG91" s="59">
        <v>0</v>
      </c>
      <c r="CH91" s="59">
        <v>0</v>
      </c>
      <c r="CI91" s="59">
        <v>0</v>
      </c>
      <c r="CJ91" s="59">
        <v>0</v>
      </c>
      <c r="CK91" s="59">
        <v>0</v>
      </c>
      <c r="CL91" s="59">
        <v>0</v>
      </c>
      <c r="CM91" s="59">
        <v>0</v>
      </c>
      <c r="CN91" s="59">
        <v>0</v>
      </c>
      <c r="CO91" s="59">
        <v>0</v>
      </c>
      <c r="CP91" s="59">
        <v>0</v>
      </c>
      <c r="CQ91" s="59">
        <v>0</v>
      </c>
      <c r="CR91" s="59">
        <v>0</v>
      </c>
      <c r="CS91" s="59">
        <v>0</v>
      </c>
      <c r="CT91" s="59">
        <v>0</v>
      </c>
      <c r="CU91" s="59">
        <v>0</v>
      </c>
      <c r="CV91" s="59">
        <v>0</v>
      </c>
      <c r="CW91" s="59">
        <v>0</v>
      </c>
      <c r="CX91" s="59">
        <v>0</v>
      </c>
      <c r="CY91" s="59">
        <v>0</v>
      </c>
      <c r="CZ91" s="59">
        <v>0</v>
      </c>
      <c r="DA91" s="59">
        <v>0</v>
      </c>
      <c r="DB91" s="59">
        <v>0</v>
      </c>
      <c r="DC91" s="68">
        <v>0</v>
      </c>
    </row>
    <row r="92" spans="1:118">
      <c r="A92" s="48" t="s">
        <v>125</v>
      </c>
      <c r="B92" s="59">
        <v>68929.820000000007</v>
      </c>
      <c r="C92" s="59">
        <v>64279.82</v>
      </c>
      <c r="D92" s="59">
        <v>2760</v>
      </c>
      <c r="E92" s="59">
        <v>0</v>
      </c>
      <c r="F92" s="59">
        <v>300</v>
      </c>
      <c r="G92" s="59">
        <v>0</v>
      </c>
      <c r="H92" s="59">
        <v>0</v>
      </c>
      <c r="I92" s="59">
        <v>0</v>
      </c>
      <c r="J92" s="59">
        <v>1590</v>
      </c>
      <c r="K92" s="59">
        <v>0</v>
      </c>
      <c r="L92" s="59">
        <v>0</v>
      </c>
      <c r="M92" s="59">
        <v>0</v>
      </c>
      <c r="N92" s="59">
        <v>0</v>
      </c>
      <c r="O92" s="59">
        <v>0</v>
      </c>
      <c r="P92" s="59">
        <v>0</v>
      </c>
      <c r="Q92" s="59">
        <v>0</v>
      </c>
      <c r="R92" s="59">
        <v>0</v>
      </c>
      <c r="S92" s="59">
        <v>0</v>
      </c>
      <c r="T92" s="59">
        <v>0</v>
      </c>
      <c r="U92" s="59">
        <v>0</v>
      </c>
      <c r="V92" s="59">
        <v>0</v>
      </c>
      <c r="W92" s="59">
        <v>0</v>
      </c>
      <c r="X92" s="59">
        <v>0</v>
      </c>
      <c r="Y92" s="59">
        <v>0</v>
      </c>
      <c r="Z92" s="59">
        <v>0</v>
      </c>
      <c r="AA92" s="59">
        <v>0</v>
      </c>
      <c r="AB92" s="59">
        <v>0</v>
      </c>
      <c r="AC92" s="59">
        <v>0</v>
      </c>
      <c r="AD92" s="59">
        <v>0</v>
      </c>
      <c r="AE92" s="59">
        <v>0</v>
      </c>
      <c r="AF92" s="59">
        <v>2760</v>
      </c>
      <c r="AG92" s="59">
        <v>0</v>
      </c>
      <c r="AH92" s="59">
        <v>0</v>
      </c>
      <c r="AI92" s="59">
        <v>0</v>
      </c>
      <c r="AJ92" s="59">
        <v>0</v>
      </c>
      <c r="AK92" s="59">
        <v>0</v>
      </c>
      <c r="AL92" s="59">
        <v>300</v>
      </c>
      <c r="AM92" s="59">
        <v>0</v>
      </c>
      <c r="AN92" s="59">
        <v>0</v>
      </c>
      <c r="AO92" s="59">
        <v>0</v>
      </c>
      <c r="AP92" s="59">
        <v>0</v>
      </c>
      <c r="AQ92" s="59">
        <v>0</v>
      </c>
      <c r="AR92" s="59">
        <v>0</v>
      </c>
      <c r="AS92" s="59">
        <v>0</v>
      </c>
      <c r="AT92" s="59">
        <v>19197.09</v>
      </c>
      <c r="AU92" s="59">
        <v>0</v>
      </c>
      <c r="AV92" s="59">
        <v>0</v>
      </c>
      <c r="AW92" s="59">
        <v>0</v>
      </c>
      <c r="AX92" s="59">
        <v>10513.73</v>
      </c>
      <c r="AY92" s="59">
        <v>0</v>
      </c>
      <c r="AZ92" s="59">
        <v>0</v>
      </c>
      <c r="BA92" s="59">
        <v>630</v>
      </c>
      <c r="BB92" s="59">
        <v>0</v>
      </c>
      <c r="BC92" s="59">
        <v>0</v>
      </c>
      <c r="BD92" s="59">
        <v>16863</v>
      </c>
      <c r="BE92" s="59">
        <v>0</v>
      </c>
      <c r="BF92" s="59">
        <v>0</v>
      </c>
      <c r="BG92" s="59">
        <v>0</v>
      </c>
      <c r="BH92" s="59">
        <v>850</v>
      </c>
      <c r="BI92" s="59">
        <v>0</v>
      </c>
      <c r="BJ92" s="59">
        <v>0</v>
      </c>
      <c r="BK92" s="59">
        <v>0</v>
      </c>
      <c r="BL92" s="59">
        <v>0</v>
      </c>
      <c r="BM92" s="59">
        <v>0</v>
      </c>
      <c r="BN92" s="59">
        <v>0</v>
      </c>
      <c r="BO92" s="59">
        <v>0</v>
      </c>
      <c r="BP92" s="59">
        <v>0</v>
      </c>
      <c r="BQ92" s="59">
        <v>0</v>
      </c>
      <c r="BR92" s="59">
        <v>0</v>
      </c>
      <c r="BS92" s="59">
        <v>0</v>
      </c>
      <c r="BT92" s="59">
        <v>0</v>
      </c>
      <c r="BU92" s="59">
        <v>0</v>
      </c>
      <c r="BV92" s="59">
        <v>0</v>
      </c>
      <c r="BW92" s="59">
        <v>6900</v>
      </c>
      <c r="BX92" s="59">
        <v>0</v>
      </c>
      <c r="BY92" s="59">
        <v>2800</v>
      </c>
      <c r="BZ92" s="59">
        <v>0</v>
      </c>
      <c r="CA92" s="59">
        <v>0</v>
      </c>
      <c r="CB92" s="59">
        <v>0</v>
      </c>
      <c r="CC92" s="59">
        <v>0</v>
      </c>
      <c r="CD92" s="59">
        <v>0</v>
      </c>
      <c r="CE92" s="59">
        <v>0</v>
      </c>
      <c r="CF92" s="59">
        <v>0</v>
      </c>
      <c r="CG92" s="59">
        <v>0</v>
      </c>
      <c r="CH92" s="59">
        <v>0</v>
      </c>
      <c r="CI92" s="59">
        <v>0</v>
      </c>
      <c r="CJ92" s="59">
        <v>0</v>
      </c>
      <c r="CK92" s="59">
        <v>0</v>
      </c>
      <c r="CL92" s="59">
        <v>0</v>
      </c>
      <c r="CM92" s="59">
        <v>0</v>
      </c>
      <c r="CN92" s="59">
        <v>0</v>
      </c>
      <c r="CO92" s="59">
        <v>0</v>
      </c>
      <c r="CP92" s="59">
        <v>0</v>
      </c>
      <c r="CQ92" s="59">
        <v>0</v>
      </c>
      <c r="CR92" s="59">
        <v>0</v>
      </c>
      <c r="CS92" s="59">
        <v>0</v>
      </c>
      <c r="CT92" s="59">
        <v>0</v>
      </c>
      <c r="CU92" s="59">
        <v>0</v>
      </c>
      <c r="CV92" s="59">
        <v>0</v>
      </c>
      <c r="CW92" s="59">
        <v>0</v>
      </c>
      <c r="CX92" s="59">
        <v>0</v>
      </c>
      <c r="CY92" s="59">
        <v>0</v>
      </c>
      <c r="CZ92" s="59">
        <v>6526</v>
      </c>
      <c r="DA92" s="59">
        <v>0</v>
      </c>
      <c r="DB92" s="59">
        <v>0</v>
      </c>
      <c r="DC92" s="68">
        <v>0</v>
      </c>
    </row>
    <row r="93" spans="1:118">
      <c r="A93" s="48" t="s">
        <v>126</v>
      </c>
      <c r="B93" s="59">
        <v>378000</v>
      </c>
      <c r="C93" s="59">
        <v>28000</v>
      </c>
      <c r="D93" s="59">
        <v>0</v>
      </c>
      <c r="E93" s="59">
        <v>0</v>
      </c>
      <c r="F93" s="59">
        <v>0</v>
      </c>
      <c r="G93" s="59">
        <v>0</v>
      </c>
      <c r="H93" s="59">
        <v>973217</v>
      </c>
      <c r="I93" s="59">
        <v>0</v>
      </c>
      <c r="J93" s="59">
        <v>-623217</v>
      </c>
      <c r="K93" s="59">
        <v>0</v>
      </c>
      <c r="L93" s="59">
        <v>0</v>
      </c>
      <c r="M93" s="59">
        <v>0</v>
      </c>
      <c r="N93" s="59">
        <v>0</v>
      </c>
      <c r="O93" s="59">
        <v>0</v>
      </c>
      <c r="P93" s="59">
        <v>0</v>
      </c>
      <c r="Q93" s="59">
        <v>0</v>
      </c>
      <c r="R93" s="59">
        <v>0</v>
      </c>
      <c r="S93" s="59">
        <v>0</v>
      </c>
      <c r="T93" s="59">
        <v>0</v>
      </c>
      <c r="U93" s="59">
        <v>0</v>
      </c>
      <c r="V93" s="59">
        <v>0</v>
      </c>
      <c r="W93" s="59">
        <v>0</v>
      </c>
      <c r="X93" s="59">
        <v>0</v>
      </c>
      <c r="Y93" s="59">
        <v>0</v>
      </c>
      <c r="Z93" s="59">
        <v>0</v>
      </c>
      <c r="AA93" s="59">
        <v>0</v>
      </c>
      <c r="AB93" s="59">
        <v>0</v>
      </c>
      <c r="AC93" s="59">
        <v>0</v>
      </c>
      <c r="AD93" s="59">
        <v>0</v>
      </c>
      <c r="AE93" s="59">
        <v>0</v>
      </c>
      <c r="AF93" s="59">
        <v>0</v>
      </c>
      <c r="AG93" s="59">
        <v>0</v>
      </c>
      <c r="AH93" s="59">
        <v>0</v>
      </c>
      <c r="AI93" s="59">
        <v>0</v>
      </c>
      <c r="AJ93" s="59">
        <v>0</v>
      </c>
      <c r="AK93" s="59">
        <v>0</v>
      </c>
      <c r="AL93" s="59">
        <v>0</v>
      </c>
      <c r="AM93" s="59">
        <v>0</v>
      </c>
      <c r="AN93" s="59">
        <v>0</v>
      </c>
      <c r="AO93" s="59">
        <v>0</v>
      </c>
      <c r="AP93" s="59">
        <v>0</v>
      </c>
      <c r="AQ93" s="59">
        <v>0</v>
      </c>
      <c r="AR93" s="59">
        <v>0</v>
      </c>
      <c r="AS93" s="59">
        <v>0</v>
      </c>
      <c r="AT93" s="59">
        <v>0</v>
      </c>
      <c r="AU93" s="59">
        <v>0</v>
      </c>
      <c r="AV93" s="59">
        <v>0</v>
      </c>
      <c r="AW93" s="59">
        <v>0</v>
      </c>
      <c r="AX93" s="59">
        <v>0</v>
      </c>
      <c r="AY93" s="59">
        <v>0</v>
      </c>
      <c r="AZ93" s="59">
        <v>0</v>
      </c>
      <c r="BA93" s="59">
        <v>0</v>
      </c>
      <c r="BB93" s="59">
        <v>8000</v>
      </c>
      <c r="BC93" s="59">
        <v>0</v>
      </c>
      <c r="BD93" s="59">
        <v>0</v>
      </c>
      <c r="BE93" s="59">
        <v>0</v>
      </c>
      <c r="BF93" s="59">
        <v>0</v>
      </c>
      <c r="BG93" s="59">
        <v>0</v>
      </c>
      <c r="BH93" s="59">
        <v>0</v>
      </c>
      <c r="BI93" s="59">
        <v>0</v>
      </c>
      <c r="BJ93" s="59">
        <v>0</v>
      </c>
      <c r="BK93" s="59">
        <v>0</v>
      </c>
      <c r="BL93" s="59">
        <v>0</v>
      </c>
      <c r="BM93" s="59">
        <v>0</v>
      </c>
      <c r="BN93" s="59">
        <v>0</v>
      </c>
      <c r="BO93" s="59">
        <v>0</v>
      </c>
      <c r="BP93" s="59">
        <v>0</v>
      </c>
      <c r="BQ93" s="59">
        <v>0</v>
      </c>
      <c r="BR93" s="59">
        <v>0</v>
      </c>
      <c r="BS93" s="59">
        <v>0</v>
      </c>
      <c r="BT93" s="59">
        <v>0</v>
      </c>
      <c r="BU93" s="59">
        <v>0</v>
      </c>
      <c r="BV93" s="59">
        <v>0</v>
      </c>
      <c r="BW93" s="59">
        <v>0</v>
      </c>
      <c r="BX93" s="59">
        <v>0</v>
      </c>
      <c r="BY93" s="59">
        <v>0</v>
      </c>
      <c r="BZ93" s="59">
        <v>0</v>
      </c>
      <c r="CA93" s="59">
        <v>0</v>
      </c>
      <c r="CB93" s="59">
        <v>0</v>
      </c>
      <c r="CC93" s="59">
        <v>0</v>
      </c>
      <c r="CD93" s="59">
        <v>0</v>
      </c>
      <c r="CE93" s="59">
        <v>0</v>
      </c>
      <c r="CF93" s="59">
        <v>0</v>
      </c>
      <c r="CG93" s="59">
        <v>0</v>
      </c>
      <c r="CH93" s="59">
        <v>0</v>
      </c>
      <c r="CI93" s="59">
        <v>0</v>
      </c>
      <c r="CJ93" s="59">
        <v>0</v>
      </c>
      <c r="CK93" s="59">
        <v>0</v>
      </c>
      <c r="CL93" s="59">
        <v>0</v>
      </c>
      <c r="CM93" s="59">
        <v>0</v>
      </c>
      <c r="CN93" s="59">
        <v>0</v>
      </c>
      <c r="CO93" s="59">
        <v>0</v>
      </c>
      <c r="CP93" s="59">
        <v>0</v>
      </c>
      <c r="CQ93" s="59">
        <v>0</v>
      </c>
      <c r="CR93" s="59">
        <v>0</v>
      </c>
      <c r="CS93" s="59">
        <v>0</v>
      </c>
      <c r="CT93" s="59">
        <v>0</v>
      </c>
      <c r="CU93" s="59">
        <v>0</v>
      </c>
      <c r="CV93" s="59">
        <v>0</v>
      </c>
      <c r="CW93" s="59">
        <v>0</v>
      </c>
      <c r="CX93" s="59">
        <v>20000</v>
      </c>
      <c r="CY93" s="59">
        <v>0</v>
      </c>
      <c r="CZ93" s="59">
        <v>0</v>
      </c>
      <c r="DA93" s="59">
        <v>0</v>
      </c>
      <c r="DB93" s="59">
        <v>0</v>
      </c>
      <c r="DC93" s="68">
        <v>0</v>
      </c>
    </row>
    <row r="94" spans="1:118">
      <c r="A94" s="48" t="s">
        <v>127</v>
      </c>
      <c r="B94" s="59">
        <v>0</v>
      </c>
      <c r="C94" s="59">
        <v>0</v>
      </c>
      <c r="D94" s="59">
        <v>0</v>
      </c>
      <c r="E94" s="59">
        <v>0</v>
      </c>
      <c r="F94" s="59">
        <v>0</v>
      </c>
      <c r="G94" s="59">
        <v>0</v>
      </c>
      <c r="H94" s="59">
        <v>0</v>
      </c>
      <c r="I94" s="59">
        <v>0</v>
      </c>
      <c r="J94" s="59">
        <v>0</v>
      </c>
      <c r="K94" s="59">
        <v>0</v>
      </c>
      <c r="L94" s="59">
        <v>0</v>
      </c>
      <c r="M94" s="59">
        <v>0</v>
      </c>
      <c r="N94" s="59">
        <v>0</v>
      </c>
      <c r="O94" s="59">
        <v>0</v>
      </c>
      <c r="P94" s="59">
        <v>0</v>
      </c>
      <c r="Q94" s="59">
        <v>0</v>
      </c>
      <c r="R94" s="59">
        <v>0</v>
      </c>
      <c r="S94" s="59">
        <v>0</v>
      </c>
      <c r="T94" s="59">
        <v>0</v>
      </c>
      <c r="U94" s="59">
        <v>0</v>
      </c>
      <c r="V94" s="59">
        <v>0</v>
      </c>
      <c r="W94" s="59">
        <v>0</v>
      </c>
      <c r="X94" s="59">
        <v>0</v>
      </c>
      <c r="Y94" s="59">
        <v>0</v>
      </c>
      <c r="Z94" s="59">
        <v>0</v>
      </c>
      <c r="AA94" s="59">
        <v>0</v>
      </c>
      <c r="AB94" s="59">
        <v>0</v>
      </c>
      <c r="AC94" s="59">
        <v>0</v>
      </c>
      <c r="AD94" s="59">
        <v>0</v>
      </c>
      <c r="AE94" s="59">
        <v>0</v>
      </c>
      <c r="AF94" s="59">
        <v>0</v>
      </c>
      <c r="AG94" s="59">
        <v>0</v>
      </c>
      <c r="AH94" s="59">
        <v>0</v>
      </c>
      <c r="AI94" s="59">
        <v>0</v>
      </c>
      <c r="AJ94" s="59">
        <v>0</v>
      </c>
      <c r="AK94" s="59">
        <v>0</v>
      </c>
      <c r="AL94" s="59">
        <v>0</v>
      </c>
      <c r="AM94" s="59">
        <v>0</v>
      </c>
      <c r="AN94" s="59">
        <v>0</v>
      </c>
      <c r="AO94" s="59">
        <v>0</v>
      </c>
      <c r="AP94" s="59">
        <v>0</v>
      </c>
      <c r="AQ94" s="59">
        <v>0</v>
      </c>
      <c r="AR94" s="59">
        <v>0</v>
      </c>
      <c r="AS94" s="59">
        <v>0</v>
      </c>
      <c r="AT94" s="59">
        <v>0</v>
      </c>
      <c r="AU94" s="59">
        <v>0</v>
      </c>
      <c r="AV94" s="59">
        <v>0</v>
      </c>
      <c r="AW94" s="59">
        <v>0</v>
      </c>
      <c r="AX94" s="59">
        <v>0</v>
      </c>
      <c r="AY94" s="59">
        <v>0</v>
      </c>
      <c r="AZ94" s="59">
        <v>0</v>
      </c>
      <c r="BA94" s="59">
        <v>0</v>
      </c>
      <c r="BB94" s="59">
        <v>0</v>
      </c>
      <c r="BC94" s="59">
        <v>0</v>
      </c>
      <c r="BD94" s="59">
        <v>0</v>
      </c>
      <c r="BE94" s="59">
        <v>0</v>
      </c>
      <c r="BF94" s="59">
        <v>0</v>
      </c>
      <c r="BG94" s="59">
        <v>0</v>
      </c>
      <c r="BH94" s="59">
        <v>0</v>
      </c>
      <c r="BI94" s="59">
        <v>0</v>
      </c>
      <c r="BJ94" s="59">
        <v>0</v>
      </c>
      <c r="BK94" s="59">
        <v>0</v>
      </c>
      <c r="BL94" s="59">
        <v>0</v>
      </c>
      <c r="BM94" s="59">
        <v>0</v>
      </c>
      <c r="BN94" s="59">
        <v>0</v>
      </c>
      <c r="BO94" s="59">
        <v>0</v>
      </c>
      <c r="BP94" s="59">
        <v>0</v>
      </c>
      <c r="BQ94" s="59">
        <v>0</v>
      </c>
      <c r="BR94" s="59">
        <v>0</v>
      </c>
      <c r="BS94" s="59">
        <v>0</v>
      </c>
      <c r="BT94" s="59">
        <v>0</v>
      </c>
      <c r="BU94" s="59">
        <v>0</v>
      </c>
      <c r="BV94" s="59">
        <v>0</v>
      </c>
      <c r="BW94" s="59">
        <v>0</v>
      </c>
      <c r="BX94" s="59">
        <v>0</v>
      </c>
      <c r="BY94" s="59">
        <v>0</v>
      </c>
      <c r="BZ94" s="59">
        <v>0</v>
      </c>
      <c r="CA94" s="59">
        <v>0</v>
      </c>
      <c r="CB94" s="59">
        <v>0</v>
      </c>
      <c r="CC94" s="59">
        <v>0</v>
      </c>
      <c r="CD94" s="59">
        <v>0</v>
      </c>
      <c r="CE94" s="59">
        <v>0</v>
      </c>
      <c r="CF94" s="59">
        <v>0</v>
      </c>
      <c r="CG94" s="59">
        <v>0</v>
      </c>
      <c r="CH94" s="59">
        <v>0</v>
      </c>
      <c r="CI94" s="59">
        <v>0</v>
      </c>
      <c r="CJ94" s="59">
        <v>0</v>
      </c>
      <c r="CK94" s="59">
        <v>0</v>
      </c>
      <c r="CL94" s="59">
        <v>0</v>
      </c>
      <c r="CM94" s="59">
        <v>0</v>
      </c>
      <c r="CN94" s="59">
        <v>0</v>
      </c>
      <c r="CO94" s="59">
        <v>0</v>
      </c>
      <c r="CP94" s="59">
        <v>0</v>
      </c>
      <c r="CQ94" s="59">
        <v>0</v>
      </c>
      <c r="CR94" s="59">
        <v>0</v>
      </c>
      <c r="CS94" s="59">
        <v>0</v>
      </c>
      <c r="CT94" s="59">
        <v>0</v>
      </c>
      <c r="CU94" s="59">
        <v>0</v>
      </c>
      <c r="CV94" s="59">
        <v>0</v>
      </c>
      <c r="CW94" s="59">
        <v>0</v>
      </c>
      <c r="CX94" s="59">
        <v>0</v>
      </c>
      <c r="CY94" s="59">
        <v>0</v>
      </c>
      <c r="CZ94" s="59">
        <v>0</v>
      </c>
      <c r="DA94" s="59">
        <v>0</v>
      </c>
      <c r="DB94" s="59">
        <v>0</v>
      </c>
      <c r="DC94" s="68">
        <v>0</v>
      </c>
    </row>
    <row r="95" spans="1:118">
      <c r="A95" s="48" t="s">
        <v>128</v>
      </c>
      <c r="B95" s="59">
        <v>0</v>
      </c>
      <c r="C95" s="59">
        <v>0</v>
      </c>
      <c r="D95" s="59">
        <v>0</v>
      </c>
      <c r="E95" s="59">
        <v>0</v>
      </c>
      <c r="F95" s="59">
        <v>0</v>
      </c>
      <c r="G95" s="59">
        <v>0</v>
      </c>
      <c r="H95" s="59">
        <v>0</v>
      </c>
      <c r="I95" s="59">
        <v>0</v>
      </c>
      <c r="J95" s="59">
        <v>0</v>
      </c>
      <c r="K95" s="59">
        <v>0</v>
      </c>
      <c r="L95" s="59">
        <v>0</v>
      </c>
      <c r="M95" s="59">
        <v>0</v>
      </c>
      <c r="N95" s="59">
        <v>0</v>
      </c>
      <c r="O95" s="59">
        <v>0</v>
      </c>
      <c r="P95" s="59">
        <v>0</v>
      </c>
      <c r="Q95" s="59">
        <v>0</v>
      </c>
      <c r="R95" s="59">
        <v>0</v>
      </c>
      <c r="S95" s="59">
        <v>0</v>
      </c>
      <c r="T95" s="59">
        <v>0</v>
      </c>
      <c r="U95" s="59">
        <v>0</v>
      </c>
      <c r="V95" s="59">
        <v>0</v>
      </c>
      <c r="W95" s="59">
        <v>0</v>
      </c>
      <c r="X95" s="59">
        <v>0</v>
      </c>
      <c r="Y95" s="59">
        <v>0</v>
      </c>
      <c r="Z95" s="59">
        <v>0</v>
      </c>
      <c r="AA95" s="59">
        <v>0</v>
      </c>
      <c r="AB95" s="59">
        <v>0</v>
      </c>
      <c r="AC95" s="59">
        <v>0</v>
      </c>
      <c r="AD95" s="59">
        <v>0</v>
      </c>
      <c r="AE95" s="59">
        <v>0</v>
      </c>
      <c r="AF95" s="59">
        <v>0</v>
      </c>
      <c r="AG95" s="59">
        <v>0</v>
      </c>
      <c r="AH95" s="59">
        <v>0</v>
      </c>
      <c r="AI95" s="59">
        <v>0</v>
      </c>
      <c r="AJ95" s="59">
        <v>0</v>
      </c>
      <c r="AK95" s="59">
        <v>0</v>
      </c>
      <c r="AL95" s="59">
        <v>0</v>
      </c>
      <c r="AM95" s="59">
        <v>0</v>
      </c>
      <c r="AN95" s="59">
        <v>0</v>
      </c>
      <c r="AO95" s="59">
        <v>0</v>
      </c>
      <c r="AP95" s="59">
        <v>0</v>
      </c>
      <c r="AQ95" s="59">
        <v>0</v>
      </c>
      <c r="AR95" s="59">
        <v>0</v>
      </c>
      <c r="AS95" s="59">
        <v>0</v>
      </c>
      <c r="AT95" s="59">
        <v>0</v>
      </c>
      <c r="AU95" s="59">
        <v>0</v>
      </c>
      <c r="AV95" s="59">
        <v>0</v>
      </c>
      <c r="AW95" s="59">
        <v>0</v>
      </c>
      <c r="AX95" s="59">
        <v>0</v>
      </c>
      <c r="AY95" s="59">
        <v>0</v>
      </c>
      <c r="AZ95" s="59">
        <v>0</v>
      </c>
      <c r="BA95" s="59">
        <v>0</v>
      </c>
      <c r="BB95" s="59">
        <v>0</v>
      </c>
      <c r="BC95" s="59">
        <v>0</v>
      </c>
      <c r="BD95" s="59">
        <v>0</v>
      </c>
      <c r="BE95" s="59">
        <v>0</v>
      </c>
      <c r="BF95" s="59">
        <v>0</v>
      </c>
      <c r="BG95" s="59">
        <v>0</v>
      </c>
      <c r="BH95" s="59">
        <v>0</v>
      </c>
      <c r="BI95" s="59">
        <v>0</v>
      </c>
      <c r="BJ95" s="59">
        <v>0</v>
      </c>
      <c r="BK95" s="59">
        <v>0</v>
      </c>
      <c r="BL95" s="59">
        <v>0</v>
      </c>
      <c r="BM95" s="59">
        <v>0</v>
      </c>
      <c r="BN95" s="59">
        <v>0</v>
      </c>
      <c r="BO95" s="59">
        <v>0</v>
      </c>
      <c r="BP95" s="59">
        <v>0</v>
      </c>
      <c r="BQ95" s="59">
        <v>0</v>
      </c>
      <c r="BR95" s="59">
        <v>0</v>
      </c>
      <c r="BS95" s="59">
        <v>0</v>
      </c>
      <c r="BT95" s="59">
        <v>0</v>
      </c>
      <c r="BU95" s="59">
        <v>0</v>
      </c>
      <c r="BV95" s="59">
        <v>0</v>
      </c>
      <c r="BW95" s="59">
        <v>0</v>
      </c>
      <c r="BX95" s="59">
        <v>0</v>
      </c>
      <c r="BY95" s="59">
        <v>0</v>
      </c>
      <c r="BZ95" s="59">
        <v>0</v>
      </c>
      <c r="CA95" s="59">
        <v>0</v>
      </c>
      <c r="CB95" s="59">
        <v>0</v>
      </c>
      <c r="CC95" s="59">
        <v>0</v>
      </c>
      <c r="CD95" s="59">
        <v>0</v>
      </c>
      <c r="CE95" s="59">
        <v>0</v>
      </c>
      <c r="CF95" s="59">
        <v>0</v>
      </c>
      <c r="CG95" s="59">
        <v>0</v>
      </c>
      <c r="CH95" s="59">
        <v>0</v>
      </c>
      <c r="CI95" s="59">
        <v>0</v>
      </c>
      <c r="CJ95" s="59">
        <v>0</v>
      </c>
      <c r="CK95" s="59">
        <v>0</v>
      </c>
      <c r="CL95" s="59">
        <v>0</v>
      </c>
      <c r="CM95" s="59">
        <v>0</v>
      </c>
      <c r="CN95" s="59">
        <v>0</v>
      </c>
      <c r="CO95" s="59">
        <v>0</v>
      </c>
      <c r="CP95" s="59">
        <v>0</v>
      </c>
      <c r="CQ95" s="59">
        <v>0</v>
      </c>
      <c r="CR95" s="59">
        <v>0</v>
      </c>
      <c r="CS95" s="59">
        <v>0</v>
      </c>
      <c r="CT95" s="59">
        <v>0</v>
      </c>
      <c r="CU95" s="59">
        <v>0</v>
      </c>
      <c r="CV95" s="59">
        <v>0</v>
      </c>
      <c r="CW95" s="59">
        <v>0</v>
      </c>
      <c r="CX95" s="59">
        <v>0</v>
      </c>
      <c r="CY95" s="59">
        <v>0</v>
      </c>
      <c r="CZ95" s="59">
        <v>0</v>
      </c>
      <c r="DA95" s="59">
        <v>0</v>
      </c>
      <c r="DB95" s="59">
        <v>0</v>
      </c>
      <c r="DC95" s="68">
        <v>0</v>
      </c>
    </row>
    <row r="96" spans="1:118">
      <c r="A96" s="48" t="s">
        <v>129</v>
      </c>
      <c r="B96" s="59">
        <v>584906</v>
      </c>
      <c r="C96" s="59">
        <v>180996.99</v>
      </c>
      <c r="D96" s="59">
        <v>0</v>
      </c>
      <c r="E96" s="59">
        <v>0</v>
      </c>
      <c r="F96" s="59">
        <v>-257.66000000000003</v>
      </c>
      <c r="G96" s="59">
        <v>0</v>
      </c>
      <c r="H96" s="59">
        <v>0</v>
      </c>
      <c r="I96" s="59">
        <v>0</v>
      </c>
      <c r="J96" s="59">
        <v>0</v>
      </c>
      <c r="K96" s="59">
        <v>0</v>
      </c>
      <c r="L96" s="59">
        <v>0</v>
      </c>
      <c r="M96" s="59">
        <v>0</v>
      </c>
      <c r="N96" s="59">
        <v>0</v>
      </c>
      <c r="O96" s="59">
        <v>0</v>
      </c>
      <c r="P96" s="59">
        <v>0</v>
      </c>
      <c r="Q96" s="59">
        <v>0</v>
      </c>
      <c r="R96" s="59">
        <v>0</v>
      </c>
      <c r="S96" s="59">
        <v>0</v>
      </c>
      <c r="T96" s="59">
        <v>0</v>
      </c>
      <c r="U96" s="59">
        <v>404166.67</v>
      </c>
      <c r="V96" s="59">
        <v>0</v>
      </c>
      <c r="W96" s="59">
        <v>0</v>
      </c>
      <c r="X96" s="59">
        <v>0</v>
      </c>
      <c r="Y96" s="59">
        <v>0</v>
      </c>
      <c r="Z96" s="59">
        <v>0</v>
      </c>
      <c r="AA96" s="59">
        <v>0</v>
      </c>
      <c r="AB96" s="59">
        <v>0</v>
      </c>
      <c r="AC96" s="59">
        <v>0</v>
      </c>
      <c r="AD96" s="59">
        <v>0</v>
      </c>
      <c r="AE96" s="59">
        <v>0</v>
      </c>
      <c r="AF96" s="59">
        <v>0</v>
      </c>
      <c r="AG96" s="59">
        <v>0</v>
      </c>
      <c r="AH96" s="59">
        <v>0</v>
      </c>
      <c r="AI96" s="59">
        <v>0</v>
      </c>
      <c r="AJ96" s="59">
        <v>0</v>
      </c>
      <c r="AK96" s="59">
        <v>-257.66000000000003</v>
      </c>
      <c r="AL96" s="59">
        <v>0</v>
      </c>
      <c r="AM96" s="59">
        <v>0</v>
      </c>
      <c r="AN96" s="59">
        <v>0</v>
      </c>
      <c r="AO96" s="59">
        <v>0</v>
      </c>
      <c r="AP96" s="59">
        <v>0</v>
      </c>
      <c r="AQ96" s="59">
        <v>0</v>
      </c>
      <c r="AR96" s="59">
        <v>0</v>
      </c>
      <c r="AS96" s="59">
        <v>0</v>
      </c>
      <c r="AT96" s="59">
        <v>6755</v>
      </c>
      <c r="AU96" s="59">
        <v>11530</v>
      </c>
      <c r="AV96" s="59">
        <v>9733</v>
      </c>
      <c r="AW96" s="59">
        <v>5847</v>
      </c>
      <c r="AX96" s="59">
        <v>8358</v>
      </c>
      <c r="AY96" s="59">
        <v>7980</v>
      </c>
      <c r="AZ96" s="59">
        <v>3215</v>
      </c>
      <c r="BA96" s="59">
        <v>13494</v>
      </c>
      <c r="BB96" s="59">
        <v>5183</v>
      </c>
      <c r="BC96" s="59">
        <v>2630</v>
      </c>
      <c r="BD96" s="59">
        <v>10980</v>
      </c>
      <c r="BE96" s="59">
        <v>6280</v>
      </c>
      <c r="BF96" s="59">
        <v>6473</v>
      </c>
      <c r="BG96" s="59">
        <v>9893.02</v>
      </c>
      <c r="BH96" s="59">
        <v>10650</v>
      </c>
      <c r="BI96" s="59">
        <v>3122</v>
      </c>
      <c r="BJ96" s="59">
        <v>6030</v>
      </c>
      <c r="BK96" s="59">
        <v>3308</v>
      </c>
      <c r="BL96" s="59">
        <v>2888</v>
      </c>
      <c r="BM96" s="59">
        <v>1311</v>
      </c>
      <c r="BN96" s="59">
        <v>2251</v>
      </c>
      <c r="BO96" s="59">
        <v>2960</v>
      </c>
      <c r="BP96" s="59">
        <v>644</v>
      </c>
      <c r="BQ96" s="59">
        <v>1098</v>
      </c>
      <c r="BR96" s="59">
        <v>612</v>
      </c>
      <c r="BS96" s="59">
        <v>4520</v>
      </c>
      <c r="BT96" s="59">
        <v>672</v>
      </c>
      <c r="BU96" s="59">
        <v>1306</v>
      </c>
      <c r="BV96" s="59">
        <v>1127</v>
      </c>
      <c r="BW96" s="59">
        <v>825</v>
      </c>
      <c r="BX96" s="59">
        <v>388</v>
      </c>
      <c r="BY96" s="59">
        <v>974</v>
      </c>
      <c r="BZ96" s="59">
        <v>287</v>
      </c>
      <c r="CA96" s="59">
        <v>378</v>
      </c>
      <c r="CB96" s="59">
        <v>956</v>
      </c>
      <c r="CC96" s="59">
        <v>552</v>
      </c>
      <c r="CD96" s="59">
        <v>1664</v>
      </c>
      <c r="CE96" s="59">
        <v>338</v>
      </c>
      <c r="CF96" s="59">
        <v>0</v>
      </c>
      <c r="CG96" s="59">
        <v>91</v>
      </c>
      <c r="CH96" s="59">
        <v>246</v>
      </c>
      <c r="CI96" s="59">
        <v>0</v>
      </c>
      <c r="CJ96" s="59">
        <v>62</v>
      </c>
      <c r="CK96" s="59">
        <v>27.79</v>
      </c>
      <c r="CL96" s="59">
        <v>0</v>
      </c>
      <c r="CM96" s="59">
        <v>111</v>
      </c>
      <c r="CN96" s="59">
        <v>12</v>
      </c>
      <c r="CO96" s="59">
        <v>0</v>
      </c>
      <c r="CP96" s="59">
        <v>68</v>
      </c>
      <c r="CQ96" s="59">
        <v>42</v>
      </c>
      <c r="CR96" s="59">
        <v>0</v>
      </c>
      <c r="CS96" s="59">
        <v>168</v>
      </c>
      <c r="CT96" s="59">
        <v>0</v>
      </c>
      <c r="CU96" s="59">
        <v>53</v>
      </c>
      <c r="CV96" s="59">
        <v>0</v>
      </c>
      <c r="CW96" s="59">
        <v>0</v>
      </c>
      <c r="CX96" s="59">
        <v>0</v>
      </c>
      <c r="CY96" s="59">
        <v>0</v>
      </c>
      <c r="CZ96" s="59">
        <v>0</v>
      </c>
      <c r="DA96" s="59">
        <v>0</v>
      </c>
      <c r="DB96" s="59">
        <v>1904.18</v>
      </c>
      <c r="DC96" s="68">
        <v>21000</v>
      </c>
    </row>
    <row r="97" spans="1:107">
      <c r="A97" s="48" t="s">
        <v>130</v>
      </c>
      <c r="B97" s="59">
        <v>6758.87</v>
      </c>
      <c r="C97" s="59">
        <v>6232.34</v>
      </c>
      <c r="D97" s="59">
        <v>0</v>
      </c>
      <c r="E97" s="59">
        <v>0</v>
      </c>
      <c r="F97" s="59">
        <v>385.02</v>
      </c>
      <c r="G97" s="59">
        <v>0</v>
      </c>
      <c r="H97" s="59">
        <v>0</v>
      </c>
      <c r="I97" s="59">
        <v>0</v>
      </c>
      <c r="J97" s="59">
        <v>0</v>
      </c>
      <c r="K97" s="59">
        <v>141.51</v>
      </c>
      <c r="L97" s="59">
        <v>0</v>
      </c>
      <c r="M97" s="59">
        <v>0</v>
      </c>
      <c r="N97" s="59">
        <v>0</v>
      </c>
      <c r="O97" s="59">
        <v>0</v>
      </c>
      <c r="P97" s="59">
        <v>0</v>
      </c>
      <c r="Q97" s="59">
        <v>0</v>
      </c>
      <c r="R97" s="59">
        <v>0</v>
      </c>
      <c r="S97" s="59">
        <v>0</v>
      </c>
      <c r="T97" s="59">
        <v>0</v>
      </c>
      <c r="U97" s="59">
        <v>0</v>
      </c>
      <c r="V97" s="59">
        <v>0</v>
      </c>
      <c r="W97" s="59">
        <v>0</v>
      </c>
      <c r="X97" s="59">
        <v>0</v>
      </c>
      <c r="Y97" s="59">
        <v>0</v>
      </c>
      <c r="Z97" s="59">
        <v>0</v>
      </c>
      <c r="AA97" s="59">
        <v>0</v>
      </c>
      <c r="AB97" s="59">
        <v>0</v>
      </c>
      <c r="AC97" s="59">
        <v>0</v>
      </c>
      <c r="AD97" s="59">
        <v>0</v>
      </c>
      <c r="AE97" s="59">
        <v>0</v>
      </c>
      <c r="AF97" s="59">
        <v>0</v>
      </c>
      <c r="AG97" s="59">
        <v>0</v>
      </c>
      <c r="AH97" s="59">
        <v>0</v>
      </c>
      <c r="AI97" s="59">
        <v>0</v>
      </c>
      <c r="AJ97" s="59">
        <v>0</v>
      </c>
      <c r="AK97" s="59">
        <v>385.02</v>
      </c>
      <c r="AL97" s="59">
        <v>0</v>
      </c>
      <c r="AM97" s="59">
        <v>0</v>
      </c>
      <c r="AN97" s="59">
        <v>0</v>
      </c>
      <c r="AO97" s="59">
        <v>0</v>
      </c>
      <c r="AP97" s="59">
        <v>0</v>
      </c>
      <c r="AQ97" s="59">
        <v>0</v>
      </c>
      <c r="AR97" s="59">
        <v>0</v>
      </c>
      <c r="AS97" s="59">
        <v>0</v>
      </c>
      <c r="AT97" s="59">
        <v>0</v>
      </c>
      <c r="AU97" s="59">
        <v>0</v>
      </c>
      <c r="AV97" s="59">
        <v>0</v>
      </c>
      <c r="AW97" s="59">
        <v>0</v>
      </c>
      <c r="AX97" s="59">
        <v>0</v>
      </c>
      <c r="AY97" s="59">
        <v>0</v>
      </c>
      <c r="AZ97" s="59">
        <v>0</v>
      </c>
      <c r="BA97" s="59">
        <v>0</v>
      </c>
      <c r="BB97" s="59">
        <v>798</v>
      </c>
      <c r="BC97" s="59">
        <v>3944.34</v>
      </c>
      <c r="BD97" s="59">
        <v>0</v>
      </c>
      <c r="BE97" s="59">
        <v>0</v>
      </c>
      <c r="BF97" s="59">
        <v>60</v>
      </c>
      <c r="BG97" s="59">
        <v>100</v>
      </c>
      <c r="BH97" s="59">
        <v>0</v>
      </c>
      <c r="BI97" s="59">
        <v>260</v>
      </c>
      <c r="BJ97" s="59">
        <v>0</v>
      </c>
      <c r="BK97" s="59">
        <v>0</v>
      </c>
      <c r="BL97" s="59">
        <v>0</v>
      </c>
      <c r="BM97" s="59">
        <v>0</v>
      </c>
      <c r="BN97" s="59">
        <v>0</v>
      </c>
      <c r="BO97" s="59">
        <v>260</v>
      </c>
      <c r="BP97" s="59">
        <v>0</v>
      </c>
      <c r="BQ97" s="59">
        <v>0</v>
      </c>
      <c r="BR97" s="59">
        <v>0</v>
      </c>
      <c r="BS97" s="59">
        <v>150</v>
      </c>
      <c r="BT97" s="59">
        <v>0</v>
      </c>
      <c r="BU97" s="59">
        <v>0</v>
      </c>
      <c r="BV97" s="59">
        <v>0</v>
      </c>
      <c r="BW97" s="59">
        <v>0</v>
      </c>
      <c r="BX97" s="59">
        <v>0</v>
      </c>
      <c r="BY97" s="59">
        <v>260</v>
      </c>
      <c r="BZ97" s="59">
        <v>0</v>
      </c>
      <c r="CA97" s="59">
        <v>0</v>
      </c>
      <c r="CB97" s="59">
        <v>0</v>
      </c>
      <c r="CC97" s="59">
        <v>0</v>
      </c>
      <c r="CD97" s="59">
        <v>0</v>
      </c>
      <c r="CE97" s="59">
        <v>0</v>
      </c>
      <c r="CF97" s="59">
        <v>0</v>
      </c>
      <c r="CG97" s="59">
        <v>0</v>
      </c>
      <c r="CH97" s="59">
        <v>0</v>
      </c>
      <c r="CI97" s="59">
        <v>0</v>
      </c>
      <c r="CJ97" s="59">
        <v>0</v>
      </c>
      <c r="CK97" s="59">
        <v>0</v>
      </c>
      <c r="CL97" s="59">
        <v>0</v>
      </c>
      <c r="CM97" s="59">
        <v>0</v>
      </c>
      <c r="CN97" s="59">
        <v>0</v>
      </c>
      <c r="CO97" s="59">
        <v>0</v>
      </c>
      <c r="CP97" s="59">
        <v>0</v>
      </c>
      <c r="CQ97" s="59">
        <v>0</v>
      </c>
      <c r="CR97" s="59">
        <v>0</v>
      </c>
      <c r="CS97" s="59">
        <v>0</v>
      </c>
      <c r="CT97" s="59">
        <v>0</v>
      </c>
      <c r="CU97" s="59">
        <v>0</v>
      </c>
      <c r="CV97" s="59">
        <v>0</v>
      </c>
      <c r="CW97" s="59">
        <v>0</v>
      </c>
      <c r="CX97" s="59">
        <v>0</v>
      </c>
      <c r="CY97" s="59">
        <v>0</v>
      </c>
      <c r="CZ97" s="59">
        <v>0</v>
      </c>
      <c r="DA97" s="59">
        <v>0</v>
      </c>
      <c r="DB97" s="59">
        <v>0</v>
      </c>
      <c r="DC97" s="68">
        <v>400</v>
      </c>
    </row>
    <row r="98" spans="1:107">
      <c r="A98" s="48" t="s">
        <v>131</v>
      </c>
      <c r="B98" s="59">
        <v>2089346.27</v>
      </c>
      <c r="C98" s="59">
        <v>1948970.44</v>
      </c>
      <c r="D98" s="59">
        <v>1950</v>
      </c>
      <c r="E98" s="59">
        <v>36818.230000000003</v>
      </c>
      <c r="F98" s="59">
        <v>87857.600000000006</v>
      </c>
      <c r="G98" s="59">
        <v>0</v>
      </c>
      <c r="H98" s="59">
        <v>0</v>
      </c>
      <c r="I98" s="59">
        <v>0</v>
      </c>
      <c r="J98" s="59">
        <v>13750</v>
      </c>
      <c r="K98" s="59">
        <v>0</v>
      </c>
      <c r="L98" s="59">
        <v>0</v>
      </c>
      <c r="M98" s="59">
        <v>0</v>
      </c>
      <c r="N98" s="59">
        <v>0</v>
      </c>
      <c r="O98" s="59">
        <v>0</v>
      </c>
      <c r="P98" s="59">
        <v>0</v>
      </c>
      <c r="Q98" s="59">
        <v>0</v>
      </c>
      <c r="R98" s="59">
        <v>0</v>
      </c>
      <c r="S98" s="59">
        <v>0</v>
      </c>
      <c r="T98" s="59">
        <v>0</v>
      </c>
      <c r="U98" s="59">
        <v>0</v>
      </c>
      <c r="V98" s="59">
        <v>0</v>
      </c>
      <c r="W98" s="59">
        <v>0</v>
      </c>
      <c r="X98" s="59">
        <v>35264.83</v>
      </c>
      <c r="Y98" s="59">
        <v>0</v>
      </c>
      <c r="Z98" s="59">
        <v>776.7</v>
      </c>
      <c r="AA98" s="59">
        <v>0</v>
      </c>
      <c r="AB98" s="59">
        <v>776.7</v>
      </c>
      <c r="AC98" s="59">
        <v>0</v>
      </c>
      <c r="AD98" s="59">
        <v>0</v>
      </c>
      <c r="AE98" s="59">
        <v>0</v>
      </c>
      <c r="AF98" s="59">
        <v>1950</v>
      </c>
      <c r="AG98" s="59">
        <v>0</v>
      </c>
      <c r="AH98" s="59">
        <v>0</v>
      </c>
      <c r="AI98" s="59">
        <v>0</v>
      </c>
      <c r="AJ98" s="59">
        <v>0</v>
      </c>
      <c r="AK98" s="59">
        <v>41016.18</v>
      </c>
      <c r="AL98" s="59">
        <v>46841.42</v>
      </c>
      <c r="AM98" s="59">
        <v>0</v>
      </c>
      <c r="AN98" s="59">
        <v>0</v>
      </c>
      <c r="AO98" s="59">
        <v>0</v>
      </c>
      <c r="AP98" s="59">
        <v>0</v>
      </c>
      <c r="AQ98" s="59">
        <v>0</v>
      </c>
      <c r="AR98" s="59">
        <v>0</v>
      </c>
      <c r="AS98" s="59">
        <v>0</v>
      </c>
      <c r="AT98" s="59">
        <v>45992</v>
      </c>
      <c r="AU98" s="59">
        <v>73333.33</v>
      </c>
      <c r="AV98" s="59">
        <v>72981.67</v>
      </c>
      <c r="AW98" s="59">
        <v>55000</v>
      </c>
      <c r="AX98" s="59">
        <v>99718.06</v>
      </c>
      <c r="AY98" s="59">
        <v>24139.33</v>
      </c>
      <c r="AZ98" s="59">
        <v>17381.47</v>
      </c>
      <c r="BA98" s="59">
        <v>5000</v>
      </c>
      <c r="BB98" s="59">
        <v>93250</v>
      </c>
      <c r="BC98" s="59">
        <v>102274.87</v>
      </c>
      <c r="BD98" s="59">
        <v>143333.32999999999</v>
      </c>
      <c r="BE98" s="59">
        <v>76378.05</v>
      </c>
      <c r="BF98" s="59">
        <v>136388.29999999999</v>
      </c>
      <c r="BG98" s="59">
        <v>14953.16</v>
      </c>
      <c r="BH98" s="59">
        <v>56146.28</v>
      </c>
      <c r="BI98" s="59">
        <v>11025</v>
      </c>
      <c r="BJ98" s="59">
        <v>15392</v>
      </c>
      <c r="BK98" s="59">
        <v>20676.060000000001</v>
      </c>
      <c r="BL98" s="59">
        <v>18154.330000000002</v>
      </c>
      <c r="BM98" s="59">
        <v>19360</v>
      </c>
      <c r="BN98" s="59">
        <v>20858.330000000002</v>
      </c>
      <c r="BO98" s="59">
        <v>0</v>
      </c>
      <c r="BP98" s="59">
        <v>28310.57</v>
      </c>
      <c r="BQ98" s="59">
        <v>4624.25</v>
      </c>
      <c r="BR98" s="59">
        <v>10017</v>
      </c>
      <c r="BS98" s="59">
        <v>3988.1</v>
      </c>
      <c r="BT98" s="59">
        <v>9166.67</v>
      </c>
      <c r="BU98" s="59">
        <v>15268.5</v>
      </c>
      <c r="BV98" s="59">
        <v>10852.78</v>
      </c>
      <c r="BW98" s="59">
        <v>42008</v>
      </c>
      <c r="BX98" s="59">
        <v>7017.92</v>
      </c>
      <c r="BY98" s="59">
        <v>23525.77</v>
      </c>
      <c r="BZ98" s="59">
        <v>3177.29</v>
      </c>
      <c r="CA98" s="59">
        <v>2916.67</v>
      </c>
      <c r="CB98" s="59">
        <v>11812.18</v>
      </c>
      <c r="CC98" s="59">
        <v>94466.55</v>
      </c>
      <c r="CD98" s="59">
        <v>20508.09</v>
      </c>
      <c r="CE98" s="59">
        <v>12600</v>
      </c>
      <c r="CF98" s="59">
        <v>34116.089999999997</v>
      </c>
      <c r="CG98" s="59">
        <v>69090.149999999994</v>
      </c>
      <c r="CH98" s="59">
        <v>10185</v>
      </c>
      <c r="CI98" s="59">
        <v>8648.58</v>
      </c>
      <c r="CJ98" s="59">
        <v>16485.599999999999</v>
      </c>
      <c r="CK98" s="59">
        <v>10000</v>
      </c>
      <c r="CL98" s="59">
        <v>8899.02</v>
      </c>
      <c r="CM98" s="59">
        <v>9276.93</v>
      </c>
      <c r="CN98" s="59">
        <v>14282.22</v>
      </c>
      <c r="CO98" s="59">
        <v>12932.25</v>
      </c>
      <c r="CP98" s="59">
        <v>11402.47</v>
      </c>
      <c r="CQ98" s="59">
        <v>10447.629999999999</v>
      </c>
      <c r="CR98" s="59">
        <v>8260.92</v>
      </c>
      <c r="CS98" s="59">
        <v>10000</v>
      </c>
      <c r="CT98" s="59">
        <v>7594.96</v>
      </c>
      <c r="CU98" s="59">
        <v>7791.3</v>
      </c>
      <c r="CV98" s="59">
        <v>12544</v>
      </c>
      <c r="CW98" s="59">
        <v>14566.28</v>
      </c>
      <c r="CX98" s="59">
        <v>5250</v>
      </c>
      <c r="CY98" s="59">
        <v>11736.51</v>
      </c>
      <c r="CZ98" s="59">
        <v>9008.2999999999993</v>
      </c>
      <c r="DA98" s="59">
        <v>37301.589999999997</v>
      </c>
      <c r="DB98" s="59">
        <v>173713.06</v>
      </c>
      <c r="DC98" s="68">
        <v>13441.67</v>
      </c>
    </row>
    <row r="99" spans="1:107">
      <c r="A99" s="48" t="s">
        <v>132</v>
      </c>
      <c r="B99" s="59">
        <v>1394231.35</v>
      </c>
      <c r="C99" s="59">
        <v>231640.55</v>
      </c>
      <c r="D99" s="59">
        <v>0</v>
      </c>
      <c r="E99" s="59">
        <v>66964.47</v>
      </c>
      <c r="F99" s="59">
        <v>23668.81</v>
      </c>
      <c r="G99" s="59">
        <v>0</v>
      </c>
      <c r="H99" s="59">
        <v>1071957.52</v>
      </c>
      <c r="I99" s="59">
        <v>0</v>
      </c>
      <c r="J99" s="59">
        <v>0</v>
      </c>
      <c r="K99" s="59">
        <v>0</v>
      </c>
      <c r="L99" s="59">
        <v>0</v>
      </c>
      <c r="M99" s="59">
        <v>0</v>
      </c>
      <c r="N99" s="59">
        <v>0</v>
      </c>
      <c r="O99" s="59">
        <v>0</v>
      </c>
      <c r="P99" s="59">
        <v>0</v>
      </c>
      <c r="Q99" s="59">
        <v>0</v>
      </c>
      <c r="R99" s="59">
        <v>0</v>
      </c>
      <c r="S99" s="59">
        <v>0</v>
      </c>
      <c r="T99" s="59">
        <v>0</v>
      </c>
      <c r="U99" s="59">
        <v>0</v>
      </c>
      <c r="V99" s="59">
        <v>0</v>
      </c>
      <c r="W99" s="59">
        <v>0</v>
      </c>
      <c r="X99" s="59">
        <v>66964.47</v>
      </c>
      <c r="Y99" s="59">
        <v>0</v>
      </c>
      <c r="Z99" s="59">
        <v>0</v>
      </c>
      <c r="AA99" s="59">
        <v>0</v>
      </c>
      <c r="AB99" s="59">
        <v>0</v>
      </c>
      <c r="AC99" s="59">
        <v>0</v>
      </c>
      <c r="AD99" s="59">
        <v>0</v>
      </c>
      <c r="AE99" s="59">
        <v>0</v>
      </c>
      <c r="AF99" s="59">
        <v>0</v>
      </c>
      <c r="AG99" s="59">
        <v>0</v>
      </c>
      <c r="AH99" s="59">
        <v>0</v>
      </c>
      <c r="AI99" s="59">
        <v>0</v>
      </c>
      <c r="AJ99" s="59">
        <v>0</v>
      </c>
      <c r="AK99" s="59">
        <v>10974.65</v>
      </c>
      <c r="AL99" s="59">
        <v>12217.58</v>
      </c>
      <c r="AM99" s="59">
        <v>476.58</v>
      </c>
      <c r="AN99" s="59">
        <v>0</v>
      </c>
      <c r="AO99" s="59">
        <v>0</v>
      </c>
      <c r="AP99" s="59">
        <v>0</v>
      </c>
      <c r="AQ99" s="59">
        <v>0</v>
      </c>
      <c r="AR99" s="59">
        <v>0</v>
      </c>
      <c r="AS99" s="59">
        <v>0</v>
      </c>
      <c r="AT99" s="59">
        <v>12322.42</v>
      </c>
      <c r="AU99" s="59">
        <v>8291.25</v>
      </c>
      <c r="AV99" s="59">
        <v>8865.02</v>
      </c>
      <c r="AW99" s="59">
        <v>8364.35</v>
      </c>
      <c r="AX99" s="59">
        <v>6677.75</v>
      </c>
      <c r="AY99" s="59">
        <v>26370.16</v>
      </c>
      <c r="AZ99" s="59">
        <v>4916.5</v>
      </c>
      <c r="BA99" s="59">
        <v>6633.95</v>
      </c>
      <c r="BB99" s="59">
        <v>5763.27</v>
      </c>
      <c r="BC99" s="59">
        <v>4540.83</v>
      </c>
      <c r="BD99" s="59">
        <v>7520.24</v>
      </c>
      <c r="BE99" s="59">
        <v>4644.5200000000004</v>
      </c>
      <c r="BF99" s="59">
        <v>5512.72</v>
      </c>
      <c r="BG99" s="59">
        <v>10137.61</v>
      </c>
      <c r="BH99" s="59">
        <v>4102.1499999999996</v>
      </c>
      <c r="BI99" s="59">
        <v>4764.01</v>
      </c>
      <c r="BJ99" s="59">
        <v>3576.71</v>
      </c>
      <c r="BK99" s="59">
        <v>2593.89</v>
      </c>
      <c r="BL99" s="59">
        <v>5584.5</v>
      </c>
      <c r="BM99" s="59">
        <v>3873.08</v>
      </c>
      <c r="BN99" s="59">
        <v>4463.88</v>
      </c>
      <c r="BO99" s="59">
        <v>2412.06</v>
      </c>
      <c r="BP99" s="59">
        <v>2785.34</v>
      </c>
      <c r="BQ99" s="59">
        <v>1702.59</v>
      </c>
      <c r="BR99" s="59">
        <v>3546.91</v>
      </c>
      <c r="BS99" s="59">
        <v>1403.18</v>
      </c>
      <c r="BT99" s="59">
        <v>2703.9</v>
      </c>
      <c r="BU99" s="59">
        <v>7514.98</v>
      </c>
      <c r="BV99" s="59">
        <v>2021.75</v>
      </c>
      <c r="BW99" s="59">
        <v>2836.24</v>
      </c>
      <c r="BX99" s="59">
        <v>615.03</v>
      </c>
      <c r="BY99" s="59">
        <v>4089.63</v>
      </c>
      <c r="BZ99" s="59">
        <v>426.7</v>
      </c>
      <c r="CA99" s="59">
        <v>719.35</v>
      </c>
      <c r="CB99" s="59">
        <v>2513.4499999999998</v>
      </c>
      <c r="CC99" s="59">
        <v>13339.53</v>
      </c>
      <c r="CD99" s="59">
        <v>9727.52</v>
      </c>
      <c r="CE99" s="59">
        <v>469.67</v>
      </c>
      <c r="CF99" s="59">
        <v>0</v>
      </c>
      <c r="CG99" s="59">
        <v>291.33</v>
      </c>
      <c r="CH99" s="59">
        <v>1058.18</v>
      </c>
      <c r="CI99" s="59">
        <v>183.66</v>
      </c>
      <c r="CJ99" s="59">
        <v>695.92</v>
      </c>
      <c r="CK99" s="59">
        <v>1143.24</v>
      </c>
      <c r="CL99" s="59">
        <v>1072.83</v>
      </c>
      <c r="CM99" s="59">
        <v>1352.7</v>
      </c>
      <c r="CN99" s="59">
        <v>2800.28</v>
      </c>
      <c r="CO99" s="59">
        <v>801.44</v>
      </c>
      <c r="CP99" s="59">
        <v>1610.32</v>
      </c>
      <c r="CQ99" s="59">
        <v>1040.83</v>
      </c>
      <c r="CR99" s="59">
        <v>695.25</v>
      </c>
      <c r="CS99" s="59">
        <v>1054.3599999999999</v>
      </c>
      <c r="CT99" s="59">
        <v>808.53</v>
      </c>
      <c r="CU99" s="59">
        <v>1397.12</v>
      </c>
      <c r="CV99" s="59">
        <v>493.53</v>
      </c>
      <c r="CW99" s="59">
        <v>283.06</v>
      </c>
      <c r="CX99" s="59">
        <v>1418.96</v>
      </c>
      <c r="CY99" s="59">
        <v>463.81</v>
      </c>
      <c r="CZ99" s="59">
        <v>68.09</v>
      </c>
      <c r="DA99" s="59">
        <v>634.78</v>
      </c>
      <c r="DB99" s="59">
        <v>3925.69</v>
      </c>
      <c r="DC99" s="68">
        <v>0</v>
      </c>
    </row>
    <row r="100" spans="1:107">
      <c r="A100" s="48" t="s">
        <v>133</v>
      </c>
      <c r="B100" s="59">
        <v>52635.56</v>
      </c>
      <c r="C100" s="59">
        <v>8055.56</v>
      </c>
      <c r="D100" s="59">
        <v>0</v>
      </c>
      <c r="E100" s="59">
        <v>0</v>
      </c>
      <c r="F100" s="59">
        <v>44580</v>
      </c>
      <c r="G100" s="59">
        <v>0</v>
      </c>
      <c r="H100" s="59">
        <v>0</v>
      </c>
      <c r="I100" s="59">
        <v>0</v>
      </c>
      <c r="J100" s="59">
        <v>0</v>
      </c>
      <c r="K100" s="59">
        <v>0</v>
      </c>
      <c r="L100" s="59">
        <v>0</v>
      </c>
      <c r="M100" s="59">
        <v>0</v>
      </c>
      <c r="N100" s="59">
        <v>0</v>
      </c>
      <c r="O100" s="59">
        <v>0</v>
      </c>
      <c r="P100" s="59">
        <v>0</v>
      </c>
      <c r="Q100" s="59">
        <v>0</v>
      </c>
      <c r="R100" s="59">
        <v>0</v>
      </c>
      <c r="S100" s="59">
        <v>0</v>
      </c>
      <c r="T100" s="59">
        <v>0</v>
      </c>
      <c r="U100" s="59">
        <v>0</v>
      </c>
      <c r="V100" s="59">
        <v>0</v>
      </c>
      <c r="W100" s="59">
        <v>0</v>
      </c>
      <c r="X100" s="59">
        <v>0</v>
      </c>
      <c r="Y100" s="59">
        <v>0</v>
      </c>
      <c r="Z100" s="59">
        <v>0</v>
      </c>
      <c r="AA100" s="59">
        <v>0</v>
      </c>
      <c r="AB100" s="59">
        <v>0</v>
      </c>
      <c r="AC100" s="59">
        <v>0</v>
      </c>
      <c r="AD100" s="59">
        <v>0</v>
      </c>
      <c r="AE100" s="59">
        <v>0</v>
      </c>
      <c r="AF100" s="59">
        <v>0</v>
      </c>
      <c r="AG100" s="59">
        <v>0</v>
      </c>
      <c r="AH100" s="59">
        <v>0</v>
      </c>
      <c r="AI100" s="59">
        <v>0</v>
      </c>
      <c r="AJ100" s="59">
        <v>0</v>
      </c>
      <c r="AK100" s="59">
        <v>44580</v>
      </c>
      <c r="AL100" s="59">
        <v>0</v>
      </c>
      <c r="AM100" s="59">
        <v>0</v>
      </c>
      <c r="AN100" s="59">
        <v>0</v>
      </c>
      <c r="AO100" s="59">
        <v>0</v>
      </c>
      <c r="AP100" s="59">
        <v>1666.67</v>
      </c>
      <c r="AQ100" s="59">
        <v>0</v>
      </c>
      <c r="AR100" s="59">
        <v>0</v>
      </c>
      <c r="AS100" s="59">
        <v>0</v>
      </c>
      <c r="AT100" s="59">
        <v>0</v>
      </c>
      <c r="AU100" s="59">
        <v>0</v>
      </c>
      <c r="AV100" s="59">
        <v>0</v>
      </c>
      <c r="AW100" s="59">
        <v>0</v>
      </c>
      <c r="AX100" s="59">
        <v>0</v>
      </c>
      <c r="AY100" s="59">
        <v>0</v>
      </c>
      <c r="AZ100" s="59">
        <v>0</v>
      </c>
      <c r="BA100" s="59">
        <v>0</v>
      </c>
      <c r="BB100" s="59">
        <v>0</v>
      </c>
      <c r="BC100" s="59">
        <v>0</v>
      </c>
      <c r="BD100" s="59">
        <v>0</v>
      </c>
      <c r="BE100" s="59">
        <v>0</v>
      </c>
      <c r="BF100" s="59">
        <v>0</v>
      </c>
      <c r="BG100" s="59">
        <v>1388.89</v>
      </c>
      <c r="BH100" s="59">
        <v>0</v>
      </c>
      <c r="BI100" s="59">
        <v>0</v>
      </c>
      <c r="BJ100" s="59">
        <v>0</v>
      </c>
      <c r="BK100" s="59">
        <v>0</v>
      </c>
      <c r="BL100" s="59">
        <v>0</v>
      </c>
      <c r="BM100" s="59">
        <v>0</v>
      </c>
      <c r="BN100" s="59">
        <v>0</v>
      </c>
      <c r="BO100" s="59">
        <v>0</v>
      </c>
      <c r="BP100" s="59">
        <v>0</v>
      </c>
      <c r="BQ100" s="59">
        <v>0</v>
      </c>
      <c r="BR100" s="59">
        <v>0</v>
      </c>
      <c r="BS100" s="59">
        <v>0</v>
      </c>
      <c r="BT100" s="59">
        <v>0</v>
      </c>
      <c r="BU100" s="59">
        <v>0</v>
      </c>
      <c r="BV100" s="59">
        <v>0</v>
      </c>
      <c r="BW100" s="59">
        <v>5000</v>
      </c>
      <c r="BX100" s="59">
        <v>0</v>
      </c>
      <c r="BY100" s="59">
        <v>0</v>
      </c>
      <c r="BZ100" s="59">
        <v>0</v>
      </c>
      <c r="CA100" s="59">
        <v>0</v>
      </c>
      <c r="CB100" s="59">
        <v>0</v>
      </c>
      <c r="CC100" s="59">
        <v>0</v>
      </c>
      <c r="CD100" s="59">
        <v>0</v>
      </c>
      <c r="CE100" s="59">
        <v>0</v>
      </c>
      <c r="CF100" s="59">
        <v>0</v>
      </c>
      <c r="CG100" s="59">
        <v>0</v>
      </c>
      <c r="CH100" s="59">
        <v>0</v>
      </c>
      <c r="CI100" s="59">
        <v>0</v>
      </c>
      <c r="CJ100" s="59">
        <v>0</v>
      </c>
      <c r="CK100" s="59">
        <v>0</v>
      </c>
      <c r="CL100" s="59">
        <v>0</v>
      </c>
      <c r="CM100" s="59">
        <v>0</v>
      </c>
      <c r="CN100" s="59">
        <v>0</v>
      </c>
      <c r="CO100" s="59">
        <v>0</v>
      </c>
      <c r="CP100" s="59">
        <v>0</v>
      </c>
      <c r="CQ100" s="59">
        <v>0</v>
      </c>
      <c r="CR100" s="59">
        <v>0</v>
      </c>
      <c r="CS100" s="59">
        <v>0</v>
      </c>
      <c r="CT100" s="59">
        <v>0</v>
      </c>
      <c r="CU100" s="59">
        <v>0</v>
      </c>
      <c r="CV100" s="59">
        <v>0</v>
      </c>
      <c r="CW100" s="59">
        <v>0</v>
      </c>
      <c r="CX100" s="59">
        <v>0</v>
      </c>
      <c r="CY100" s="59">
        <v>0</v>
      </c>
      <c r="CZ100" s="59">
        <v>0</v>
      </c>
      <c r="DA100" s="59">
        <v>0</v>
      </c>
      <c r="DB100" s="59">
        <v>0</v>
      </c>
      <c r="DC100" s="68">
        <v>0</v>
      </c>
    </row>
    <row r="101" spans="1:107">
      <c r="A101" s="48" t="s">
        <v>134</v>
      </c>
      <c r="B101" s="59">
        <v>1031982.95</v>
      </c>
      <c r="C101" s="59">
        <v>386027.18</v>
      </c>
      <c r="D101" s="59">
        <v>34372.199999999997</v>
      </c>
      <c r="E101" s="59">
        <v>16790.62</v>
      </c>
      <c r="F101" s="59">
        <v>17497.14</v>
      </c>
      <c r="G101" s="59">
        <v>0</v>
      </c>
      <c r="H101" s="59">
        <v>573216.75</v>
      </c>
      <c r="I101" s="59">
        <v>0</v>
      </c>
      <c r="J101" s="59">
        <v>0</v>
      </c>
      <c r="K101" s="59">
        <v>0</v>
      </c>
      <c r="L101" s="59">
        <v>0</v>
      </c>
      <c r="M101" s="59">
        <v>0</v>
      </c>
      <c r="N101" s="59">
        <v>0</v>
      </c>
      <c r="O101" s="59">
        <v>0</v>
      </c>
      <c r="P101" s="59">
        <v>0</v>
      </c>
      <c r="Q101" s="59">
        <v>0</v>
      </c>
      <c r="R101" s="59">
        <v>0</v>
      </c>
      <c r="S101" s="59">
        <v>0</v>
      </c>
      <c r="T101" s="59">
        <v>0</v>
      </c>
      <c r="U101" s="59">
        <v>0</v>
      </c>
      <c r="V101" s="59">
        <v>0</v>
      </c>
      <c r="W101" s="59">
        <v>0</v>
      </c>
      <c r="X101" s="59">
        <v>3183.1</v>
      </c>
      <c r="Y101" s="59">
        <v>0</v>
      </c>
      <c r="Z101" s="59">
        <v>3710.38</v>
      </c>
      <c r="AA101" s="59">
        <v>0</v>
      </c>
      <c r="AB101" s="59">
        <v>3349.71</v>
      </c>
      <c r="AC101" s="59">
        <v>3283.04</v>
      </c>
      <c r="AD101" s="59">
        <v>3264.39</v>
      </c>
      <c r="AE101" s="59">
        <v>0</v>
      </c>
      <c r="AF101" s="59">
        <v>10934.67</v>
      </c>
      <c r="AG101" s="59">
        <v>11091.35</v>
      </c>
      <c r="AH101" s="59">
        <v>12346.18</v>
      </c>
      <c r="AI101" s="59">
        <v>0</v>
      </c>
      <c r="AJ101" s="59">
        <v>4079.06</v>
      </c>
      <c r="AK101" s="59">
        <v>9138.01</v>
      </c>
      <c r="AL101" s="59">
        <v>8359.1299999999992</v>
      </c>
      <c r="AM101" s="59">
        <v>0</v>
      </c>
      <c r="AN101" s="59">
        <v>0</v>
      </c>
      <c r="AO101" s="59">
        <v>708.42</v>
      </c>
      <c r="AP101" s="59">
        <v>0</v>
      </c>
      <c r="AQ101" s="59">
        <v>0</v>
      </c>
      <c r="AR101" s="59">
        <v>0</v>
      </c>
      <c r="AS101" s="59">
        <v>0</v>
      </c>
      <c r="AT101" s="59">
        <v>3334.78</v>
      </c>
      <c r="AU101" s="59">
        <v>11280.17</v>
      </c>
      <c r="AV101" s="59">
        <v>36177.17</v>
      </c>
      <c r="AW101" s="59">
        <v>3195.92</v>
      </c>
      <c r="AX101" s="59">
        <v>19548.23</v>
      </c>
      <c r="AY101" s="59">
        <v>35986.050000000003</v>
      </c>
      <c r="AZ101" s="59">
        <v>13697.39</v>
      </c>
      <c r="BA101" s="59">
        <v>0</v>
      </c>
      <c r="BB101" s="59">
        <v>12684.77</v>
      </c>
      <c r="BC101" s="59">
        <v>13187.73</v>
      </c>
      <c r="BD101" s="59">
        <v>0</v>
      </c>
      <c r="BE101" s="59">
        <v>0</v>
      </c>
      <c r="BF101" s="59">
        <v>0</v>
      </c>
      <c r="BG101" s="59">
        <v>8173.75</v>
      </c>
      <c r="BH101" s="59">
        <v>0</v>
      </c>
      <c r="BI101" s="59">
        <v>74659.81</v>
      </c>
      <c r="BJ101" s="59">
        <v>0</v>
      </c>
      <c r="BK101" s="59">
        <v>1538.35</v>
      </c>
      <c r="BL101" s="59">
        <v>6433.42</v>
      </c>
      <c r="BM101" s="59">
        <v>4938.5600000000004</v>
      </c>
      <c r="BN101" s="59">
        <v>9575.14</v>
      </c>
      <c r="BO101" s="59">
        <v>8950.39</v>
      </c>
      <c r="BP101" s="59">
        <v>8758.0400000000009</v>
      </c>
      <c r="BQ101" s="59">
        <v>3092.32</v>
      </c>
      <c r="BR101" s="59">
        <v>8037.03</v>
      </c>
      <c r="BS101" s="59">
        <v>0</v>
      </c>
      <c r="BT101" s="59">
        <v>5048.2700000000004</v>
      </c>
      <c r="BU101" s="59">
        <v>7224.22</v>
      </c>
      <c r="BV101" s="59">
        <v>7427.37</v>
      </c>
      <c r="BW101" s="59">
        <v>13688.87</v>
      </c>
      <c r="BX101" s="59">
        <v>3191.18</v>
      </c>
      <c r="BY101" s="59">
        <v>802.78</v>
      </c>
      <c r="BZ101" s="59">
        <v>2677.5</v>
      </c>
      <c r="CA101" s="59">
        <v>1247.4100000000001</v>
      </c>
      <c r="CB101" s="59">
        <v>3969.25</v>
      </c>
      <c r="CC101" s="59">
        <v>23692.53</v>
      </c>
      <c r="CD101" s="59">
        <v>4179.57</v>
      </c>
      <c r="CE101" s="59">
        <v>0</v>
      </c>
      <c r="CF101" s="59">
        <v>2380.71</v>
      </c>
      <c r="CG101" s="59">
        <v>0</v>
      </c>
      <c r="CH101" s="59">
        <v>866.67</v>
      </c>
      <c r="CI101" s="59">
        <v>1180.3499999999999</v>
      </c>
      <c r="CJ101" s="59">
        <v>1436.11</v>
      </c>
      <c r="CK101" s="59">
        <v>0</v>
      </c>
      <c r="CL101" s="59">
        <v>3542.69</v>
      </c>
      <c r="CM101" s="59">
        <v>1356.39</v>
      </c>
      <c r="CN101" s="59">
        <v>1130.43</v>
      </c>
      <c r="CO101" s="59">
        <v>1025.97</v>
      </c>
      <c r="CP101" s="59">
        <v>1581.51</v>
      </c>
      <c r="CQ101" s="59">
        <v>0</v>
      </c>
      <c r="CR101" s="59">
        <v>2426.2600000000002</v>
      </c>
      <c r="CS101" s="59">
        <v>3076.21</v>
      </c>
      <c r="CT101" s="59">
        <v>1840.4</v>
      </c>
      <c r="CU101" s="59">
        <v>874.48</v>
      </c>
      <c r="CV101" s="59">
        <v>0</v>
      </c>
      <c r="CW101" s="59">
        <v>0</v>
      </c>
      <c r="CX101" s="59">
        <v>4658.17</v>
      </c>
      <c r="CY101" s="59">
        <v>0</v>
      </c>
      <c r="CZ101" s="59">
        <v>0</v>
      </c>
      <c r="DA101" s="59">
        <v>0</v>
      </c>
      <c r="DB101" s="59">
        <v>1544.44</v>
      </c>
      <c r="DC101" s="68">
        <v>0</v>
      </c>
    </row>
    <row r="102" spans="1:107">
      <c r="A102" s="48" t="s">
        <v>135</v>
      </c>
      <c r="B102" s="59">
        <v>37668.089999999997</v>
      </c>
      <c r="C102" s="59">
        <v>3253</v>
      </c>
      <c r="D102" s="59">
        <v>0</v>
      </c>
      <c r="E102" s="59">
        <v>0</v>
      </c>
      <c r="F102" s="59">
        <v>0</v>
      </c>
      <c r="G102" s="59">
        <v>0</v>
      </c>
      <c r="H102" s="59">
        <v>0</v>
      </c>
      <c r="I102" s="59">
        <v>0</v>
      </c>
      <c r="J102" s="59">
        <v>0</v>
      </c>
      <c r="K102" s="59">
        <v>0</v>
      </c>
      <c r="L102" s="59">
        <v>0</v>
      </c>
      <c r="M102" s="59">
        <v>0</v>
      </c>
      <c r="N102" s="59">
        <v>0</v>
      </c>
      <c r="O102" s="59">
        <v>0</v>
      </c>
      <c r="P102" s="59">
        <v>0</v>
      </c>
      <c r="Q102" s="59">
        <v>0</v>
      </c>
      <c r="R102" s="59">
        <v>0</v>
      </c>
      <c r="S102" s="59">
        <v>0</v>
      </c>
      <c r="T102" s="59">
        <v>0</v>
      </c>
      <c r="U102" s="59">
        <v>33215.089999999997</v>
      </c>
      <c r="V102" s="59">
        <v>0</v>
      </c>
      <c r="W102" s="59">
        <v>0</v>
      </c>
      <c r="X102" s="59">
        <v>0</v>
      </c>
      <c r="Y102" s="59">
        <v>0</v>
      </c>
      <c r="Z102" s="59">
        <v>0</v>
      </c>
      <c r="AA102" s="59">
        <v>0</v>
      </c>
      <c r="AB102" s="59">
        <v>0</v>
      </c>
      <c r="AC102" s="59">
        <v>0</v>
      </c>
      <c r="AD102" s="59">
        <v>0</v>
      </c>
      <c r="AE102" s="59">
        <v>0</v>
      </c>
      <c r="AF102" s="59">
        <v>0</v>
      </c>
      <c r="AG102" s="59">
        <v>0</v>
      </c>
      <c r="AH102" s="59">
        <v>0</v>
      </c>
      <c r="AI102" s="59">
        <v>0</v>
      </c>
      <c r="AJ102" s="59">
        <v>1200</v>
      </c>
      <c r="AK102" s="59">
        <v>0</v>
      </c>
      <c r="AL102" s="59">
        <v>0</v>
      </c>
      <c r="AM102" s="59">
        <v>0</v>
      </c>
      <c r="AN102" s="59">
        <v>0</v>
      </c>
      <c r="AO102" s="59">
        <v>0</v>
      </c>
      <c r="AP102" s="59">
        <v>0</v>
      </c>
      <c r="AQ102" s="59">
        <v>0</v>
      </c>
      <c r="AR102" s="59">
        <v>0</v>
      </c>
      <c r="AS102" s="59">
        <v>0</v>
      </c>
      <c r="AT102" s="59">
        <v>0</v>
      </c>
      <c r="AU102" s="59">
        <v>0</v>
      </c>
      <c r="AV102" s="59">
        <v>0</v>
      </c>
      <c r="AW102" s="59">
        <v>0</v>
      </c>
      <c r="AX102" s="59">
        <v>0</v>
      </c>
      <c r="AY102" s="59">
        <v>0</v>
      </c>
      <c r="AZ102" s="59">
        <v>0</v>
      </c>
      <c r="BA102" s="59">
        <v>0</v>
      </c>
      <c r="BB102" s="59">
        <v>0</v>
      </c>
      <c r="BC102" s="59">
        <v>0</v>
      </c>
      <c r="BD102" s="59">
        <v>0</v>
      </c>
      <c r="BE102" s="59">
        <v>0</v>
      </c>
      <c r="BF102" s="59">
        <v>0</v>
      </c>
      <c r="BG102" s="59">
        <v>3253</v>
      </c>
      <c r="BH102" s="59">
        <v>0</v>
      </c>
      <c r="BI102" s="59">
        <v>0</v>
      </c>
      <c r="BJ102" s="59">
        <v>0</v>
      </c>
      <c r="BK102" s="59">
        <v>0</v>
      </c>
      <c r="BL102" s="59">
        <v>0</v>
      </c>
      <c r="BM102" s="59">
        <v>0</v>
      </c>
      <c r="BN102" s="59">
        <v>0</v>
      </c>
      <c r="BO102" s="59">
        <v>0</v>
      </c>
      <c r="BP102" s="59">
        <v>0</v>
      </c>
      <c r="BQ102" s="59">
        <v>0</v>
      </c>
      <c r="BR102" s="59">
        <v>0</v>
      </c>
      <c r="BS102" s="59">
        <v>0</v>
      </c>
      <c r="BT102" s="59">
        <v>0</v>
      </c>
      <c r="BU102" s="59">
        <v>0</v>
      </c>
      <c r="BV102" s="59">
        <v>0</v>
      </c>
      <c r="BW102" s="59">
        <v>0</v>
      </c>
      <c r="BX102" s="59">
        <v>0</v>
      </c>
      <c r="BY102" s="59">
        <v>0</v>
      </c>
      <c r="BZ102" s="59">
        <v>0</v>
      </c>
      <c r="CA102" s="59">
        <v>0</v>
      </c>
      <c r="CB102" s="59">
        <v>0</v>
      </c>
      <c r="CC102" s="59">
        <v>0</v>
      </c>
      <c r="CD102" s="59">
        <v>0</v>
      </c>
      <c r="CE102" s="59">
        <v>0</v>
      </c>
      <c r="CF102" s="59">
        <v>0</v>
      </c>
      <c r="CG102" s="59">
        <v>0</v>
      </c>
      <c r="CH102" s="59">
        <v>0</v>
      </c>
      <c r="CI102" s="59">
        <v>0</v>
      </c>
      <c r="CJ102" s="59">
        <v>0</v>
      </c>
      <c r="CK102" s="59">
        <v>0</v>
      </c>
      <c r="CL102" s="59">
        <v>0</v>
      </c>
      <c r="CM102" s="59">
        <v>0</v>
      </c>
      <c r="CN102" s="59">
        <v>0</v>
      </c>
      <c r="CO102" s="59">
        <v>0</v>
      </c>
      <c r="CP102" s="59">
        <v>0</v>
      </c>
      <c r="CQ102" s="59">
        <v>0</v>
      </c>
      <c r="CR102" s="59">
        <v>0</v>
      </c>
      <c r="CS102" s="59">
        <v>0</v>
      </c>
      <c r="CT102" s="59">
        <v>0</v>
      </c>
      <c r="CU102" s="59">
        <v>0</v>
      </c>
      <c r="CV102" s="59">
        <v>0</v>
      </c>
      <c r="CW102" s="59">
        <v>0</v>
      </c>
      <c r="CX102" s="59">
        <v>0</v>
      </c>
      <c r="CY102" s="59">
        <v>0</v>
      </c>
      <c r="CZ102" s="59">
        <v>0</v>
      </c>
      <c r="DA102" s="59">
        <v>0</v>
      </c>
      <c r="DB102" s="59">
        <v>0</v>
      </c>
      <c r="DC102" s="68">
        <v>0</v>
      </c>
    </row>
    <row r="103" spans="1:107" s="52" customFormat="1">
      <c r="A103" s="60" t="s">
        <v>98</v>
      </c>
      <c r="B103" s="61">
        <v>6380405.7599999998</v>
      </c>
      <c r="C103" s="61">
        <v>3467654.3</v>
      </c>
      <c r="D103" s="61">
        <v>46206.77</v>
      </c>
      <c r="E103" s="61">
        <v>144796.95000000001</v>
      </c>
      <c r="F103" s="61">
        <v>196812.59</v>
      </c>
      <c r="G103" s="61">
        <v>1420.07</v>
      </c>
      <c r="H103" s="61">
        <v>2618391.27</v>
      </c>
      <c r="I103" s="61">
        <v>170.75</v>
      </c>
      <c r="J103" s="61">
        <v>-547248.77</v>
      </c>
      <c r="K103" s="61">
        <v>2228.3000000000002</v>
      </c>
      <c r="L103" s="61">
        <v>230.19</v>
      </c>
      <c r="M103" s="61">
        <v>658.49</v>
      </c>
      <c r="N103" s="61">
        <v>0</v>
      </c>
      <c r="O103" s="61">
        <v>137.74</v>
      </c>
      <c r="P103" s="61">
        <v>42.45</v>
      </c>
      <c r="Q103" s="61">
        <v>0</v>
      </c>
      <c r="R103" s="61">
        <v>1232.08</v>
      </c>
      <c r="S103" s="61">
        <v>1262.73</v>
      </c>
      <c r="T103" s="61">
        <v>84.91</v>
      </c>
      <c r="U103" s="61">
        <v>438463.88</v>
      </c>
      <c r="V103" s="61">
        <v>0</v>
      </c>
      <c r="W103" s="61">
        <v>0</v>
      </c>
      <c r="X103" s="61">
        <v>101037.68</v>
      </c>
      <c r="Y103" s="61">
        <v>0</v>
      </c>
      <c r="Z103" s="61">
        <v>13379.6</v>
      </c>
      <c r="AA103" s="61">
        <v>0</v>
      </c>
      <c r="AB103" s="61">
        <v>9226.2900000000009</v>
      </c>
      <c r="AC103" s="61">
        <v>11303.67</v>
      </c>
      <c r="AD103" s="61">
        <v>9828.9599999999991</v>
      </c>
      <c r="AE103" s="61">
        <v>20.75</v>
      </c>
      <c r="AF103" s="61">
        <v>16339.01</v>
      </c>
      <c r="AG103" s="61">
        <v>13829.25</v>
      </c>
      <c r="AH103" s="61">
        <v>13075.43</v>
      </c>
      <c r="AI103" s="61">
        <v>2963.08</v>
      </c>
      <c r="AJ103" s="61">
        <v>7861.06</v>
      </c>
      <c r="AK103" s="61">
        <v>115917.33</v>
      </c>
      <c r="AL103" s="61">
        <v>79323.520000000004</v>
      </c>
      <c r="AM103" s="61">
        <v>1571.74</v>
      </c>
      <c r="AN103" s="61">
        <v>0</v>
      </c>
      <c r="AO103" s="61">
        <v>730.12</v>
      </c>
      <c r="AP103" s="61">
        <v>2503.46</v>
      </c>
      <c r="AQ103" s="61">
        <v>3949.5</v>
      </c>
      <c r="AR103" s="61">
        <v>2304.73</v>
      </c>
      <c r="AS103" s="61">
        <v>569.80999999999995</v>
      </c>
      <c r="AT103" s="61">
        <v>121721.17</v>
      </c>
      <c r="AU103" s="61">
        <v>124469.88</v>
      </c>
      <c r="AV103" s="61">
        <v>134111.65</v>
      </c>
      <c r="AW103" s="61">
        <v>115389.8</v>
      </c>
      <c r="AX103" s="61">
        <v>207698.34</v>
      </c>
      <c r="AY103" s="61">
        <v>123614.56</v>
      </c>
      <c r="AZ103" s="61">
        <v>58952.68</v>
      </c>
      <c r="BA103" s="61">
        <v>32304.26</v>
      </c>
      <c r="BB103" s="61">
        <v>137244.47</v>
      </c>
      <c r="BC103" s="61">
        <v>156363.57999999999</v>
      </c>
      <c r="BD103" s="61">
        <v>193946.61</v>
      </c>
      <c r="BE103" s="61">
        <v>138674.23999999999</v>
      </c>
      <c r="BF103" s="61">
        <v>215259.38</v>
      </c>
      <c r="BG103" s="61">
        <v>53899.34</v>
      </c>
      <c r="BH103" s="61">
        <v>85747.12</v>
      </c>
      <c r="BI103" s="61">
        <v>94593.82</v>
      </c>
      <c r="BJ103" s="61">
        <v>27848.54</v>
      </c>
      <c r="BK103" s="61">
        <v>73748.899999999994</v>
      </c>
      <c r="BL103" s="61">
        <v>34592.25</v>
      </c>
      <c r="BM103" s="61">
        <v>30512.639999999999</v>
      </c>
      <c r="BN103" s="61">
        <v>48649.36</v>
      </c>
      <c r="BO103" s="61">
        <v>16254.16</v>
      </c>
      <c r="BP103" s="61">
        <v>42528.15</v>
      </c>
      <c r="BQ103" s="61">
        <v>12312.16</v>
      </c>
      <c r="BR103" s="61">
        <v>24268.28</v>
      </c>
      <c r="BS103" s="61">
        <v>11798.28</v>
      </c>
      <c r="BT103" s="61">
        <v>20394.84</v>
      </c>
      <c r="BU103" s="61">
        <v>36138.83</v>
      </c>
      <c r="BV103" s="61">
        <v>28521.9</v>
      </c>
      <c r="BW103" s="61">
        <v>90106.9</v>
      </c>
      <c r="BX103" s="61">
        <v>15093.13</v>
      </c>
      <c r="BY103" s="61">
        <v>50952.18</v>
      </c>
      <c r="BZ103" s="61">
        <v>6744.49</v>
      </c>
      <c r="CA103" s="61">
        <v>5774.43</v>
      </c>
      <c r="CB103" s="61">
        <v>20625.88</v>
      </c>
      <c r="CC103" s="61">
        <v>146347.23000000001</v>
      </c>
      <c r="CD103" s="61">
        <v>61640.63</v>
      </c>
      <c r="CE103" s="61">
        <v>14193.67</v>
      </c>
      <c r="CF103" s="61">
        <v>37012.800000000003</v>
      </c>
      <c r="CG103" s="61">
        <v>70242.570000000007</v>
      </c>
      <c r="CH103" s="61">
        <v>12590.85</v>
      </c>
      <c r="CI103" s="61">
        <v>13313.59</v>
      </c>
      <c r="CJ103" s="61">
        <v>18798.63</v>
      </c>
      <c r="CK103" s="61">
        <v>11279.03</v>
      </c>
      <c r="CL103" s="61">
        <v>13612.54</v>
      </c>
      <c r="CM103" s="61">
        <v>12240.02</v>
      </c>
      <c r="CN103" s="61">
        <v>18466.93</v>
      </c>
      <c r="CO103" s="61">
        <v>15178.5</v>
      </c>
      <c r="CP103" s="61">
        <v>14996.3</v>
      </c>
      <c r="CQ103" s="61">
        <v>12186.76</v>
      </c>
      <c r="CR103" s="61">
        <v>11477.43</v>
      </c>
      <c r="CS103" s="61">
        <v>14525.57</v>
      </c>
      <c r="CT103" s="61">
        <v>10263.89</v>
      </c>
      <c r="CU103" s="61">
        <v>10252.9</v>
      </c>
      <c r="CV103" s="61">
        <v>13052.53</v>
      </c>
      <c r="CW103" s="61">
        <v>15349.34</v>
      </c>
      <c r="CX103" s="61">
        <v>32101.13</v>
      </c>
      <c r="CY103" s="61">
        <v>15656.02</v>
      </c>
      <c r="CZ103" s="61">
        <v>15818.39</v>
      </c>
      <c r="DA103" s="61">
        <v>37936.370000000003</v>
      </c>
      <c r="DB103" s="61">
        <v>182375.81</v>
      </c>
      <c r="DC103" s="66">
        <v>35831.050000000003</v>
      </c>
    </row>
    <row r="104" spans="1:107" s="52" customFormat="1">
      <c r="A104" s="62" t="s">
        <v>4</v>
      </c>
      <c r="B104" s="63">
        <v>58675776.130000003</v>
      </c>
      <c r="C104" s="63">
        <v>28111363.539999999</v>
      </c>
      <c r="D104" s="63">
        <v>10450396.039999999</v>
      </c>
      <c r="E104" s="63">
        <v>1538465.53</v>
      </c>
      <c r="F104" s="63">
        <v>1400772.61</v>
      </c>
      <c r="G104" s="63">
        <v>1027218.53</v>
      </c>
      <c r="H104" s="63">
        <v>11947219.609999999</v>
      </c>
      <c r="I104" s="63">
        <v>170461.64</v>
      </c>
      <c r="J104" s="63">
        <v>166706.35999999999</v>
      </c>
      <c r="K104" s="63">
        <v>406779.37</v>
      </c>
      <c r="L104" s="63">
        <v>166290.29</v>
      </c>
      <c r="M104" s="63">
        <v>262678.26</v>
      </c>
      <c r="N104" s="63">
        <v>31376.080000000002</v>
      </c>
      <c r="O104" s="63">
        <v>122663.53</v>
      </c>
      <c r="P104" s="63">
        <v>202060.61</v>
      </c>
      <c r="Q104" s="63">
        <v>191166.56</v>
      </c>
      <c r="R104" s="63">
        <v>224345.01</v>
      </c>
      <c r="S104" s="63">
        <v>502695.07</v>
      </c>
      <c r="T104" s="63">
        <v>377891.14</v>
      </c>
      <c r="U104" s="63">
        <v>1112001.3799999999</v>
      </c>
      <c r="V104" s="63">
        <v>64404.22</v>
      </c>
      <c r="W104" s="63">
        <v>6323.45</v>
      </c>
      <c r="X104" s="63">
        <v>255553.47</v>
      </c>
      <c r="Y104" s="63">
        <v>40534.32</v>
      </c>
      <c r="Z104" s="63">
        <v>773428.69</v>
      </c>
      <c r="AA104" s="63">
        <v>3776.58</v>
      </c>
      <c r="AB104" s="63">
        <v>-354285.23</v>
      </c>
      <c r="AC104" s="63">
        <v>255219.83</v>
      </c>
      <c r="AD104" s="63">
        <v>415059.85</v>
      </c>
      <c r="AE104" s="63">
        <v>149178.01999999999</v>
      </c>
      <c r="AF104" s="63">
        <v>298755.5</v>
      </c>
      <c r="AG104" s="63">
        <v>6490691.3799999999</v>
      </c>
      <c r="AH104" s="63">
        <v>1174097.3400000001</v>
      </c>
      <c r="AI104" s="63">
        <v>2486851.8199999998</v>
      </c>
      <c r="AJ104" s="63">
        <v>182223.34</v>
      </c>
      <c r="AK104" s="63">
        <v>948611.21</v>
      </c>
      <c r="AL104" s="63">
        <v>349907.17</v>
      </c>
      <c r="AM104" s="63">
        <v>102254.23</v>
      </c>
      <c r="AN104" s="63">
        <v>10273.959999999999</v>
      </c>
      <c r="AO104" s="63">
        <v>6097894.2599999998</v>
      </c>
      <c r="AP104" s="63">
        <v>347641.77</v>
      </c>
      <c r="AQ104" s="63">
        <v>223239.21</v>
      </c>
      <c r="AR104" s="63">
        <v>1329841.3799999999</v>
      </c>
      <c r="AS104" s="63">
        <v>284295.46000000002</v>
      </c>
      <c r="AT104" s="63">
        <v>889027.05</v>
      </c>
      <c r="AU104" s="63">
        <v>1068677.33</v>
      </c>
      <c r="AV104" s="63">
        <v>1159660.43</v>
      </c>
      <c r="AW104" s="63">
        <v>820165.2</v>
      </c>
      <c r="AX104" s="63">
        <v>1016115.34</v>
      </c>
      <c r="AY104" s="63">
        <v>898233.7</v>
      </c>
      <c r="AZ104" s="63">
        <v>346109.79</v>
      </c>
      <c r="BA104" s="63">
        <v>944693.34</v>
      </c>
      <c r="BB104" s="63">
        <v>452687.9</v>
      </c>
      <c r="BC104" s="63">
        <v>393315.56</v>
      </c>
      <c r="BD104" s="63">
        <v>1048661.6000000001</v>
      </c>
      <c r="BE104" s="63">
        <v>1099362.45</v>
      </c>
      <c r="BF104" s="63">
        <v>758864.18</v>
      </c>
      <c r="BG104" s="63">
        <v>492263.67</v>
      </c>
      <c r="BH104" s="63">
        <v>374278.67</v>
      </c>
      <c r="BI104" s="63">
        <v>400968.76</v>
      </c>
      <c r="BJ104" s="63">
        <v>404605.87</v>
      </c>
      <c r="BK104" s="63">
        <v>421336.62</v>
      </c>
      <c r="BL104" s="63">
        <v>272208.21999999997</v>
      </c>
      <c r="BM104" s="63">
        <v>236772.41</v>
      </c>
      <c r="BN104" s="63">
        <v>408554.29</v>
      </c>
      <c r="BO104" s="63">
        <v>411668.36</v>
      </c>
      <c r="BP104" s="63">
        <v>186368.58</v>
      </c>
      <c r="BQ104" s="63">
        <v>169147.95</v>
      </c>
      <c r="BR104" s="63">
        <v>90684.24</v>
      </c>
      <c r="BS104" s="63">
        <v>154935.04999999999</v>
      </c>
      <c r="BT104" s="63">
        <v>152088.04</v>
      </c>
      <c r="BU104" s="63">
        <v>278791.43</v>
      </c>
      <c r="BV104" s="63">
        <v>187328.91</v>
      </c>
      <c r="BW104" s="63">
        <v>1070665.8899999999</v>
      </c>
      <c r="BX104" s="63">
        <v>64655.57</v>
      </c>
      <c r="BY104" s="63">
        <v>209518.97</v>
      </c>
      <c r="BZ104" s="63">
        <v>72363</v>
      </c>
      <c r="CA104" s="63">
        <v>80230.31</v>
      </c>
      <c r="CB104" s="63">
        <v>122183.9</v>
      </c>
      <c r="CC104" s="63">
        <v>457376.81</v>
      </c>
      <c r="CD104" s="63">
        <v>583074.56999999995</v>
      </c>
      <c r="CE104" s="63">
        <v>79002.39</v>
      </c>
      <c r="CF104" s="63">
        <v>65963.92</v>
      </c>
      <c r="CG104" s="63">
        <v>118130.92</v>
      </c>
      <c r="CH104" s="63">
        <v>37960.449999999997</v>
      </c>
      <c r="CI104" s="63">
        <v>84719.41</v>
      </c>
      <c r="CJ104" s="63">
        <v>61166.15</v>
      </c>
      <c r="CK104" s="63">
        <v>47488.36</v>
      </c>
      <c r="CL104" s="63">
        <v>36579.11</v>
      </c>
      <c r="CM104" s="63">
        <v>58671.93</v>
      </c>
      <c r="CN104" s="63">
        <v>32365.35</v>
      </c>
      <c r="CO104" s="63">
        <v>30147.14</v>
      </c>
      <c r="CP104" s="63">
        <v>51965.1</v>
      </c>
      <c r="CQ104" s="63">
        <v>65384.84</v>
      </c>
      <c r="CR104" s="63">
        <v>37965.760000000002</v>
      </c>
      <c r="CS104" s="63">
        <v>47348.959999999999</v>
      </c>
      <c r="CT104" s="63">
        <v>37666.44</v>
      </c>
      <c r="CU104" s="63">
        <v>40138.86</v>
      </c>
      <c r="CV104" s="63">
        <v>33097.81</v>
      </c>
      <c r="CW104" s="63">
        <v>49525.62</v>
      </c>
      <c r="CX104" s="63">
        <v>83169.850000000006</v>
      </c>
      <c r="CY104" s="63">
        <v>67581.009999999995</v>
      </c>
      <c r="CZ104" s="63">
        <v>48773.93</v>
      </c>
      <c r="DA104" s="63">
        <v>69030.31</v>
      </c>
      <c r="DB104" s="63">
        <v>205698.72</v>
      </c>
      <c r="DC104" s="67">
        <v>141265.16</v>
      </c>
    </row>
  </sheetData>
  <phoneticPr fontId="36"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1"/>
  <sheetViews>
    <sheetView workbookViewId="0">
      <pane xSplit="1" ySplit="2" topLeftCell="G6" activePane="bottomRight" state="frozen"/>
      <selection pane="topRight"/>
      <selection pane="bottomLeft"/>
      <selection pane="bottomRight" activeCell="J9" sqref="J9"/>
    </sheetView>
  </sheetViews>
  <sheetFormatPr defaultColWidth="9" defaultRowHeight="13.5"/>
  <cols>
    <col min="1" max="1" width="23.375" customWidth="1"/>
    <col min="2" max="7" width="9.75" customWidth="1"/>
    <col min="8" max="10" width="16.375" customWidth="1"/>
    <col min="11" max="12" width="9.75" customWidth="1"/>
    <col min="13" max="13" width="16.375" customWidth="1"/>
    <col min="14" max="17" width="9.75" customWidth="1"/>
    <col min="18" max="18" width="14.375" customWidth="1"/>
    <col min="19" max="19" width="11.5" customWidth="1"/>
    <col min="20" max="20" width="11.75" customWidth="1"/>
    <col min="21" max="28" width="9.75" customWidth="1"/>
    <col min="32" max="46" width="9" style="2"/>
  </cols>
  <sheetData>
    <row r="1" spans="1:31">
      <c r="A1" s="29" t="s">
        <v>71</v>
      </c>
    </row>
    <row r="2" spans="1:31" s="2" customFormat="1">
      <c r="A2" s="17" t="s">
        <v>3</v>
      </c>
      <c r="B2" s="18" t="str">
        <f>累计利润调整表!B3</f>
        <v>合计</v>
      </c>
      <c r="C2" s="18" t="str">
        <f>累计利润调整表!C3</f>
        <v>其他</v>
      </c>
      <c r="D2" s="18" t="str">
        <f>累计利润调整表!D3</f>
        <v>总部中后台</v>
      </c>
      <c r="E2" s="18" t="str">
        <f>累计利润调整表!E3</f>
        <v>经纪业务部</v>
      </c>
      <c r="F2" s="18" t="e">
        <f>累计利润调整表!#REF!</f>
        <v>#REF!</v>
      </c>
      <c r="G2" s="18" t="str">
        <f>累计利润调整表!F3</f>
        <v>资产管理部</v>
      </c>
      <c r="H2" s="18" t="str">
        <f>累计利润调整表!G3</f>
        <v>权益投资小计</v>
      </c>
      <c r="I2" s="18" t="str">
        <f>累计利润调整表!H3</f>
        <v>权益产品投资部</v>
      </c>
      <c r="J2" s="18" t="str">
        <f>累计利润调整表!I3</f>
        <v>量化产品投资部</v>
      </c>
      <c r="K2" s="18" t="str">
        <f>累计利润调整表!J3</f>
        <v>证券投资部</v>
      </c>
      <c r="L2" s="18" t="str">
        <f>累计利润调整表!L3</f>
        <v>固定收益投资部</v>
      </c>
      <c r="M2" s="18" t="str">
        <f>累计利润调整表!M3</f>
        <v>固定收益市场部</v>
      </c>
      <c r="N2" s="18" t="str">
        <f>累计利润调整表!O3</f>
        <v>投顾业务部</v>
      </c>
      <c r="O2" s="18" t="str">
        <f>累计利润调整表!P3</f>
        <v>深分投资小计</v>
      </c>
      <c r="P2" s="18" t="str">
        <f>累计利润调整表!Q3</f>
        <v>做市业务部</v>
      </c>
      <c r="Q2" s="18" t="str">
        <f>累计利润调整表!R3</f>
        <v>金融衍生品部</v>
      </c>
      <c r="R2" s="18" t="str">
        <f>累计利润调整表!S3</f>
        <v>深圳管理部</v>
      </c>
      <c r="S2" s="18" t="str">
        <f>累计利润调整表!T3</f>
        <v>投资银行合计</v>
      </c>
      <c r="T2" s="18" t="str">
        <f>累计利润调整表!U3</f>
        <v>投资银行一部</v>
      </c>
      <c r="U2" s="18" t="str">
        <f>累计利润调整表!V3</f>
        <v>投资银行二部</v>
      </c>
      <c r="V2" s="18" t="str">
        <f>累计利润调整表!W3</f>
        <v>投资银行三部</v>
      </c>
      <c r="W2" s="18" t="str">
        <f>累计利润调整表!X3</f>
        <v>投资银行四部</v>
      </c>
      <c r="X2" s="18" t="str">
        <f>累计利润调整表!Y3</f>
        <v>投资银行北京一部</v>
      </c>
      <c r="Y2" s="18" t="str">
        <f>累计利润调整表!Z3</f>
        <v>投资银行北京二部</v>
      </c>
      <c r="Z2" s="18" t="str">
        <f>累计利润调整表!AA3</f>
        <v>投资银行深圳一部（筹）</v>
      </c>
      <c r="AA2" s="18" t="str">
        <f>累计利润调整表!AB3</f>
        <v>投资银行管理部</v>
      </c>
      <c r="AB2" s="18" t="str">
        <f>累计利润调整表!AC3</f>
        <v>运营支持部</v>
      </c>
      <c r="AC2" s="18"/>
      <c r="AD2" s="18"/>
      <c r="AE2" s="18"/>
    </row>
    <row r="3" spans="1:31" ht="14.25">
      <c r="A3" s="30" t="s">
        <v>31</v>
      </c>
      <c r="B3" s="30">
        <f>累计利润调整表!B67/10000</f>
        <v>-2240.7894100000021</v>
      </c>
      <c r="C3" s="30">
        <f>累计利润调整表!C67/10000</f>
        <v>-4874.2174580000001</v>
      </c>
      <c r="D3" s="31">
        <f>累计利润调整表!D67/10000</f>
        <v>-3189.1820670000002</v>
      </c>
      <c r="E3" s="30">
        <f>累计利润调整表!E67/10000</f>
        <v>8751.830258666665</v>
      </c>
      <c r="F3" s="30" t="e">
        <f>累计利润调整表!#REF!/10000</f>
        <v>#REF!</v>
      </c>
      <c r="G3" s="30">
        <f>累计利润调整表!F67/10000</f>
        <v>88.568761526261824</v>
      </c>
      <c r="H3" s="30">
        <f>累计利润调整表!G67/10000</f>
        <v>-3889.8917905818671</v>
      </c>
      <c r="I3" s="30">
        <f>累计利润调整表!H67/10000</f>
        <v>-7055.7970313333335</v>
      </c>
      <c r="J3" s="30">
        <f>累计利润调整表!I67/10000</f>
        <v>-204.17486400000001</v>
      </c>
      <c r="K3" s="30">
        <f>累计利润调整表!J67/10000</f>
        <v>3370.0801047514669</v>
      </c>
      <c r="L3" s="30">
        <f>累计利润调整表!L67/10000</f>
        <v>1247.3762287594125</v>
      </c>
      <c r="M3" s="30">
        <f>累计利润调整表!M67/10000</f>
        <v>1094.8878381272889</v>
      </c>
      <c r="N3" s="30">
        <f>累计利润调整表!O67/10000</f>
        <v>112.49214599999999</v>
      </c>
      <c r="O3" s="30">
        <f>累计利润调整表!P67/10000</f>
        <v>-1856.4001291644302</v>
      </c>
      <c r="P3" s="30">
        <f>累计利润调整表!Q67/10000</f>
        <v>-2046.6327608828171</v>
      </c>
      <c r="Q3" s="30">
        <f>累计利润调整表!R67/10000</f>
        <v>190.23263171838707</v>
      </c>
      <c r="R3" s="30">
        <f>累计利润调整表!S67/10000</f>
        <v>-5.0000000000000001E-3</v>
      </c>
      <c r="S3" s="30">
        <f>累计利润调整表!T67/10000</f>
        <v>37.092489999999998</v>
      </c>
      <c r="T3" s="30">
        <f>累计利润调整表!U67/10000</f>
        <v>-10.479650999999999</v>
      </c>
      <c r="U3" s="30">
        <f>累计利润调整表!V67/10000</f>
        <v>0</v>
      </c>
      <c r="V3" s="30">
        <f>累计利润调整表!W67/10000</f>
        <v>47.571981000000001</v>
      </c>
      <c r="W3" s="30">
        <f>累计利润调整表!X67/10000</f>
        <v>0</v>
      </c>
      <c r="X3" s="30">
        <f>累计利润调整表!Y67/10000</f>
        <v>0</v>
      </c>
      <c r="Y3" s="30">
        <f>累计利润调整表!Z67/10000</f>
        <v>1.6000000000000001E-4</v>
      </c>
      <c r="Z3" s="30">
        <f>累计利润调整表!AA67/10000</f>
        <v>0</v>
      </c>
      <c r="AA3" s="30">
        <f>累计利润调整表!AB67/10000</f>
        <v>0</v>
      </c>
      <c r="AB3" s="30">
        <f>累计利润调整表!AC67/10000</f>
        <v>0</v>
      </c>
      <c r="AC3" s="30"/>
      <c r="AD3" s="30"/>
      <c r="AE3" s="30"/>
    </row>
    <row r="4" spans="1:31">
      <c r="A4" s="32" t="s">
        <v>58</v>
      </c>
      <c r="B4" s="33">
        <f>累计利润调整表!B68/10000</f>
        <v>4805.8083999999999</v>
      </c>
      <c r="C4" s="33">
        <f>累计利润调整表!C68/10000</f>
        <v>22.405660999999998</v>
      </c>
      <c r="D4" s="33">
        <f>累计利润调整表!D68/10000</f>
        <v>-4.6026610000000003</v>
      </c>
      <c r="E4" s="33">
        <f>累计利润调整表!E68/10000</f>
        <v>4319.3075140000001</v>
      </c>
      <c r="F4" s="33" t="e">
        <f>累计利润调整表!#REF!/10000</f>
        <v>#REF!</v>
      </c>
      <c r="G4" s="33">
        <f>累计利润调整表!F68/10000</f>
        <v>71.43417485959516</v>
      </c>
      <c r="H4" s="33">
        <f>累计利润调整表!G68/10000</f>
        <v>239.14596741813332</v>
      </c>
      <c r="I4" s="33">
        <f>累计利润调整表!H68/10000</f>
        <v>203.039658</v>
      </c>
      <c r="J4" s="33">
        <f>累计利润调整表!I68/10000</f>
        <v>53.198643999999994</v>
      </c>
      <c r="K4" s="33">
        <f>累计利润调整表!J68/10000</f>
        <v>-17.092334581866663</v>
      </c>
      <c r="L4" s="33">
        <f>累计利润调整表!L68/10000</f>
        <v>-51.584526240587493</v>
      </c>
      <c r="M4" s="33">
        <f>累计利润调整表!M68/10000</f>
        <v>1.9596761272891134</v>
      </c>
      <c r="N4" s="33">
        <f>累计利润调整表!O68/10000</f>
        <v>61.338885000000012</v>
      </c>
      <c r="O4" s="33">
        <f>累计利润调整表!P68/10000</f>
        <v>-7.6183121644301082</v>
      </c>
      <c r="P4" s="33">
        <f>累计利润调整表!Q68/10000</f>
        <v>-5.0683028828172034</v>
      </c>
      <c r="Q4" s="33">
        <f>累计利润调整表!R68/10000</f>
        <v>-2.5500092816129034</v>
      </c>
      <c r="R4" s="33">
        <f>累计利润调整表!S68/10000</f>
        <v>-5.0000000000000001E-3</v>
      </c>
      <c r="S4" s="33">
        <f>累计利润调整表!T68/10000</f>
        <v>37.092329999999997</v>
      </c>
      <c r="T4" s="33">
        <f>累计利润调整表!U68/10000</f>
        <v>-10.479650999999999</v>
      </c>
      <c r="U4" s="33">
        <f>累计利润调整表!V68/10000</f>
        <v>0</v>
      </c>
      <c r="V4" s="33">
        <f>累计利润调整表!W68/10000</f>
        <v>47.571981000000001</v>
      </c>
      <c r="W4" s="33">
        <f>累计利润调整表!X68/10000</f>
        <v>0</v>
      </c>
      <c r="X4" s="33">
        <f>累计利润调整表!Y68/10000</f>
        <v>0</v>
      </c>
      <c r="Y4" s="33">
        <f>累计利润调整表!Z68/10000</f>
        <v>0</v>
      </c>
      <c r="Z4" s="33">
        <f>累计利润调整表!AA68/10000</f>
        <v>0</v>
      </c>
      <c r="AA4" s="33">
        <f>累计利润调整表!AB68/10000</f>
        <v>0</v>
      </c>
      <c r="AB4" s="33">
        <f>累计利润调整表!AC68/10000</f>
        <v>0</v>
      </c>
      <c r="AC4" s="33"/>
      <c r="AD4" s="33"/>
      <c r="AE4" s="33"/>
    </row>
    <row r="5" spans="1:31">
      <c r="A5" s="34" t="s">
        <v>33</v>
      </c>
      <c r="B5" s="34">
        <f>累计利润调整表!B69/10000</f>
        <v>4327.1482589999996</v>
      </c>
      <c r="C5" s="34">
        <f>累计利润调整表!C69/10000</f>
        <v>0</v>
      </c>
      <c r="D5" s="34">
        <f>累计利润调整表!D69/10000</f>
        <v>0</v>
      </c>
      <c r="E5" s="34">
        <f>累计利润调整表!E69/10000</f>
        <v>4319.4041120000002</v>
      </c>
      <c r="F5" s="34" t="e">
        <f>累计利润调整表!#REF!/10000</f>
        <v>#REF!</v>
      </c>
      <c r="G5" s="34">
        <f>累计利润调整表!F69/10000</f>
        <v>5.3003999999999996E-2</v>
      </c>
      <c r="H5" s="34">
        <f>累计利润调整表!G69/10000</f>
        <v>7.6911429999999994</v>
      </c>
      <c r="I5" s="34">
        <f>累计利润调整表!H69/10000</f>
        <v>0</v>
      </c>
      <c r="J5" s="34">
        <f>累计利润调整表!I69/10000</f>
        <v>7.6911429999999994</v>
      </c>
      <c r="K5" s="34">
        <f>累计利润调整表!J69/10000</f>
        <v>0</v>
      </c>
      <c r="L5" s="34">
        <f>累计利润调整表!L69/10000</f>
        <v>0</v>
      </c>
      <c r="M5" s="34">
        <f>累计利润调整表!M69/10000</f>
        <v>0</v>
      </c>
      <c r="N5" s="34">
        <f>累计利润调整表!O69/10000</f>
        <v>0</v>
      </c>
      <c r="O5" s="34">
        <f>累计利润调整表!P69/10000</f>
        <v>0</v>
      </c>
      <c r="P5" s="34">
        <f>累计利润调整表!Q69/10000</f>
        <v>0</v>
      </c>
      <c r="Q5" s="34">
        <f>累计利润调整表!R69/10000</f>
        <v>0</v>
      </c>
      <c r="R5" s="34">
        <f>累计利润调整表!S69/10000</f>
        <v>0</v>
      </c>
      <c r="S5" s="34">
        <f>累计利润调整表!T69/10000</f>
        <v>0</v>
      </c>
      <c r="T5" s="34">
        <f>累计利润调整表!U69/10000</f>
        <v>0</v>
      </c>
      <c r="U5" s="34">
        <f>累计利润调整表!V69/10000</f>
        <v>0</v>
      </c>
      <c r="V5" s="34">
        <f>累计利润调整表!W69/10000</f>
        <v>0</v>
      </c>
      <c r="W5" s="34">
        <f>累计利润调整表!X69/10000</f>
        <v>0</v>
      </c>
      <c r="X5" s="34">
        <f>累计利润调整表!Y69/10000</f>
        <v>0</v>
      </c>
      <c r="Y5" s="34">
        <f>累计利润调整表!Z69/10000</f>
        <v>0</v>
      </c>
      <c r="Z5" s="34">
        <f>累计利润调整表!AA69/10000</f>
        <v>0</v>
      </c>
      <c r="AA5" s="34">
        <f>累计利润调整表!AB69/10000</f>
        <v>0</v>
      </c>
      <c r="AB5" s="34">
        <f>累计利润调整表!AC69/10000</f>
        <v>0</v>
      </c>
      <c r="AC5" s="34"/>
      <c r="AD5" s="34"/>
      <c r="AE5" s="34"/>
    </row>
    <row r="6" spans="1:31">
      <c r="A6" s="34" t="s">
        <v>34</v>
      </c>
      <c r="B6" s="34">
        <f>累计利润调整表!B70/10000</f>
        <v>59.497990999999992</v>
      </c>
      <c r="C6" s="34">
        <f>累计利润调整表!C70/10000</f>
        <v>22.405660999999998</v>
      </c>
      <c r="D6" s="34">
        <f>累计利润调整表!D70/10000</f>
        <v>0</v>
      </c>
      <c r="E6" s="34">
        <f>累计利润调整表!E70/10000</f>
        <v>0</v>
      </c>
      <c r="F6" s="34" t="e">
        <f>累计利润调整表!#REF!/10000</f>
        <v>#REF!</v>
      </c>
      <c r="G6" s="34">
        <f>累计利润调整表!F70/10000</f>
        <v>0</v>
      </c>
      <c r="H6" s="34">
        <f>累计利润调整表!G70/10000</f>
        <v>0</v>
      </c>
      <c r="I6" s="34">
        <f>累计利润调整表!H70/10000</f>
        <v>0</v>
      </c>
      <c r="J6" s="34">
        <f>累计利润调整表!I70/10000</f>
        <v>0</v>
      </c>
      <c r="K6" s="34">
        <f>累计利润调整表!J70/10000</f>
        <v>0</v>
      </c>
      <c r="L6" s="34">
        <f>累计利润调整表!L70/10000</f>
        <v>0</v>
      </c>
      <c r="M6" s="34">
        <f>累计利润调整表!M70/10000</f>
        <v>0</v>
      </c>
      <c r="N6" s="34">
        <f>累计利润调整表!O70/10000</f>
        <v>0</v>
      </c>
      <c r="O6" s="34">
        <f>累计利润调整表!P70/10000</f>
        <v>0</v>
      </c>
      <c r="P6" s="34">
        <f>累计利润调整表!Q70/10000</f>
        <v>0</v>
      </c>
      <c r="Q6" s="34">
        <f>累计利润调整表!R70/10000</f>
        <v>0</v>
      </c>
      <c r="R6" s="34">
        <f>累计利润调整表!S70/10000</f>
        <v>0</v>
      </c>
      <c r="S6" s="34">
        <f>累计利润调整表!T70/10000</f>
        <v>37.092329999999997</v>
      </c>
      <c r="T6" s="34">
        <f>累计利润调整表!U70/10000</f>
        <v>-10.479650999999999</v>
      </c>
      <c r="U6" s="34">
        <f>累计利润调整表!V70/10000</f>
        <v>0</v>
      </c>
      <c r="V6" s="34">
        <f>累计利润调整表!W70/10000</f>
        <v>47.571981000000001</v>
      </c>
      <c r="W6" s="34">
        <f>累计利润调整表!X70/10000</f>
        <v>0</v>
      </c>
      <c r="X6" s="34">
        <f>累计利润调整表!Y70/10000</f>
        <v>0</v>
      </c>
      <c r="Y6" s="34">
        <f>累计利润调整表!Z70/10000</f>
        <v>0</v>
      </c>
      <c r="Z6" s="34">
        <f>累计利润调整表!AA70/10000</f>
        <v>0</v>
      </c>
      <c r="AA6" s="34">
        <f>累计利润调整表!AB70/10000</f>
        <v>0</v>
      </c>
      <c r="AB6" s="34">
        <f>累计利润调整表!AC70/10000</f>
        <v>0</v>
      </c>
      <c r="AC6" s="34"/>
      <c r="AD6" s="34"/>
      <c r="AE6" s="34"/>
    </row>
    <row r="7" spans="1:31">
      <c r="A7" s="34" t="s">
        <v>35</v>
      </c>
      <c r="B7" s="34">
        <f>累计利润调整表!B71/10000</f>
        <v>463.57460900000001</v>
      </c>
      <c r="C7" s="34">
        <f>累计利润调整表!C71/10000</f>
        <v>0</v>
      </c>
      <c r="D7" s="34">
        <f>累计利润调整表!D71/10000</f>
        <v>0</v>
      </c>
      <c r="E7" s="34">
        <f>累计利润调整表!E71/10000</f>
        <v>1.168868</v>
      </c>
      <c r="F7" s="34" t="e">
        <f>累计利润调整表!#REF!/10000</f>
        <v>#REF!</v>
      </c>
      <c r="G7" s="34">
        <f>累计利润调整表!F71/10000</f>
        <v>71.381170859595159</v>
      </c>
      <c r="H7" s="34">
        <f>累计利润调整表!G71/10000</f>
        <v>231.45482441813331</v>
      </c>
      <c r="I7" s="34">
        <f>累计利润调整表!H71/10000</f>
        <v>203.039658</v>
      </c>
      <c r="J7" s="34">
        <f>累计利润调整表!I71/10000</f>
        <v>45.507500999999998</v>
      </c>
      <c r="K7" s="34">
        <f>累计利润调整表!J71/10000</f>
        <v>-17.092334581866663</v>
      </c>
      <c r="L7" s="34">
        <f>累计利润调整表!L71/10000</f>
        <v>-0.70153524058749972</v>
      </c>
      <c r="M7" s="34">
        <f>累计利润调整表!M71/10000</f>
        <v>-0.87248087271088648</v>
      </c>
      <c r="N7" s="34">
        <f>累计利润调整表!O71/10000</f>
        <v>51.827383000000005</v>
      </c>
      <c r="O7" s="34">
        <f>累计利润调整表!P71/10000</f>
        <v>-7.6183121644301082</v>
      </c>
      <c r="P7" s="34">
        <f>累计利润调整表!Q71/10000</f>
        <v>-5.0683028828172034</v>
      </c>
      <c r="Q7" s="34">
        <f>累计利润调整表!R71/10000</f>
        <v>-2.5500092816129034</v>
      </c>
      <c r="R7" s="34">
        <f>累计利润调整表!S71/10000</f>
        <v>0</v>
      </c>
      <c r="S7" s="34">
        <f>累计利润调整表!T71/10000</f>
        <v>0</v>
      </c>
      <c r="T7" s="34">
        <f>累计利润调整表!U71/10000</f>
        <v>0</v>
      </c>
      <c r="U7" s="34">
        <f>累计利润调整表!V71/10000</f>
        <v>0</v>
      </c>
      <c r="V7" s="34">
        <f>累计利润调整表!W71/10000</f>
        <v>0</v>
      </c>
      <c r="W7" s="34">
        <f>累计利润调整表!X71/10000</f>
        <v>0</v>
      </c>
      <c r="X7" s="34">
        <f>累计利润调整表!Y71/10000</f>
        <v>0</v>
      </c>
      <c r="Y7" s="34">
        <f>累计利润调整表!Z71/10000</f>
        <v>0</v>
      </c>
      <c r="Z7" s="34">
        <f>累计利润调整表!AA71/10000</f>
        <v>0</v>
      </c>
      <c r="AA7" s="34">
        <f>累计利润调整表!AB71/10000</f>
        <v>0</v>
      </c>
      <c r="AB7" s="34">
        <f>累计利润调整表!AC71/10000</f>
        <v>0</v>
      </c>
      <c r="AC7" s="34"/>
      <c r="AD7" s="34"/>
      <c r="AE7" s="34"/>
    </row>
    <row r="8" spans="1:31">
      <c r="A8" s="32" t="s">
        <v>59</v>
      </c>
      <c r="B8" s="32">
        <f>累计利润调整表!B72/10000</f>
        <v>1358.6661420000003</v>
      </c>
      <c r="C8" s="32">
        <f>累计利润调整表!C72/10000</f>
        <v>4.8999999999999998E-4</v>
      </c>
      <c r="D8" s="32">
        <f>累计利润调整表!D72/10000</f>
        <v>-3234.3942580000003</v>
      </c>
      <c r="E8" s="32">
        <f>累计利润调整表!E72/10000</f>
        <v>4337.3783110000004</v>
      </c>
      <c r="F8" s="32" t="e">
        <f>累计利润调整表!#REF!/10000</f>
        <v>#REF!</v>
      </c>
      <c r="G8" s="32">
        <f>累计利润调整表!F72/10000</f>
        <v>18.125651999999999</v>
      </c>
      <c r="H8" s="32">
        <f>累计利润调整表!G72/10000</f>
        <v>183.06171799999998</v>
      </c>
      <c r="I8" s="32">
        <f>累计利润调整表!H72/10000</f>
        <v>0</v>
      </c>
      <c r="J8" s="32">
        <f>累计利润调整表!I72/10000</f>
        <v>0</v>
      </c>
      <c r="K8" s="32">
        <f>累计利润调整表!J72/10000</f>
        <v>183.06171799999998</v>
      </c>
      <c r="L8" s="32">
        <f>累计利润调整表!L72/10000</f>
        <v>0</v>
      </c>
      <c r="M8" s="32">
        <f>累计利润调整表!M72/10000</f>
        <v>43.905923000000001</v>
      </c>
      <c r="N8" s="32">
        <f>累计利润调整表!O72/10000</f>
        <v>0</v>
      </c>
      <c r="O8" s="32">
        <f>累计利润调整表!P72/10000</f>
        <v>10.588146</v>
      </c>
      <c r="P8" s="32">
        <f>累计利润调整表!Q72/10000</f>
        <v>0</v>
      </c>
      <c r="Q8" s="32">
        <f>累计利润调整表!R72/10000</f>
        <v>10.588146</v>
      </c>
      <c r="R8" s="32">
        <f>累计利润调整表!S72/10000</f>
        <v>0</v>
      </c>
      <c r="S8" s="32">
        <f>累计利润调整表!T72/10000</f>
        <v>1.6000000000000001E-4</v>
      </c>
      <c r="T8" s="32">
        <f>累计利润调整表!U72/10000</f>
        <v>0</v>
      </c>
      <c r="U8" s="32">
        <f>累计利润调整表!V72/10000</f>
        <v>0</v>
      </c>
      <c r="V8" s="32">
        <f>累计利润调整表!W72/10000</f>
        <v>0</v>
      </c>
      <c r="W8" s="32">
        <f>累计利润调整表!X72/10000</f>
        <v>0</v>
      </c>
      <c r="X8" s="32">
        <f>累计利润调整表!Y72/10000</f>
        <v>0</v>
      </c>
      <c r="Y8" s="32">
        <f>累计利润调整表!Z72/10000</f>
        <v>1.6000000000000001E-4</v>
      </c>
      <c r="Z8" s="32">
        <f>累计利润调整表!AA72/10000</f>
        <v>0</v>
      </c>
      <c r="AA8" s="32">
        <f>累计利润调整表!AB72/10000</f>
        <v>0</v>
      </c>
      <c r="AB8" s="32">
        <f>累计利润调整表!AC72/10000</f>
        <v>0</v>
      </c>
      <c r="AC8" s="32"/>
      <c r="AD8" s="32"/>
      <c r="AE8" s="32"/>
    </row>
    <row r="9" spans="1:31">
      <c r="A9" s="32" t="s">
        <v>37</v>
      </c>
      <c r="B9" s="32">
        <f>累计利润调整表!B73/10000</f>
        <v>-3048.984042</v>
      </c>
      <c r="C9" s="32">
        <f>累计利润调整表!C73/10000</f>
        <v>0</v>
      </c>
      <c r="D9" s="32">
        <f>累计利润调整表!D73/10000</f>
        <v>45.050753</v>
      </c>
      <c r="E9" s="32">
        <f>累计利润调整表!E73/10000</f>
        <v>10.415094</v>
      </c>
      <c r="F9" s="32" t="e">
        <f>累计利润调整表!#REF!/10000</f>
        <v>#REF!</v>
      </c>
      <c r="G9" s="32">
        <f>累计利润调整表!F73/10000</f>
        <v>0</v>
      </c>
      <c r="H9" s="32">
        <f>累计利润调整表!G73/10000</f>
        <v>1415.968897</v>
      </c>
      <c r="I9" s="32">
        <f>累计利润调整表!H73/10000</f>
        <v>0</v>
      </c>
      <c r="J9" s="32">
        <f>累计利润调整表!I73/10000</f>
        <v>0</v>
      </c>
      <c r="K9" s="32">
        <f>累计利润调整表!J73/10000</f>
        <v>1415.968897</v>
      </c>
      <c r="L9" s="32">
        <f>累计利润调整表!L73/10000</f>
        <v>437.73123399999997</v>
      </c>
      <c r="M9" s="32">
        <f>累计利润调整表!M73/10000</f>
        <v>-4890.7012679999998</v>
      </c>
      <c r="N9" s="32">
        <f>累计利润调整表!O73/10000</f>
        <v>0</v>
      </c>
      <c r="O9" s="32">
        <f>累计利润调整表!P73/10000</f>
        <v>-67.448751999999999</v>
      </c>
      <c r="P9" s="32">
        <f>累计利润调整表!Q73/10000</f>
        <v>-4.0055719999999999</v>
      </c>
      <c r="Q9" s="32">
        <f>累计利润调整表!R73/10000</f>
        <v>-63.443180000000005</v>
      </c>
      <c r="R9" s="32">
        <f>累计利润调整表!S73/10000</f>
        <v>0</v>
      </c>
      <c r="S9" s="32">
        <f>累计利润调整表!T73/10000</f>
        <v>0</v>
      </c>
      <c r="T9" s="32">
        <f>累计利润调整表!U73/10000</f>
        <v>0</v>
      </c>
      <c r="U9" s="32">
        <f>累计利润调整表!V73/10000</f>
        <v>0</v>
      </c>
      <c r="V9" s="32">
        <f>累计利润调整表!W73/10000</f>
        <v>0</v>
      </c>
      <c r="W9" s="32">
        <f>累计利润调整表!X73/10000</f>
        <v>0</v>
      </c>
      <c r="X9" s="32">
        <f>累计利润调整表!Y73/10000</f>
        <v>0</v>
      </c>
      <c r="Y9" s="32">
        <f>累计利润调整表!Z73/10000</f>
        <v>0</v>
      </c>
      <c r="Z9" s="32">
        <f>累计利润调整表!AA73/10000</f>
        <v>0</v>
      </c>
      <c r="AA9" s="32">
        <f>累计利润调整表!AB73/10000</f>
        <v>0</v>
      </c>
      <c r="AB9" s="32">
        <f>累计利润调整表!AC73/10000</f>
        <v>0</v>
      </c>
      <c r="AC9" s="32"/>
      <c r="AD9" s="32"/>
      <c r="AE9" s="32"/>
    </row>
    <row r="10" spans="1:31">
      <c r="A10" s="32" t="s">
        <v>60</v>
      </c>
      <c r="B10" s="32">
        <f>累计利润调整表!B74/10000</f>
        <v>0</v>
      </c>
      <c r="C10" s="32">
        <f>累计利润调整表!C74/10000</f>
        <v>0</v>
      </c>
      <c r="D10" s="32">
        <f>累计利润调整表!D74/10000</f>
        <v>0</v>
      </c>
      <c r="E10" s="32">
        <f>累计利润调整表!E74/10000</f>
        <v>0</v>
      </c>
      <c r="F10" s="32" t="e">
        <f>累计利润调整表!#REF!/10000</f>
        <v>#REF!</v>
      </c>
      <c r="G10" s="32">
        <f>累计利润调整表!F74/10000</f>
        <v>0</v>
      </c>
      <c r="H10" s="32">
        <f>累计利润调整表!G74/10000</f>
        <v>0</v>
      </c>
      <c r="I10" s="32">
        <f>累计利润调整表!H74/10000</f>
        <v>0</v>
      </c>
      <c r="J10" s="32">
        <f>累计利润调整表!I74/10000</f>
        <v>0</v>
      </c>
      <c r="K10" s="32">
        <f>累计利润调整表!J74/10000</f>
        <v>0</v>
      </c>
      <c r="L10" s="32">
        <f>累计利润调整表!L74/10000</f>
        <v>0</v>
      </c>
      <c r="M10" s="32">
        <f>累计利润调整表!M74/10000</f>
        <v>0</v>
      </c>
      <c r="N10" s="32">
        <f>累计利润调整表!O74/10000</f>
        <v>0</v>
      </c>
      <c r="O10" s="32">
        <f>累计利润调整表!P74/10000</f>
        <v>0</v>
      </c>
      <c r="P10" s="32">
        <f>累计利润调整表!Q74/10000</f>
        <v>0</v>
      </c>
      <c r="Q10" s="32">
        <f>累计利润调整表!R74/10000</f>
        <v>0</v>
      </c>
      <c r="R10" s="32">
        <f>累计利润调整表!S74/10000</f>
        <v>0</v>
      </c>
      <c r="S10" s="32">
        <f>累计利润调整表!T74/10000</f>
        <v>0</v>
      </c>
      <c r="T10" s="32">
        <f>累计利润调整表!U74/10000</f>
        <v>0</v>
      </c>
      <c r="U10" s="32">
        <f>累计利润调整表!V74/10000</f>
        <v>0</v>
      </c>
      <c r="V10" s="32">
        <f>累计利润调整表!W74/10000</f>
        <v>0</v>
      </c>
      <c r="W10" s="32">
        <f>累计利润调整表!X74/10000</f>
        <v>0</v>
      </c>
      <c r="X10" s="32">
        <f>累计利润调整表!Y74/10000</f>
        <v>0</v>
      </c>
      <c r="Y10" s="32">
        <f>累计利润调整表!Z74/10000</f>
        <v>0</v>
      </c>
      <c r="Z10" s="32">
        <f>累计利润调整表!AA74/10000</f>
        <v>0</v>
      </c>
      <c r="AA10" s="32">
        <f>累计利润调整表!AB74/10000</f>
        <v>0</v>
      </c>
      <c r="AB10" s="32">
        <f>累计利润调整表!AC74/10000</f>
        <v>0</v>
      </c>
      <c r="AC10" s="32"/>
      <c r="AD10" s="32"/>
      <c r="AE10" s="32"/>
    </row>
    <row r="11" spans="1:31">
      <c r="A11" s="32" t="s">
        <v>39</v>
      </c>
      <c r="B11" s="32">
        <f>累计利润调整表!B75/10000</f>
        <v>-5371.5725380000013</v>
      </c>
      <c r="C11" s="32">
        <f>累计利润调整表!C75/10000</f>
        <v>-4869.2227969999994</v>
      </c>
      <c r="D11" s="32">
        <f>累计利润调整表!D75/10000</f>
        <v>0</v>
      </c>
      <c r="E11" s="32">
        <f>累计利润调整表!E75/10000</f>
        <v>46.79999866666666</v>
      </c>
      <c r="F11" s="32" t="e">
        <f>累计利润调整表!#REF!/10000</f>
        <v>#REF!</v>
      </c>
      <c r="G11" s="32">
        <f>累计利润调整表!F75/10000</f>
        <v>-0.99106533333333335</v>
      </c>
      <c r="H11" s="32">
        <f>累计利润调整表!G75/10000</f>
        <v>-5728.0683730000001</v>
      </c>
      <c r="I11" s="32">
        <f>累计利润调整表!H75/10000</f>
        <v>-7258.8366893333332</v>
      </c>
      <c r="J11" s="32">
        <f>累计利润调整表!I75/10000</f>
        <v>-257.37350800000002</v>
      </c>
      <c r="K11" s="32">
        <f>累计利润调整表!J75/10000</f>
        <v>1788.1418243333335</v>
      </c>
      <c r="L11" s="32">
        <f>累计利润调整表!L75/10000</f>
        <v>861.22952100000009</v>
      </c>
      <c r="M11" s="32">
        <f>累计利润调整表!M75/10000</f>
        <v>5939.7235069999997</v>
      </c>
      <c r="N11" s="32">
        <f>累计利润调整表!O75/10000</f>
        <v>51.153261000000001</v>
      </c>
      <c r="O11" s="32">
        <f>累计利润调整表!P75/10000</f>
        <v>-1791.9212109999999</v>
      </c>
      <c r="P11" s="32">
        <f>累计利润调整表!Q75/10000</f>
        <v>-2037.558886</v>
      </c>
      <c r="Q11" s="32">
        <f>累计利润调整表!R75/10000</f>
        <v>245.637675</v>
      </c>
      <c r="R11" s="32">
        <f>累计利润调整表!S75/10000</f>
        <v>0</v>
      </c>
      <c r="S11" s="32">
        <f>累计利润调整表!T75/10000</f>
        <v>0</v>
      </c>
      <c r="T11" s="32">
        <f>累计利润调整表!U75/10000</f>
        <v>0</v>
      </c>
      <c r="U11" s="32">
        <f>累计利润调整表!V75/10000</f>
        <v>0</v>
      </c>
      <c r="V11" s="32">
        <f>累计利润调整表!W75/10000</f>
        <v>0</v>
      </c>
      <c r="W11" s="32">
        <f>累计利润调整表!X75/10000</f>
        <v>0</v>
      </c>
      <c r="X11" s="32">
        <f>累计利润调整表!Y75/10000</f>
        <v>0</v>
      </c>
      <c r="Y11" s="32">
        <f>累计利润调整表!Z75/10000</f>
        <v>0</v>
      </c>
      <c r="Z11" s="32">
        <f>累计利润调整表!AA75/10000</f>
        <v>0</v>
      </c>
      <c r="AA11" s="32">
        <f>累计利润调整表!AB75/10000</f>
        <v>0</v>
      </c>
      <c r="AB11" s="32">
        <f>累计利润调整表!AC75/10000</f>
        <v>0</v>
      </c>
      <c r="AC11" s="32"/>
      <c r="AD11" s="32"/>
      <c r="AE11" s="32"/>
    </row>
    <row r="12" spans="1:31">
      <c r="A12" s="32" t="s">
        <v>61</v>
      </c>
      <c r="B12" s="32">
        <f>累计利润调整表!B76/10000</f>
        <v>-42.249359000000005</v>
      </c>
      <c r="C12" s="32">
        <f>累计利润调整表!C76/10000</f>
        <v>0</v>
      </c>
      <c r="D12" s="32">
        <f>累计利润调整表!D76/10000</f>
        <v>4.7640989999999999</v>
      </c>
      <c r="E12" s="32">
        <f>累计利润调整表!E76/10000</f>
        <v>-47.013458</v>
      </c>
      <c r="F12" s="32" t="e">
        <f>累计利润调整表!#REF!/10000</f>
        <v>#REF!</v>
      </c>
      <c r="G12" s="32">
        <f>累计利润调整表!F76/10000</f>
        <v>0</v>
      </c>
      <c r="H12" s="32">
        <f>累计利润调整表!G76/10000</f>
        <v>0</v>
      </c>
      <c r="I12" s="32">
        <f>累计利润调整表!H76/10000</f>
        <v>0</v>
      </c>
      <c r="J12" s="32">
        <f>累计利润调整表!I76/10000</f>
        <v>0</v>
      </c>
      <c r="K12" s="32">
        <f>累计利润调整表!J76/10000</f>
        <v>0</v>
      </c>
      <c r="L12" s="32">
        <f>累计利润调整表!L76/10000</f>
        <v>0</v>
      </c>
      <c r="M12" s="32">
        <f>累计利润调整表!M76/10000</f>
        <v>0</v>
      </c>
      <c r="N12" s="32">
        <f>累计利润调整表!O76/10000</f>
        <v>0</v>
      </c>
      <c r="O12" s="32">
        <f>累计利润调整表!P76/10000</f>
        <v>0</v>
      </c>
      <c r="P12" s="32">
        <f>累计利润调整表!Q76/10000</f>
        <v>0</v>
      </c>
      <c r="Q12" s="32">
        <f>累计利润调整表!R76/10000</f>
        <v>0</v>
      </c>
      <c r="R12" s="32">
        <f>累计利润调整表!S76/10000</f>
        <v>0</v>
      </c>
      <c r="S12" s="32">
        <f>累计利润调整表!T76/10000</f>
        <v>0</v>
      </c>
      <c r="T12" s="32">
        <f>累计利润调整表!U76/10000</f>
        <v>0</v>
      </c>
      <c r="U12" s="32">
        <f>累计利润调整表!V76/10000</f>
        <v>0</v>
      </c>
      <c r="V12" s="32">
        <f>累计利润调整表!W76/10000</f>
        <v>0</v>
      </c>
      <c r="W12" s="32">
        <f>累计利润调整表!X76/10000</f>
        <v>0</v>
      </c>
      <c r="X12" s="32">
        <f>累计利润调整表!Y76/10000</f>
        <v>0</v>
      </c>
      <c r="Y12" s="32">
        <f>累计利润调整表!Z76/10000</f>
        <v>0</v>
      </c>
      <c r="Z12" s="32">
        <f>累计利润调整表!AA76/10000</f>
        <v>0</v>
      </c>
      <c r="AA12" s="32">
        <f>累计利润调整表!AB76/10000</f>
        <v>0</v>
      </c>
      <c r="AB12" s="32">
        <f>累计利润调整表!AC76/10000</f>
        <v>0</v>
      </c>
      <c r="AC12" s="32"/>
      <c r="AD12" s="32"/>
      <c r="AE12" s="32"/>
    </row>
    <row r="13" spans="1:31">
      <c r="A13" s="32" t="s">
        <v>62</v>
      </c>
      <c r="B13" s="32">
        <f>累计利润调整表!B77/10000</f>
        <v>57.541986999999999</v>
      </c>
      <c r="C13" s="32">
        <f>累计利润调整表!C77/10000</f>
        <v>-27.400811999999998</v>
      </c>
      <c r="D13" s="32">
        <f>累计利润调整表!D77/10000</f>
        <v>0</v>
      </c>
      <c r="E13" s="32">
        <f>累计利润调整表!E77/10000</f>
        <v>84.942798999999994</v>
      </c>
      <c r="F13" s="32" t="e">
        <f>累计利润调整表!#REF!/10000</f>
        <v>#REF!</v>
      </c>
      <c r="G13" s="32">
        <f>累计利润调整表!F77/10000</f>
        <v>0</v>
      </c>
      <c r="H13" s="32">
        <f>累计利润调整表!G77/10000</f>
        <v>0</v>
      </c>
      <c r="I13" s="32">
        <f>累计利润调整表!H77/10000</f>
        <v>0</v>
      </c>
      <c r="J13" s="32">
        <f>累计利润调整表!I77/10000</f>
        <v>0</v>
      </c>
      <c r="K13" s="32">
        <f>累计利润调整表!J77/10000</f>
        <v>0</v>
      </c>
      <c r="L13" s="32">
        <f>累计利润调整表!L77/10000</f>
        <v>0</v>
      </c>
      <c r="M13" s="32">
        <f>累计利润调整表!M77/10000</f>
        <v>0</v>
      </c>
      <c r="N13" s="32">
        <f>累计利润调整表!O77/10000</f>
        <v>0</v>
      </c>
      <c r="O13" s="32">
        <f>累计利润调整表!P77/10000</f>
        <v>0</v>
      </c>
      <c r="P13" s="32">
        <f>累计利润调整表!Q77/10000</f>
        <v>0</v>
      </c>
      <c r="Q13" s="32">
        <f>累计利润调整表!R77/10000</f>
        <v>0</v>
      </c>
      <c r="R13" s="32">
        <f>累计利润调整表!S77/10000</f>
        <v>0</v>
      </c>
      <c r="S13" s="32">
        <f>累计利润调整表!T77/10000</f>
        <v>0</v>
      </c>
      <c r="T13" s="32">
        <f>累计利润调整表!U77/10000</f>
        <v>0</v>
      </c>
      <c r="U13" s="32">
        <f>累计利润调整表!V77/10000</f>
        <v>0</v>
      </c>
      <c r="V13" s="32">
        <f>累计利润调整表!W77/10000</f>
        <v>0</v>
      </c>
      <c r="W13" s="32">
        <f>累计利润调整表!X77/10000</f>
        <v>0</v>
      </c>
      <c r="X13" s="32">
        <f>累计利润调整表!Y77/10000</f>
        <v>0</v>
      </c>
      <c r="Y13" s="32">
        <f>累计利润调整表!Z77/10000</f>
        <v>0</v>
      </c>
      <c r="Z13" s="32">
        <f>累计利润调整表!AA77/10000</f>
        <v>0</v>
      </c>
      <c r="AA13" s="32">
        <f>累计利润调整表!AB77/10000</f>
        <v>0</v>
      </c>
      <c r="AB13" s="32">
        <f>累计利润调整表!AC77/10000</f>
        <v>0</v>
      </c>
      <c r="AC13" s="32"/>
      <c r="AD13" s="32"/>
      <c r="AE13" s="32"/>
    </row>
    <row r="14" spans="1:31">
      <c r="A14" s="35" t="s">
        <v>42</v>
      </c>
      <c r="B14" s="36">
        <f>累计利润调整表!B78/10000</f>
        <v>0</v>
      </c>
      <c r="C14" s="36">
        <f>累计利润调整表!C78/10000</f>
        <v>0</v>
      </c>
      <c r="D14" s="36">
        <f>累计利润调整表!D78/10000</f>
        <v>0</v>
      </c>
      <c r="E14" s="36">
        <f>累计利润调整表!E78/10000</f>
        <v>0</v>
      </c>
      <c r="F14" s="36" t="e">
        <f>累计利润调整表!#REF!/10000</f>
        <v>#REF!</v>
      </c>
      <c r="G14" s="36">
        <f>累计利润调整表!F78/10000</f>
        <v>0</v>
      </c>
      <c r="H14" s="36">
        <f>累计利润调整表!G78/10000</f>
        <v>0</v>
      </c>
      <c r="I14" s="36">
        <f>累计利润调整表!H78/10000</f>
        <v>0</v>
      </c>
      <c r="J14" s="36">
        <f>累计利润调整表!I78/10000</f>
        <v>0</v>
      </c>
      <c r="K14" s="36">
        <f>累计利润调整表!J78/10000</f>
        <v>0</v>
      </c>
      <c r="L14" s="36">
        <f>累计利润调整表!L78/10000</f>
        <v>0</v>
      </c>
      <c r="M14" s="36">
        <f>累计利润调整表!M78/10000</f>
        <v>0</v>
      </c>
      <c r="N14" s="36">
        <f>累计利润调整表!O78/10000</f>
        <v>0</v>
      </c>
      <c r="O14" s="36">
        <f>累计利润调整表!P78/10000</f>
        <v>0</v>
      </c>
      <c r="P14" s="36">
        <f>累计利润调整表!Q78/10000</f>
        <v>0</v>
      </c>
      <c r="Q14" s="36">
        <f>累计利润调整表!R78/10000</f>
        <v>0</v>
      </c>
      <c r="R14" s="36">
        <f>累计利润调整表!S78/10000</f>
        <v>0</v>
      </c>
      <c r="S14" s="36">
        <f>累计利润调整表!T78/10000</f>
        <v>0</v>
      </c>
      <c r="T14" s="36">
        <f>累计利润调整表!U78/10000</f>
        <v>0</v>
      </c>
      <c r="U14" s="36">
        <f>累计利润调整表!V78/10000</f>
        <v>0</v>
      </c>
      <c r="V14" s="36">
        <f>累计利润调整表!W78/10000</f>
        <v>0</v>
      </c>
      <c r="W14" s="36">
        <f>累计利润调整表!X78/10000</f>
        <v>0</v>
      </c>
      <c r="X14" s="36">
        <f>累计利润调整表!Y78/10000</f>
        <v>0</v>
      </c>
      <c r="Y14" s="36">
        <f>累计利润调整表!Z78/10000</f>
        <v>0</v>
      </c>
      <c r="Z14" s="36">
        <f>累计利润调整表!AA78/10000</f>
        <v>0</v>
      </c>
      <c r="AA14" s="36">
        <f>累计利润调整表!AB78/10000</f>
        <v>0</v>
      </c>
      <c r="AB14" s="36">
        <f>累计利润调整表!AC78/10000</f>
        <v>0</v>
      </c>
      <c r="AC14" s="36"/>
      <c r="AD14" s="36"/>
      <c r="AE14" s="36"/>
    </row>
    <row r="15" spans="1:31">
      <c r="A15" s="33" t="s">
        <v>63</v>
      </c>
      <c r="B15" s="33">
        <f>累计利润调整表!B79/10000</f>
        <v>0</v>
      </c>
      <c r="C15" s="33">
        <f>累计利润调整表!C79/10000</f>
        <v>0</v>
      </c>
      <c r="D15" s="33">
        <f>累计利润调整表!D79/10000</f>
        <v>0</v>
      </c>
      <c r="E15" s="33">
        <f>累计利润调整表!E79/10000</f>
        <v>0</v>
      </c>
      <c r="F15" s="33" t="e">
        <f>累计利润调整表!#REF!/10000</f>
        <v>#REF!</v>
      </c>
      <c r="G15" s="33">
        <f>累计利润调整表!F79/10000</f>
        <v>0</v>
      </c>
      <c r="H15" s="33">
        <f>累计利润调整表!G79/10000</f>
        <v>0</v>
      </c>
      <c r="I15" s="33">
        <f>累计利润调整表!H79/10000</f>
        <v>0</v>
      </c>
      <c r="J15" s="33">
        <f>累计利润调整表!I79/10000</f>
        <v>0</v>
      </c>
      <c r="K15" s="33">
        <f>累计利润调整表!J79/10000</f>
        <v>0</v>
      </c>
      <c r="L15" s="33">
        <f>累计利润调整表!L79/10000</f>
        <v>0</v>
      </c>
      <c r="M15" s="33">
        <f>累计利润调整表!M79/10000</f>
        <v>0</v>
      </c>
      <c r="N15" s="33">
        <f>累计利润调整表!O79/10000</f>
        <v>0</v>
      </c>
      <c r="O15" s="33">
        <f>累计利润调整表!P79/10000</f>
        <v>0</v>
      </c>
      <c r="P15" s="33">
        <f>累计利润调整表!Q79/10000</f>
        <v>0</v>
      </c>
      <c r="Q15" s="33">
        <f>累计利润调整表!R79/10000</f>
        <v>0</v>
      </c>
      <c r="R15" s="33">
        <f>累计利润调整表!S79/10000</f>
        <v>0</v>
      </c>
      <c r="S15" s="33">
        <f>累计利润调整表!T79/10000</f>
        <v>0</v>
      </c>
      <c r="T15" s="33">
        <f>累计利润调整表!U79/10000</f>
        <v>0</v>
      </c>
      <c r="U15" s="33">
        <f>累计利润调整表!V79/10000</f>
        <v>0</v>
      </c>
      <c r="V15" s="33">
        <f>累计利润调整表!W79/10000</f>
        <v>0</v>
      </c>
      <c r="W15" s="33">
        <f>累计利润调整表!X79/10000</f>
        <v>0</v>
      </c>
      <c r="X15" s="33">
        <f>累计利润调整表!Y79/10000</f>
        <v>0</v>
      </c>
      <c r="Y15" s="33">
        <f>累计利润调整表!Z79/10000</f>
        <v>0</v>
      </c>
      <c r="Z15" s="33">
        <f>累计利润调整表!AA79/10000</f>
        <v>0</v>
      </c>
      <c r="AA15" s="33">
        <f>累计利润调整表!AB79/10000</f>
        <v>0</v>
      </c>
      <c r="AB15" s="33">
        <f>累计利润调整表!AC79/10000</f>
        <v>0</v>
      </c>
      <c r="AC15" s="33"/>
      <c r="AD15" s="33"/>
      <c r="AE15" s="33"/>
    </row>
    <row r="16" spans="1:31">
      <c r="A16" s="33" t="s">
        <v>64</v>
      </c>
      <c r="B16" s="33">
        <f>累计利润调整表!B80/10000</f>
        <v>4399.8526629999997</v>
      </c>
      <c r="C16" s="33">
        <f>累计利润调整表!C80/10000</f>
        <v>-189.12572600000001</v>
      </c>
      <c r="D16" s="33">
        <f>累计利润调整表!D80/10000</f>
        <v>870.95229599999993</v>
      </c>
      <c r="E16" s="33">
        <f>累计利润调整表!E80/10000</f>
        <v>2615.0567660000002</v>
      </c>
      <c r="F16" s="33" t="e">
        <f>累计利润调整表!#REF!/10000</f>
        <v>#REF!</v>
      </c>
      <c r="G16" s="33">
        <f>累计利润调整表!F80/10000</f>
        <v>29.427395000000001</v>
      </c>
      <c r="H16" s="33">
        <f>累计利润调整表!G80/10000</f>
        <v>184.24787800000001</v>
      </c>
      <c r="I16" s="33">
        <f>累计利润调整表!H80/10000</f>
        <v>38.935526000000003</v>
      </c>
      <c r="J16" s="33">
        <f>累计利润调整表!I80/10000</f>
        <v>27.564506999999999</v>
      </c>
      <c r="K16" s="33">
        <f>累计利润调整表!J80/10000</f>
        <v>117.747845</v>
      </c>
      <c r="L16" s="33">
        <f>累计利润调整表!L80/10000</f>
        <v>35.633204000000006</v>
      </c>
      <c r="M16" s="33">
        <f>累计利润调整表!M80/10000</f>
        <v>66.671971999999997</v>
      </c>
      <c r="N16" s="33">
        <f>累计利润调整表!O80/10000</f>
        <v>10.494196000000001</v>
      </c>
      <c r="O16" s="33">
        <f>累计利润调整表!P80/10000</f>
        <v>26.010262000000001</v>
      </c>
      <c r="P16" s="33">
        <f>累计利润调整表!Q80/10000</f>
        <v>-6.7461790000000041</v>
      </c>
      <c r="Q16" s="33">
        <f>累计利润调整表!R80/10000</f>
        <v>32.756441000000002</v>
      </c>
      <c r="R16" s="33">
        <f>累计利润调整表!S80/10000</f>
        <v>188.94247300000001</v>
      </c>
      <c r="S16" s="33">
        <f>累计利润调整表!T80/10000</f>
        <v>357.84965900000003</v>
      </c>
      <c r="T16" s="33">
        <f>累计利润调整表!U80/10000</f>
        <v>119.769373</v>
      </c>
      <c r="U16" s="50">
        <f>累计利润调整表!V80/10000</f>
        <v>102.882935</v>
      </c>
      <c r="V16" s="33">
        <f>累计利润调整表!W80/10000</f>
        <v>62.348104000000006</v>
      </c>
      <c r="W16" s="33">
        <f>累计利润调整表!X80/10000</f>
        <v>26.774805999999998</v>
      </c>
      <c r="X16" s="33">
        <f>累计利润调整表!Y80/10000</f>
        <v>29.740864000000002</v>
      </c>
      <c r="Y16" s="33">
        <f>累计利润调整表!Z80/10000</f>
        <v>16.333577000000002</v>
      </c>
      <c r="Z16" s="33">
        <f>累计利润调整表!AA80/10000</f>
        <v>0</v>
      </c>
      <c r="AA16" s="33">
        <f>累计利润调整表!AB80/10000</f>
        <v>59.947530000000008</v>
      </c>
      <c r="AB16" s="33">
        <f>累计利润调整表!AC80/10000</f>
        <v>88.845209999999994</v>
      </c>
      <c r="AC16" s="33"/>
      <c r="AD16" s="33"/>
      <c r="AE16" s="33"/>
    </row>
    <row r="17" spans="1:32">
      <c r="A17" s="33" t="s">
        <v>65</v>
      </c>
      <c r="B17" s="33">
        <f>累计利润调整表!B81/10000</f>
        <v>58.358953000000028</v>
      </c>
      <c r="C17" s="33">
        <f>累计利润调整表!C81/10000</f>
        <v>0.16132099999999999</v>
      </c>
      <c r="D17" s="33">
        <f>累计利润调整表!D81/10000</f>
        <v>-2.3972989999999998</v>
      </c>
      <c r="E17" s="33">
        <f>累计利润调整表!E81/10000</f>
        <v>67.578096000000002</v>
      </c>
      <c r="F17" s="33" t="e">
        <f>累计利润调整表!#REF!/10000</f>
        <v>#REF!</v>
      </c>
      <c r="G17" s="33">
        <f>累计利润调整表!F81/10000</f>
        <v>0.51370100000000007</v>
      </c>
      <c r="H17" s="33">
        <f>累计利润调整表!G81/10000</f>
        <v>11.748343</v>
      </c>
      <c r="I17" s="33">
        <f>累计利润调整表!H81/10000</f>
        <v>1.461149</v>
      </c>
      <c r="J17" s="33">
        <f>累计利润调整表!I81/10000</f>
        <v>0.381324</v>
      </c>
      <c r="K17" s="33">
        <f>累计利润调整表!J81/10000</f>
        <v>9.905870000000002</v>
      </c>
      <c r="L17" s="33">
        <f>累计利润调整表!L81/10000</f>
        <v>10.462493</v>
      </c>
      <c r="M17" s="33">
        <f>累计利润调整表!M81/10000</f>
        <v>-30.625654999999998</v>
      </c>
      <c r="N17" s="33">
        <f>累计利润调整表!O81/10000</f>
        <v>0.44099300000000002</v>
      </c>
      <c r="O17" s="33">
        <f>累计利润调整表!P81/10000</f>
        <v>-0.55381000000000002</v>
      </c>
      <c r="P17" s="33">
        <f>累计利润调整表!Q81/10000</f>
        <v>-6.6578999999999999E-2</v>
      </c>
      <c r="Q17" s="33">
        <f>累计利润调整表!R81/10000</f>
        <v>-0.48723099999999997</v>
      </c>
      <c r="R17" s="33">
        <f>累计利润调整表!S81/10000</f>
        <v>2E-3</v>
      </c>
      <c r="S17" s="33">
        <f>累计利润调整表!T81/10000</f>
        <v>0.21055300000000007</v>
      </c>
      <c r="T17" s="33">
        <f>累计利润调整表!U81/10000</f>
        <v>-8.6351999999999998E-2</v>
      </c>
      <c r="U17" s="33">
        <f>累计利润调整表!V81/10000</f>
        <v>-1.2720000000000027E-3</v>
      </c>
      <c r="V17" s="33">
        <f>累计利润调整表!W81/10000</f>
        <v>0.30680100000000005</v>
      </c>
      <c r="W17" s="33">
        <f>累计利润调整表!X81/10000</f>
        <v>-6.9899999999999997E-4</v>
      </c>
      <c r="X17" s="33">
        <f>累计利润调整表!Y81/10000</f>
        <v>-7.206999999999999E-3</v>
      </c>
      <c r="Y17" s="33">
        <f>累计利润调整表!Z81/10000</f>
        <v>-7.18E-4</v>
      </c>
      <c r="Z17" s="33">
        <f>累计利润调整表!AA81/10000</f>
        <v>0</v>
      </c>
      <c r="AA17" s="33">
        <f>累计利润调整表!AB81/10000</f>
        <v>-1.1495999999999999E-2</v>
      </c>
      <c r="AB17" s="33">
        <f>累计利润调整表!AC81/10000</f>
        <v>-1.2215999999999999E-2</v>
      </c>
      <c r="AC17" s="33"/>
      <c r="AD17" s="33"/>
      <c r="AE17" s="33"/>
    </row>
    <row r="18" spans="1:32">
      <c r="A18" s="33" t="s">
        <v>66</v>
      </c>
      <c r="B18" s="33">
        <f>累计利润调整表!B82/10000</f>
        <v>4303.1182839999992</v>
      </c>
      <c r="C18" s="33">
        <f>累计利润调整表!C82/10000</f>
        <v>-189.28704700000003</v>
      </c>
      <c r="D18" s="33">
        <f>累计利润调整表!D82/10000</f>
        <v>873.34959499999991</v>
      </c>
      <c r="E18" s="33">
        <f>累计利润调整表!E82/10000</f>
        <v>2509.1032439999999</v>
      </c>
      <c r="F18" s="33" t="e">
        <f>累计利润调整表!#REF!/10000</f>
        <v>#REF!</v>
      </c>
      <c r="G18" s="33">
        <f>累计利润调整表!F82/10000</f>
        <v>28.913694</v>
      </c>
      <c r="H18" s="33">
        <f>累计利润调整表!G82/10000</f>
        <v>172.49953500000001</v>
      </c>
      <c r="I18" s="33">
        <f>累计利润调整表!H82/10000</f>
        <v>37.474377000000004</v>
      </c>
      <c r="J18" s="33">
        <f>累计利润调整表!I82/10000</f>
        <v>27.183183000000003</v>
      </c>
      <c r="K18" s="33">
        <f>累计利润调整表!J82/10000</f>
        <v>107.84197500000001</v>
      </c>
      <c r="L18" s="33">
        <f>累计利润调整表!L82/10000</f>
        <v>25.170710999999997</v>
      </c>
      <c r="M18" s="33">
        <f>累计利润调整表!M82/10000</f>
        <v>97.297626999999991</v>
      </c>
      <c r="N18" s="33">
        <f>累计利润调整表!O82/10000</f>
        <v>10.053203</v>
      </c>
      <c r="O18" s="33">
        <f>累计利润调整表!P82/10000</f>
        <v>26.564071999999996</v>
      </c>
      <c r="P18" s="33">
        <f>累计利润调整表!Q82/10000</f>
        <v>-6.6795999999999998</v>
      </c>
      <c r="Q18" s="33">
        <f>累计利润调整表!R82/10000</f>
        <v>33.243672000000004</v>
      </c>
      <c r="R18" s="33">
        <f>累计利润调整表!S82/10000</f>
        <v>188.940473</v>
      </c>
      <c r="S18" s="33">
        <f>累计利润调整表!T82/10000</f>
        <v>357.63910599999997</v>
      </c>
      <c r="T18" s="33">
        <f>累计利润调整表!U82/10000</f>
        <v>119.85572500000001</v>
      </c>
      <c r="U18" s="33">
        <f>累计利润调整表!V82/10000</f>
        <v>102.88420699999999</v>
      </c>
      <c r="V18" s="33">
        <f>累计利润调整表!W82/10000</f>
        <v>62.041303000000006</v>
      </c>
      <c r="W18" s="33">
        <f>累计利润调整表!X82/10000</f>
        <v>26.775504999999999</v>
      </c>
      <c r="X18" s="33">
        <f>累计利润调整表!Y82/10000</f>
        <v>29.748071000000003</v>
      </c>
      <c r="Y18" s="33">
        <f>累计利润调整表!Z82/10000</f>
        <v>16.334295000000001</v>
      </c>
      <c r="Z18" s="33">
        <f>累计利润调整表!AA82/10000</f>
        <v>0</v>
      </c>
      <c r="AA18" s="33">
        <f>累计利润调整表!AB82/10000</f>
        <v>59.959026000000001</v>
      </c>
      <c r="AB18" s="33">
        <f>累计利润调整表!AC82/10000</f>
        <v>88.857426000000004</v>
      </c>
      <c r="AC18" s="33"/>
      <c r="AD18" s="33"/>
      <c r="AE18" s="33"/>
    </row>
    <row r="19" spans="1:32">
      <c r="A19" s="35" t="s">
        <v>47</v>
      </c>
      <c r="B19" s="36">
        <f>累计利润调整表!B83/10000</f>
        <v>0</v>
      </c>
      <c r="C19" s="36">
        <f>累计利润调整表!C83/10000</f>
        <v>0</v>
      </c>
      <c r="D19" s="36">
        <f>累计利润调整表!D83/10000</f>
        <v>0</v>
      </c>
      <c r="E19" s="36">
        <f>累计利润调整表!E83/10000</f>
        <v>0</v>
      </c>
      <c r="F19" s="36" t="e">
        <f>累计利润调整表!#REF!/10000</f>
        <v>#REF!</v>
      </c>
      <c r="G19" s="36">
        <f>累计利润调整表!F83/10000</f>
        <v>0</v>
      </c>
      <c r="H19" s="36">
        <f>累计利润调整表!G83/10000</f>
        <v>0</v>
      </c>
      <c r="I19" s="36">
        <f>累计利润调整表!H83/10000</f>
        <v>0</v>
      </c>
      <c r="J19" s="36">
        <f>累计利润调整表!I83/10000</f>
        <v>0</v>
      </c>
      <c r="K19" s="36">
        <f>累计利润调整表!J83/10000</f>
        <v>0</v>
      </c>
      <c r="L19" s="36">
        <f>累计利润调整表!L83/10000</f>
        <v>0</v>
      </c>
      <c r="M19" s="36">
        <f>累计利润调整表!M83/10000</f>
        <v>0</v>
      </c>
      <c r="N19" s="36">
        <f>累计利润调整表!O83/10000</f>
        <v>0</v>
      </c>
      <c r="O19" s="36">
        <f>累计利润调整表!P83/10000</f>
        <v>0</v>
      </c>
      <c r="P19" s="36">
        <f>累计利润调整表!Q83/10000</f>
        <v>0</v>
      </c>
      <c r="Q19" s="36">
        <f>累计利润调整表!R83/10000</f>
        <v>0</v>
      </c>
      <c r="R19" s="36">
        <f>累计利润调整表!S83/10000</f>
        <v>0</v>
      </c>
      <c r="S19" s="36">
        <f>累计利润调整表!T83/10000</f>
        <v>0</v>
      </c>
      <c r="T19" s="36">
        <f>累计利润调整表!U83/10000</f>
        <v>0</v>
      </c>
      <c r="U19" s="36">
        <f>累计利润调整表!V83/10000</f>
        <v>0</v>
      </c>
      <c r="V19" s="36">
        <f>累计利润调整表!W83/10000</f>
        <v>0</v>
      </c>
      <c r="W19" s="36">
        <f>累计利润调整表!X83/10000</f>
        <v>0</v>
      </c>
      <c r="X19" s="36">
        <f>累计利润调整表!Y83/10000</f>
        <v>0</v>
      </c>
      <c r="Y19" s="36">
        <f>累计利润调整表!Z83/10000</f>
        <v>0</v>
      </c>
      <c r="Z19" s="36">
        <f>累计利润调整表!AA83/10000</f>
        <v>0</v>
      </c>
      <c r="AA19" s="36">
        <f>累计利润调整表!AB83/10000</f>
        <v>0</v>
      </c>
      <c r="AB19" s="36">
        <f>累计利润调整表!AC83/10000</f>
        <v>0</v>
      </c>
      <c r="AC19" s="36"/>
      <c r="AD19" s="36"/>
      <c r="AE19" s="36"/>
    </row>
    <row r="20" spans="1:32">
      <c r="A20" s="33" t="s">
        <v>67</v>
      </c>
      <c r="B20" s="33">
        <f>累计利润调整表!B84/10000</f>
        <v>38.375426000000004</v>
      </c>
      <c r="C20" s="33">
        <f>累计利润调整表!C84/10000</f>
        <v>0</v>
      </c>
      <c r="D20" s="33">
        <f>累计利润调整表!D84/10000</f>
        <v>0</v>
      </c>
      <c r="E20" s="33">
        <f>累计利润调整表!E84/10000</f>
        <v>38.375426000000004</v>
      </c>
      <c r="F20" s="33" t="e">
        <f>累计利润调整表!#REF!/10000</f>
        <v>#REF!</v>
      </c>
      <c r="G20" s="33">
        <f>累计利润调整表!F84/10000</f>
        <v>0</v>
      </c>
      <c r="H20" s="33">
        <f>累计利润调整表!G84/10000</f>
        <v>0</v>
      </c>
      <c r="I20" s="33">
        <f>累计利润调整表!H84/10000</f>
        <v>0</v>
      </c>
      <c r="J20" s="33">
        <f>累计利润调整表!I84/10000</f>
        <v>0</v>
      </c>
      <c r="K20" s="33">
        <f>累计利润调整表!J84/10000</f>
        <v>0</v>
      </c>
      <c r="L20" s="33">
        <f>累计利润调整表!L84/10000</f>
        <v>0</v>
      </c>
      <c r="M20" s="33">
        <f>累计利润调整表!M84/10000</f>
        <v>0</v>
      </c>
      <c r="N20" s="33">
        <f>累计利润调整表!O84/10000</f>
        <v>0</v>
      </c>
      <c r="O20" s="33">
        <f>累计利润调整表!P84/10000</f>
        <v>0</v>
      </c>
      <c r="P20" s="33">
        <f>累计利润调整表!Q84/10000</f>
        <v>0</v>
      </c>
      <c r="Q20" s="33">
        <f>累计利润调整表!R84/10000</f>
        <v>0</v>
      </c>
      <c r="R20" s="33">
        <f>累计利润调整表!S84/10000</f>
        <v>0</v>
      </c>
      <c r="S20" s="33">
        <f>累计利润调整表!T84/10000</f>
        <v>0</v>
      </c>
      <c r="T20" s="33">
        <f>累计利润调整表!U84/10000</f>
        <v>0</v>
      </c>
      <c r="U20" s="33">
        <f>累计利润调整表!V84/10000</f>
        <v>0</v>
      </c>
      <c r="V20" s="33">
        <f>累计利润调整表!W84/10000</f>
        <v>0</v>
      </c>
      <c r="W20" s="33">
        <f>累计利润调整表!X84/10000</f>
        <v>0</v>
      </c>
      <c r="X20" s="33">
        <f>累计利润调整表!Y84/10000</f>
        <v>0</v>
      </c>
      <c r="Y20" s="33">
        <f>累计利润调整表!Z84/10000</f>
        <v>0</v>
      </c>
      <c r="Z20" s="33">
        <f>累计利润调整表!AA84/10000</f>
        <v>0</v>
      </c>
      <c r="AA20" s="33">
        <f>累计利润调整表!AB84/10000</f>
        <v>0</v>
      </c>
      <c r="AB20" s="33">
        <f>累计利润调整表!AC84/10000</f>
        <v>0</v>
      </c>
      <c r="AC20" s="33"/>
      <c r="AD20" s="33"/>
      <c r="AE20" s="33"/>
    </row>
    <row r="21" spans="1:32">
      <c r="A21" s="33" t="s">
        <v>68</v>
      </c>
      <c r="B21" s="33">
        <f>累计利润调整表!B85/10000</f>
        <v>-6640.6420729999982</v>
      </c>
      <c r="C21" s="33">
        <f>累计利润调整表!C85/10000</f>
        <v>-4685.0917319999999</v>
      </c>
      <c r="D21" s="33">
        <f>累计利润调整表!D85/10000</f>
        <v>-4060.1343630000001</v>
      </c>
      <c r="E21" s="33">
        <f>累计利润调整表!E85/10000</f>
        <v>6136.7734926666681</v>
      </c>
      <c r="F21" s="33" t="e">
        <f>累计利润调整表!#REF!/10000</f>
        <v>#REF!</v>
      </c>
      <c r="G21" s="33">
        <f>累计利润调整表!F85/10000</f>
        <v>59.141366526261834</v>
      </c>
      <c r="H21" s="33">
        <f>累计利润调整表!G85/10000</f>
        <v>-4074.1396685818659</v>
      </c>
      <c r="I21" s="33">
        <f>累计利润调整表!H85/10000</f>
        <v>-7094.7325573333337</v>
      </c>
      <c r="J21" s="33">
        <f>累计利润调整表!I85/10000</f>
        <v>-231.73937100000001</v>
      </c>
      <c r="K21" s="33">
        <f>累计利润调整表!J85/10000</f>
        <v>3252.3322597514671</v>
      </c>
      <c r="L21" s="33">
        <f>累计利润调整表!L85/10000</f>
        <v>1211.7430247594125</v>
      </c>
      <c r="M21" s="33">
        <f>累计利润调整表!M85/10000</f>
        <v>1028.2158661272888</v>
      </c>
      <c r="N21" s="33">
        <f>累计利润调整表!O85/10000</f>
        <v>101.99795</v>
      </c>
      <c r="O21" s="33">
        <f>累计利润调整表!P85/10000</f>
        <v>-1882.4103911644302</v>
      </c>
      <c r="P21" s="33">
        <f>累计利润调整表!Q85/10000</f>
        <v>-2039.8865818828174</v>
      </c>
      <c r="Q21" s="33">
        <f>累计利润调整表!R85/10000</f>
        <v>157.4761907183871</v>
      </c>
      <c r="R21" s="33">
        <f>累计利润调整表!S85/10000</f>
        <v>-188.947473</v>
      </c>
      <c r="S21" s="33">
        <f>累计利润调整表!T85/10000</f>
        <v>-320.75716899999998</v>
      </c>
      <c r="T21" s="33">
        <f>累计利润调整表!U85/10000</f>
        <v>-130.24902399999999</v>
      </c>
      <c r="U21" s="33">
        <f>累计利润调整表!V85/10000</f>
        <v>-102.882935</v>
      </c>
      <c r="V21" s="33">
        <f>累计利润调整表!W85/10000</f>
        <v>-14.776123000000002</v>
      </c>
      <c r="W21" s="33">
        <f>累计利润调整表!X85/10000</f>
        <v>-26.774805999999998</v>
      </c>
      <c r="X21" s="33">
        <f>累计利润调整表!Y85/10000</f>
        <v>-29.740864000000002</v>
      </c>
      <c r="Y21" s="33">
        <f>累计利润调整表!Z85/10000</f>
        <v>-16.333417000000001</v>
      </c>
      <c r="Z21" s="33">
        <f>累计利润调整表!AA85/10000</f>
        <v>0</v>
      </c>
      <c r="AA21" s="33">
        <f>累计利润调整表!AB85/10000</f>
        <v>-59.947530000000008</v>
      </c>
      <c r="AB21" s="33">
        <f>累计利润调整表!AC85/10000</f>
        <v>-88.845209999999994</v>
      </c>
      <c r="AC21" s="33"/>
      <c r="AD21" s="33"/>
      <c r="AE21" s="33"/>
    </row>
    <row r="22" spans="1:32">
      <c r="A22" s="35" t="s">
        <v>50</v>
      </c>
      <c r="B22" s="36">
        <f>累计利润调整表!B86/10000</f>
        <v>1.3595790000000001</v>
      </c>
      <c r="C22" s="36">
        <f>累计利润调整表!C86/10000</f>
        <v>0</v>
      </c>
      <c r="D22" s="36">
        <f>累计利润调整表!D86/10000</f>
        <v>0</v>
      </c>
      <c r="E22" s="36">
        <f>累计利润调整表!E86/10000</f>
        <v>1.3595790000000001</v>
      </c>
      <c r="F22" s="36" t="e">
        <f>累计利润调整表!#REF!/10000</f>
        <v>#REF!</v>
      </c>
      <c r="G22" s="36">
        <f>累计利润调整表!F86/10000</f>
        <v>0</v>
      </c>
      <c r="H22" s="36">
        <f>累计利润调整表!G86/10000</f>
        <v>0</v>
      </c>
      <c r="I22" s="36">
        <f>累计利润调整表!H86/10000</f>
        <v>0</v>
      </c>
      <c r="J22" s="36">
        <f>累计利润调整表!I86/10000</f>
        <v>0</v>
      </c>
      <c r="K22" s="36">
        <f>累计利润调整表!J86/10000</f>
        <v>0</v>
      </c>
      <c r="L22" s="36">
        <f>累计利润调整表!L86/10000</f>
        <v>0</v>
      </c>
      <c r="M22" s="36">
        <f>累计利润调整表!M86/10000</f>
        <v>0</v>
      </c>
      <c r="N22" s="36">
        <f>累计利润调整表!O86/10000</f>
        <v>0</v>
      </c>
      <c r="O22" s="36">
        <f>累计利润调整表!P86/10000</f>
        <v>0</v>
      </c>
      <c r="P22" s="36">
        <f>累计利润调整表!Q86/10000</f>
        <v>0</v>
      </c>
      <c r="Q22" s="36">
        <f>累计利润调整表!R86/10000</f>
        <v>0</v>
      </c>
      <c r="R22" s="36">
        <f>累计利润调整表!S86/10000</f>
        <v>0</v>
      </c>
      <c r="S22" s="36">
        <f>累计利润调整表!T86/10000</f>
        <v>0</v>
      </c>
      <c r="T22" s="36">
        <f>累计利润调整表!U86/10000</f>
        <v>0</v>
      </c>
      <c r="U22" s="36">
        <f>累计利润调整表!V86/10000</f>
        <v>0</v>
      </c>
      <c r="V22" s="36">
        <f>累计利润调整表!W86/10000</f>
        <v>0</v>
      </c>
      <c r="W22" s="36">
        <f>累计利润调整表!X86/10000</f>
        <v>0</v>
      </c>
      <c r="X22" s="36">
        <f>累计利润调整表!Y86/10000</f>
        <v>0</v>
      </c>
      <c r="Y22" s="36">
        <f>累计利润调整表!Z86/10000</f>
        <v>0</v>
      </c>
      <c r="Z22" s="36">
        <f>累计利润调整表!AA86/10000</f>
        <v>0</v>
      </c>
      <c r="AA22" s="36">
        <f>累计利润调整表!AB86/10000</f>
        <v>0</v>
      </c>
      <c r="AB22" s="36">
        <f>累计利润调整表!AC86/10000</f>
        <v>0</v>
      </c>
      <c r="AC22" s="36"/>
      <c r="AD22" s="36"/>
      <c r="AE22" s="36"/>
    </row>
    <row r="23" spans="1:32">
      <c r="A23" s="33" t="s">
        <v>69</v>
      </c>
      <c r="B23" s="33">
        <f>累计利润调整表!B87/10000</f>
        <v>1.0940000000000001</v>
      </c>
      <c r="C23" s="33">
        <f>累计利润调整表!C87/10000</f>
        <v>0</v>
      </c>
      <c r="D23" s="33">
        <f>累计利润调整表!D87/10000</f>
        <v>0</v>
      </c>
      <c r="E23" s="33">
        <f>累计利润调整表!E87/10000</f>
        <v>1.0940000000000001</v>
      </c>
      <c r="F23" s="33" t="e">
        <f>累计利润调整表!#REF!/10000</f>
        <v>#REF!</v>
      </c>
      <c r="G23" s="33">
        <f>累计利润调整表!F87/10000</f>
        <v>0</v>
      </c>
      <c r="H23" s="33">
        <f>累计利润调整表!G87/10000</f>
        <v>0</v>
      </c>
      <c r="I23" s="33">
        <f>累计利润调整表!H87/10000</f>
        <v>0</v>
      </c>
      <c r="J23" s="33">
        <f>累计利润调整表!I87/10000</f>
        <v>0</v>
      </c>
      <c r="K23" s="33">
        <f>累计利润调整表!J87/10000</f>
        <v>0</v>
      </c>
      <c r="L23" s="33">
        <f>累计利润调整表!L87/10000</f>
        <v>0</v>
      </c>
      <c r="M23" s="33">
        <f>累计利润调整表!M87/10000</f>
        <v>0</v>
      </c>
      <c r="N23" s="33">
        <f>累计利润调整表!O87/10000</f>
        <v>0</v>
      </c>
      <c r="O23" s="33">
        <f>累计利润调整表!P87/10000</f>
        <v>0</v>
      </c>
      <c r="P23" s="33">
        <f>累计利润调整表!Q87/10000</f>
        <v>0</v>
      </c>
      <c r="Q23" s="33">
        <f>累计利润调整表!R87/10000</f>
        <v>0</v>
      </c>
      <c r="R23" s="33">
        <f>累计利润调整表!S87/10000</f>
        <v>0</v>
      </c>
      <c r="S23" s="33">
        <f>累计利润调整表!T87/10000</f>
        <v>0</v>
      </c>
      <c r="T23" s="33">
        <f>累计利润调整表!U87/10000</f>
        <v>0</v>
      </c>
      <c r="U23" s="33">
        <f>累计利润调整表!V87/10000</f>
        <v>0</v>
      </c>
      <c r="V23" s="33">
        <f>累计利润调整表!W87/10000</f>
        <v>0</v>
      </c>
      <c r="W23" s="33">
        <f>累计利润调整表!X87/10000</f>
        <v>0</v>
      </c>
      <c r="X23" s="33">
        <f>累计利润调整表!Y87/10000</f>
        <v>0</v>
      </c>
      <c r="Y23" s="33">
        <f>累计利润调整表!Z87/10000</f>
        <v>0</v>
      </c>
      <c r="Z23" s="33">
        <f>累计利润调整表!AA87/10000</f>
        <v>0</v>
      </c>
      <c r="AA23" s="33">
        <f>累计利润调整表!AB87/10000</f>
        <v>0</v>
      </c>
      <c r="AB23" s="33">
        <f>累计利润调整表!AC87/10000</f>
        <v>0</v>
      </c>
      <c r="AC23" s="33"/>
      <c r="AD23" s="33"/>
      <c r="AE23" s="33"/>
    </row>
    <row r="24" spans="1:32">
      <c r="A24" s="35" t="s">
        <v>52</v>
      </c>
      <c r="B24" s="36">
        <f>累计利润调整表!B88/10000</f>
        <v>-6640.3764939999974</v>
      </c>
      <c r="C24" s="36">
        <f>累计利润调整表!C88/10000</f>
        <v>-4685.0917319999999</v>
      </c>
      <c r="D24" s="36">
        <f>累计利润调整表!D88/10000</f>
        <v>-4060.1343630000001</v>
      </c>
      <c r="E24" s="36">
        <f>累计利润调整表!E88/10000</f>
        <v>6137.039071666668</v>
      </c>
      <c r="F24" s="36" t="e">
        <f>累计利润调整表!#REF!/10000</f>
        <v>#REF!</v>
      </c>
      <c r="G24" s="36">
        <f>累计利润调整表!F88/10000</f>
        <v>59.141366526261834</v>
      </c>
      <c r="H24" s="36">
        <f>累计利润调整表!G88/10000</f>
        <v>-4074.1396685818659</v>
      </c>
      <c r="I24" s="36">
        <f>累计利润调整表!H88/10000</f>
        <v>-7094.7325573333337</v>
      </c>
      <c r="J24" s="36">
        <f>累计利润调整表!I88/10000</f>
        <v>-231.73937100000001</v>
      </c>
      <c r="K24" s="36">
        <f>累计利润调整表!J88/10000</f>
        <v>3252.3322597514671</v>
      </c>
      <c r="L24" s="36">
        <f>累计利润调整表!L88/10000</f>
        <v>1211.7430247594125</v>
      </c>
      <c r="M24" s="36">
        <f>累计利润调整表!M88/10000</f>
        <v>1028.2158661272888</v>
      </c>
      <c r="N24" s="36">
        <f>累计利润调整表!O88/10000</f>
        <v>101.99795</v>
      </c>
      <c r="O24" s="36">
        <f>累计利润调整表!P88/10000</f>
        <v>-1882.4103911644302</v>
      </c>
      <c r="P24" s="36">
        <f>累计利润调整表!Q88/10000</f>
        <v>-2039.8865818828174</v>
      </c>
      <c r="Q24" s="36">
        <f>累计利润调整表!R88/10000</f>
        <v>157.4761907183871</v>
      </c>
      <c r="R24" s="36">
        <f>累计利润调整表!S88/10000</f>
        <v>-188.947473</v>
      </c>
      <c r="S24" s="36">
        <f>累计利润调整表!T88/10000</f>
        <v>-320.75716899999998</v>
      </c>
      <c r="T24" s="36">
        <f>累计利润调整表!U88/10000</f>
        <v>-130.24902399999999</v>
      </c>
      <c r="U24" s="36">
        <f>累计利润调整表!V88/10000</f>
        <v>-102.882935</v>
      </c>
      <c r="V24" s="36">
        <f>累计利润调整表!W88/10000</f>
        <v>-14.776123000000002</v>
      </c>
      <c r="W24" s="36">
        <f>累计利润调整表!X88/10000</f>
        <v>-26.774805999999998</v>
      </c>
      <c r="X24" s="36">
        <f>累计利润调整表!Y88/10000</f>
        <v>-29.740864000000002</v>
      </c>
      <c r="Y24" s="36">
        <f>累计利润调整表!Z88/10000</f>
        <v>-16.333417000000001</v>
      </c>
      <c r="Z24" s="36">
        <f>累计利润调整表!AA88/10000</f>
        <v>0</v>
      </c>
      <c r="AA24" s="36">
        <f>累计利润调整表!AB88/10000</f>
        <v>-59.947530000000008</v>
      </c>
      <c r="AB24" s="36">
        <f>累计利润调整表!AC88/10000</f>
        <v>-88.845209999999994</v>
      </c>
      <c r="AC24" s="36"/>
      <c r="AD24" s="36"/>
      <c r="AE24" s="36"/>
    </row>
    <row r="25" spans="1:32">
      <c r="A25" s="37" t="s">
        <v>53</v>
      </c>
      <c r="B25" s="38">
        <f>累计利润调整表!B89/10000</f>
        <v>-1342.8931339999999</v>
      </c>
      <c r="C25" s="38">
        <f>累计利润调整表!C89/10000</f>
        <v>-1686.7648140000001</v>
      </c>
      <c r="D25" s="38">
        <f>累计利润调整表!D89/10000</f>
        <v>343.87167999999997</v>
      </c>
      <c r="E25" s="38">
        <f>累计利润调整表!E89/10000</f>
        <v>0</v>
      </c>
      <c r="F25" s="38" t="e">
        <f>累计利润调整表!#REF!/10000</f>
        <v>#REF!</v>
      </c>
      <c r="G25" s="38">
        <f>累计利润调整表!F89/10000</f>
        <v>0</v>
      </c>
      <c r="H25" s="38">
        <f>累计利润调整表!G89/10000</f>
        <v>0</v>
      </c>
      <c r="I25" s="38">
        <f>累计利润调整表!H89/10000</f>
        <v>0</v>
      </c>
      <c r="J25" s="38">
        <f>累计利润调整表!I89/10000</f>
        <v>0</v>
      </c>
      <c r="K25" s="38">
        <f>累计利润调整表!J89/10000</f>
        <v>0</v>
      </c>
      <c r="L25" s="38">
        <f>累计利润调整表!L89/10000</f>
        <v>0</v>
      </c>
      <c r="M25" s="38">
        <f>累计利润调整表!M89/10000</f>
        <v>0</v>
      </c>
      <c r="N25" s="38">
        <f>累计利润调整表!O89/10000</f>
        <v>0</v>
      </c>
      <c r="O25" s="38">
        <f>累计利润调整表!P89/10000</f>
        <v>0</v>
      </c>
      <c r="P25" s="38">
        <f>累计利润调整表!Q89/10000</f>
        <v>0</v>
      </c>
      <c r="Q25" s="38">
        <f>累计利润调整表!R89/10000</f>
        <v>0</v>
      </c>
      <c r="R25" s="38">
        <f>累计利润调整表!S89/10000</f>
        <v>0</v>
      </c>
      <c r="S25" s="38">
        <f>累计利润调整表!T89/10000</f>
        <v>0</v>
      </c>
      <c r="T25" s="38">
        <f>累计利润调整表!U89/10000</f>
        <v>0</v>
      </c>
      <c r="U25" s="38">
        <f>累计利润调整表!V89/10000</f>
        <v>0</v>
      </c>
      <c r="V25" s="38">
        <f>累计利润调整表!W89/10000</f>
        <v>0</v>
      </c>
      <c r="W25" s="38">
        <f>累计利润调整表!X89/10000</f>
        <v>0</v>
      </c>
      <c r="X25" s="38">
        <f>累计利润调整表!Y89/10000</f>
        <v>0</v>
      </c>
      <c r="Y25" s="38">
        <f>累计利润调整表!Z89/10000</f>
        <v>0</v>
      </c>
      <c r="Z25" s="38">
        <f>累计利润调整表!AA89/10000</f>
        <v>0</v>
      </c>
      <c r="AA25" s="38">
        <f>累计利润调整表!AB89/10000</f>
        <v>0</v>
      </c>
      <c r="AB25" s="38">
        <f>累计利润调整表!AC89/10000</f>
        <v>0</v>
      </c>
      <c r="AC25" s="38"/>
      <c r="AD25" s="38"/>
      <c r="AE25" s="38"/>
    </row>
    <row r="26" spans="1:32">
      <c r="A26" s="39" t="s">
        <v>54</v>
      </c>
      <c r="B26" s="40">
        <f>累计利润调整表!B90/10000</f>
        <v>-5297.4833599999984</v>
      </c>
      <c r="C26" s="40">
        <f>累计利润调整表!C90/10000</f>
        <v>-2998.3269179999998</v>
      </c>
      <c r="D26" s="40">
        <f>累计利润调整表!D90/10000</f>
        <v>-4404.0060430000003</v>
      </c>
      <c r="E26" s="40">
        <f>累计利润调整表!E90/10000</f>
        <v>6137.039071666668</v>
      </c>
      <c r="F26" s="40" t="e">
        <f>累计利润调整表!#REF!/10000</f>
        <v>#REF!</v>
      </c>
      <c r="G26" s="40">
        <f>累计利润调整表!F90/10000</f>
        <v>59.141366526261834</v>
      </c>
      <c r="H26" s="40">
        <f>累计利润调整表!G90/10000</f>
        <v>-4074.1396685818659</v>
      </c>
      <c r="I26" s="40">
        <f>累计利润调整表!H90/10000</f>
        <v>-7094.7325573333337</v>
      </c>
      <c r="J26" s="40">
        <f>累计利润调整表!I90/10000</f>
        <v>-231.73937100000001</v>
      </c>
      <c r="K26" s="40">
        <f>累计利润调整表!J90/10000</f>
        <v>3252.3322597514671</v>
      </c>
      <c r="L26" s="40">
        <f>累计利润调整表!L90/10000</f>
        <v>1211.7430247594125</v>
      </c>
      <c r="M26" s="40">
        <f>累计利润调整表!M90/10000</f>
        <v>1028.2158661272888</v>
      </c>
      <c r="N26" s="40">
        <f>累计利润调整表!O90/10000</f>
        <v>101.99795</v>
      </c>
      <c r="O26" s="40">
        <f>累计利润调整表!P90/10000</f>
        <v>-1882.4103911644302</v>
      </c>
      <c r="P26" s="40">
        <f>累计利润调整表!Q90/10000</f>
        <v>-2039.8865818828174</v>
      </c>
      <c r="Q26" s="40">
        <f>累计利润调整表!R90/10000</f>
        <v>157.4761907183871</v>
      </c>
      <c r="R26" s="40">
        <f>累计利润调整表!S90/10000</f>
        <v>-188.947473</v>
      </c>
      <c r="S26" s="40">
        <f>累计利润调整表!T90/10000</f>
        <v>-320.75716899999998</v>
      </c>
      <c r="T26" s="40">
        <f>累计利润调整表!U90/10000</f>
        <v>-130.24902399999999</v>
      </c>
      <c r="U26" s="40">
        <f>累计利润调整表!V90/10000</f>
        <v>-102.882935</v>
      </c>
      <c r="V26" s="40">
        <f>累计利润调整表!W90/10000</f>
        <v>-14.776123000000002</v>
      </c>
      <c r="W26" s="40">
        <f>累计利润调整表!X90/10000</f>
        <v>-26.774805999999998</v>
      </c>
      <c r="X26" s="40">
        <f>累计利润调整表!Y90/10000</f>
        <v>-29.740864000000002</v>
      </c>
      <c r="Y26" s="40">
        <f>累计利润调整表!Z90/10000</f>
        <v>-16.333417000000001</v>
      </c>
      <c r="Z26" s="40">
        <f>累计利润调整表!AA90/10000</f>
        <v>0</v>
      </c>
      <c r="AA26" s="40">
        <f>累计利润调整表!AB90/10000</f>
        <v>-59.947530000000008</v>
      </c>
      <c r="AB26" s="40">
        <f>累计利润调整表!AC90/10000</f>
        <v>-88.845209999999994</v>
      </c>
      <c r="AC26" s="40"/>
      <c r="AD26" s="40"/>
      <c r="AE26" s="40"/>
    </row>
    <row r="27" spans="1:32">
      <c r="A27" s="41"/>
      <c r="B27" s="42" t="e">
        <f>累计利润调整表!#REF!/10000</f>
        <v>#REF!</v>
      </c>
      <c r="C27" s="42" t="e">
        <f>累计利润调整表!#REF!/10000</f>
        <v>#REF!</v>
      </c>
      <c r="D27" s="42" t="e">
        <f>累计利润调整表!#REF!/10000</f>
        <v>#REF!</v>
      </c>
      <c r="E27" s="42" t="e">
        <f>累计利润调整表!#REF!/10000</f>
        <v>#REF!</v>
      </c>
      <c r="F27" s="42" t="e">
        <f>累计利润调整表!#REF!/10000</f>
        <v>#REF!</v>
      </c>
      <c r="G27" s="42" t="e">
        <f>累计利润调整表!#REF!/10000</f>
        <v>#REF!</v>
      </c>
      <c r="H27" s="42" t="e">
        <f>累计利润调整表!#REF!/10000</f>
        <v>#REF!</v>
      </c>
      <c r="I27" s="42" t="e">
        <f>累计利润调整表!#REF!/10000</f>
        <v>#REF!</v>
      </c>
      <c r="J27" s="42" t="e">
        <f>累计利润调整表!#REF!/10000</f>
        <v>#REF!</v>
      </c>
      <c r="K27" s="42" t="e">
        <f>累计利润调整表!#REF!/10000</f>
        <v>#REF!</v>
      </c>
      <c r="L27" s="42" t="e">
        <f>累计利润调整表!#REF!/10000</f>
        <v>#REF!</v>
      </c>
      <c r="M27" s="42" t="e">
        <f>累计利润调整表!#REF!/10000</f>
        <v>#REF!</v>
      </c>
      <c r="N27" s="42" t="e">
        <f>累计利润调整表!#REF!/10000</f>
        <v>#REF!</v>
      </c>
      <c r="O27" s="42" t="e">
        <f>累计利润调整表!#REF!/10000</f>
        <v>#REF!</v>
      </c>
      <c r="P27" s="42" t="e">
        <f>累计利润调整表!#REF!/10000</f>
        <v>#REF!</v>
      </c>
      <c r="Q27" s="42" t="e">
        <f>累计利润调整表!#REF!/10000</f>
        <v>#REF!</v>
      </c>
      <c r="R27" s="42" t="e">
        <f>累计利润调整表!#REF!/10000</f>
        <v>#REF!</v>
      </c>
      <c r="S27" s="42" t="e">
        <f>累计利润调整表!#REF!/10000</f>
        <v>#REF!</v>
      </c>
      <c r="T27" s="42" t="e">
        <f>累计利润调整表!#REF!/10000</f>
        <v>#REF!</v>
      </c>
      <c r="U27" s="42" t="e">
        <f>累计利润调整表!#REF!/10000</f>
        <v>#REF!</v>
      </c>
      <c r="V27" s="42" t="e">
        <f>累计利润调整表!#REF!/10000</f>
        <v>#REF!</v>
      </c>
      <c r="W27" s="42" t="e">
        <f>累计利润调整表!#REF!/10000</f>
        <v>#REF!</v>
      </c>
      <c r="X27" s="42" t="e">
        <f>累计利润调整表!#REF!/10000</f>
        <v>#REF!</v>
      </c>
      <c r="Y27" s="42" t="e">
        <f>累计利润调整表!#REF!/10000</f>
        <v>#REF!</v>
      </c>
      <c r="Z27" s="42" t="e">
        <f>累计利润调整表!#REF!/10000</f>
        <v>#REF!</v>
      </c>
      <c r="AA27" s="42" t="e">
        <f>累计利润调整表!#REF!/10000</f>
        <v>#REF!</v>
      </c>
      <c r="AB27" s="42" t="e">
        <f>累计利润调整表!#REF!/10000</f>
        <v>#REF!</v>
      </c>
      <c r="AC27" s="42"/>
      <c r="AD27" s="42"/>
      <c r="AE27" s="42"/>
    </row>
    <row r="28" spans="1:32">
      <c r="A28" s="43" t="s">
        <v>70</v>
      </c>
      <c r="B28" s="44" t="e">
        <f>累计利润调整表!#REF!/10000</f>
        <v>#REF!</v>
      </c>
      <c r="C28" s="44" t="e">
        <f>累计利润调整表!#REF!/10000</f>
        <v>#REF!</v>
      </c>
      <c r="D28" s="44" t="e">
        <f>累计利润调整表!#REF!/10000</f>
        <v>#REF!</v>
      </c>
      <c r="E28" s="44" t="e">
        <f>累计利润调整表!#REF!/10000</f>
        <v>#REF!</v>
      </c>
      <c r="F28" s="44" t="e">
        <f>累计利润调整表!#REF!/10000</f>
        <v>#REF!</v>
      </c>
      <c r="G28" s="44" t="e">
        <f>累计利润调整表!#REF!/10000</f>
        <v>#REF!</v>
      </c>
      <c r="H28" s="44" t="e">
        <f>累计利润调整表!#REF!/10000</f>
        <v>#REF!</v>
      </c>
      <c r="I28" s="44" t="e">
        <f>累计利润调整表!#REF!/10000</f>
        <v>#REF!</v>
      </c>
      <c r="J28" s="44" t="e">
        <f>累计利润调整表!#REF!/10000</f>
        <v>#REF!</v>
      </c>
      <c r="K28" s="44" t="e">
        <f>累计利润调整表!#REF!/10000</f>
        <v>#REF!</v>
      </c>
      <c r="L28" s="44" t="e">
        <f>累计利润调整表!#REF!/10000</f>
        <v>#REF!</v>
      </c>
      <c r="M28" s="44" t="e">
        <f>累计利润调整表!#REF!/10000</f>
        <v>#REF!</v>
      </c>
      <c r="N28" s="44" t="e">
        <f>累计利润调整表!#REF!/10000</f>
        <v>#REF!</v>
      </c>
      <c r="O28" s="44" t="e">
        <f>累计利润调整表!#REF!/10000</f>
        <v>#REF!</v>
      </c>
      <c r="P28" s="44" t="e">
        <f>累计利润调整表!#REF!/10000</f>
        <v>#REF!</v>
      </c>
      <c r="Q28" s="44" t="e">
        <f>累计利润调整表!#REF!/10000</f>
        <v>#REF!</v>
      </c>
      <c r="R28" s="44" t="e">
        <f>累计利润调整表!#REF!/10000</f>
        <v>#REF!</v>
      </c>
      <c r="S28" s="44" t="e">
        <f>累计利润调整表!#REF!/10000</f>
        <v>#REF!</v>
      </c>
      <c r="T28" s="44" t="e">
        <f>累计利润调整表!#REF!/10000</f>
        <v>#REF!</v>
      </c>
      <c r="U28" s="44" t="e">
        <f>累计利润调整表!#REF!/10000</f>
        <v>#REF!</v>
      </c>
      <c r="V28" s="44" t="e">
        <f>累计利润调整表!#REF!/10000</f>
        <v>#REF!</v>
      </c>
      <c r="W28" s="44" t="e">
        <f>累计利润调整表!#REF!/10000</f>
        <v>#REF!</v>
      </c>
      <c r="X28" s="44" t="e">
        <f>累计利润调整表!#REF!/10000</f>
        <v>#REF!</v>
      </c>
      <c r="Y28" s="44" t="e">
        <f>累计利润调整表!#REF!/10000</f>
        <v>#REF!</v>
      </c>
      <c r="Z28" s="44" t="e">
        <f>累计利润调整表!#REF!/10000</f>
        <v>#REF!</v>
      </c>
      <c r="AA28" s="44" t="e">
        <f>累计利润调整表!#REF!/10000</f>
        <v>#REF!</v>
      </c>
      <c r="AB28" s="44" t="e">
        <f>累计利润调整表!#REF!/10000</f>
        <v>#REF!</v>
      </c>
      <c r="AC28" s="44"/>
      <c r="AD28" s="44"/>
      <c r="AE28" s="44"/>
    </row>
    <row r="29" spans="1:32">
      <c r="A29" s="45" t="s">
        <v>73</v>
      </c>
      <c r="B29" s="46" t="e">
        <f>B26-B28</f>
        <v>#REF!</v>
      </c>
      <c r="C29" s="46" t="e">
        <f t="shared" ref="C29:AB29" si="0">C26-C28</f>
        <v>#REF!</v>
      </c>
      <c r="D29" s="46" t="e">
        <f t="shared" si="0"/>
        <v>#REF!</v>
      </c>
      <c r="E29" s="46" t="e">
        <f t="shared" si="0"/>
        <v>#REF!</v>
      </c>
      <c r="F29" s="46" t="e">
        <f t="shared" si="0"/>
        <v>#REF!</v>
      </c>
      <c r="G29" s="46" t="e">
        <f t="shared" si="0"/>
        <v>#REF!</v>
      </c>
      <c r="H29" s="46" t="e">
        <f t="shared" si="0"/>
        <v>#REF!</v>
      </c>
      <c r="I29" s="46" t="e">
        <f t="shared" si="0"/>
        <v>#REF!</v>
      </c>
      <c r="J29" s="46" t="e">
        <f t="shared" si="0"/>
        <v>#REF!</v>
      </c>
      <c r="K29" s="46" t="e">
        <f t="shared" si="0"/>
        <v>#REF!</v>
      </c>
      <c r="L29" s="46" t="e">
        <f t="shared" si="0"/>
        <v>#REF!</v>
      </c>
      <c r="M29" s="46" t="e">
        <f t="shared" si="0"/>
        <v>#REF!</v>
      </c>
      <c r="N29" s="46" t="e">
        <f t="shared" si="0"/>
        <v>#REF!</v>
      </c>
      <c r="O29" s="46" t="e">
        <f t="shared" si="0"/>
        <v>#REF!</v>
      </c>
      <c r="P29" s="46" t="e">
        <f t="shared" si="0"/>
        <v>#REF!</v>
      </c>
      <c r="Q29" s="46" t="e">
        <f t="shared" si="0"/>
        <v>#REF!</v>
      </c>
      <c r="R29" s="46" t="e">
        <f t="shared" si="0"/>
        <v>#REF!</v>
      </c>
      <c r="S29" s="46" t="e">
        <f t="shared" si="0"/>
        <v>#REF!</v>
      </c>
      <c r="T29" s="46" t="e">
        <f t="shared" si="0"/>
        <v>#REF!</v>
      </c>
      <c r="U29" s="46" t="e">
        <f t="shared" si="0"/>
        <v>#REF!</v>
      </c>
      <c r="V29" s="46" t="e">
        <f t="shared" si="0"/>
        <v>#REF!</v>
      </c>
      <c r="W29" s="46" t="e">
        <f t="shared" si="0"/>
        <v>#REF!</v>
      </c>
      <c r="X29" s="46" t="e">
        <f t="shared" si="0"/>
        <v>#REF!</v>
      </c>
      <c r="Y29" s="46" t="e">
        <f t="shared" si="0"/>
        <v>#REF!</v>
      </c>
      <c r="Z29" s="46" t="e">
        <f t="shared" si="0"/>
        <v>#REF!</v>
      </c>
      <c r="AA29" s="46" t="e">
        <f t="shared" si="0"/>
        <v>#REF!</v>
      </c>
      <c r="AB29" s="46" t="e">
        <f t="shared" si="0"/>
        <v>#REF!</v>
      </c>
      <c r="AC29" s="46"/>
      <c r="AD29" s="46"/>
      <c r="AE29" s="46"/>
    </row>
    <row r="31" spans="1:32">
      <c r="A31" s="2"/>
      <c r="B31" s="47" t="s">
        <v>72</v>
      </c>
    </row>
    <row r="32" spans="1:32" s="2" customFormat="1">
      <c r="A32" s="18" t="s">
        <v>86</v>
      </c>
      <c r="B32" s="19" t="str">
        <f>累计考核费用!C107</f>
        <v>合计</v>
      </c>
      <c r="C32" s="19" t="str">
        <f>累计考核费用!D107</f>
        <v>其他</v>
      </c>
      <c r="D32" s="19" t="str">
        <f>累计考核费用!E107</f>
        <v>总部中后台</v>
      </c>
      <c r="E32" s="19" t="str">
        <f>累计考核费用!F107</f>
        <v>经纪业务部</v>
      </c>
      <c r="F32" s="19" t="str">
        <f>累计考核费用!G107</f>
        <v>资产管理部</v>
      </c>
      <c r="G32" s="19" t="str">
        <f>累计考核费用!H107</f>
        <v>权益投资小计</v>
      </c>
      <c r="H32" s="19" t="str">
        <f>累计考核费用!I107</f>
        <v>权益产品投资部</v>
      </c>
      <c r="I32" s="19" t="str">
        <f>累计考核费用!J107</f>
        <v>量化产品投资部</v>
      </c>
      <c r="J32" s="19" t="str">
        <f>累计考核费用!K107</f>
        <v>证券投资部</v>
      </c>
      <c r="K32" s="19" t="str">
        <f>累计考核费用!L107</f>
        <v>固收投资小计</v>
      </c>
      <c r="L32" s="19" t="str">
        <f>累计考核费用!M107</f>
        <v>固定收益投资部</v>
      </c>
      <c r="M32" s="19" t="str">
        <f>累计考核费用!N107</f>
        <v>固定收益市场部</v>
      </c>
      <c r="N32" s="19" t="str">
        <f>累计考核费用!O107</f>
        <v>固收产品投资部</v>
      </c>
      <c r="O32" s="19" t="str">
        <f>累计考核费用!P107</f>
        <v>投顾业务部</v>
      </c>
      <c r="P32" s="19" t="str">
        <f>累计考核费用!Q107</f>
        <v>深分投资小计</v>
      </c>
      <c r="Q32" s="19" t="str">
        <f>累计考核费用!R107</f>
        <v>做市业务部</v>
      </c>
      <c r="R32" s="19" t="str">
        <f>累计考核费用!S107</f>
        <v>金融衍生品部</v>
      </c>
      <c r="S32" s="19" t="str">
        <f>累计考核费用!T107</f>
        <v>深圳管理部</v>
      </c>
      <c r="T32" s="19" t="str">
        <f>累计考核费用!U107</f>
        <v>投资银行合计</v>
      </c>
      <c r="U32" s="19" t="str">
        <f>累计考核费用!V107</f>
        <v>投资银行一部</v>
      </c>
      <c r="V32" s="19" t="str">
        <f>累计考核费用!W107</f>
        <v>投资银行二部</v>
      </c>
      <c r="W32" s="19" t="str">
        <f>累计考核费用!X107</f>
        <v>投资银行三部</v>
      </c>
      <c r="X32" s="19" t="str">
        <f>累计考核费用!Y107</f>
        <v>投资银行四部</v>
      </c>
      <c r="Y32" s="19" t="str">
        <f>累计考核费用!Z107</f>
        <v>投资银行北京一部</v>
      </c>
      <c r="Z32" s="19" t="str">
        <f>累计考核费用!AA107</f>
        <v>投资银行北京二部</v>
      </c>
      <c r="AA32" s="19" t="str">
        <f>累计考核费用!AB107</f>
        <v>投资银行深圳一部（筹）</v>
      </c>
      <c r="AB32" s="19" t="str">
        <f>累计考核费用!AC107</f>
        <v>投资银行管理部</v>
      </c>
      <c r="AC32" s="19" t="str">
        <f>累计考核费用!AD107</f>
        <v>运营支持部</v>
      </c>
      <c r="AD32" s="19">
        <f>累计考核费用!AE107</f>
        <v>0</v>
      </c>
      <c r="AE32" s="19"/>
      <c r="AF32" s="51" t="s">
        <v>420</v>
      </c>
    </row>
    <row r="33" spans="1:32" s="2" customFormat="1" ht="13.5" customHeight="1">
      <c r="A33" s="48" t="s">
        <v>88</v>
      </c>
      <c r="B33" s="49">
        <f>累计考核费用!C108/10000</f>
        <v>1582.0225740000001</v>
      </c>
      <c r="C33" s="49">
        <f>累计考核费用!D108/10000</f>
        <v>0</v>
      </c>
      <c r="D33" s="49">
        <f>累计考核费用!E108/10000</f>
        <v>391.09696799999995</v>
      </c>
      <c r="E33" s="49">
        <f>累计考核费用!F108/10000</f>
        <v>752.31585599999994</v>
      </c>
      <c r="F33" s="49">
        <f>累计考核费用!G108/10000</f>
        <v>19.303573</v>
      </c>
      <c r="G33" s="49">
        <f>累计考核费用!H108/10000</f>
        <v>74.50483100000001</v>
      </c>
      <c r="H33" s="49">
        <f>累计考核费用!I108/10000</f>
        <v>22.893902999999998</v>
      </c>
      <c r="I33" s="49">
        <f>累计考核费用!J108/10000</f>
        <v>18.187799999999999</v>
      </c>
      <c r="J33" s="49">
        <f>累计考核费用!K108/10000</f>
        <v>33.423128000000005</v>
      </c>
      <c r="K33" s="49">
        <f>累计考核费用!L108/10000</f>
        <v>37.468293000000003</v>
      </c>
      <c r="L33" s="49">
        <f>累计考核费用!M108/10000</f>
        <v>9.5504999999999995</v>
      </c>
      <c r="M33" s="49">
        <f>累计考核费用!N108/10000</f>
        <v>13.847892999999999</v>
      </c>
      <c r="N33" s="49">
        <f>累计考核费用!O108/10000</f>
        <v>8.4953000000000003</v>
      </c>
      <c r="O33" s="49">
        <f>累计考核费用!P108/10000</f>
        <v>5.5746000000000002</v>
      </c>
      <c r="P33" s="49">
        <f>累计考核费用!Q108/10000</f>
        <v>34.613002000000002</v>
      </c>
      <c r="Q33" s="49">
        <f>累计考核费用!R108/10000</f>
        <v>15.553664000000001</v>
      </c>
      <c r="R33" s="49">
        <f>累计考核费用!S108/10000</f>
        <v>19.059338</v>
      </c>
      <c r="S33" s="49">
        <f>累计考核费用!T108/10000</f>
        <v>11.006747000000001</v>
      </c>
      <c r="T33" s="49">
        <f>累计考核费用!U108/10000</f>
        <v>180.03808099999998</v>
      </c>
      <c r="U33" s="49">
        <f>累计考核费用!V108/10000</f>
        <v>51.425222999999995</v>
      </c>
      <c r="V33" s="49">
        <f>累计考核费用!W108/10000</f>
        <v>68.321542000000008</v>
      </c>
      <c r="W33" s="49">
        <f>累计考核费用!X108/10000</f>
        <v>27.780946000000004</v>
      </c>
      <c r="X33" s="49">
        <f>累计考核费用!Y108/10000</f>
        <v>10.8398</v>
      </c>
      <c r="Y33" s="49">
        <f>累计考核费用!Z108/10000</f>
        <v>12.79847</v>
      </c>
      <c r="Z33" s="49">
        <f>累计考核费用!AA108/10000</f>
        <v>8.8720999999999997</v>
      </c>
      <c r="AA33" s="49">
        <f>累计考核费用!AB108/10000</f>
        <v>0</v>
      </c>
      <c r="AB33" s="49">
        <f>累计考核费用!AC108/10000</f>
        <v>38.1629</v>
      </c>
      <c r="AC33" s="49">
        <f>累计考核费用!AD108/10000</f>
        <v>43.512322999999995</v>
      </c>
      <c r="AD33" s="49">
        <f>累计考核费用!AE108/10000</f>
        <v>0</v>
      </c>
      <c r="AE33" s="49"/>
      <c r="AF33" s="2">
        <f>AB33+AA33+G33+D33</f>
        <v>503.76469899999995</v>
      </c>
    </row>
    <row r="34" spans="1:32" s="2" customFormat="1">
      <c r="A34" s="48" t="s">
        <v>89</v>
      </c>
      <c r="B34" s="49">
        <f>累计考核费用!C109/10000</f>
        <v>16.51923</v>
      </c>
      <c r="C34" s="49">
        <f>累计考核费用!D109/10000</f>
        <v>0</v>
      </c>
      <c r="D34" s="49">
        <f>累计考核费用!E109/10000</f>
        <v>7.5703989999999992</v>
      </c>
      <c r="E34" s="49">
        <f>累计考核费用!F109/10000</f>
        <v>3.007981</v>
      </c>
      <c r="F34" s="49">
        <f>累计考核费用!G109/10000</f>
        <v>0.63700000000000001</v>
      </c>
      <c r="G34" s="49">
        <f>累计考核费用!H109/10000</f>
        <v>0.79449999999999998</v>
      </c>
      <c r="H34" s="49">
        <f>累计考核费用!I109/10000</f>
        <v>0.61250000000000004</v>
      </c>
      <c r="I34" s="49">
        <f>累计考核费用!J109/10000</f>
        <v>0</v>
      </c>
      <c r="J34" s="49">
        <f>累计考核费用!K109/10000</f>
        <v>0.182</v>
      </c>
      <c r="K34" s="49">
        <f>累计考核费用!L109/10000</f>
        <v>-1.3347999999999999E-2</v>
      </c>
      <c r="L34" s="49">
        <f>累计考核费用!M109/10000</f>
        <v>0</v>
      </c>
      <c r="M34" s="49">
        <f>累计考核费用!N109/10000</f>
        <v>-1.3347999999999999E-2</v>
      </c>
      <c r="N34" s="49">
        <f>累计考核费用!O109/10000</f>
        <v>0</v>
      </c>
      <c r="O34" s="49">
        <f>累计考核费用!P109/10000</f>
        <v>0</v>
      </c>
      <c r="P34" s="49">
        <f>累计考核费用!Q109/10000</f>
        <v>7.6999999999999999E-2</v>
      </c>
      <c r="Q34" s="49">
        <f>累计考核费用!R109/10000</f>
        <v>7.6999999999999999E-2</v>
      </c>
      <c r="R34" s="49">
        <f>累计考核费用!S109/10000</f>
        <v>0</v>
      </c>
      <c r="S34" s="49">
        <f>累计考核费用!T109/10000</f>
        <v>3.5000000000000001E-3</v>
      </c>
      <c r="T34" s="49">
        <f>累计考核费用!U109/10000</f>
        <v>2.4341409999999999</v>
      </c>
      <c r="U34" s="49">
        <f>累计考核费用!V109/10000</f>
        <v>1.3436410000000001</v>
      </c>
      <c r="V34" s="49">
        <f>累计考核费用!W109/10000</f>
        <v>0.60550000000000004</v>
      </c>
      <c r="W34" s="49">
        <f>累计考核费用!X109/10000</f>
        <v>0.36749999999999999</v>
      </c>
      <c r="X34" s="49">
        <f>累计考核费用!Y109/10000</f>
        <v>8.7499999999999994E-2</v>
      </c>
      <c r="Y34" s="49">
        <f>累计考核费用!Z109/10000</f>
        <v>0.03</v>
      </c>
      <c r="Z34" s="49">
        <f>累计考核费用!AA109/10000</f>
        <v>0</v>
      </c>
      <c r="AA34" s="49">
        <f>累计考核费用!AB109/10000</f>
        <v>0</v>
      </c>
      <c r="AB34" s="49">
        <f>累计考核费用!AC109/10000</f>
        <v>1.2949889999999999</v>
      </c>
      <c r="AC34" s="49">
        <f>累计考核费用!AD109/10000</f>
        <v>0.71306800000000004</v>
      </c>
      <c r="AD34" s="49">
        <f>累计考核费用!AE109/10000</f>
        <v>0</v>
      </c>
      <c r="AE34" s="49"/>
      <c r="AF34" s="2">
        <f t="shared" ref="AF34:AF81" si="1">AB34+AA34+G34+D34</f>
        <v>9.6598879999999987</v>
      </c>
    </row>
    <row r="35" spans="1:32" s="2" customFormat="1">
      <c r="A35" s="48" t="s">
        <v>90</v>
      </c>
      <c r="B35" s="49">
        <f>累计考核费用!C110/10000</f>
        <v>37.232119999999995</v>
      </c>
      <c r="C35" s="49">
        <f>累计考核费用!D110/10000</f>
        <v>0</v>
      </c>
      <c r="D35" s="49">
        <f>累计考核费用!E110/10000</f>
        <v>7.8823350000000003</v>
      </c>
      <c r="E35" s="49">
        <f>累计考核费用!F110/10000</f>
        <v>20.537271</v>
      </c>
      <c r="F35" s="49">
        <f>累计考核费用!G110/10000</f>
        <v>0.386071</v>
      </c>
      <c r="G35" s="49">
        <f>累计考核费用!H110/10000</f>
        <v>1.4984959999999998</v>
      </c>
      <c r="H35" s="49">
        <f>累计考核费用!I110/10000</f>
        <v>0.45787799999999995</v>
      </c>
      <c r="I35" s="49">
        <f>累计考核费用!J110/10000</f>
        <v>0.37215599999999999</v>
      </c>
      <c r="J35" s="49">
        <f>累计考核费用!K110/10000</f>
        <v>0.668462</v>
      </c>
      <c r="K35" s="49">
        <f>累计考核费用!L110/10000</f>
        <v>0.75356599999999996</v>
      </c>
      <c r="L35" s="49">
        <f>累计考核费用!M110/10000</f>
        <v>0.19100999999999999</v>
      </c>
      <c r="M35" s="49">
        <f>累计考核费用!N110/10000</f>
        <v>0.27695799999999998</v>
      </c>
      <c r="N35" s="49">
        <f>累计考核费用!O110/10000</f>
        <v>0.17410599999999998</v>
      </c>
      <c r="O35" s="49">
        <f>累计考核费用!P110/10000</f>
        <v>0.11149200000000001</v>
      </c>
      <c r="P35" s="49">
        <f>累计考核费用!Q110/10000</f>
        <v>0.69225999999999999</v>
      </c>
      <c r="Q35" s="49">
        <f>累计考核费用!R110/10000</f>
        <v>0.31107299999999999</v>
      </c>
      <c r="R35" s="49">
        <f>累计考核费用!S110/10000</f>
        <v>0.381187</v>
      </c>
      <c r="S35" s="49">
        <f>累计考核费用!T110/10000</f>
        <v>0.220135</v>
      </c>
      <c r="T35" s="49">
        <f>累计考核费用!U110/10000</f>
        <v>3.6007609999999994</v>
      </c>
      <c r="U35" s="49">
        <f>累计考核费用!V110/10000</f>
        <v>1.0285040000000001</v>
      </c>
      <c r="V35" s="49">
        <f>累计考核费用!W110/10000</f>
        <v>1.366431</v>
      </c>
      <c r="W35" s="49">
        <f>累计考核费用!X110/10000</f>
        <v>0.55561899999999997</v>
      </c>
      <c r="X35" s="49">
        <f>累计考核费用!Y110/10000</f>
        <v>0.21679600000000002</v>
      </c>
      <c r="Y35" s="49">
        <f>累计考核费用!Z110/10000</f>
        <v>0.255969</v>
      </c>
      <c r="Z35" s="49">
        <f>累计考核费用!AA110/10000</f>
        <v>0.17744200000000002</v>
      </c>
      <c r="AA35" s="49">
        <f>累计考核费用!AB110/10000</f>
        <v>0</v>
      </c>
      <c r="AB35" s="49">
        <f>累计考核费用!AC110/10000</f>
        <v>0.76325799999999999</v>
      </c>
      <c r="AC35" s="49">
        <f>累计考核费用!AD110/10000</f>
        <v>0.89796699999999996</v>
      </c>
      <c r="AD35" s="49">
        <f>累计考核费用!AE110/10000</f>
        <v>0</v>
      </c>
      <c r="AE35" s="49"/>
      <c r="AF35" s="2">
        <f t="shared" si="1"/>
        <v>10.144089000000001</v>
      </c>
    </row>
    <row r="36" spans="1:32" s="2" customFormat="1">
      <c r="A36" s="48" t="s">
        <v>91</v>
      </c>
      <c r="B36" s="49">
        <f>累计考核费用!C111/10000</f>
        <v>8.6914939999999987</v>
      </c>
      <c r="C36" s="49">
        <f>累计考核费用!D111/10000</f>
        <v>0</v>
      </c>
      <c r="D36" s="49">
        <f>累计考核费用!E111/10000</f>
        <v>0</v>
      </c>
      <c r="E36" s="49">
        <f>累计考核费用!F111/10000</f>
        <v>7.3997419999999998</v>
      </c>
      <c r="F36" s="49">
        <f>累计考核费用!G111/10000</f>
        <v>0.222992</v>
      </c>
      <c r="G36" s="49">
        <f>累计考核费用!H111/10000</f>
        <v>0</v>
      </c>
      <c r="H36" s="49">
        <f>累计考核费用!I111/10000</f>
        <v>0</v>
      </c>
      <c r="I36" s="49">
        <f>累计考核费用!J111/10000</f>
        <v>0</v>
      </c>
      <c r="J36" s="49">
        <f>累计考核费用!K111/10000</f>
        <v>0</v>
      </c>
      <c r="K36" s="49">
        <f>累计考核费用!L111/10000</f>
        <v>0</v>
      </c>
      <c r="L36" s="49">
        <f>累计考核费用!M111/10000</f>
        <v>0</v>
      </c>
      <c r="M36" s="49">
        <f>累计考核费用!N111/10000</f>
        <v>0</v>
      </c>
      <c r="N36" s="49">
        <f>累计考核费用!O111/10000</f>
        <v>0</v>
      </c>
      <c r="O36" s="49">
        <f>累计考核费用!P111/10000</f>
        <v>0</v>
      </c>
      <c r="P36" s="49">
        <f>累计考核费用!Q111/10000</f>
        <v>0.36155300000000001</v>
      </c>
      <c r="Q36" s="49">
        <f>累计考核费用!R111/10000</f>
        <v>0.36155300000000001</v>
      </c>
      <c r="R36" s="49">
        <f>累计考核费用!S111/10000</f>
        <v>0</v>
      </c>
      <c r="S36" s="49">
        <f>累计考核费用!T111/10000</f>
        <v>0</v>
      </c>
      <c r="T36" s="49">
        <f>累计考核费用!U111/10000</f>
        <v>0.12029200000000001</v>
      </c>
      <c r="U36" s="49">
        <f>累计考核费用!V111/10000</f>
        <v>0</v>
      </c>
      <c r="V36" s="49">
        <f>累计考核费用!W111/10000</f>
        <v>0.12029200000000001</v>
      </c>
      <c r="W36" s="49">
        <f>累计考核费用!X111/10000</f>
        <v>0</v>
      </c>
      <c r="X36" s="49">
        <f>累计考核费用!Y111/10000</f>
        <v>0</v>
      </c>
      <c r="Y36" s="49">
        <f>累计考核费用!Z111/10000</f>
        <v>0</v>
      </c>
      <c r="Z36" s="49">
        <f>累计考核费用!AA111/10000</f>
        <v>0</v>
      </c>
      <c r="AA36" s="49">
        <f>累计考核费用!AB111/10000</f>
        <v>0</v>
      </c>
      <c r="AB36" s="49">
        <f>累计考核费用!AC111/10000</f>
        <v>0.309251</v>
      </c>
      <c r="AC36" s="49">
        <f>累计考核费用!AD111/10000</f>
        <v>0.27766399999999997</v>
      </c>
      <c r="AD36" s="49">
        <f>累计考核费用!AE111/10000</f>
        <v>0</v>
      </c>
      <c r="AE36" s="49"/>
      <c r="AF36" s="2">
        <f t="shared" si="1"/>
        <v>0.309251</v>
      </c>
    </row>
    <row r="37" spans="1:32" s="2" customFormat="1">
      <c r="A37" s="48" t="s">
        <v>92</v>
      </c>
      <c r="B37" s="49">
        <f>累计考核费用!C112/10000</f>
        <v>525.69741699999986</v>
      </c>
      <c r="C37" s="49">
        <f>累计考核费用!D112/10000</f>
        <v>0</v>
      </c>
      <c r="D37" s="49">
        <f>累计考核费用!E112/10000</f>
        <v>132.936545</v>
      </c>
      <c r="E37" s="49">
        <f>累计考核费用!F112/10000</f>
        <v>247.81070600000001</v>
      </c>
      <c r="F37" s="49">
        <f>累计考核费用!G112/10000</f>
        <v>8.0750130000000002</v>
      </c>
      <c r="G37" s="49">
        <f>累计考核费用!H112/10000</f>
        <v>20.972100000000001</v>
      </c>
      <c r="H37" s="49">
        <f>累计考核费用!I112/10000</f>
        <v>8.3952240000000007</v>
      </c>
      <c r="I37" s="49">
        <f>累计考核费用!J112/10000</f>
        <v>4.6694279999999999</v>
      </c>
      <c r="J37" s="49">
        <f>累计考核费用!K112/10000</f>
        <v>7.9074479999999996</v>
      </c>
      <c r="K37" s="49">
        <f>累计考核费用!L112/10000</f>
        <v>11.335188</v>
      </c>
      <c r="L37" s="49">
        <f>累计考核费用!M112/10000</f>
        <v>2.532464</v>
      </c>
      <c r="M37" s="49">
        <f>累计考核费用!N112/10000</f>
        <v>4.1954859999999998</v>
      </c>
      <c r="N37" s="49">
        <f>累计考核费用!O112/10000</f>
        <v>2.9608790000000003</v>
      </c>
      <c r="O37" s="49">
        <f>累计考核费用!P112/10000</f>
        <v>1.6463589999999999</v>
      </c>
      <c r="P37" s="49">
        <f>累计考核费用!Q112/10000</f>
        <v>9.4724310000000003</v>
      </c>
      <c r="Q37" s="49">
        <f>累计考核费用!R112/10000</f>
        <v>4.5855769999999998</v>
      </c>
      <c r="R37" s="49">
        <f>累计考核费用!S112/10000</f>
        <v>4.8868540000000005</v>
      </c>
      <c r="S37" s="49">
        <f>累计考核费用!T112/10000</f>
        <v>4.162814</v>
      </c>
      <c r="T37" s="49">
        <f>累计考核费用!U112/10000</f>
        <v>61.327849999999998</v>
      </c>
      <c r="U37" s="49">
        <f>累计考核费用!V112/10000</f>
        <v>19.419798999999998</v>
      </c>
      <c r="V37" s="49">
        <f>累计考核费用!W112/10000</f>
        <v>19.507832999999998</v>
      </c>
      <c r="W37" s="49">
        <f>累计考核费用!X112/10000</f>
        <v>9.8682859999999994</v>
      </c>
      <c r="X37" s="49">
        <f>累计考核费用!Y112/10000</f>
        <v>4.1883879999999998</v>
      </c>
      <c r="Y37" s="49">
        <f>累计考核费用!Z112/10000</f>
        <v>5.0806760000000004</v>
      </c>
      <c r="Z37" s="49">
        <f>累计考核费用!AA112/10000</f>
        <v>3.2628680000000001</v>
      </c>
      <c r="AA37" s="49">
        <f>累计考核费用!AB112/10000</f>
        <v>0</v>
      </c>
      <c r="AB37" s="49">
        <f>累计考核费用!AC112/10000</f>
        <v>13.48054</v>
      </c>
      <c r="AC37" s="49">
        <f>累计考核费用!AD112/10000</f>
        <v>16.124229999999997</v>
      </c>
      <c r="AD37" s="49">
        <f>累计考核费用!AE112/10000</f>
        <v>0</v>
      </c>
      <c r="AE37" s="49"/>
      <c r="AF37" s="2">
        <f t="shared" si="1"/>
        <v>167.389185</v>
      </c>
    </row>
    <row r="38" spans="1:32" s="2" customFormat="1">
      <c r="A38" s="48" t="s">
        <v>93</v>
      </c>
      <c r="B38" s="49">
        <f>累计考核费用!C113/10000</f>
        <v>0</v>
      </c>
      <c r="C38" s="49">
        <f>累计考核费用!D113/10000</f>
        <v>0</v>
      </c>
      <c r="D38" s="49">
        <f>累计考核费用!E113/10000</f>
        <v>0</v>
      </c>
      <c r="E38" s="49">
        <f>累计考核费用!F113/10000</f>
        <v>0</v>
      </c>
      <c r="F38" s="49">
        <f>累计考核费用!G113/10000</f>
        <v>0</v>
      </c>
      <c r="G38" s="49">
        <f>累计考核费用!H113/10000</f>
        <v>0</v>
      </c>
      <c r="H38" s="49">
        <f>累计考核费用!I113/10000</f>
        <v>0</v>
      </c>
      <c r="I38" s="49">
        <f>累计考核费用!J113/10000</f>
        <v>0</v>
      </c>
      <c r="J38" s="49">
        <f>累计考核费用!K113/10000</f>
        <v>0</v>
      </c>
      <c r="K38" s="49">
        <f>累计考核费用!L113/10000</f>
        <v>0</v>
      </c>
      <c r="L38" s="49">
        <f>累计考核费用!M113/10000</f>
        <v>0</v>
      </c>
      <c r="M38" s="49">
        <f>累计考核费用!N113/10000</f>
        <v>0</v>
      </c>
      <c r="N38" s="49">
        <f>累计考核费用!O113/10000</f>
        <v>0</v>
      </c>
      <c r="O38" s="49">
        <f>累计考核费用!P113/10000</f>
        <v>0</v>
      </c>
      <c r="P38" s="49">
        <f>累计考核费用!Q113/10000</f>
        <v>0</v>
      </c>
      <c r="Q38" s="49">
        <f>累计考核费用!R113/10000</f>
        <v>0</v>
      </c>
      <c r="R38" s="49">
        <f>累计考核费用!S113/10000</f>
        <v>0</v>
      </c>
      <c r="S38" s="49">
        <f>累计考核费用!T113/10000</f>
        <v>0</v>
      </c>
      <c r="T38" s="49">
        <f>累计考核费用!U113/10000</f>
        <v>0</v>
      </c>
      <c r="U38" s="49">
        <f>累计考核费用!V113/10000</f>
        <v>0</v>
      </c>
      <c r="V38" s="49">
        <f>累计考核费用!W113/10000</f>
        <v>0</v>
      </c>
      <c r="W38" s="49">
        <f>累计考核费用!X113/10000</f>
        <v>0</v>
      </c>
      <c r="X38" s="49">
        <f>累计考核费用!Y113/10000</f>
        <v>0</v>
      </c>
      <c r="Y38" s="49">
        <f>累计考核费用!Z113/10000</f>
        <v>0</v>
      </c>
      <c r="Z38" s="49">
        <f>累计考核费用!AA113/10000</f>
        <v>0</v>
      </c>
      <c r="AA38" s="49">
        <f>累计考核费用!AB113/10000</f>
        <v>0</v>
      </c>
      <c r="AB38" s="49">
        <f>累计考核费用!AC113/10000</f>
        <v>0</v>
      </c>
      <c r="AC38" s="49">
        <f>累计考核费用!AD113/10000</f>
        <v>0</v>
      </c>
      <c r="AD38" s="49">
        <f>累计考核费用!AE113/10000</f>
        <v>0</v>
      </c>
      <c r="AE38" s="49"/>
      <c r="AF38" s="2">
        <f t="shared" si="1"/>
        <v>0</v>
      </c>
    </row>
    <row r="39" spans="1:32" s="2" customFormat="1">
      <c r="A39" s="48" t="s">
        <v>94</v>
      </c>
      <c r="B39" s="49">
        <f>累计考核费用!C114/10000</f>
        <v>3.0905779999999998</v>
      </c>
      <c r="C39" s="49">
        <f>累计考核费用!D114/10000</f>
        <v>0</v>
      </c>
      <c r="D39" s="49">
        <f>累计考核费用!E114/10000</f>
        <v>-0.15755</v>
      </c>
      <c r="E39" s="49">
        <f>累计考核费用!F114/10000</f>
        <v>3.5632280000000001</v>
      </c>
      <c r="F39" s="49">
        <f>累计考核费用!G114/10000</f>
        <v>0</v>
      </c>
      <c r="G39" s="49">
        <f>累计考核费用!H114/10000</f>
        <v>0</v>
      </c>
      <c r="H39" s="49">
        <f>累计考核费用!I114/10000</f>
        <v>0</v>
      </c>
      <c r="I39" s="49">
        <f>累计考核费用!J114/10000</f>
        <v>0</v>
      </c>
      <c r="J39" s="49">
        <f>累计考核费用!K114/10000</f>
        <v>0</v>
      </c>
      <c r="K39" s="49">
        <f>累计考核费用!L114/10000</f>
        <v>0</v>
      </c>
      <c r="L39" s="49">
        <f>累计考核费用!M114/10000</f>
        <v>0</v>
      </c>
      <c r="M39" s="49">
        <f>累计考核费用!N114/10000</f>
        <v>0</v>
      </c>
      <c r="N39" s="49">
        <f>累计考核费用!O114/10000</f>
        <v>0</v>
      </c>
      <c r="O39" s="49">
        <f>累计考核费用!P114/10000</f>
        <v>0</v>
      </c>
      <c r="P39" s="49">
        <f>累计考核费用!Q114/10000</f>
        <v>0</v>
      </c>
      <c r="Q39" s="49">
        <f>累计考核费用!R114/10000</f>
        <v>0</v>
      </c>
      <c r="R39" s="49">
        <f>累计考核费用!S114/10000</f>
        <v>0</v>
      </c>
      <c r="S39" s="49">
        <f>累计考核费用!T114/10000</f>
        <v>0</v>
      </c>
      <c r="T39" s="49">
        <f>累计考核费用!U114/10000</f>
        <v>-0.31509999999999999</v>
      </c>
      <c r="U39" s="49">
        <f>累计考核费用!V114/10000</f>
        <v>0</v>
      </c>
      <c r="V39" s="49">
        <f>累计考核费用!W114/10000</f>
        <v>-0.31509999999999999</v>
      </c>
      <c r="W39" s="49">
        <f>累计考核费用!X114/10000</f>
        <v>0</v>
      </c>
      <c r="X39" s="49">
        <f>累计考核费用!Y114/10000</f>
        <v>0</v>
      </c>
      <c r="Y39" s="49">
        <f>累计考核费用!Z114/10000</f>
        <v>0</v>
      </c>
      <c r="Z39" s="49">
        <f>累计考核费用!AA114/10000</f>
        <v>0</v>
      </c>
      <c r="AA39" s="49">
        <f>累计考核费用!AB114/10000</f>
        <v>0</v>
      </c>
      <c r="AB39" s="49">
        <f>累计考核费用!AC114/10000</f>
        <v>0</v>
      </c>
      <c r="AC39" s="49">
        <f>累计考核费用!AD114/10000</f>
        <v>0</v>
      </c>
      <c r="AD39" s="49">
        <f>累计考核费用!AE114/10000</f>
        <v>0</v>
      </c>
      <c r="AE39" s="49"/>
      <c r="AF39" s="2">
        <f t="shared" si="1"/>
        <v>-0.15755</v>
      </c>
    </row>
    <row r="40" spans="1:32" s="2" customFormat="1">
      <c r="A40" s="48" t="s">
        <v>95</v>
      </c>
      <c r="B40" s="49">
        <f>累计考核费用!C115/10000</f>
        <v>19.616311</v>
      </c>
      <c r="C40" s="49">
        <f>累计考核费用!D115/10000</f>
        <v>0</v>
      </c>
      <c r="D40" s="49">
        <f>累计考核费用!E115/10000</f>
        <v>2.82769</v>
      </c>
      <c r="E40" s="49">
        <f>累计考核费用!F115/10000</f>
        <v>14.772620999999999</v>
      </c>
      <c r="F40" s="49">
        <f>累计考核费用!G115/10000</f>
        <v>0</v>
      </c>
      <c r="G40" s="49">
        <f>累计考核费用!H115/10000</f>
        <v>0.42</v>
      </c>
      <c r="H40" s="49">
        <f>累计考核费用!I115/10000</f>
        <v>0</v>
      </c>
      <c r="I40" s="49">
        <f>累计考核费用!J115/10000</f>
        <v>0.42</v>
      </c>
      <c r="J40" s="49">
        <f>累计考核费用!K115/10000</f>
        <v>0</v>
      </c>
      <c r="K40" s="49">
        <f>累计考核费用!L115/10000</f>
        <v>0.21</v>
      </c>
      <c r="L40" s="49">
        <f>累计考核费用!M115/10000</f>
        <v>0</v>
      </c>
      <c r="M40" s="49">
        <f>累计考核费用!N115/10000</f>
        <v>0</v>
      </c>
      <c r="N40" s="49">
        <f>累计考核费用!O115/10000</f>
        <v>0.21</v>
      </c>
      <c r="O40" s="49">
        <f>累计考核费用!P115/10000</f>
        <v>0</v>
      </c>
      <c r="P40" s="49">
        <f>累计考核费用!Q115/10000</f>
        <v>0</v>
      </c>
      <c r="Q40" s="49">
        <f>累计考核费用!R115/10000</f>
        <v>0</v>
      </c>
      <c r="R40" s="49">
        <f>累计考核费用!S115/10000</f>
        <v>0</v>
      </c>
      <c r="S40" s="49">
        <f>累计考核费用!T115/10000</f>
        <v>0</v>
      </c>
      <c r="T40" s="49">
        <f>累计考核费用!U115/10000</f>
        <v>0</v>
      </c>
      <c r="U40" s="49">
        <f>累计考核费用!V115/10000</f>
        <v>0</v>
      </c>
      <c r="V40" s="49">
        <f>累计考核费用!W115/10000</f>
        <v>0</v>
      </c>
      <c r="W40" s="49">
        <f>累计考核费用!X115/10000</f>
        <v>0</v>
      </c>
      <c r="X40" s="49">
        <f>累计考核费用!Y115/10000</f>
        <v>0</v>
      </c>
      <c r="Y40" s="49">
        <f>累计考核费用!Z115/10000</f>
        <v>0</v>
      </c>
      <c r="Z40" s="49">
        <f>累计考核费用!AA115/10000</f>
        <v>0</v>
      </c>
      <c r="AA40" s="49">
        <f>累计考核费用!AB115/10000</f>
        <v>0</v>
      </c>
      <c r="AB40" s="49">
        <f>累计考核费用!AC115/10000</f>
        <v>0</v>
      </c>
      <c r="AC40" s="49">
        <f>累计考核费用!AD115/10000</f>
        <v>1.3859999999999999</v>
      </c>
      <c r="AD40" s="49">
        <f>累计考核费用!AE115/10000</f>
        <v>0</v>
      </c>
      <c r="AE40" s="49"/>
      <c r="AF40" s="2">
        <f t="shared" si="1"/>
        <v>3.24769</v>
      </c>
    </row>
    <row r="41" spans="1:32" s="2" customFormat="1">
      <c r="A41" s="48" t="s">
        <v>96</v>
      </c>
      <c r="B41" s="49">
        <f>累计考核费用!C116/10000</f>
        <v>40.733986000000002</v>
      </c>
      <c r="C41" s="49">
        <f>累计考核费用!D116/10000</f>
        <v>0</v>
      </c>
      <c r="D41" s="49">
        <f>累计考核费用!E116/10000</f>
        <v>15.777951000000002</v>
      </c>
      <c r="E41" s="49">
        <f>累计考核费用!F116/10000</f>
        <v>0</v>
      </c>
      <c r="F41" s="49">
        <f>累计考核费用!G116/10000</f>
        <v>0</v>
      </c>
      <c r="G41" s="49">
        <f>累计考核费用!H116/10000</f>
        <v>0</v>
      </c>
      <c r="H41" s="49">
        <f>累计考核费用!I116/10000</f>
        <v>0</v>
      </c>
      <c r="I41" s="49">
        <f>累计考核费用!J116/10000</f>
        <v>0</v>
      </c>
      <c r="J41" s="49">
        <f>累计考核费用!K116/10000</f>
        <v>0</v>
      </c>
      <c r="K41" s="49">
        <f>累计考核费用!L116/10000</f>
        <v>0</v>
      </c>
      <c r="L41" s="49">
        <f>累计考核费用!M116/10000</f>
        <v>0</v>
      </c>
      <c r="M41" s="49">
        <f>累计考核费用!N116/10000</f>
        <v>0</v>
      </c>
      <c r="N41" s="49">
        <f>累计考核费用!O116/10000</f>
        <v>0</v>
      </c>
      <c r="O41" s="49">
        <f>累计考核费用!P116/10000</f>
        <v>0</v>
      </c>
      <c r="P41" s="49">
        <f>累计考核费用!Q116/10000</f>
        <v>0</v>
      </c>
      <c r="Q41" s="49">
        <f>累计考核费用!R116/10000</f>
        <v>0</v>
      </c>
      <c r="R41" s="49">
        <f>累计考核费用!S116/10000</f>
        <v>0</v>
      </c>
      <c r="S41" s="49">
        <f>累计考核费用!T116/10000</f>
        <v>3.4730089999999998</v>
      </c>
      <c r="T41" s="49">
        <f>累计考核费用!U116/10000</f>
        <v>0</v>
      </c>
      <c r="U41" s="49">
        <f>累计考核费用!V116/10000</f>
        <v>0</v>
      </c>
      <c r="V41" s="49">
        <f>累计考核费用!W116/10000</f>
        <v>0</v>
      </c>
      <c r="W41" s="49">
        <f>累计考核费用!X116/10000</f>
        <v>0</v>
      </c>
      <c r="X41" s="49">
        <f>累计考核费用!Y116/10000</f>
        <v>0</v>
      </c>
      <c r="Y41" s="49">
        <f>累计考核费用!Z116/10000</f>
        <v>0</v>
      </c>
      <c r="Z41" s="49">
        <f>累计考核费用!AA116/10000</f>
        <v>0</v>
      </c>
      <c r="AA41" s="49">
        <f>累计考核费用!AB116/10000</f>
        <v>0</v>
      </c>
      <c r="AB41" s="49">
        <f>累计考核费用!AC116/10000</f>
        <v>1.0199400000000001</v>
      </c>
      <c r="AC41" s="49">
        <f>累计考核费用!AD116/10000</f>
        <v>20.463085999999997</v>
      </c>
      <c r="AD41" s="49">
        <f>累计考核费用!AE116/10000</f>
        <v>0</v>
      </c>
      <c r="AE41" s="49"/>
      <c r="AF41" s="2">
        <f t="shared" si="1"/>
        <v>16.797891</v>
      </c>
    </row>
    <row r="42" spans="1:32" s="2" customFormat="1">
      <c r="A42" s="48" t="s">
        <v>97</v>
      </c>
      <c r="B42" s="49">
        <f>累计考核费用!C117/10000</f>
        <v>0</v>
      </c>
      <c r="C42" s="49">
        <f>累计考核费用!D117/10000</f>
        <v>0</v>
      </c>
      <c r="D42" s="49">
        <f>累计考核费用!E117/10000</f>
        <v>0</v>
      </c>
      <c r="E42" s="49">
        <f>累计考核费用!F117/10000</f>
        <v>0</v>
      </c>
      <c r="F42" s="49">
        <f>累计考核费用!G117/10000</f>
        <v>0</v>
      </c>
      <c r="G42" s="49">
        <f>累计考核费用!H117/10000</f>
        <v>0</v>
      </c>
      <c r="H42" s="49">
        <f>累计考核费用!I117/10000</f>
        <v>0</v>
      </c>
      <c r="I42" s="49">
        <f>累计考核费用!J117/10000</f>
        <v>0</v>
      </c>
      <c r="J42" s="49">
        <f>累计考核费用!K117/10000</f>
        <v>0</v>
      </c>
      <c r="K42" s="49">
        <f>累计考核费用!L117/10000</f>
        <v>0</v>
      </c>
      <c r="L42" s="49">
        <f>累计考核费用!M117/10000</f>
        <v>0</v>
      </c>
      <c r="M42" s="49">
        <f>累计考核费用!N117/10000</f>
        <v>0</v>
      </c>
      <c r="N42" s="49">
        <f>累计考核费用!O117/10000</f>
        <v>0</v>
      </c>
      <c r="O42" s="49">
        <f>累计考核费用!P117/10000</f>
        <v>0</v>
      </c>
      <c r="P42" s="49">
        <f>累计考核费用!Q117/10000</f>
        <v>0</v>
      </c>
      <c r="Q42" s="49">
        <f>累计考核费用!R117/10000</f>
        <v>0</v>
      </c>
      <c r="R42" s="49">
        <f>累计考核费用!S117/10000</f>
        <v>0</v>
      </c>
      <c r="S42" s="49">
        <f>累计考核费用!T117/10000</f>
        <v>0</v>
      </c>
      <c r="T42" s="49">
        <f>累计考核费用!U117/10000</f>
        <v>0</v>
      </c>
      <c r="U42" s="49">
        <f>累计考核费用!V117/10000</f>
        <v>0</v>
      </c>
      <c r="V42" s="49">
        <f>累计考核费用!W117/10000</f>
        <v>0</v>
      </c>
      <c r="W42" s="49">
        <f>累计考核费用!X117/10000</f>
        <v>0</v>
      </c>
      <c r="X42" s="49">
        <f>累计考核费用!Y117/10000</f>
        <v>0</v>
      </c>
      <c r="Y42" s="49">
        <f>累计考核费用!Z117/10000</f>
        <v>0</v>
      </c>
      <c r="Z42" s="49">
        <f>累计考核费用!AA117/10000</f>
        <v>0</v>
      </c>
      <c r="AA42" s="49">
        <f>累计考核费用!AB117/10000</f>
        <v>0</v>
      </c>
      <c r="AB42" s="49">
        <f>累计考核费用!AC117/10000</f>
        <v>0</v>
      </c>
      <c r="AC42" s="49">
        <f>累计考核费用!AD117/10000</f>
        <v>0</v>
      </c>
      <c r="AD42" s="49">
        <f>累计考核费用!AE117/10000</f>
        <v>0</v>
      </c>
      <c r="AE42" s="49"/>
      <c r="AF42" s="2">
        <f t="shared" si="1"/>
        <v>0</v>
      </c>
    </row>
    <row r="43" spans="1:32" s="2" customFormat="1">
      <c r="A43" s="46" t="s">
        <v>98</v>
      </c>
      <c r="B43" s="49">
        <f>累计考核费用!C118/10000</f>
        <v>2233.6037100000003</v>
      </c>
      <c r="C43" s="49">
        <f>累计考核费用!D118/10000</f>
        <v>0</v>
      </c>
      <c r="D43" s="49">
        <f>累计考核费用!E118/10000</f>
        <v>557.93433800000003</v>
      </c>
      <c r="E43" s="49">
        <f>累计考核费用!F118/10000</f>
        <v>1049.4074049999999</v>
      </c>
      <c r="F43" s="49">
        <f>累计考核费用!G118/10000</f>
        <v>28.624648999999998</v>
      </c>
      <c r="G43" s="49">
        <f>累计考核费用!H118/10000</f>
        <v>98.189926999999997</v>
      </c>
      <c r="H43" s="49">
        <f>累计考核费用!I118/10000</f>
        <v>32.359504999999999</v>
      </c>
      <c r="I43" s="49">
        <f>累计考核费用!J118/10000</f>
        <v>23.649384000000001</v>
      </c>
      <c r="J43" s="49">
        <f>累计考核费用!K118/10000</f>
        <v>42.181038000000001</v>
      </c>
      <c r="K43" s="49">
        <f>累计考核费用!L118/10000</f>
        <v>49.753698999999997</v>
      </c>
      <c r="L43" s="49">
        <f>累计考核费用!M118/10000</f>
        <v>12.273974000000001</v>
      </c>
      <c r="M43" s="49">
        <f>累计考核费用!N118/10000</f>
        <v>18.306988999999994</v>
      </c>
      <c r="N43" s="49">
        <f>累计考核费用!O118/10000</f>
        <v>11.840285</v>
      </c>
      <c r="O43" s="49">
        <f>累计考核费用!P118/10000</f>
        <v>7.3324509999999998</v>
      </c>
      <c r="P43" s="49">
        <f>累计考核费用!Q118/10000</f>
        <v>45.216246000000005</v>
      </c>
      <c r="Q43" s="49">
        <f>累计考核费用!R118/10000</f>
        <v>20.888867000000001</v>
      </c>
      <c r="R43" s="49">
        <f>累计考核费用!S118/10000</f>
        <v>24.327379000000001</v>
      </c>
      <c r="S43" s="49">
        <f>累计考核费用!T118/10000</f>
        <v>18.866205000000001</v>
      </c>
      <c r="T43" s="49">
        <f>累计考核费用!U118/10000</f>
        <v>247.20602500000001</v>
      </c>
      <c r="U43" s="49">
        <f>累计考核费用!V118/10000</f>
        <v>73.217167000000003</v>
      </c>
      <c r="V43" s="49">
        <f>累计考核费用!W118/10000</f>
        <v>89.606498000000016</v>
      </c>
      <c r="W43" s="49">
        <f>累计考核费用!X118/10000</f>
        <v>38.572350999999998</v>
      </c>
      <c r="X43" s="49">
        <f>累计考核费用!Y118/10000</f>
        <v>15.332483999999999</v>
      </c>
      <c r="Y43" s="49">
        <f>累计考核费用!Z118/10000</f>
        <v>18.165115</v>
      </c>
      <c r="Z43" s="49">
        <f>累计考核费用!AA118/10000</f>
        <v>12.31241</v>
      </c>
      <c r="AA43" s="49">
        <f>累计考核费用!AB118/10000</f>
        <v>0</v>
      </c>
      <c r="AB43" s="49">
        <f>累计考核费用!AC118/10000</f>
        <v>55.030878000000001</v>
      </c>
      <c r="AC43" s="49">
        <f>累计考核费用!AD118/10000</f>
        <v>83.374337999999995</v>
      </c>
      <c r="AD43" s="49">
        <f>累计考核费用!AE118/10000</f>
        <v>0</v>
      </c>
      <c r="AE43" s="49"/>
      <c r="AF43" s="2">
        <f t="shared" si="1"/>
        <v>711.15514299999995</v>
      </c>
    </row>
    <row r="44" spans="1:32" s="2" customFormat="1">
      <c r="A44" s="48" t="s">
        <v>100</v>
      </c>
      <c r="B44" s="49">
        <f>累计考核费用!C119/10000</f>
        <v>195.55247000000003</v>
      </c>
      <c r="C44" s="49">
        <f>累计考核费用!D119/10000</f>
        <v>-21.134414000000003</v>
      </c>
      <c r="D44" s="49">
        <f>累计考核费用!E119/10000</f>
        <v>0</v>
      </c>
      <c r="E44" s="49">
        <f>累计考核费用!F119/10000</f>
        <v>195.55247000000003</v>
      </c>
      <c r="F44" s="49">
        <f>累计考核费用!G119/10000</f>
        <v>-5.5668559999999996</v>
      </c>
      <c r="G44" s="49">
        <f>累计考核费用!H119/10000</f>
        <v>0</v>
      </c>
      <c r="H44" s="49">
        <f>累计考核费用!I119/10000</f>
        <v>0</v>
      </c>
      <c r="I44" s="49">
        <f>累计考核费用!J119/10000</f>
        <v>0</v>
      </c>
      <c r="J44" s="49">
        <f>累计考核费用!K119/10000</f>
        <v>0</v>
      </c>
      <c r="K44" s="49">
        <f>累计考核费用!L119/10000</f>
        <v>26.701270000000001</v>
      </c>
      <c r="L44" s="49">
        <f>累计考核费用!M119/10000</f>
        <v>0</v>
      </c>
      <c r="M44" s="49">
        <f>累计考核费用!N119/10000</f>
        <v>0</v>
      </c>
      <c r="N44" s="49">
        <f>累计考核费用!O119/10000</f>
        <v>26.701270000000001</v>
      </c>
      <c r="O44" s="49">
        <f>累计考核费用!P119/10000</f>
        <v>0</v>
      </c>
      <c r="P44" s="49">
        <f>累计考核费用!Q119/10000</f>
        <v>0</v>
      </c>
      <c r="Q44" s="49">
        <f>累计考核费用!R119/10000</f>
        <v>0</v>
      </c>
      <c r="R44" s="49">
        <f>累计考核费用!S119/10000</f>
        <v>0</v>
      </c>
      <c r="S44" s="49">
        <f>累计考核费用!T119/10000</f>
        <v>0</v>
      </c>
      <c r="T44" s="49">
        <f>累计考核费用!U119/10000</f>
        <v>0</v>
      </c>
      <c r="U44" s="49">
        <f>累计考核费用!V119/10000</f>
        <v>0</v>
      </c>
      <c r="V44" s="49">
        <f>累计考核费用!W119/10000</f>
        <v>0</v>
      </c>
      <c r="W44" s="49">
        <f>累计考核费用!X119/10000</f>
        <v>0</v>
      </c>
      <c r="X44" s="49">
        <f>累计考核费用!Y119/10000</f>
        <v>0</v>
      </c>
      <c r="Y44" s="49">
        <f>累计考核费用!Z119/10000</f>
        <v>0</v>
      </c>
      <c r="Z44" s="49">
        <f>累计考核费用!AA119/10000</f>
        <v>0</v>
      </c>
      <c r="AA44" s="49">
        <f>累计考核费用!AB119/10000</f>
        <v>0</v>
      </c>
      <c r="AB44" s="49">
        <f>累计考核费用!AC119/10000</f>
        <v>0</v>
      </c>
      <c r="AC44" s="49">
        <f>累计考核费用!AD119/10000</f>
        <v>0</v>
      </c>
      <c r="AD44" s="49">
        <f>累计考核费用!AE119/10000</f>
        <v>0</v>
      </c>
      <c r="AE44" s="49"/>
      <c r="AF44" s="2">
        <f t="shared" si="1"/>
        <v>0</v>
      </c>
    </row>
    <row r="45" spans="1:32" s="2" customFormat="1">
      <c r="A45" s="48" t="s">
        <v>101</v>
      </c>
      <c r="B45" s="49">
        <f>累计考核费用!C120/10000</f>
        <v>518.17656799999997</v>
      </c>
      <c r="C45" s="49">
        <f>累计考核费用!D120/10000</f>
        <v>0</v>
      </c>
      <c r="D45" s="49">
        <f>累计考核费用!E120/10000</f>
        <v>0</v>
      </c>
      <c r="E45" s="49">
        <f>累计考核费用!F120/10000</f>
        <v>502.47722400000004</v>
      </c>
      <c r="F45" s="49">
        <f>累计考核费用!G120/10000</f>
        <v>0</v>
      </c>
      <c r="G45" s="49">
        <f>累计考核费用!H120/10000</f>
        <v>0</v>
      </c>
      <c r="H45" s="49">
        <f>累计考核费用!I120/10000</f>
        <v>0</v>
      </c>
      <c r="I45" s="49">
        <f>累计考核费用!J120/10000</f>
        <v>0</v>
      </c>
      <c r="J45" s="49">
        <f>累计考核费用!K120/10000</f>
        <v>0</v>
      </c>
      <c r="K45" s="49">
        <f>累计考核费用!L120/10000</f>
        <v>10.118080000000001</v>
      </c>
      <c r="L45" s="49">
        <f>累计考核费用!M120/10000</f>
        <v>0</v>
      </c>
      <c r="M45" s="49">
        <f>累计考核费用!N120/10000</f>
        <v>0</v>
      </c>
      <c r="N45" s="49">
        <f>累计考核费用!O120/10000</f>
        <v>10.118080000000001</v>
      </c>
      <c r="O45" s="49">
        <f>累计考核费用!P120/10000</f>
        <v>0</v>
      </c>
      <c r="P45" s="49">
        <f>累计考核费用!Q120/10000</f>
        <v>0</v>
      </c>
      <c r="Q45" s="49">
        <f>累计考核费用!R120/10000</f>
        <v>0</v>
      </c>
      <c r="R45" s="49">
        <f>累计考核费用!S120/10000</f>
        <v>0</v>
      </c>
      <c r="S45" s="49">
        <f>累计考核费用!T120/10000</f>
        <v>0</v>
      </c>
      <c r="T45" s="49">
        <f>累计考核费用!U120/10000</f>
        <v>5.581264</v>
      </c>
      <c r="U45" s="49">
        <f>累计考核费用!V120/10000</f>
        <v>5.8252430000000004</v>
      </c>
      <c r="V45" s="49">
        <f>累计考核费用!W120/10000</f>
        <v>0</v>
      </c>
      <c r="W45" s="49">
        <f>累计考核费用!X120/10000</f>
        <v>-0.243979</v>
      </c>
      <c r="X45" s="49">
        <f>累计考核费用!Y120/10000</f>
        <v>0</v>
      </c>
      <c r="Y45" s="49">
        <f>累计考核费用!Z120/10000</f>
        <v>0</v>
      </c>
      <c r="Z45" s="49">
        <f>累计考核费用!AA120/10000</f>
        <v>0</v>
      </c>
      <c r="AA45" s="49">
        <f>累计考核费用!AB120/10000</f>
        <v>0</v>
      </c>
      <c r="AB45" s="49">
        <f>累计考核费用!AC120/10000</f>
        <v>0</v>
      </c>
      <c r="AC45" s="49">
        <f>累计考核费用!AD120/10000</f>
        <v>0</v>
      </c>
      <c r="AD45" s="49">
        <f>累计考核费用!AE120/10000</f>
        <v>0</v>
      </c>
      <c r="AE45" s="49"/>
      <c r="AF45" s="2">
        <f t="shared" si="1"/>
        <v>0</v>
      </c>
    </row>
    <row r="46" spans="1:32" s="2" customFormat="1">
      <c r="A46" s="48" t="s">
        <v>102</v>
      </c>
      <c r="B46" s="49">
        <f>累计考核费用!C121/10000</f>
        <v>74.474115999999995</v>
      </c>
      <c r="C46" s="49">
        <f>累计考核费用!D121/10000</f>
        <v>-84.819299999999998</v>
      </c>
      <c r="D46" s="49">
        <f>累计考核费用!E121/10000</f>
        <v>-52.877620999999998</v>
      </c>
      <c r="E46" s="49">
        <f>累计考核费用!F121/10000</f>
        <v>143.63788399999999</v>
      </c>
      <c r="F46" s="49">
        <f>累计考核费用!G121/10000</f>
        <v>1.504618</v>
      </c>
      <c r="G46" s="49">
        <f>累计考核费用!H121/10000</f>
        <v>61.781127000000005</v>
      </c>
      <c r="H46" s="49">
        <f>累计考核费用!I121/10000</f>
        <v>3.3520699999999999</v>
      </c>
      <c r="I46" s="49">
        <f>累计考核费用!J121/10000</f>
        <v>0.87827999999999995</v>
      </c>
      <c r="J46" s="49">
        <f>累计考核费用!K121/10000</f>
        <v>57.550777000000004</v>
      </c>
      <c r="K46" s="49">
        <f>累计考核费用!L121/10000</f>
        <v>30.493786</v>
      </c>
      <c r="L46" s="49">
        <f>累计考核费用!M121/10000</f>
        <v>9.4831570000000003</v>
      </c>
      <c r="M46" s="49">
        <f>累计考核费用!N121/10000</f>
        <v>18.068591000000001</v>
      </c>
      <c r="N46" s="49">
        <f>累计考核费用!O121/10000</f>
        <v>1.8780299999999999</v>
      </c>
      <c r="O46" s="49">
        <f>累计考核费用!P121/10000</f>
        <v>1.0640080000000001</v>
      </c>
      <c r="P46" s="49">
        <f>累计考核费用!Q121/10000</f>
        <v>-25.836477000000002</v>
      </c>
      <c r="Q46" s="49">
        <f>累计考核费用!R121/10000</f>
        <v>-28.970482000000008</v>
      </c>
      <c r="R46" s="49">
        <f>累计考核费用!S121/10000</f>
        <v>3.1340049999999997</v>
      </c>
      <c r="S46" s="49">
        <f>累计考核费用!T121/10000</f>
        <v>-8.2999999999999998E-5</v>
      </c>
      <c r="T46" s="49">
        <f>累计考核费用!U121/10000</f>
        <v>0.59018199999999998</v>
      </c>
      <c r="U46" s="49">
        <f>累计考核费用!V121/10000</f>
        <v>-0.173013</v>
      </c>
      <c r="V46" s="49">
        <f>累计考核费用!W121/10000</f>
        <v>-1.8690000000000009E-2</v>
      </c>
      <c r="W46" s="49">
        <f>累计考核费用!X121/10000</f>
        <v>0.78188199999999997</v>
      </c>
      <c r="X46" s="49">
        <f>累计考核费用!Y121/10000</f>
        <v>0</v>
      </c>
      <c r="Y46" s="49">
        <f>累计考核费用!Z121/10000</f>
        <v>0</v>
      </c>
      <c r="Z46" s="49">
        <f>累计考核费用!AA121/10000</f>
        <v>3.0000000000000001E-6</v>
      </c>
      <c r="AA46" s="49">
        <f>累计考核费用!AB121/10000</f>
        <v>0</v>
      </c>
      <c r="AB46" s="49">
        <f>累计考核费用!AC121/10000</f>
        <v>0</v>
      </c>
      <c r="AC46" s="49">
        <f>累计考核费用!AD121/10000</f>
        <v>0</v>
      </c>
      <c r="AD46" s="49">
        <f>累计考核费用!AE121/10000</f>
        <v>0</v>
      </c>
      <c r="AE46" s="49"/>
      <c r="AF46" s="2">
        <f t="shared" si="1"/>
        <v>8.9035060000000072</v>
      </c>
    </row>
    <row r="47" spans="1:32" s="2" customFormat="1">
      <c r="A47" s="48" t="s">
        <v>103</v>
      </c>
      <c r="B47" s="49">
        <f>累计考核费用!C122/10000</f>
        <v>9.9250369999999997</v>
      </c>
      <c r="C47" s="49">
        <f>累计考核费用!D122/10000</f>
        <v>0</v>
      </c>
      <c r="D47" s="49">
        <f>累计考核费用!E122/10000</f>
        <v>2.2200000000000002</v>
      </c>
      <c r="E47" s="49">
        <f>累计考核费用!F122/10000</f>
        <v>5.4139929999999996</v>
      </c>
      <c r="F47" s="49">
        <f>累计考核费用!G122/10000</f>
        <v>0</v>
      </c>
      <c r="G47" s="49">
        <f>累计考核费用!H122/10000</f>
        <v>0</v>
      </c>
      <c r="H47" s="49">
        <f>累计考核费用!I122/10000</f>
        <v>0</v>
      </c>
      <c r="I47" s="49">
        <f>累计考核费用!J122/10000</f>
        <v>0</v>
      </c>
      <c r="J47" s="49">
        <f>累计考核费用!K122/10000</f>
        <v>0</v>
      </c>
      <c r="K47" s="49">
        <f>累计考核费用!L122/10000</f>
        <v>0</v>
      </c>
      <c r="L47" s="49">
        <f>累计考核费用!M122/10000</f>
        <v>0</v>
      </c>
      <c r="M47" s="49">
        <f>累计考核费用!N122/10000</f>
        <v>0</v>
      </c>
      <c r="N47" s="49">
        <f>累计考核费用!O122/10000</f>
        <v>0</v>
      </c>
      <c r="O47" s="49">
        <f>累计考核费用!P122/10000</f>
        <v>0</v>
      </c>
      <c r="P47" s="49">
        <f>累计考核费用!Q122/10000</f>
        <v>0</v>
      </c>
      <c r="Q47" s="49">
        <f>累计考核费用!R122/10000</f>
        <v>0</v>
      </c>
      <c r="R47" s="49">
        <f>累计考核费用!S122/10000</f>
        <v>0</v>
      </c>
      <c r="S47" s="49">
        <f>累计考核费用!T122/10000</f>
        <v>2.2910439999999999</v>
      </c>
      <c r="T47" s="49">
        <f>累计考核费用!U122/10000</f>
        <v>0</v>
      </c>
      <c r="U47" s="49">
        <f>累计考核费用!V122/10000</f>
        <v>0</v>
      </c>
      <c r="V47" s="49">
        <f>累计考核费用!W122/10000</f>
        <v>0</v>
      </c>
      <c r="W47" s="49">
        <f>累计考核费用!X122/10000</f>
        <v>0</v>
      </c>
      <c r="X47" s="49">
        <f>累计考核费用!Y122/10000</f>
        <v>0</v>
      </c>
      <c r="Y47" s="49">
        <f>累计考核费用!Z122/10000</f>
        <v>0</v>
      </c>
      <c r="Z47" s="49">
        <f>累计考核费用!AA122/10000</f>
        <v>0</v>
      </c>
      <c r="AA47" s="49">
        <f>累计考核费用!AB122/10000</f>
        <v>0</v>
      </c>
      <c r="AB47" s="49">
        <f>累计考核费用!AC122/10000</f>
        <v>0</v>
      </c>
      <c r="AC47" s="49">
        <f>累计考核费用!AD122/10000</f>
        <v>0</v>
      </c>
      <c r="AD47" s="49">
        <f>累计考核费用!AE122/10000</f>
        <v>0</v>
      </c>
      <c r="AE47" s="49"/>
      <c r="AF47" s="2">
        <f t="shared" si="1"/>
        <v>2.2200000000000002</v>
      </c>
    </row>
    <row r="48" spans="1:32" s="2" customFormat="1">
      <c r="A48" s="48" t="s">
        <v>104</v>
      </c>
      <c r="B48" s="49">
        <f>累计考核费用!C123/10000</f>
        <v>0</v>
      </c>
      <c r="C48" s="49">
        <f>累计考核费用!D123/10000</f>
        <v>0</v>
      </c>
      <c r="D48" s="49">
        <f>累计考核费用!E123/10000</f>
        <v>0</v>
      </c>
      <c r="E48" s="49">
        <f>累计考核费用!F123/10000</f>
        <v>0</v>
      </c>
      <c r="F48" s="49">
        <f>累计考核费用!G123/10000</f>
        <v>0</v>
      </c>
      <c r="G48" s="49">
        <f>累计考核费用!H123/10000</f>
        <v>0</v>
      </c>
      <c r="H48" s="49">
        <f>累计考核费用!I123/10000</f>
        <v>0</v>
      </c>
      <c r="I48" s="49">
        <f>累计考核费用!J123/10000</f>
        <v>0</v>
      </c>
      <c r="J48" s="49">
        <f>累计考核费用!K123/10000</f>
        <v>0</v>
      </c>
      <c r="K48" s="49">
        <f>累计考核费用!L123/10000</f>
        <v>0</v>
      </c>
      <c r="L48" s="49">
        <f>累计考核费用!M123/10000</f>
        <v>0</v>
      </c>
      <c r="M48" s="49">
        <f>累计考核费用!N123/10000</f>
        <v>0</v>
      </c>
      <c r="N48" s="49">
        <f>累计考核费用!O123/10000</f>
        <v>0</v>
      </c>
      <c r="O48" s="49">
        <f>累计考核费用!P123/10000</f>
        <v>0</v>
      </c>
      <c r="P48" s="49">
        <f>累计考核费用!Q123/10000</f>
        <v>0</v>
      </c>
      <c r="Q48" s="49">
        <f>累计考核费用!R123/10000</f>
        <v>0</v>
      </c>
      <c r="R48" s="49">
        <f>累计考核费用!S123/10000</f>
        <v>0</v>
      </c>
      <c r="S48" s="49">
        <f>累计考核费用!T123/10000</f>
        <v>0</v>
      </c>
      <c r="T48" s="49">
        <f>累计考核费用!U123/10000</f>
        <v>0</v>
      </c>
      <c r="U48" s="49">
        <f>累计考核费用!V123/10000</f>
        <v>0</v>
      </c>
      <c r="V48" s="49">
        <f>累计考核费用!W123/10000</f>
        <v>0</v>
      </c>
      <c r="W48" s="49">
        <f>累计考核费用!X123/10000</f>
        <v>0</v>
      </c>
      <c r="X48" s="49">
        <f>累计考核费用!Y123/10000</f>
        <v>0</v>
      </c>
      <c r="Y48" s="49">
        <f>累计考核费用!Z123/10000</f>
        <v>0</v>
      </c>
      <c r="Z48" s="49">
        <f>累计考核费用!AA123/10000</f>
        <v>0</v>
      </c>
      <c r="AA48" s="49">
        <f>累计考核费用!AB123/10000</f>
        <v>0</v>
      </c>
      <c r="AB48" s="49">
        <f>累计考核费用!AC123/10000</f>
        <v>0</v>
      </c>
      <c r="AC48" s="49">
        <f>累计考核费用!AD123/10000</f>
        <v>0</v>
      </c>
      <c r="AD48" s="49">
        <f>累计考核费用!AE123/10000</f>
        <v>0</v>
      </c>
      <c r="AE48" s="49"/>
      <c r="AF48" s="2">
        <f t="shared" si="1"/>
        <v>0</v>
      </c>
    </row>
    <row r="49" spans="1:32" s="2" customFormat="1">
      <c r="A49" s="46" t="s">
        <v>98</v>
      </c>
      <c r="B49" s="49">
        <f>累计考核费用!C124/10000</f>
        <v>798.12819100000002</v>
      </c>
      <c r="C49" s="49">
        <f>累计考核费用!D124/10000</f>
        <v>-105.95371400000002</v>
      </c>
      <c r="D49" s="49">
        <f>累计考核费用!E124/10000</f>
        <v>-50.657620999999999</v>
      </c>
      <c r="E49" s="49">
        <f>累计考核费用!F124/10000</f>
        <v>847.08157100000005</v>
      </c>
      <c r="F49" s="49">
        <f>累计考核费用!G124/10000</f>
        <v>-4.0622379999999998</v>
      </c>
      <c r="G49" s="49">
        <f>累计考核费用!H124/10000</f>
        <v>61.781127000000005</v>
      </c>
      <c r="H49" s="49">
        <f>累计考核费用!I124/10000</f>
        <v>3.3520699999999999</v>
      </c>
      <c r="I49" s="49">
        <f>累计考核费用!J124/10000</f>
        <v>0.87827999999999995</v>
      </c>
      <c r="J49" s="49">
        <f>累计考核费用!K124/10000</f>
        <v>57.550777000000004</v>
      </c>
      <c r="K49" s="49">
        <f>累计考核费用!L124/10000</f>
        <v>67.313136</v>
      </c>
      <c r="L49" s="49">
        <f>累计考核费用!M124/10000</f>
        <v>9.4831570000000003</v>
      </c>
      <c r="M49" s="49">
        <f>累计考核费用!N124/10000</f>
        <v>18.068591000000001</v>
      </c>
      <c r="N49" s="49">
        <f>累计考核费用!O124/10000</f>
        <v>38.697379999999995</v>
      </c>
      <c r="O49" s="49">
        <f>累计考核费用!P124/10000</f>
        <v>1.0640080000000001</v>
      </c>
      <c r="P49" s="49">
        <f>累计考核费用!Q124/10000</f>
        <v>-25.836477000000002</v>
      </c>
      <c r="Q49" s="49">
        <f>累计考核费用!R124/10000</f>
        <v>-28.970482000000008</v>
      </c>
      <c r="R49" s="49">
        <f>累计考核费用!S124/10000</f>
        <v>3.1340049999999997</v>
      </c>
      <c r="S49" s="49">
        <f>累计考核费用!T124/10000</f>
        <v>2.2909609999999998</v>
      </c>
      <c r="T49" s="49">
        <f>累计考核费用!U124/10000</f>
        <v>6.1714459999999995</v>
      </c>
      <c r="U49" s="49">
        <f>累计考核费用!V124/10000</f>
        <v>5.6522300000000003</v>
      </c>
      <c r="V49" s="49">
        <f>累计考核费用!W124/10000</f>
        <v>-1.8690000000000009E-2</v>
      </c>
      <c r="W49" s="49">
        <f>累计考核费用!X124/10000</f>
        <v>0.53790300000000002</v>
      </c>
      <c r="X49" s="49">
        <f>累计考核费用!Y124/10000</f>
        <v>0</v>
      </c>
      <c r="Y49" s="49">
        <f>累计考核费用!Z124/10000</f>
        <v>0</v>
      </c>
      <c r="Z49" s="49">
        <f>累计考核费用!AA124/10000</f>
        <v>3.0000000000000001E-6</v>
      </c>
      <c r="AA49" s="49">
        <f>累计考核费用!AB124/10000</f>
        <v>0</v>
      </c>
      <c r="AB49" s="49">
        <f>累计考核费用!AC124/10000</f>
        <v>0</v>
      </c>
      <c r="AC49" s="49">
        <f>累计考核费用!AD124/10000</f>
        <v>0</v>
      </c>
      <c r="AD49" s="49">
        <f>累计考核费用!AE124/10000</f>
        <v>0</v>
      </c>
      <c r="AE49" s="49"/>
      <c r="AF49" s="2">
        <f t="shared" si="1"/>
        <v>11.123506000000006</v>
      </c>
    </row>
    <row r="50" spans="1:32" s="2" customFormat="1">
      <c r="A50" s="48" t="s">
        <v>106</v>
      </c>
      <c r="B50" s="49">
        <f>累计考核费用!C125/10000</f>
        <v>140.66027199999999</v>
      </c>
      <c r="C50" s="49">
        <f>累计考核费用!D125/10000</f>
        <v>0</v>
      </c>
      <c r="D50" s="49">
        <f>累计考核费用!E125/10000</f>
        <v>11.533553999999999</v>
      </c>
      <c r="E50" s="49">
        <f>累计考核费用!F125/10000</f>
        <v>73.290789000000004</v>
      </c>
      <c r="F50" s="49">
        <f>累计考核费用!G125/10000</f>
        <v>3.5796000000000001</v>
      </c>
      <c r="G50" s="49">
        <f>累计考核费用!H125/10000</f>
        <v>4.5850999999999997</v>
      </c>
      <c r="H50" s="49">
        <f>累计考核费用!I125/10000</f>
        <v>1.0496000000000001</v>
      </c>
      <c r="I50" s="49">
        <f>累计考核费用!J125/10000</f>
        <v>0.68220000000000003</v>
      </c>
      <c r="J50" s="49">
        <f>累计考核费用!K125/10000</f>
        <v>2.8532999999999999</v>
      </c>
      <c r="K50" s="49">
        <f>累计考核费用!L125/10000</f>
        <v>3.5569000000000002</v>
      </c>
      <c r="L50" s="49">
        <f>累计考核费用!M125/10000</f>
        <v>0.74819999999999998</v>
      </c>
      <c r="M50" s="49">
        <f>累计考核费用!N125/10000</f>
        <v>0.1114</v>
      </c>
      <c r="N50" s="49">
        <f>累计考核费用!O125/10000</f>
        <v>2.2461000000000002</v>
      </c>
      <c r="O50" s="49">
        <f>累计考核费用!P125/10000</f>
        <v>0.45119999999999999</v>
      </c>
      <c r="P50" s="49">
        <f>累计考核费用!Q125/10000</f>
        <v>0.40079999999999999</v>
      </c>
      <c r="Q50" s="49">
        <f>累计考核费用!R125/10000</f>
        <v>0.17349999999999999</v>
      </c>
      <c r="R50" s="49">
        <f>累计考核费用!S125/10000</f>
        <v>0.2273</v>
      </c>
      <c r="S50" s="49">
        <f>累计考核费用!T125/10000</f>
        <v>2.3601999999999999</v>
      </c>
      <c r="T50" s="49">
        <f>累计考核费用!U125/10000</f>
        <v>38.429357999999993</v>
      </c>
      <c r="U50" s="49">
        <f>累计考核费用!V125/10000</f>
        <v>13.272226999999999</v>
      </c>
      <c r="V50" s="49">
        <f>累计考核费用!W125/10000</f>
        <v>2.2366000000000001</v>
      </c>
      <c r="W50" s="49">
        <f>累计考核费用!X125/10000</f>
        <v>11.559139999999999</v>
      </c>
      <c r="X50" s="49">
        <f>累计考核费用!Y125/10000</f>
        <v>6.02536</v>
      </c>
      <c r="Y50" s="49">
        <f>累计考核费用!Z125/10000</f>
        <v>4.1787449999999993</v>
      </c>
      <c r="Z50" s="49">
        <f>累计考核费用!AA125/10000</f>
        <v>1.157286</v>
      </c>
      <c r="AA50" s="49">
        <f>累计考核费用!AB125/10000</f>
        <v>0</v>
      </c>
      <c r="AB50" s="49">
        <f>累计考核费用!AC125/10000</f>
        <v>1.9409000000000001</v>
      </c>
      <c r="AC50" s="49">
        <f>累计考核费用!AD125/10000</f>
        <v>0.98307099999999992</v>
      </c>
      <c r="AD50" s="49">
        <f>累计考核费用!AE125/10000</f>
        <v>0</v>
      </c>
      <c r="AE50" s="49"/>
      <c r="AF50" s="2">
        <f t="shared" si="1"/>
        <v>18.059553999999999</v>
      </c>
    </row>
    <row r="51" spans="1:32" s="2" customFormat="1">
      <c r="A51" s="48" t="s">
        <v>107</v>
      </c>
      <c r="B51" s="49">
        <f>累计考核费用!C126/10000</f>
        <v>82.529221000000007</v>
      </c>
      <c r="C51" s="49">
        <f>累计考核费用!D126/10000</f>
        <v>0</v>
      </c>
      <c r="D51" s="49">
        <f>累计考核费用!E126/10000</f>
        <v>7.880739000000001</v>
      </c>
      <c r="E51" s="49">
        <f>累计考核费用!F126/10000</f>
        <v>10.076118000000001</v>
      </c>
      <c r="F51" s="49">
        <f>累计考核费用!G126/10000</f>
        <v>0.13420000000000001</v>
      </c>
      <c r="G51" s="49">
        <f>累计考核费用!H126/10000</f>
        <v>3.0252159999999999</v>
      </c>
      <c r="H51" s="49">
        <f>累计考核费用!I126/10000</f>
        <v>0.46741300000000002</v>
      </c>
      <c r="I51" s="49">
        <f>累计考核费用!J126/10000</f>
        <v>0.70262100000000005</v>
      </c>
      <c r="J51" s="49">
        <f>累计考核费用!K126/10000</f>
        <v>1.8551819999999999</v>
      </c>
      <c r="K51" s="49">
        <f>累计考核费用!L126/10000</f>
        <v>0.96697600000000006</v>
      </c>
      <c r="L51" s="49">
        <f>累计考核费用!M126/10000</f>
        <v>8.7875999999999996E-2</v>
      </c>
      <c r="M51" s="49">
        <f>累计考核费用!N126/10000</f>
        <v>8.455E-2</v>
      </c>
      <c r="N51" s="49">
        <f>累计考核费用!O126/10000</f>
        <v>0.40975</v>
      </c>
      <c r="O51" s="49">
        <f>累计考核费用!P126/10000</f>
        <v>0.38479999999999998</v>
      </c>
      <c r="P51" s="49">
        <f>累计考核费用!Q126/10000</f>
        <v>0.36998000000000003</v>
      </c>
      <c r="Q51" s="49">
        <f>累计考核费用!R126/10000</f>
        <v>0.141705</v>
      </c>
      <c r="R51" s="49">
        <f>累计考核费用!S126/10000</f>
        <v>0.22827500000000001</v>
      </c>
      <c r="S51" s="49">
        <f>累计考核费用!T126/10000</f>
        <v>0.56762900000000005</v>
      </c>
      <c r="T51" s="49">
        <f>累计考核费用!U126/10000</f>
        <v>56.880431000000009</v>
      </c>
      <c r="U51" s="49">
        <f>累计考核费用!V126/10000</f>
        <v>24.616585000000001</v>
      </c>
      <c r="V51" s="49">
        <f>累计考核费用!W126/10000</f>
        <v>9.5920820000000013</v>
      </c>
      <c r="W51" s="49">
        <f>累计考核费用!X126/10000</f>
        <v>9.9232530000000008</v>
      </c>
      <c r="X51" s="49">
        <f>累计考核费用!Y126/10000</f>
        <v>3.9731900000000002</v>
      </c>
      <c r="Y51" s="49">
        <f>累计考核费用!Z126/10000</f>
        <v>6.1326830000000001</v>
      </c>
      <c r="Z51" s="49">
        <f>累计考核费用!AA126/10000</f>
        <v>2.6426380000000003</v>
      </c>
      <c r="AA51" s="49">
        <f>累计考核费用!AB126/10000</f>
        <v>0</v>
      </c>
      <c r="AB51" s="49">
        <f>累计考核费用!AC126/10000</f>
        <v>2.5546489999999999</v>
      </c>
      <c r="AC51" s="49">
        <f>累计考核费用!AD126/10000</f>
        <v>7.3283000000000001E-2</v>
      </c>
      <c r="AD51" s="49">
        <f>累计考核费用!AE126/10000</f>
        <v>0</v>
      </c>
      <c r="AE51" s="49"/>
      <c r="AF51" s="2">
        <f t="shared" si="1"/>
        <v>13.460604</v>
      </c>
    </row>
    <row r="52" spans="1:32" s="2" customFormat="1">
      <c r="A52" s="48" t="s">
        <v>108</v>
      </c>
      <c r="B52" s="49">
        <f>累计考核费用!C127/10000</f>
        <v>18.009936999999997</v>
      </c>
      <c r="C52" s="49">
        <f>累计考核费用!D127/10000</f>
        <v>0</v>
      </c>
      <c r="D52" s="49">
        <f>累计考核费用!E127/10000</f>
        <v>5.9280069999999991</v>
      </c>
      <c r="E52" s="49">
        <f>累计考核费用!F127/10000</f>
        <v>7.6916460000000004</v>
      </c>
      <c r="F52" s="49">
        <f>累计考核费用!G127/10000</f>
        <v>0.38433600000000001</v>
      </c>
      <c r="G52" s="49">
        <f>累计考核费用!H127/10000</f>
        <v>0.389957</v>
      </c>
      <c r="H52" s="49">
        <f>累计考核费用!I127/10000</f>
        <v>0.100866</v>
      </c>
      <c r="I52" s="49">
        <f>累计考核费用!J127/10000</f>
        <v>7.51E-2</v>
      </c>
      <c r="J52" s="49">
        <f>累计考核费用!K127/10000</f>
        <v>0.21399099999999999</v>
      </c>
      <c r="K52" s="49">
        <f>累计考核费用!L127/10000</f>
        <v>0.23669999999999999</v>
      </c>
      <c r="L52" s="49">
        <f>累计考核费用!M127/10000</f>
        <v>5.5899999999999998E-2</v>
      </c>
      <c r="M52" s="49">
        <f>累计考核费用!N127/10000</f>
        <v>0.10100000000000001</v>
      </c>
      <c r="N52" s="49">
        <f>累计考核费用!O127/10000</f>
        <v>4.6100000000000002E-2</v>
      </c>
      <c r="O52" s="49">
        <f>累计考核费用!P127/10000</f>
        <v>3.3700000000000001E-2</v>
      </c>
      <c r="P52" s="49">
        <f>累计考核费用!Q127/10000</f>
        <v>0.1497</v>
      </c>
      <c r="Q52" s="49">
        <f>累计考核费用!R127/10000</f>
        <v>7.46E-2</v>
      </c>
      <c r="R52" s="49">
        <f>累计考核费用!S127/10000</f>
        <v>7.51E-2</v>
      </c>
      <c r="S52" s="49">
        <f>累计考核费用!T127/10000</f>
        <v>0.238787</v>
      </c>
      <c r="T52" s="49">
        <f>累计考核费用!U127/10000</f>
        <v>1.89883</v>
      </c>
      <c r="U52" s="49">
        <f>累计考核费用!V127/10000</f>
        <v>0.68398000000000003</v>
      </c>
      <c r="V52" s="49">
        <f>累计考核费用!W127/10000</f>
        <v>0.32469199999999998</v>
      </c>
      <c r="W52" s="49">
        <f>累计考核费用!X127/10000</f>
        <v>0.44506899999999994</v>
      </c>
      <c r="X52" s="49">
        <f>累计考核费用!Y127/10000</f>
        <v>5.2485000000000004E-2</v>
      </c>
      <c r="Y52" s="49">
        <f>累计考核费用!Z127/10000</f>
        <v>0.38930199999999998</v>
      </c>
      <c r="Z52" s="49">
        <f>累计考核费用!AA127/10000</f>
        <v>3.3020000000000002E-3</v>
      </c>
      <c r="AA52" s="49">
        <f>累计考核费用!AB127/10000</f>
        <v>0</v>
      </c>
      <c r="AB52" s="49">
        <f>累计考核费用!AC127/10000</f>
        <v>0.17440799999999998</v>
      </c>
      <c r="AC52" s="49">
        <f>累计考核费用!AD127/10000</f>
        <v>0.91756599999999999</v>
      </c>
      <c r="AD52" s="49">
        <f>累计考核费用!AE127/10000</f>
        <v>0</v>
      </c>
      <c r="AE52" s="49"/>
      <c r="AF52" s="2">
        <f t="shared" si="1"/>
        <v>6.4923719999999996</v>
      </c>
    </row>
    <row r="53" spans="1:32" s="2" customFormat="1">
      <c r="A53" s="48" t="s">
        <v>109</v>
      </c>
      <c r="B53" s="49">
        <f>累计考核费用!C128/10000</f>
        <v>6.039561</v>
      </c>
      <c r="C53" s="49">
        <f>累计考核费用!D128/10000</f>
        <v>0</v>
      </c>
      <c r="D53" s="49">
        <f>累计考核费用!E128/10000</f>
        <v>0.9788</v>
      </c>
      <c r="E53" s="49">
        <f>累计考核费用!F128/10000</f>
        <v>4.6368230000000006</v>
      </c>
      <c r="F53" s="49">
        <f>累计考核费用!G128/10000</f>
        <v>5.2427000000000001E-2</v>
      </c>
      <c r="G53" s="49">
        <f>累计考核费用!H128/10000</f>
        <v>0</v>
      </c>
      <c r="H53" s="49">
        <f>累计考核费用!I128/10000</f>
        <v>0</v>
      </c>
      <c r="I53" s="49">
        <f>累计考核费用!J128/10000</f>
        <v>0</v>
      </c>
      <c r="J53" s="49">
        <f>累计考核费用!K128/10000</f>
        <v>0</v>
      </c>
      <c r="K53" s="49">
        <f>累计考核费用!L128/10000</f>
        <v>0</v>
      </c>
      <c r="L53" s="49">
        <f>累计考核费用!M128/10000</f>
        <v>0</v>
      </c>
      <c r="M53" s="49">
        <f>累计考核费用!N128/10000</f>
        <v>0</v>
      </c>
      <c r="N53" s="49">
        <f>累计考核费用!O128/10000</f>
        <v>0</v>
      </c>
      <c r="O53" s="49">
        <f>累计考核费用!P128/10000</f>
        <v>0</v>
      </c>
      <c r="P53" s="49">
        <f>累计考核费用!Q128/10000</f>
        <v>0</v>
      </c>
      <c r="Q53" s="49">
        <f>累计考核费用!R128/10000</f>
        <v>0</v>
      </c>
      <c r="R53" s="49">
        <f>累计考核费用!S128/10000</f>
        <v>0</v>
      </c>
      <c r="S53" s="49">
        <f>累计考核费用!T128/10000</f>
        <v>0</v>
      </c>
      <c r="T53" s="49">
        <f>累计考核费用!U128/10000</f>
        <v>0.183647</v>
      </c>
      <c r="U53" s="49">
        <f>累计考核费用!V128/10000</f>
        <v>0.15534000000000001</v>
      </c>
      <c r="V53" s="49">
        <f>累计考核费用!W128/10000</f>
        <v>0</v>
      </c>
      <c r="W53" s="49">
        <f>累计考核费用!X128/10000</f>
        <v>0</v>
      </c>
      <c r="X53" s="49">
        <f>累计考核费用!Y128/10000</f>
        <v>1.3106999999999999E-2</v>
      </c>
      <c r="Y53" s="49">
        <f>累计考核费用!Z128/10000</f>
        <v>0</v>
      </c>
      <c r="Z53" s="49">
        <f>累计考核费用!AA128/10000</f>
        <v>1.52E-2</v>
      </c>
      <c r="AA53" s="49">
        <f>累计考核费用!AB128/10000</f>
        <v>0</v>
      </c>
      <c r="AB53" s="49">
        <f>累计考核费用!AC128/10000</f>
        <v>8.5436999999999999E-2</v>
      </c>
      <c r="AC53" s="49">
        <f>累计考核费用!AD128/10000</f>
        <v>0.102427</v>
      </c>
      <c r="AD53" s="49">
        <f>累计考核费用!AE128/10000</f>
        <v>0</v>
      </c>
      <c r="AE53" s="49"/>
      <c r="AF53" s="2">
        <f t="shared" si="1"/>
        <v>1.0642370000000001</v>
      </c>
    </row>
    <row r="54" spans="1:32" s="2" customFormat="1">
      <c r="A54" s="48" t="s">
        <v>110</v>
      </c>
      <c r="B54" s="49">
        <f>累计考核费用!C129/10000</f>
        <v>9.2796149999999997</v>
      </c>
      <c r="C54" s="49">
        <f>累计考核费用!D129/10000</f>
        <v>0</v>
      </c>
      <c r="D54" s="49">
        <f>累计考核费用!E129/10000</f>
        <v>4.7169809999999996</v>
      </c>
      <c r="E54" s="49">
        <f>累计考核费用!F129/10000</f>
        <v>4.5626340000000001</v>
      </c>
      <c r="F54" s="49">
        <f>累计考核费用!G129/10000</f>
        <v>0</v>
      </c>
      <c r="G54" s="49">
        <f>累计考核费用!H129/10000</f>
        <v>0</v>
      </c>
      <c r="H54" s="49">
        <f>累计考核费用!I129/10000</f>
        <v>0</v>
      </c>
      <c r="I54" s="49">
        <f>累计考核费用!J129/10000</f>
        <v>0</v>
      </c>
      <c r="J54" s="49">
        <f>累计考核费用!K129/10000</f>
        <v>0</v>
      </c>
      <c r="K54" s="49">
        <f>累计考核费用!L129/10000</f>
        <v>0</v>
      </c>
      <c r="L54" s="49">
        <f>累计考核费用!M129/10000</f>
        <v>0</v>
      </c>
      <c r="M54" s="49">
        <f>累计考核费用!N129/10000</f>
        <v>0</v>
      </c>
      <c r="N54" s="49">
        <f>累计考核费用!O129/10000</f>
        <v>0</v>
      </c>
      <c r="O54" s="49">
        <f>累计考核费用!P129/10000</f>
        <v>0</v>
      </c>
      <c r="P54" s="49">
        <f>累计考核费用!Q129/10000</f>
        <v>0</v>
      </c>
      <c r="Q54" s="49">
        <f>累计考核费用!R129/10000</f>
        <v>0</v>
      </c>
      <c r="R54" s="49">
        <f>累计考核费用!S129/10000</f>
        <v>0</v>
      </c>
      <c r="S54" s="49">
        <f>累计考核费用!T129/10000</f>
        <v>0</v>
      </c>
      <c r="T54" s="49">
        <f>累计考核费用!U129/10000</f>
        <v>0</v>
      </c>
      <c r="U54" s="49">
        <f>累计考核费用!V129/10000</f>
        <v>0</v>
      </c>
      <c r="V54" s="49">
        <f>累计考核费用!W129/10000</f>
        <v>0</v>
      </c>
      <c r="W54" s="49">
        <f>累计考核费用!X129/10000</f>
        <v>0</v>
      </c>
      <c r="X54" s="49">
        <f>累计考核费用!Y129/10000</f>
        <v>0</v>
      </c>
      <c r="Y54" s="49">
        <f>累计考核费用!Z129/10000</f>
        <v>0</v>
      </c>
      <c r="Z54" s="49">
        <f>累计考核费用!AA129/10000</f>
        <v>0</v>
      </c>
      <c r="AA54" s="49">
        <f>累计考核费用!AB129/10000</f>
        <v>0</v>
      </c>
      <c r="AB54" s="49">
        <f>累计考核费用!AC129/10000</f>
        <v>0</v>
      </c>
      <c r="AC54" s="49">
        <f>累计考核费用!AD129/10000</f>
        <v>0</v>
      </c>
      <c r="AD54" s="49">
        <f>累计考核费用!AE129/10000</f>
        <v>0</v>
      </c>
      <c r="AE54" s="49"/>
      <c r="AF54" s="2">
        <f t="shared" si="1"/>
        <v>4.7169809999999996</v>
      </c>
    </row>
    <row r="55" spans="1:32" s="2" customFormat="1">
      <c r="A55" s="48" t="s">
        <v>111</v>
      </c>
      <c r="B55" s="49">
        <f>累计考核费用!C130/10000</f>
        <v>14.622641999999999</v>
      </c>
      <c r="C55" s="49">
        <f>累计考核费用!D130/10000</f>
        <v>0</v>
      </c>
      <c r="D55" s="49">
        <f>累计考核费用!E130/10000</f>
        <v>0</v>
      </c>
      <c r="E55" s="49">
        <f>累计考核费用!F130/10000</f>
        <v>12.264151</v>
      </c>
      <c r="F55" s="49">
        <f>累计考核费用!G130/10000</f>
        <v>0</v>
      </c>
      <c r="G55" s="49">
        <f>累计考核费用!H130/10000</f>
        <v>2.0440259999999997</v>
      </c>
      <c r="H55" s="49">
        <f>累计考核费用!I130/10000</f>
        <v>0</v>
      </c>
      <c r="I55" s="49">
        <f>累计考核费用!J130/10000</f>
        <v>0</v>
      </c>
      <c r="J55" s="49">
        <f>累计考核费用!K130/10000</f>
        <v>2.0440259999999997</v>
      </c>
      <c r="K55" s="49">
        <f>累计考核费用!L130/10000</f>
        <v>0</v>
      </c>
      <c r="L55" s="49">
        <f>累计考核费用!M130/10000</f>
        <v>0</v>
      </c>
      <c r="M55" s="49">
        <f>累计考核费用!N130/10000</f>
        <v>0</v>
      </c>
      <c r="N55" s="49">
        <f>累计考核费用!O130/10000</f>
        <v>0</v>
      </c>
      <c r="O55" s="49">
        <f>累计考核费用!P130/10000</f>
        <v>0</v>
      </c>
      <c r="P55" s="49">
        <f>累计考核费用!Q130/10000</f>
        <v>0.31446499999999999</v>
      </c>
      <c r="Q55" s="49">
        <f>累计考核费用!R130/10000</f>
        <v>0.31446499999999999</v>
      </c>
      <c r="R55" s="49">
        <f>累计考核费用!S130/10000</f>
        <v>0</v>
      </c>
      <c r="S55" s="49">
        <f>累计考核费用!T130/10000</f>
        <v>0</v>
      </c>
      <c r="T55" s="49">
        <f>累计考核费用!U130/10000</f>
        <v>0</v>
      </c>
      <c r="U55" s="49">
        <f>累计考核费用!V130/10000</f>
        <v>0</v>
      </c>
      <c r="V55" s="49">
        <f>累计考核费用!W130/10000</f>
        <v>0</v>
      </c>
      <c r="W55" s="49">
        <f>累计考核费用!X130/10000</f>
        <v>0</v>
      </c>
      <c r="X55" s="49">
        <f>累计考核费用!Y130/10000</f>
        <v>0</v>
      </c>
      <c r="Y55" s="49">
        <f>累计考核费用!Z130/10000</f>
        <v>0</v>
      </c>
      <c r="Z55" s="49">
        <f>累计考核费用!AA130/10000</f>
        <v>0</v>
      </c>
      <c r="AA55" s="49">
        <f>累计考核费用!AB130/10000</f>
        <v>0</v>
      </c>
      <c r="AB55" s="49">
        <f>累计考核费用!AC130/10000</f>
        <v>0</v>
      </c>
      <c r="AC55" s="49">
        <f>累计考核费用!AD130/10000</f>
        <v>0</v>
      </c>
      <c r="AD55" s="49">
        <f>累计考核费用!AE130/10000</f>
        <v>0</v>
      </c>
      <c r="AE55" s="49"/>
      <c r="AF55" s="2">
        <f t="shared" si="1"/>
        <v>2.0440259999999997</v>
      </c>
    </row>
    <row r="56" spans="1:32" s="2" customFormat="1">
      <c r="A56" s="48" t="s">
        <v>112</v>
      </c>
      <c r="B56" s="49">
        <f>累计考核费用!C131/10000</f>
        <v>13.406397999999998</v>
      </c>
      <c r="C56" s="49">
        <f>累计考核费用!D131/10000</f>
        <v>0</v>
      </c>
      <c r="D56" s="49">
        <f>累计考核费用!E131/10000</f>
        <v>7.1929869999999996</v>
      </c>
      <c r="E56" s="49">
        <f>累计考核费用!F131/10000</f>
        <v>6.3007900000000001</v>
      </c>
      <c r="F56" s="49">
        <f>累计考核费用!G131/10000</f>
        <v>0</v>
      </c>
      <c r="G56" s="49">
        <f>累计考核费用!H131/10000</f>
        <v>0</v>
      </c>
      <c r="H56" s="49">
        <f>累计考核费用!I131/10000</f>
        <v>0</v>
      </c>
      <c r="I56" s="49">
        <f>累计考核费用!J131/10000</f>
        <v>0</v>
      </c>
      <c r="J56" s="49">
        <f>累计考核费用!K131/10000</f>
        <v>0</v>
      </c>
      <c r="K56" s="49">
        <f>累计考核费用!L131/10000</f>
        <v>0</v>
      </c>
      <c r="L56" s="49">
        <f>累计考核费用!M131/10000</f>
        <v>0</v>
      </c>
      <c r="M56" s="49">
        <f>累计考核费用!N131/10000</f>
        <v>0</v>
      </c>
      <c r="N56" s="49">
        <f>累计考核费用!O131/10000</f>
        <v>0</v>
      </c>
      <c r="O56" s="49">
        <f>累计考核费用!P131/10000</f>
        <v>0</v>
      </c>
      <c r="P56" s="49">
        <f>累计考核费用!Q131/10000</f>
        <v>0</v>
      </c>
      <c r="Q56" s="49">
        <f>累计考核费用!R131/10000</f>
        <v>0</v>
      </c>
      <c r="R56" s="49">
        <f>累计考核费用!S131/10000</f>
        <v>0</v>
      </c>
      <c r="S56" s="49">
        <f>累计考核费用!T131/10000</f>
        <v>0</v>
      </c>
      <c r="T56" s="49">
        <f>累计考核费用!U131/10000</f>
        <v>0</v>
      </c>
      <c r="U56" s="49">
        <f>累计考核费用!V131/10000</f>
        <v>0</v>
      </c>
      <c r="V56" s="49">
        <f>累计考核费用!W131/10000</f>
        <v>0</v>
      </c>
      <c r="W56" s="49">
        <f>累计考核费用!X131/10000</f>
        <v>0</v>
      </c>
      <c r="X56" s="49">
        <f>累计考核费用!Y131/10000</f>
        <v>0</v>
      </c>
      <c r="Y56" s="49">
        <f>累计考核费用!Z131/10000</f>
        <v>0</v>
      </c>
      <c r="Z56" s="49">
        <f>累计考核费用!AA131/10000</f>
        <v>0</v>
      </c>
      <c r="AA56" s="49">
        <f>累计考核费用!AB131/10000</f>
        <v>0</v>
      </c>
      <c r="AB56" s="49">
        <f>累计考核费用!AC131/10000</f>
        <v>0</v>
      </c>
      <c r="AC56" s="49">
        <f>累计考核费用!AD131/10000</f>
        <v>-8.7378999999999998E-2</v>
      </c>
      <c r="AD56" s="49">
        <f>累计考核费用!AE131/10000</f>
        <v>0</v>
      </c>
      <c r="AE56" s="49"/>
      <c r="AF56" s="2">
        <f t="shared" si="1"/>
        <v>7.1929869999999996</v>
      </c>
    </row>
    <row r="57" spans="1:32" s="2" customFormat="1">
      <c r="A57" s="48" t="s">
        <v>113</v>
      </c>
      <c r="B57" s="49">
        <f>累计考核费用!C132/10000</f>
        <v>2.8977930000000001</v>
      </c>
      <c r="C57" s="49">
        <f>累计考核费用!D132/10000</f>
        <v>0</v>
      </c>
      <c r="D57" s="49">
        <f>累计考核费用!E132/10000</f>
        <v>0.27600000000000002</v>
      </c>
      <c r="E57" s="49">
        <f>累计考核费用!F132/10000</f>
        <v>1.7116089999999999</v>
      </c>
      <c r="F57" s="49">
        <f>累计考核费用!G132/10000</f>
        <v>0</v>
      </c>
      <c r="G57" s="49">
        <f>累计考核费用!H132/10000</f>
        <v>1.2E-2</v>
      </c>
      <c r="H57" s="49">
        <f>累计考核费用!I132/10000</f>
        <v>0</v>
      </c>
      <c r="I57" s="49">
        <f>累计考核费用!J132/10000</f>
        <v>1.2E-2</v>
      </c>
      <c r="J57" s="49">
        <f>累计考核费用!K132/10000</f>
        <v>0</v>
      </c>
      <c r="K57" s="49">
        <f>累计考核费用!L132/10000</f>
        <v>7.1999999999999995E-2</v>
      </c>
      <c r="L57" s="49">
        <f>累计考核费用!M132/10000</f>
        <v>3.5999999999999997E-2</v>
      </c>
      <c r="M57" s="49">
        <f>累计考核费用!N132/10000</f>
        <v>0.03</v>
      </c>
      <c r="N57" s="49">
        <f>累计考核费用!O132/10000</f>
        <v>0</v>
      </c>
      <c r="O57" s="49">
        <f>累计考核费用!P132/10000</f>
        <v>6.0000000000000001E-3</v>
      </c>
      <c r="P57" s="49">
        <f>累计考核费用!Q132/10000</f>
        <v>1.2E-2</v>
      </c>
      <c r="Q57" s="49">
        <f>累计考核费用!R132/10000</f>
        <v>6.0000000000000001E-3</v>
      </c>
      <c r="R57" s="49">
        <f>累计考核费用!S132/10000</f>
        <v>6.0000000000000001E-3</v>
      </c>
      <c r="S57" s="49">
        <f>累计考核费用!T132/10000</f>
        <v>6.0000000000000001E-3</v>
      </c>
      <c r="T57" s="49">
        <f>累计考核费用!U132/10000</f>
        <v>0.80818400000000001</v>
      </c>
      <c r="U57" s="49">
        <f>累计考核费用!V132/10000</f>
        <v>0.57244399999999995</v>
      </c>
      <c r="V57" s="49">
        <f>累计考核费用!W132/10000</f>
        <v>0</v>
      </c>
      <c r="W57" s="49">
        <f>累计考核费用!X132/10000</f>
        <v>0</v>
      </c>
      <c r="X57" s="49">
        <f>累计考核费用!Y132/10000</f>
        <v>3.56E-2</v>
      </c>
      <c r="Y57" s="49">
        <f>累计考核费用!Z132/10000</f>
        <v>0.15414</v>
      </c>
      <c r="Z57" s="49">
        <f>累计考核费用!AA132/10000</f>
        <v>4.5999999999999999E-2</v>
      </c>
      <c r="AA57" s="49">
        <f>累计考核费用!AB132/10000</f>
        <v>0</v>
      </c>
      <c r="AB57" s="49">
        <f>累计考核费用!AC132/10000</f>
        <v>0</v>
      </c>
      <c r="AC57" s="49">
        <f>累计考核费用!AD132/10000</f>
        <v>0</v>
      </c>
      <c r="AD57" s="49">
        <f>累计考核费用!AE132/10000</f>
        <v>0</v>
      </c>
      <c r="AE57" s="49"/>
      <c r="AF57" s="2">
        <f t="shared" si="1"/>
        <v>0.28800000000000003</v>
      </c>
    </row>
    <row r="58" spans="1:32" s="2" customFormat="1">
      <c r="A58" s="48" t="s">
        <v>114</v>
      </c>
      <c r="B58" s="49">
        <f>累计考核费用!C133/10000</f>
        <v>0.96839500000000012</v>
      </c>
      <c r="C58" s="49">
        <f>累计考核费用!D133/10000</f>
        <v>0</v>
      </c>
      <c r="D58" s="49">
        <f>累计考核费用!E133/10000</f>
        <v>0.35575500000000004</v>
      </c>
      <c r="E58" s="49">
        <f>累计考核费用!F133/10000</f>
        <v>0.60063999999999995</v>
      </c>
      <c r="F58" s="49">
        <f>累计考核费用!G133/10000</f>
        <v>0</v>
      </c>
      <c r="G58" s="49">
        <f>累计考核费用!H133/10000</f>
        <v>0</v>
      </c>
      <c r="H58" s="49">
        <f>累计考核费用!I133/10000</f>
        <v>0</v>
      </c>
      <c r="I58" s="49">
        <f>累计考核费用!J133/10000</f>
        <v>0</v>
      </c>
      <c r="J58" s="49">
        <f>累计考核费用!K133/10000</f>
        <v>0</v>
      </c>
      <c r="K58" s="49">
        <f>累计考核费用!L133/10000</f>
        <v>0</v>
      </c>
      <c r="L58" s="49">
        <f>累计考核费用!M133/10000</f>
        <v>0</v>
      </c>
      <c r="M58" s="49">
        <f>累计考核费用!N133/10000</f>
        <v>0</v>
      </c>
      <c r="N58" s="49">
        <f>累计考核费用!O133/10000</f>
        <v>0</v>
      </c>
      <c r="O58" s="49">
        <f>累计考核费用!P133/10000</f>
        <v>0</v>
      </c>
      <c r="P58" s="49">
        <f>累计考核费用!Q133/10000</f>
        <v>0</v>
      </c>
      <c r="Q58" s="49">
        <f>累计考核费用!R133/10000</f>
        <v>0</v>
      </c>
      <c r="R58" s="49">
        <f>累计考核费用!S133/10000</f>
        <v>0</v>
      </c>
      <c r="S58" s="49">
        <f>累计考核费用!T133/10000</f>
        <v>0</v>
      </c>
      <c r="T58" s="49">
        <f>累计考核费用!U133/10000</f>
        <v>0</v>
      </c>
      <c r="U58" s="49">
        <f>累计考核费用!V133/10000</f>
        <v>0</v>
      </c>
      <c r="V58" s="49">
        <f>累计考核费用!W133/10000</f>
        <v>0</v>
      </c>
      <c r="W58" s="49">
        <f>累计考核费用!X133/10000</f>
        <v>0</v>
      </c>
      <c r="X58" s="49">
        <f>累计考核费用!Y133/10000</f>
        <v>0</v>
      </c>
      <c r="Y58" s="49">
        <f>累计考核费用!Z133/10000</f>
        <v>0</v>
      </c>
      <c r="Z58" s="49">
        <f>累计考核费用!AA133/10000</f>
        <v>0</v>
      </c>
      <c r="AA58" s="49">
        <f>累计考核费用!AB133/10000</f>
        <v>0</v>
      </c>
      <c r="AB58" s="49">
        <f>累计考核费用!AC133/10000</f>
        <v>0</v>
      </c>
      <c r="AC58" s="49">
        <f>累计考核费用!AD133/10000</f>
        <v>1.2E-2</v>
      </c>
      <c r="AD58" s="49">
        <f>累计考核费用!AE133/10000</f>
        <v>0</v>
      </c>
      <c r="AE58" s="49"/>
      <c r="AF58" s="2">
        <f t="shared" si="1"/>
        <v>0.35575500000000004</v>
      </c>
    </row>
    <row r="59" spans="1:32" s="2" customFormat="1">
      <c r="A59" s="48" t="s">
        <v>115</v>
      </c>
      <c r="B59" s="49">
        <f>累计考核费用!C134/10000</f>
        <v>6.4112019999999985</v>
      </c>
      <c r="C59" s="49">
        <f>累计考核费用!D134/10000</f>
        <v>0</v>
      </c>
      <c r="D59" s="49">
        <f>累计考核费用!E134/10000</f>
        <v>1.473471</v>
      </c>
      <c r="E59" s="49">
        <f>累计考核费用!F134/10000</f>
        <v>0.63637999999999995</v>
      </c>
      <c r="F59" s="49">
        <f>累计考核费用!G134/10000</f>
        <v>1.0154E-2</v>
      </c>
      <c r="G59" s="49">
        <f>累计考核费用!H134/10000</f>
        <v>0.26614399999999999</v>
      </c>
      <c r="H59" s="49">
        <f>累计考核费用!I134/10000</f>
        <v>0.114899</v>
      </c>
      <c r="I59" s="49">
        <f>累计考核费用!J134/10000</f>
        <v>0.15124500000000002</v>
      </c>
      <c r="J59" s="49">
        <f>累计考核费用!K134/10000</f>
        <v>0</v>
      </c>
      <c r="K59" s="49">
        <f>累计考核费用!L134/10000</f>
        <v>9.5122999999999985E-2</v>
      </c>
      <c r="L59" s="49">
        <f>累计考核费用!M134/10000</f>
        <v>3.4509999999999996E-3</v>
      </c>
      <c r="M59" s="49">
        <f>累计考核费用!N134/10000</f>
        <v>3.2478E-2</v>
      </c>
      <c r="N59" s="49">
        <f>累计考核费用!O134/10000</f>
        <v>3.7089999999999998E-2</v>
      </c>
      <c r="O59" s="49">
        <f>累计考核费用!P134/10000</f>
        <v>2.2103999999999999E-2</v>
      </c>
      <c r="P59" s="49">
        <f>累计考核费用!Q134/10000</f>
        <v>0.14856900000000001</v>
      </c>
      <c r="Q59" s="49">
        <f>累计考核费用!R134/10000</f>
        <v>3.0550000000000001E-2</v>
      </c>
      <c r="R59" s="49">
        <f>累计考核费用!S134/10000</f>
        <v>0.118019</v>
      </c>
      <c r="S59" s="49">
        <f>累计考核费用!T134/10000</f>
        <v>7.9439999999999997E-3</v>
      </c>
      <c r="T59" s="49">
        <f>累计考核费用!U134/10000</f>
        <v>3.7099869999999995</v>
      </c>
      <c r="U59" s="49">
        <f>累计考核费用!V134/10000</f>
        <v>0.73682599999999998</v>
      </c>
      <c r="V59" s="49">
        <f>累计考核费用!W134/10000</f>
        <v>0.34933600000000004</v>
      </c>
      <c r="W59" s="49">
        <f>累计考核费用!X134/10000</f>
        <v>0.74680500000000005</v>
      </c>
      <c r="X59" s="49">
        <f>累计考核费用!Y134/10000</f>
        <v>1.1937089999999999</v>
      </c>
      <c r="Y59" s="49">
        <f>累计考核费用!Z134/10000</f>
        <v>0.59489099999999995</v>
      </c>
      <c r="Z59" s="49">
        <f>累计考核费用!AA134/10000</f>
        <v>8.8419999999999999E-2</v>
      </c>
      <c r="AA59" s="49">
        <f>累计考核费用!AB134/10000</f>
        <v>0</v>
      </c>
      <c r="AB59" s="49">
        <f>累计考核费用!AC134/10000</f>
        <v>6.343E-2</v>
      </c>
      <c r="AC59" s="49">
        <f>累计考核费用!AD134/10000</f>
        <v>0</v>
      </c>
      <c r="AD59" s="49">
        <f>累计考核费用!AE134/10000</f>
        <v>0</v>
      </c>
      <c r="AE59" s="49"/>
      <c r="AF59" s="2">
        <f t="shared" si="1"/>
        <v>1.803045</v>
      </c>
    </row>
    <row r="60" spans="1:32" s="2" customFormat="1">
      <c r="A60" s="48" t="s">
        <v>116</v>
      </c>
      <c r="B60" s="49">
        <f>累计考核费用!C135/10000</f>
        <v>10.219279999999999</v>
      </c>
      <c r="C60" s="49">
        <f>累计考核费用!D135/10000</f>
        <v>0</v>
      </c>
      <c r="D60" s="49">
        <f>累计考核费用!E135/10000</f>
        <v>4.2562139999999999</v>
      </c>
      <c r="E60" s="49">
        <f>累计考核费用!F135/10000</f>
        <v>5.6630660000000006</v>
      </c>
      <c r="F60" s="49">
        <f>累计考核费用!G135/10000</f>
        <v>0</v>
      </c>
      <c r="G60" s="49">
        <f>累计考核费用!H135/10000</f>
        <v>0</v>
      </c>
      <c r="H60" s="49">
        <f>累计考核费用!I135/10000</f>
        <v>0</v>
      </c>
      <c r="I60" s="49">
        <f>累计考核费用!J135/10000</f>
        <v>0</v>
      </c>
      <c r="J60" s="49">
        <f>累计考核费用!K135/10000</f>
        <v>0</v>
      </c>
      <c r="K60" s="49">
        <f>累计考核费用!L135/10000</f>
        <v>0</v>
      </c>
      <c r="L60" s="49">
        <f>累计考核费用!M135/10000</f>
        <v>0</v>
      </c>
      <c r="M60" s="49">
        <f>累计考核费用!N135/10000</f>
        <v>0</v>
      </c>
      <c r="N60" s="49">
        <f>累计考核费用!O135/10000</f>
        <v>0</v>
      </c>
      <c r="O60" s="49">
        <f>累计考核费用!P135/10000</f>
        <v>0</v>
      </c>
      <c r="P60" s="49">
        <f>累计考核费用!Q135/10000</f>
        <v>0</v>
      </c>
      <c r="Q60" s="49">
        <f>累计考核费用!R135/10000</f>
        <v>0</v>
      </c>
      <c r="R60" s="49">
        <f>累计考核费用!S135/10000</f>
        <v>0</v>
      </c>
      <c r="S60" s="49">
        <f>累计考核费用!T135/10000</f>
        <v>0.3</v>
      </c>
      <c r="T60" s="49">
        <f>累计考核费用!U135/10000</f>
        <v>0</v>
      </c>
      <c r="U60" s="49">
        <f>累计考核费用!V135/10000</f>
        <v>0</v>
      </c>
      <c r="V60" s="49">
        <f>累计考核费用!W135/10000</f>
        <v>0</v>
      </c>
      <c r="W60" s="49">
        <f>累计考核费用!X135/10000</f>
        <v>0</v>
      </c>
      <c r="X60" s="49">
        <f>累计考核费用!Y135/10000</f>
        <v>0</v>
      </c>
      <c r="Y60" s="49">
        <f>累计考核费用!Z135/10000</f>
        <v>0</v>
      </c>
      <c r="Z60" s="49">
        <f>累计考核费用!AA135/10000</f>
        <v>0</v>
      </c>
      <c r="AA60" s="49">
        <f>累计考核费用!AB135/10000</f>
        <v>0</v>
      </c>
      <c r="AB60" s="49">
        <f>累计考核费用!AC135/10000</f>
        <v>0</v>
      </c>
      <c r="AC60" s="49">
        <f>累计考核费用!AD135/10000</f>
        <v>0</v>
      </c>
      <c r="AD60" s="49">
        <f>累计考核费用!AE135/10000</f>
        <v>0</v>
      </c>
      <c r="AE60" s="49"/>
      <c r="AF60" s="2">
        <f t="shared" si="1"/>
        <v>4.2562139999999999</v>
      </c>
    </row>
    <row r="61" spans="1:32" s="2" customFormat="1">
      <c r="A61" s="48" t="s">
        <v>117</v>
      </c>
      <c r="B61" s="49">
        <f>累计考核费用!C136/10000</f>
        <v>69.402727999999996</v>
      </c>
      <c r="C61" s="49">
        <f>累计考核费用!D136/10000</f>
        <v>0</v>
      </c>
      <c r="D61" s="49">
        <f>累计考核费用!E136/10000</f>
        <v>0</v>
      </c>
      <c r="E61" s="49">
        <f>累计考核费用!F136/10000</f>
        <v>69.402727999999996</v>
      </c>
      <c r="F61" s="49">
        <f>累计考核费用!G136/10000</f>
        <v>0</v>
      </c>
      <c r="G61" s="49">
        <f>累计考核费用!H136/10000</f>
        <v>0</v>
      </c>
      <c r="H61" s="49">
        <f>累计考核费用!I136/10000</f>
        <v>0</v>
      </c>
      <c r="I61" s="49">
        <f>累计考核费用!J136/10000</f>
        <v>0</v>
      </c>
      <c r="J61" s="49">
        <f>累计考核费用!K136/10000</f>
        <v>0</v>
      </c>
      <c r="K61" s="49">
        <f>累计考核费用!L136/10000</f>
        <v>0</v>
      </c>
      <c r="L61" s="49">
        <f>累计考核费用!M136/10000</f>
        <v>0</v>
      </c>
      <c r="M61" s="49">
        <f>累计考核费用!N136/10000</f>
        <v>0</v>
      </c>
      <c r="N61" s="49">
        <f>累计考核费用!O136/10000</f>
        <v>0</v>
      </c>
      <c r="O61" s="49">
        <f>累计考核费用!P136/10000</f>
        <v>0</v>
      </c>
      <c r="P61" s="49">
        <f>累计考核费用!Q136/10000</f>
        <v>0</v>
      </c>
      <c r="Q61" s="49">
        <f>累计考核费用!R136/10000</f>
        <v>0</v>
      </c>
      <c r="R61" s="49">
        <f>累计考核费用!S136/10000</f>
        <v>0</v>
      </c>
      <c r="S61" s="49">
        <f>累计考核费用!T136/10000</f>
        <v>0</v>
      </c>
      <c r="T61" s="49">
        <f>累计考核费用!U136/10000</f>
        <v>0</v>
      </c>
      <c r="U61" s="49">
        <f>累计考核费用!V136/10000</f>
        <v>0</v>
      </c>
      <c r="V61" s="49">
        <f>累计考核费用!W136/10000</f>
        <v>0</v>
      </c>
      <c r="W61" s="49">
        <f>累计考核费用!X136/10000</f>
        <v>0</v>
      </c>
      <c r="X61" s="49">
        <f>累计考核费用!Y136/10000</f>
        <v>0</v>
      </c>
      <c r="Y61" s="49">
        <f>累计考核费用!Z136/10000</f>
        <v>0</v>
      </c>
      <c r="Z61" s="49">
        <f>累计考核费用!AA136/10000</f>
        <v>0</v>
      </c>
      <c r="AA61" s="49">
        <f>累计考核费用!AB136/10000</f>
        <v>0</v>
      </c>
      <c r="AB61" s="49">
        <f>累计考核费用!AC136/10000</f>
        <v>0</v>
      </c>
      <c r="AC61" s="49">
        <f>累计考核费用!AD136/10000</f>
        <v>0</v>
      </c>
      <c r="AD61" s="49">
        <f>累计考核费用!AE136/10000</f>
        <v>0</v>
      </c>
      <c r="AE61" s="49"/>
      <c r="AF61" s="2">
        <f t="shared" si="1"/>
        <v>0</v>
      </c>
    </row>
    <row r="62" spans="1:32" s="2" customFormat="1">
      <c r="A62" s="48" t="s">
        <v>118</v>
      </c>
      <c r="B62" s="49">
        <f>累计考核费用!C137/10000</f>
        <v>0</v>
      </c>
      <c r="C62" s="49">
        <f>累计考核费用!D137/10000</f>
        <v>0</v>
      </c>
      <c r="D62" s="49">
        <f>累计考核费用!E137/10000</f>
        <v>0</v>
      </c>
      <c r="E62" s="49">
        <f>累计考核费用!F137/10000</f>
        <v>0</v>
      </c>
      <c r="F62" s="49">
        <f>累计考核费用!G137/10000</f>
        <v>0</v>
      </c>
      <c r="G62" s="49">
        <f>累计考核费用!H137/10000</f>
        <v>0</v>
      </c>
      <c r="H62" s="49">
        <f>累计考核费用!I137/10000</f>
        <v>0</v>
      </c>
      <c r="I62" s="49">
        <f>累计考核费用!J137/10000</f>
        <v>0</v>
      </c>
      <c r="J62" s="49">
        <f>累计考核费用!K137/10000</f>
        <v>0</v>
      </c>
      <c r="K62" s="49">
        <f>累计考核费用!L137/10000</f>
        <v>0</v>
      </c>
      <c r="L62" s="49">
        <f>累计考核费用!M137/10000</f>
        <v>0</v>
      </c>
      <c r="M62" s="49">
        <f>累计考核费用!N137/10000</f>
        <v>0</v>
      </c>
      <c r="N62" s="49">
        <f>累计考核费用!O137/10000</f>
        <v>0</v>
      </c>
      <c r="O62" s="49">
        <f>累计考核费用!P137/10000</f>
        <v>0</v>
      </c>
      <c r="P62" s="49">
        <f>累计考核费用!Q137/10000</f>
        <v>0</v>
      </c>
      <c r="Q62" s="49">
        <f>累计考核费用!R137/10000</f>
        <v>0</v>
      </c>
      <c r="R62" s="49">
        <f>累计考核费用!S137/10000</f>
        <v>0</v>
      </c>
      <c r="S62" s="49">
        <f>累计考核费用!T137/10000</f>
        <v>0</v>
      </c>
      <c r="T62" s="49">
        <f>累计考核费用!U137/10000</f>
        <v>0</v>
      </c>
      <c r="U62" s="49">
        <f>累计考核费用!V137/10000</f>
        <v>0</v>
      </c>
      <c r="V62" s="49">
        <f>累计考核费用!W137/10000</f>
        <v>0</v>
      </c>
      <c r="W62" s="49">
        <f>累计考核费用!X137/10000</f>
        <v>0</v>
      </c>
      <c r="X62" s="49">
        <f>累计考核费用!Y137/10000</f>
        <v>0</v>
      </c>
      <c r="Y62" s="49">
        <f>累计考核费用!Z137/10000</f>
        <v>0</v>
      </c>
      <c r="Z62" s="49">
        <f>累计考核费用!AA137/10000</f>
        <v>0</v>
      </c>
      <c r="AA62" s="49">
        <f>累计考核费用!AB137/10000</f>
        <v>0</v>
      </c>
      <c r="AB62" s="49">
        <f>累计考核费用!AC137/10000</f>
        <v>0</v>
      </c>
      <c r="AC62" s="49">
        <f>累计考核费用!AD137/10000</f>
        <v>0</v>
      </c>
      <c r="AD62" s="49">
        <f>累计考核费用!AE137/10000</f>
        <v>0</v>
      </c>
      <c r="AE62" s="49"/>
      <c r="AF62" s="2">
        <f t="shared" si="1"/>
        <v>0</v>
      </c>
    </row>
    <row r="63" spans="1:32" s="2" customFormat="1">
      <c r="A63" s="46" t="s">
        <v>98</v>
      </c>
      <c r="B63" s="49">
        <f>累计考核费用!C138/10000</f>
        <v>374.44704400000006</v>
      </c>
      <c r="C63" s="49">
        <f>累计考核费用!D138/10000</f>
        <v>0</v>
      </c>
      <c r="D63" s="49">
        <f>累计考核费用!E138/10000</f>
        <v>44.592508000000002</v>
      </c>
      <c r="E63" s="49">
        <f>累计考核费用!F138/10000</f>
        <v>196.83737399999998</v>
      </c>
      <c r="F63" s="49">
        <f>累计考核费用!G138/10000</f>
        <v>4.160717</v>
      </c>
      <c r="G63" s="49">
        <f>累计考核费用!H138/10000</f>
        <v>10.322443000000002</v>
      </c>
      <c r="H63" s="49">
        <f>累计考核费用!I138/10000</f>
        <v>1.7327780000000002</v>
      </c>
      <c r="I63" s="49">
        <f>累计考核费用!J138/10000</f>
        <v>1.6231659999999999</v>
      </c>
      <c r="J63" s="49">
        <f>累计考核费用!K138/10000</f>
        <v>6.9664989999999989</v>
      </c>
      <c r="K63" s="49">
        <f>累计考核费用!L138/10000</f>
        <v>4.9276990000000005</v>
      </c>
      <c r="L63" s="49">
        <f>累计考核费用!M138/10000</f>
        <v>0.931427</v>
      </c>
      <c r="M63" s="49">
        <f>累计考核费用!N138/10000</f>
        <v>0.35942799999999997</v>
      </c>
      <c r="N63" s="49">
        <f>累计考核费用!O138/10000</f>
        <v>2.7390400000000001</v>
      </c>
      <c r="O63" s="49">
        <f>累计考核费用!P138/10000</f>
        <v>0.89780400000000005</v>
      </c>
      <c r="P63" s="49">
        <f>累计考核费用!Q138/10000</f>
        <v>1.3955139999999999</v>
      </c>
      <c r="Q63" s="49">
        <f>累计考核费用!R138/10000</f>
        <v>0.74082000000000003</v>
      </c>
      <c r="R63" s="49">
        <f>累计考核费用!S138/10000</f>
        <v>0.654694</v>
      </c>
      <c r="S63" s="49">
        <f>累计考核费用!T138/10000</f>
        <v>3.4805599999999997</v>
      </c>
      <c r="T63" s="49">
        <f>累计考核费用!U138/10000</f>
        <v>101.910437</v>
      </c>
      <c r="U63" s="49">
        <f>累计考核费用!V138/10000</f>
        <v>40.037402</v>
      </c>
      <c r="V63" s="49">
        <f>累计考核费用!W138/10000</f>
        <v>12.50271</v>
      </c>
      <c r="W63" s="49">
        <f>累计考核费用!X138/10000</f>
        <v>22.674266999999997</v>
      </c>
      <c r="X63" s="49">
        <f>累计考核费用!Y138/10000</f>
        <v>11.293451000000001</v>
      </c>
      <c r="Y63" s="49">
        <f>累计考核费用!Z138/10000</f>
        <v>11.449761000000001</v>
      </c>
      <c r="Z63" s="49">
        <f>累计考核费用!AA138/10000</f>
        <v>3.9528460000000001</v>
      </c>
      <c r="AA63" s="49">
        <f>累计考核费用!AB138/10000</f>
        <v>0</v>
      </c>
      <c r="AB63" s="49">
        <f>累计考核费用!AC138/10000</f>
        <v>4.8188240000000011</v>
      </c>
      <c r="AC63" s="49">
        <f>累计考核费用!AD138/10000</f>
        <v>2.0009679999999999</v>
      </c>
      <c r="AD63" s="49">
        <f>累计考核费用!AE138/10000</f>
        <v>0</v>
      </c>
      <c r="AE63" s="49"/>
      <c r="AF63" s="2">
        <f t="shared" si="1"/>
        <v>59.733775000000009</v>
      </c>
    </row>
    <row r="64" spans="1:32" s="2" customFormat="1">
      <c r="A64" s="48" t="s">
        <v>120</v>
      </c>
      <c r="B64" s="49">
        <f>累计考核费用!C139/10000</f>
        <v>25.331612000000003</v>
      </c>
      <c r="C64" s="49">
        <f>累计考核费用!D139/10000</f>
        <v>0</v>
      </c>
      <c r="D64" s="49">
        <f>累计考核费用!E139/10000</f>
        <v>10.428570000000001</v>
      </c>
      <c r="E64" s="49">
        <f>累计考核费用!F139/10000</f>
        <v>12.752452</v>
      </c>
      <c r="F64" s="49">
        <f>累计考核费用!G139/10000</f>
        <v>0</v>
      </c>
      <c r="G64" s="49">
        <f>累计考核费用!H139/10000</f>
        <v>0.218642</v>
      </c>
      <c r="H64" s="49">
        <f>累计考核费用!I139/10000</f>
        <v>0</v>
      </c>
      <c r="I64" s="49">
        <f>累计考核费用!J139/10000</f>
        <v>0.109321</v>
      </c>
      <c r="J64" s="49">
        <f>累计考核费用!K139/10000</f>
        <v>0.109321</v>
      </c>
      <c r="K64" s="49">
        <f>累计考核费用!L139/10000</f>
        <v>0.43728400000000001</v>
      </c>
      <c r="L64" s="49">
        <f>累计考核费用!M139/10000</f>
        <v>0.109321</v>
      </c>
      <c r="M64" s="49">
        <f>累计考核费用!N139/10000</f>
        <v>0.109321</v>
      </c>
      <c r="N64" s="49">
        <f>累计考核费用!O139/10000</f>
        <v>0.109321</v>
      </c>
      <c r="O64" s="49">
        <f>累计考核费用!P139/10000</f>
        <v>0.109321</v>
      </c>
      <c r="P64" s="49">
        <f>累计考核费用!Q139/10000</f>
        <v>0.218642</v>
      </c>
      <c r="Q64" s="49">
        <f>累计考核费用!R139/10000</f>
        <v>0.109321</v>
      </c>
      <c r="R64" s="49">
        <f>累计考核费用!S139/10000</f>
        <v>0.109321</v>
      </c>
      <c r="S64" s="49">
        <f>累计考核费用!T139/10000</f>
        <v>0.53983800000000004</v>
      </c>
      <c r="T64" s="49">
        <f>累计考核费用!U139/10000</f>
        <v>0.73618400000000006</v>
      </c>
      <c r="U64" s="49">
        <f>累计考核费用!V139/10000</f>
        <v>0.44171000000000005</v>
      </c>
      <c r="V64" s="49">
        <f>累计考核费用!W139/10000</f>
        <v>0.29447399999999996</v>
      </c>
      <c r="W64" s="49">
        <f>累计考核费用!X139/10000</f>
        <v>0</v>
      </c>
      <c r="X64" s="49">
        <f>累计考核费用!Y139/10000</f>
        <v>0</v>
      </c>
      <c r="Y64" s="49">
        <f>累计考核费用!Z139/10000</f>
        <v>0</v>
      </c>
      <c r="Z64" s="49">
        <f>累计考核费用!AA139/10000</f>
        <v>0</v>
      </c>
      <c r="AA64" s="49">
        <f>累计考核费用!AB139/10000</f>
        <v>0</v>
      </c>
      <c r="AB64" s="49">
        <f>累计考核费用!AC139/10000</f>
        <v>0</v>
      </c>
      <c r="AC64" s="49">
        <f>累计考核费用!AD139/10000</f>
        <v>0</v>
      </c>
      <c r="AD64" s="49">
        <f>累计考核费用!AE139/10000</f>
        <v>0</v>
      </c>
      <c r="AE64" s="49"/>
      <c r="AF64" s="2">
        <f t="shared" si="1"/>
        <v>10.647212</v>
      </c>
    </row>
    <row r="65" spans="1:32" s="2" customFormat="1">
      <c r="A65" s="48" t="s">
        <v>121</v>
      </c>
      <c r="B65" s="49">
        <f>累计考核费用!C140/10000</f>
        <v>17.750432999999997</v>
      </c>
      <c r="C65" s="49">
        <f>累计考核费用!D140/10000</f>
        <v>0</v>
      </c>
      <c r="D65" s="49">
        <f>累计考核费用!E140/10000</f>
        <v>4.4089039999999988</v>
      </c>
      <c r="E65" s="49">
        <f>累计考核费用!F140/10000</f>
        <v>8.3785539999999994</v>
      </c>
      <c r="F65" s="49">
        <f>累计考核费用!G140/10000</f>
        <v>8.7780999999999998E-2</v>
      </c>
      <c r="G65" s="49">
        <f>累计考核费用!H140/10000</f>
        <v>0.44189600000000001</v>
      </c>
      <c r="H65" s="49">
        <f>累计考核费用!I140/10000</f>
        <v>3.0024000000000002E-2</v>
      </c>
      <c r="I65" s="49">
        <f>累计考核费用!J140/10000</f>
        <v>0.262152</v>
      </c>
      <c r="J65" s="49">
        <f>累计考核费用!K140/10000</f>
        <v>0.14971999999999999</v>
      </c>
      <c r="K65" s="49">
        <f>累计考核费用!L140/10000</f>
        <v>0.65153499999999998</v>
      </c>
      <c r="L65" s="49">
        <f>累计考核费用!M140/10000</f>
        <v>9.2940999999999996E-2</v>
      </c>
      <c r="M65" s="49">
        <f>累计考核费用!N140/10000</f>
        <v>0.24998099999999998</v>
      </c>
      <c r="N65" s="49">
        <f>累计考核费用!O140/10000</f>
        <v>0.121472</v>
      </c>
      <c r="O65" s="49">
        <f>累计考核费用!P140/10000</f>
        <v>0.187141</v>
      </c>
      <c r="P65" s="49">
        <f>累计考核费用!Q140/10000</f>
        <v>0.26961499999999999</v>
      </c>
      <c r="Q65" s="49">
        <f>累计考核费用!R140/10000</f>
        <v>3.9129000000000004E-2</v>
      </c>
      <c r="R65" s="49">
        <f>累计考核费用!S140/10000</f>
        <v>0.23048600000000002</v>
      </c>
      <c r="S65" s="49">
        <f>累计考核费用!T140/10000</f>
        <v>2.029121</v>
      </c>
      <c r="T65" s="49">
        <f>累计考核费用!U140/10000</f>
        <v>0.629077</v>
      </c>
      <c r="U65" s="49">
        <f>累计考核费用!V140/10000</f>
        <v>8.5278999999999994E-2</v>
      </c>
      <c r="V65" s="49">
        <f>累计考核费用!W140/10000</f>
        <v>8.7215000000000001E-2</v>
      </c>
      <c r="W65" s="49">
        <f>累计考核费用!X140/10000</f>
        <v>0.152782</v>
      </c>
      <c r="X65" s="49">
        <f>累计考核费用!Y140/10000</f>
        <v>0.10157000000000001</v>
      </c>
      <c r="Y65" s="49">
        <f>累计考核费用!Z140/10000</f>
        <v>0.13319500000000001</v>
      </c>
      <c r="Z65" s="49">
        <f>累计考核费用!AA140/10000</f>
        <v>6.9036E-2</v>
      </c>
      <c r="AA65" s="49">
        <f>累计考核费用!AB140/10000</f>
        <v>0</v>
      </c>
      <c r="AB65" s="49">
        <f>累计考核费用!AC140/10000</f>
        <v>0.109324</v>
      </c>
      <c r="AC65" s="49">
        <f>累计考核费用!AD140/10000</f>
        <v>0.74462600000000001</v>
      </c>
      <c r="AD65" s="49">
        <f>累计考核费用!AE140/10000</f>
        <v>0</v>
      </c>
      <c r="AE65" s="49"/>
      <c r="AF65" s="2">
        <f t="shared" si="1"/>
        <v>4.9601239999999986</v>
      </c>
    </row>
    <row r="66" spans="1:32" s="2" customFormat="1">
      <c r="A66" s="48" t="s">
        <v>122</v>
      </c>
      <c r="B66" s="49">
        <f>累计考核费用!C141/10000</f>
        <v>3.3050229999999994</v>
      </c>
      <c r="C66" s="49">
        <f>累计考核费用!D141/10000</f>
        <v>0</v>
      </c>
      <c r="D66" s="49">
        <f>累计考核费用!E141/10000</f>
        <v>2.9056599999999997</v>
      </c>
      <c r="E66" s="49">
        <f>累计考核费用!F141/10000</f>
        <v>0.39936300000000002</v>
      </c>
      <c r="F66" s="49">
        <f>累计考核费用!G141/10000</f>
        <v>0</v>
      </c>
      <c r="G66" s="49">
        <f>累计考核费用!H141/10000</f>
        <v>0</v>
      </c>
      <c r="H66" s="49">
        <f>累计考核费用!I141/10000</f>
        <v>0</v>
      </c>
      <c r="I66" s="49">
        <f>累计考核费用!J141/10000</f>
        <v>0</v>
      </c>
      <c r="J66" s="49">
        <f>累计考核费用!K141/10000</f>
        <v>0</v>
      </c>
      <c r="K66" s="49">
        <f>累计考核费用!L141/10000</f>
        <v>0</v>
      </c>
      <c r="L66" s="49">
        <f>累计考核费用!M141/10000</f>
        <v>0</v>
      </c>
      <c r="M66" s="49">
        <f>累计考核费用!N141/10000</f>
        <v>0</v>
      </c>
      <c r="N66" s="49">
        <f>累计考核费用!O141/10000</f>
        <v>0</v>
      </c>
      <c r="O66" s="49">
        <f>累计考核费用!P141/10000</f>
        <v>0</v>
      </c>
      <c r="P66" s="49">
        <f>累计考核费用!Q141/10000</f>
        <v>0</v>
      </c>
      <c r="Q66" s="49">
        <f>累计考核费用!R141/10000</f>
        <v>0</v>
      </c>
      <c r="R66" s="49">
        <f>累计考核费用!S141/10000</f>
        <v>0</v>
      </c>
      <c r="S66" s="49">
        <f>累计考核费用!T141/10000</f>
        <v>0</v>
      </c>
      <c r="T66" s="49">
        <f>累计考核费用!U141/10000</f>
        <v>0</v>
      </c>
      <c r="U66" s="49">
        <f>累计考核费用!V141/10000</f>
        <v>0</v>
      </c>
      <c r="V66" s="49">
        <f>累计考核费用!W141/10000</f>
        <v>0</v>
      </c>
      <c r="W66" s="49">
        <f>累计考核费用!X141/10000</f>
        <v>0</v>
      </c>
      <c r="X66" s="49">
        <f>累计考核费用!Y141/10000</f>
        <v>0</v>
      </c>
      <c r="Y66" s="49">
        <f>累计考核费用!Z141/10000</f>
        <v>0</v>
      </c>
      <c r="Z66" s="49">
        <f>累计考核费用!AA141/10000</f>
        <v>0</v>
      </c>
      <c r="AA66" s="49">
        <f>累计考核费用!AB141/10000</f>
        <v>0</v>
      </c>
      <c r="AB66" s="49">
        <f>累计考核费用!AC141/10000</f>
        <v>0</v>
      </c>
      <c r="AC66" s="49">
        <f>累计考核费用!AD141/10000</f>
        <v>0</v>
      </c>
      <c r="AD66" s="49">
        <f>累计考核费用!AE141/10000</f>
        <v>0</v>
      </c>
      <c r="AE66" s="49"/>
      <c r="AF66" s="2">
        <f t="shared" si="1"/>
        <v>2.9056599999999997</v>
      </c>
    </row>
    <row r="67" spans="1:32" s="2" customFormat="1">
      <c r="A67" s="48" t="s">
        <v>123</v>
      </c>
      <c r="B67" s="49">
        <f>累计考核费用!C142/10000</f>
        <v>19.499199000000001</v>
      </c>
      <c r="C67" s="49">
        <f>累计考核费用!D142/10000</f>
        <v>0</v>
      </c>
      <c r="D67" s="49">
        <f>累计考核费用!E142/10000</f>
        <v>3.4626949999999996</v>
      </c>
      <c r="E67" s="49">
        <f>累计考核费用!F142/10000</f>
        <v>14.861996</v>
      </c>
      <c r="F67" s="49">
        <f>累计考核费用!G142/10000</f>
        <v>0</v>
      </c>
      <c r="G67" s="49">
        <f>累计考核费用!H142/10000</f>
        <v>0.126634</v>
      </c>
      <c r="H67" s="49">
        <f>累计考核费用!I142/10000</f>
        <v>0</v>
      </c>
      <c r="I67" s="49">
        <f>累计考核费用!J142/10000</f>
        <v>0.110582</v>
      </c>
      <c r="J67" s="49">
        <f>累计考核费用!K142/10000</f>
        <v>1.6052E-2</v>
      </c>
      <c r="K67" s="49">
        <f>累计考核费用!L142/10000</f>
        <v>0.442328</v>
      </c>
      <c r="L67" s="49">
        <f>累计考核费用!M142/10000</f>
        <v>0.110582</v>
      </c>
      <c r="M67" s="49">
        <f>累计考核费用!N142/10000</f>
        <v>0.110582</v>
      </c>
      <c r="N67" s="49">
        <f>累计考核费用!O142/10000</f>
        <v>0.110582</v>
      </c>
      <c r="O67" s="49">
        <f>累计考核费用!P142/10000</f>
        <v>0.110582</v>
      </c>
      <c r="P67" s="49">
        <f>累计考核费用!Q142/10000</f>
        <v>0.221164</v>
      </c>
      <c r="Q67" s="49">
        <f>累计考核费用!R142/10000</f>
        <v>0.110582</v>
      </c>
      <c r="R67" s="49">
        <f>累计考核费用!S142/10000</f>
        <v>0.110582</v>
      </c>
      <c r="S67" s="49">
        <f>累计考核费用!T142/10000</f>
        <v>0.110582</v>
      </c>
      <c r="T67" s="49">
        <f>累计考核费用!U142/10000</f>
        <v>0</v>
      </c>
      <c r="U67" s="49">
        <f>累计考核费用!V142/10000</f>
        <v>0</v>
      </c>
      <c r="V67" s="49">
        <f>累计考核费用!W142/10000</f>
        <v>0</v>
      </c>
      <c r="W67" s="49">
        <f>累计考核费用!X142/10000</f>
        <v>0</v>
      </c>
      <c r="X67" s="49">
        <f>累计考核费用!Y142/10000</f>
        <v>0</v>
      </c>
      <c r="Y67" s="49">
        <f>累计考核费用!Z142/10000</f>
        <v>0</v>
      </c>
      <c r="Z67" s="49">
        <f>累计考核费用!AA142/10000</f>
        <v>0</v>
      </c>
      <c r="AA67" s="49">
        <f>累计考核费用!AB142/10000</f>
        <v>0</v>
      </c>
      <c r="AB67" s="49">
        <f>累计考核费用!AC142/10000</f>
        <v>0</v>
      </c>
      <c r="AC67" s="49">
        <f>累计考核费用!AD142/10000</f>
        <v>0.27379999999999999</v>
      </c>
      <c r="AD67" s="49">
        <f>累计考核费用!AE142/10000</f>
        <v>0</v>
      </c>
      <c r="AE67" s="49"/>
      <c r="AF67" s="2">
        <f t="shared" si="1"/>
        <v>3.5893289999999998</v>
      </c>
    </row>
    <row r="68" spans="1:32" s="2" customFormat="1">
      <c r="A68" s="48" t="s">
        <v>124</v>
      </c>
      <c r="B68" s="49">
        <f>累计考核费用!C143/10000</f>
        <v>4.75</v>
      </c>
      <c r="C68" s="49">
        <f>累计考核费用!D143/10000</f>
        <v>0</v>
      </c>
      <c r="D68" s="49">
        <f>累计考核费用!E143/10000</f>
        <v>4.75</v>
      </c>
      <c r="E68" s="49">
        <f>累计考核费用!F143/10000</f>
        <v>0</v>
      </c>
      <c r="F68" s="49">
        <f>累计考核费用!G143/10000</f>
        <v>0</v>
      </c>
      <c r="G68" s="49">
        <f>累计考核费用!H143/10000</f>
        <v>0</v>
      </c>
      <c r="H68" s="49">
        <f>累计考核费用!I143/10000</f>
        <v>0</v>
      </c>
      <c r="I68" s="49">
        <f>累计考核费用!J143/10000</f>
        <v>0</v>
      </c>
      <c r="J68" s="49">
        <f>累计考核费用!K143/10000</f>
        <v>0</v>
      </c>
      <c r="K68" s="49">
        <f>累计考核费用!L143/10000</f>
        <v>0</v>
      </c>
      <c r="L68" s="49">
        <f>累计考核费用!M143/10000</f>
        <v>0</v>
      </c>
      <c r="M68" s="49">
        <f>累计考核费用!N143/10000</f>
        <v>0</v>
      </c>
      <c r="N68" s="49">
        <f>累计考核费用!O143/10000</f>
        <v>0</v>
      </c>
      <c r="O68" s="49">
        <f>累计考核费用!P143/10000</f>
        <v>0</v>
      </c>
      <c r="P68" s="49">
        <f>累计考核费用!Q143/10000</f>
        <v>0</v>
      </c>
      <c r="Q68" s="49">
        <f>累计考核费用!R143/10000</f>
        <v>0</v>
      </c>
      <c r="R68" s="49">
        <f>累计考核费用!S143/10000</f>
        <v>0</v>
      </c>
      <c r="S68" s="49">
        <f>累计考核费用!T143/10000</f>
        <v>0</v>
      </c>
      <c r="T68" s="49">
        <f>累计考核费用!U143/10000</f>
        <v>0</v>
      </c>
      <c r="U68" s="49">
        <f>累计考核费用!V143/10000</f>
        <v>0</v>
      </c>
      <c r="V68" s="49">
        <f>累计考核费用!W143/10000</f>
        <v>0</v>
      </c>
      <c r="W68" s="49">
        <f>累计考核费用!X143/10000</f>
        <v>0</v>
      </c>
      <c r="X68" s="49">
        <f>累计考核费用!Y143/10000</f>
        <v>0</v>
      </c>
      <c r="Y68" s="49">
        <f>累计考核费用!Z143/10000</f>
        <v>0</v>
      </c>
      <c r="Z68" s="49">
        <f>累计考核费用!AA143/10000</f>
        <v>0</v>
      </c>
      <c r="AA68" s="49">
        <f>累计考核费用!AB143/10000</f>
        <v>0</v>
      </c>
      <c r="AB68" s="49">
        <f>累计考核费用!AC143/10000</f>
        <v>0</v>
      </c>
      <c r="AC68" s="49">
        <f>累计考核费用!AD143/10000</f>
        <v>0</v>
      </c>
      <c r="AD68" s="49">
        <f>累计考核费用!AE143/10000</f>
        <v>0</v>
      </c>
      <c r="AE68" s="49"/>
      <c r="AF68" s="2">
        <f t="shared" si="1"/>
        <v>4.75</v>
      </c>
    </row>
    <row r="69" spans="1:32" s="2" customFormat="1">
      <c r="A69" s="48" t="s">
        <v>125</v>
      </c>
      <c r="B69" s="49">
        <f>累计考核费用!C144/10000</f>
        <v>4.2004150000000005</v>
      </c>
      <c r="C69" s="49">
        <f>累计考核费用!D144/10000</f>
        <v>0</v>
      </c>
      <c r="D69" s="49">
        <f>累计考核费用!E144/10000</f>
        <v>2.2694380000000001</v>
      </c>
      <c r="E69" s="49">
        <f>累计考核费用!F144/10000</f>
        <v>1.778977</v>
      </c>
      <c r="F69" s="49">
        <f>累计考核费用!G144/10000</f>
        <v>0</v>
      </c>
      <c r="G69" s="49">
        <f>累计考核费用!H144/10000</f>
        <v>0</v>
      </c>
      <c r="H69" s="49">
        <f>累计考核费用!I144/10000</f>
        <v>0</v>
      </c>
      <c r="I69" s="49">
        <f>累计考核费用!J144/10000</f>
        <v>0</v>
      </c>
      <c r="J69" s="49">
        <f>累计考核费用!K144/10000</f>
        <v>0</v>
      </c>
      <c r="K69" s="49">
        <f>累计考核费用!L144/10000</f>
        <v>0</v>
      </c>
      <c r="L69" s="49">
        <f>累计考核费用!M144/10000</f>
        <v>0</v>
      </c>
      <c r="M69" s="49">
        <f>累计考核费用!N144/10000</f>
        <v>0</v>
      </c>
      <c r="N69" s="49">
        <f>累计考核费用!O144/10000</f>
        <v>0</v>
      </c>
      <c r="O69" s="49">
        <f>累计考核费用!P144/10000</f>
        <v>0</v>
      </c>
      <c r="P69" s="49">
        <f>累计考核费用!Q144/10000</f>
        <v>0</v>
      </c>
      <c r="Q69" s="49">
        <f>累计考核费用!R144/10000</f>
        <v>0</v>
      </c>
      <c r="R69" s="49">
        <f>累计考核费用!S144/10000</f>
        <v>0</v>
      </c>
      <c r="S69" s="49">
        <f>累计考核费用!T144/10000</f>
        <v>0</v>
      </c>
      <c r="T69" s="49">
        <f>累计考核费用!U144/10000</f>
        <v>0.152</v>
      </c>
      <c r="U69" s="49">
        <f>累计考核费用!V144/10000</f>
        <v>0</v>
      </c>
      <c r="V69" s="49">
        <f>累计考核费用!W144/10000</f>
        <v>0</v>
      </c>
      <c r="W69" s="49">
        <f>累计考核费用!X144/10000</f>
        <v>0.104</v>
      </c>
      <c r="X69" s="49">
        <f>累计考核费用!Y144/10000</f>
        <v>4.8000000000000001E-2</v>
      </c>
      <c r="Y69" s="49">
        <f>累计考核费用!Z144/10000</f>
        <v>0</v>
      </c>
      <c r="Z69" s="49">
        <f>累计考核费用!AA144/10000</f>
        <v>0</v>
      </c>
      <c r="AA69" s="49">
        <f>累计考核费用!AB144/10000</f>
        <v>0</v>
      </c>
      <c r="AB69" s="49">
        <f>累计考核费用!AC144/10000</f>
        <v>0</v>
      </c>
      <c r="AC69" s="49">
        <f>累计考核费用!AD144/10000</f>
        <v>0</v>
      </c>
      <c r="AD69" s="49">
        <f>累计考核费用!AE144/10000</f>
        <v>0</v>
      </c>
      <c r="AE69" s="49"/>
      <c r="AF69" s="2">
        <f t="shared" si="1"/>
        <v>2.2694380000000001</v>
      </c>
    </row>
    <row r="70" spans="1:32" s="2" customFormat="1">
      <c r="A70" s="48" t="s">
        <v>126</v>
      </c>
      <c r="B70" s="49">
        <f>累计考核费用!C145/10000</f>
        <v>4</v>
      </c>
      <c r="C70" s="49">
        <f>累计考核费用!D145/10000</f>
        <v>0</v>
      </c>
      <c r="D70" s="49">
        <f>累计考核费用!E145/10000</f>
        <v>0</v>
      </c>
      <c r="E70" s="49">
        <f>累计考核费用!F145/10000</f>
        <v>4</v>
      </c>
      <c r="F70" s="49">
        <f>累计考核费用!G145/10000</f>
        <v>0</v>
      </c>
      <c r="G70" s="49">
        <f>累计考核费用!H145/10000</f>
        <v>0</v>
      </c>
      <c r="H70" s="49">
        <f>累计考核费用!I145/10000</f>
        <v>0</v>
      </c>
      <c r="I70" s="49">
        <f>累计考核费用!J145/10000</f>
        <v>0</v>
      </c>
      <c r="J70" s="49">
        <f>累计考核费用!K145/10000</f>
        <v>0</v>
      </c>
      <c r="K70" s="49">
        <f>累计考核费用!L145/10000</f>
        <v>0</v>
      </c>
      <c r="L70" s="49">
        <f>累计考核费用!M145/10000</f>
        <v>0</v>
      </c>
      <c r="M70" s="49">
        <f>累计考核费用!N145/10000</f>
        <v>0</v>
      </c>
      <c r="N70" s="49">
        <f>累计考核费用!O145/10000</f>
        <v>0</v>
      </c>
      <c r="O70" s="49">
        <f>累计考核费用!P145/10000</f>
        <v>0</v>
      </c>
      <c r="P70" s="49">
        <f>累计考核费用!Q145/10000</f>
        <v>0</v>
      </c>
      <c r="Q70" s="49">
        <f>累计考核费用!R145/10000</f>
        <v>0</v>
      </c>
      <c r="R70" s="49">
        <f>累计考核费用!S145/10000</f>
        <v>0</v>
      </c>
      <c r="S70" s="49">
        <f>累计考核费用!T145/10000</f>
        <v>0</v>
      </c>
      <c r="T70" s="49">
        <f>累计考核费用!U145/10000</f>
        <v>0</v>
      </c>
      <c r="U70" s="49">
        <f>累计考核费用!V145/10000</f>
        <v>0</v>
      </c>
      <c r="V70" s="49">
        <f>累计考核费用!W145/10000</f>
        <v>0</v>
      </c>
      <c r="W70" s="49">
        <f>累计考核费用!X145/10000</f>
        <v>0</v>
      </c>
      <c r="X70" s="49">
        <f>累计考核费用!Y145/10000</f>
        <v>0</v>
      </c>
      <c r="Y70" s="49">
        <f>累计考核费用!Z145/10000</f>
        <v>0</v>
      </c>
      <c r="Z70" s="49">
        <f>累计考核费用!AA145/10000</f>
        <v>0</v>
      </c>
      <c r="AA70" s="49">
        <f>累计考核费用!AB145/10000</f>
        <v>0</v>
      </c>
      <c r="AB70" s="49">
        <f>累计考核费用!AC145/10000</f>
        <v>0</v>
      </c>
      <c r="AC70" s="49">
        <f>累计考核费用!AD145/10000</f>
        <v>0</v>
      </c>
      <c r="AD70" s="49">
        <f>累计考核费用!AE145/10000</f>
        <v>0</v>
      </c>
      <c r="AE70" s="49"/>
      <c r="AF70" s="2">
        <f t="shared" si="1"/>
        <v>0</v>
      </c>
    </row>
    <row r="71" spans="1:32" s="2" customFormat="1">
      <c r="A71" s="48" t="s">
        <v>127</v>
      </c>
      <c r="B71" s="49">
        <f>累计考核费用!C146/10000</f>
        <v>87.252168999999995</v>
      </c>
      <c r="C71" s="49">
        <f>累计考核费用!D146/10000</f>
        <v>0</v>
      </c>
      <c r="D71" s="49">
        <f>累计考核费用!E146/10000</f>
        <v>18.396226000000002</v>
      </c>
      <c r="E71" s="49">
        <f>累计考核费用!F146/10000</f>
        <v>9.1509429999999998</v>
      </c>
      <c r="F71" s="49">
        <f>累计考核费用!G146/10000</f>
        <v>0</v>
      </c>
      <c r="G71" s="49">
        <f>累计考核费用!H146/10000</f>
        <v>0</v>
      </c>
      <c r="H71" s="49">
        <f>累计考核费用!I146/10000</f>
        <v>0</v>
      </c>
      <c r="I71" s="49">
        <f>累计考核费用!J146/10000</f>
        <v>0</v>
      </c>
      <c r="J71" s="49">
        <f>累计考核费用!K146/10000</f>
        <v>0</v>
      </c>
      <c r="K71" s="49">
        <f>累计考核费用!L146/10000</f>
        <v>59.704999999999998</v>
      </c>
      <c r="L71" s="49">
        <f>累计考核费用!M146/10000</f>
        <v>0</v>
      </c>
      <c r="M71" s="49">
        <f>累计考核费用!N146/10000</f>
        <v>59.704999999999998</v>
      </c>
      <c r="N71" s="49">
        <f>累计考核费用!O146/10000</f>
        <v>0</v>
      </c>
      <c r="O71" s="49">
        <f>累计考核费用!P146/10000</f>
        <v>0</v>
      </c>
      <c r="P71" s="49">
        <f>累计考核费用!Q146/10000</f>
        <v>0</v>
      </c>
      <c r="Q71" s="49">
        <f>累计考核费用!R146/10000</f>
        <v>0</v>
      </c>
      <c r="R71" s="49">
        <f>累计考核费用!S146/10000</f>
        <v>0</v>
      </c>
      <c r="S71" s="49">
        <f>累计考核费用!T146/10000</f>
        <v>0</v>
      </c>
      <c r="T71" s="49">
        <f>累计考核费用!U146/10000</f>
        <v>0</v>
      </c>
      <c r="U71" s="49">
        <f>累计考核费用!V146/10000</f>
        <v>0</v>
      </c>
      <c r="V71" s="49">
        <f>累计考核费用!W146/10000</f>
        <v>0</v>
      </c>
      <c r="W71" s="49">
        <f>累计考核费用!X146/10000</f>
        <v>0</v>
      </c>
      <c r="X71" s="49">
        <f>累计考核费用!Y146/10000</f>
        <v>0</v>
      </c>
      <c r="Y71" s="49">
        <f>累计考核费用!Z146/10000</f>
        <v>0</v>
      </c>
      <c r="Z71" s="49">
        <f>累计考核费用!AA146/10000</f>
        <v>0</v>
      </c>
      <c r="AA71" s="49">
        <f>累计考核费用!AB146/10000</f>
        <v>0</v>
      </c>
      <c r="AB71" s="49">
        <f>累计考核费用!AC146/10000</f>
        <v>0</v>
      </c>
      <c r="AC71" s="49">
        <f>累计考核费用!AD146/10000</f>
        <v>0</v>
      </c>
      <c r="AD71" s="49">
        <f>累计考核费用!AE146/10000</f>
        <v>0</v>
      </c>
      <c r="AE71" s="49"/>
      <c r="AF71" s="2">
        <f t="shared" si="1"/>
        <v>18.396226000000002</v>
      </c>
    </row>
    <row r="72" spans="1:32" s="2" customFormat="1">
      <c r="A72" s="48" t="s">
        <v>128</v>
      </c>
      <c r="B72" s="49">
        <f>累计考核费用!C147/10000</f>
        <v>0</v>
      </c>
      <c r="C72" s="49">
        <f>累计考核费用!D147/10000</f>
        <v>0</v>
      </c>
      <c r="D72" s="49">
        <f>累计考核费用!E147/10000</f>
        <v>0</v>
      </c>
      <c r="E72" s="49">
        <f>累计考核费用!F147/10000</f>
        <v>0</v>
      </c>
      <c r="F72" s="49">
        <f>累计考核费用!G147/10000</f>
        <v>0</v>
      </c>
      <c r="G72" s="49">
        <f>累计考核费用!H147/10000</f>
        <v>0</v>
      </c>
      <c r="H72" s="49">
        <f>累计考核费用!I147/10000</f>
        <v>0</v>
      </c>
      <c r="I72" s="49">
        <f>累计考核费用!J147/10000</f>
        <v>0</v>
      </c>
      <c r="J72" s="49">
        <f>累计考核费用!K147/10000</f>
        <v>0</v>
      </c>
      <c r="K72" s="49">
        <f>累计考核费用!L147/10000</f>
        <v>0</v>
      </c>
      <c r="L72" s="49">
        <f>累计考核费用!M147/10000</f>
        <v>0</v>
      </c>
      <c r="M72" s="49">
        <f>累计考核费用!N147/10000</f>
        <v>0</v>
      </c>
      <c r="N72" s="49">
        <f>累计考核费用!O147/10000</f>
        <v>0</v>
      </c>
      <c r="O72" s="49">
        <f>累计考核费用!P147/10000</f>
        <v>0</v>
      </c>
      <c r="P72" s="49">
        <f>累计考核费用!Q147/10000</f>
        <v>0</v>
      </c>
      <c r="Q72" s="49">
        <f>累计考核费用!R147/10000</f>
        <v>0</v>
      </c>
      <c r="R72" s="49">
        <f>累计考核费用!S147/10000</f>
        <v>0</v>
      </c>
      <c r="S72" s="49">
        <f>累计考核费用!T147/10000</f>
        <v>0</v>
      </c>
      <c r="T72" s="49">
        <f>累计考核费用!U147/10000</f>
        <v>0</v>
      </c>
      <c r="U72" s="49">
        <f>累计考核费用!V147/10000</f>
        <v>0</v>
      </c>
      <c r="V72" s="49">
        <f>累计考核费用!W147/10000</f>
        <v>0</v>
      </c>
      <c r="W72" s="49">
        <f>累计考核费用!X147/10000</f>
        <v>0</v>
      </c>
      <c r="X72" s="49">
        <f>累计考核费用!Y147/10000</f>
        <v>0</v>
      </c>
      <c r="Y72" s="49">
        <f>累计考核费用!Z147/10000</f>
        <v>0</v>
      </c>
      <c r="Z72" s="49">
        <f>累计考核费用!AA147/10000</f>
        <v>0</v>
      </c>
      <c r="AA72" s="49">
        <f>累计考核费用!AB147/10000</f>
        <v>0</v>
      </c>
      <c r="AB72" s="49">
        <f>累计考核费用!AC147/10000</f>
        <v>0</v>
      </c>
      <c r="AC72" s="49">
        <f>累计考核费用!AD147/10000</f>
        <v>0</v>
      </c>
      <c r="AD72" s="49">
        <f>累计考核费用!AE147/10000</f>
        <v>0</v>
      </c>
      <c r="AE72" s="49"/>
      <c r="AF72" s="2">
        <f t="shared" si="1"/>
        <v>0</v>
      </c>
    </row>
    <row r="73" spans="1:32" s="2" customFormat="1">
      <c r="A73" s="48" t="s">
        <v>129</v>
      </c>
      <c r="B73" s="49">
        <f>累计考核费用!C148/10000</f>
        <v>8.8071649999999995</v>
      </c>
      <c r="C73" s="49">
        <f>累计考核费用!D148/10000</f>
        <v>0</v>
      </c>
      <c r="D73" s="49">
        <f>累计考核费用!E148/10000</f>
        <v>-3.7357999999999995E-2</v>
      </c>
      <c r="E73" s="49">
        <f>累计考核费用!F148/10000</f>
        <v>7.8570949999999993</v>
      </c>
      <c r="F73" s="49">
        <f>累计考核费用!G148/10000</f>
        <v>0</v>
      </c>
      <c r="G73" s="49">
        <f>累计考核费用!H148/10000</f>
        <v>0</v>
      </c>
      <c r="H73" s="49">
        <f>累计考核费用!I148/10000</f>
        <v>0</v>
      </c>
      <c r="I73" s="49">
        <f>累计考核费用!J148/10000</f>
        <v>0</v>
      </c>
      <c r="J73" s="49">
        <f>累计考核费用!K148/10000</f>
        <v>0</v>
      </c>
      <c r="K73" s="49">
        <f>累计考核费用!L148/10000</f>
        <v>0</v>
      </c>
      <c r="L73" s="49">
        <f>累计考核费用!M148/10000</f>
        <v>0</v>
      </c>
      <c r="M73" s="49">
        <f>累计考核费用!N148/10000</f>
        <v>0</v>
      </c>
      <c r="N73" s="49">
        <f>累计考核费用!O148/10000</f>
        <v>0</v>
      </c>
      <c r="O73" s="49">
        <f>累计考核费用!P148/10000</f>
        <v>0</v>
      </c>
      <c r="P73" s="49">
        <f>累计考核费用!Q148/10000</f>
        <v>0.98742800000000008</v>
      </c>
      <c r="Q73" s="49">
        <f>累计考核费用!R148/10000</f>
        <v>0</v>
      </c>
      <c r="R73" s="49">
        <f>累计考核费用!S148/10000</f>
        <v>0.98742800000000008</v>
      </c>
      <c r="S73" s="49">
        <f>累计考核费用!T148/10000</f>
        <v>0</v>
      </c>
      <c r="T73" s="49">
        <f>累计考核费用!U148/10000</f>
        <v>0</v>
      </c>
      <c r="U73" s="49">
        <f>累计考核费用!V148/10000</f>
        <v>0</v>
      </c>
      <c r="V73" s="49">
        <f>累计考核费用!W148/10000</f>
        <v>0</v>
      </c>
      <c r="W73" s="49">
        <f>累计考核费用!X148/10000</f>
        <v>0</v>
      </c>
      <c r="X73" s="49">
        <f>累计考核费用!Y148/10000</f>
        <v>0</v>
      </c>
      <c r="Y73" s="49">
        <f>累计考核费用!Z148/10000</f>
        <v>0</v>
      </c>
      <c r="Z73" s="49">
        <f>累计考核费用!AA148/10000</f>
        <v>0</v>
      </c>
      <c r="AA73" s="49">
        <f>累计考核费用!AB148/10000</f>
        <v>0</v>
      </c>
      <c r="AB73" s="49">
        <f>累计考核费用!AC148/10000</f>
        <v>0</v>
      </c>
      <c r="AC73" s="49">
        <f>累计考核费用!AD148/10000</f>
        <v>0</v>
      </c>
      <c r="AD73" s="49">
        <f>累计考核费用!AE148/10000</f>
        <v>0</v>
      </c>
      <c r="AE73" s="49"/>
      <c r="AF73" s="2">
        <f t="shared" si="1"/>
        <v>-3.7357999999999995E-2</v>
      </c>
    </row>
    <row r="74" spans="1:32" s="2" customFormat="1">
      <c r="A74" s="48" t="s">
        <v>130</v>
      </c>
      <c r="B74" s="49">
        <f>累计考核费用!C149/10000</f>
        <v>19.432597999999999</v>
      </c>
      <c r="C74" s="49">
        <f>累计考核费用!D149/10000</f>
        <v>0</v>
      </c>
      <c r="D74" s="49">
        <f>累计考核费用!E149/10000</f>
        <v>13.917453999999998</v>
      </c>
      <c r="E74" s="49">
        <f>累计考核费用!F149/10000</f>
        <v>5.5151440000000003</v>
      </c>
      <c r="F74" s="49">
        <f>累计考核费用!G149/10000</f>
        <v>0</v>
      </c>
      <c r="G74" s="49">
        <f>累计考核费用!H149/10000</f>
        <v>0</v>
      </c>
      <c r="H74" s="49">
        <f>累计考核费用!I149/10000</f>
        <v>0</v>
      </c>
      <c r="I74" s="49">
        <f>累计考核费用!J149/10000</f>
        <v>0</v>
      </c>
      <c r="J74" s="49">
        <f>累计考核费用!K149/10000</f>
        <v>0</v>
      </c>
      <c r="K74" s="49">
        <f>累计考核费用!L149/10000</f>
        <v>0</v>
      </c>
      <c r="L74" s="49">
        <f>累计考核费用!M149/10000</f>
        <v>0</v>
      </c>
      <c r="M74" s="49">
        <f>累计考核费用!N149/10000</f>
        <v>0</v>
      </c>
      <c r="N74" s="49">
        <f>累计考核费用!O149/10000</f>
        <v>0</v>
      </c>
      <c r="O74" s="49">
        <f>累计考核费用!P149/10000</f>
        <v>0</v>
      </c>
      <c r="P74" s="49">
        <f>累计考核费用!Q149/10000</f>
        <v>0</v>
      </c>
      <c r="Q74" s="49">
        <f>累计考核费用!R149/10000</f>
        <v>0</v>
      </c>
      <c r="R74" s="49">
        <f>累计考核费用!S149/10000</f>
        <v>0</v>
      </c>
      <c r="S74" s="49">
        <f>累计考核费用!T149/10000</f>
        <v>0</v>
      </c>
      <c r="T74" s="49">
        <f>累计考核费用!U149/10000</f>
        <v>0</v>
      </c>
      <c r="U74" s="49">
        <f>累计考核费用!V149/10000</f>
        <v>0</v>
      </c>
      <c r="V74" s="49">
        <f>累计考核费用!W149/10000</f>
        <v>0</v>
      </c>
      <c r="W74" s="49">
        <f>累计考核费用!X149/10000</f>
        <v>0</v>
      </c>
      <c r="X74" s="49">
        <f>累计考核费用!Y149/10000</f>
        <v>0</v>
      </c>
      <c r="Y74" s="49">
        <f>累计考核费用!Z149/10000</f>
        <v>0</v>
      </c>
      <c r="Z74" s="49">
        <f>累计考核费用!AA149/10000</f>
        <v>0</v>
      </c>
      <c r="AA74" s="49">
        <f>累计考核费用!AB149/10000</f>
        <v>0</v>
      </c>
      <c r="AB74" s="49">
        <f>累计考核费用!AC149/10000</f>
        <v>0</v>
      </c>
      <c r="AC74" s="49">
        <f>累计考核费用!AD149/10000</f>
        <v>0</v>
      </c>
      <c r="AD74" s="49">
        <f>累计考核费用!AE149/10000</f>
        <v>0</v>
      </c>
      <c r="AE74" s="49"/>
      <c r="AF74" s="2">
        <f t="shared" si="1"/>
        <v>13.917453999999998</v>
      </c>
    </row>
    <row r="75" spans="1:32" s="2" customFormat="1">
      <c r="A75" s="48" t="s">
        <v>131</v>
      </c>
      <c r="B75" s="49">
        <f>累计考核费用!C150/10000</f>
        <v>406.47900900000002</v>
      </c>
      <c r="C75" s="49">
        <f>累计考核费用!D150/10000</f>
        <v>0</v>
      </c>
      <c r="D75" s="49">
        <f>累计考核费用!E150/10000</f>
        <v>56.129294999999992</v>
      </c>
      <c r="E75" s="49">
        <f>累计考核费用!F150/10000</f>
        <v>189.662305</v>
      </c>
      <c r="F75" s="49">
        <f>累计考核费用!G150/10000</f>
        <v>0</v>
      </c>
      <c r="G75" s="49">
        <f>累计考核费用!H150/10000</f>
        <v>0.20865999999999998</v>
      </c>
      <c r="H75" s="49">
        <f>累计考核费用!I150/10000</f>
        <v>0</v>
      </c>
      <c r="I75" s="49">
        <f>累计考核费用!J150/10000</f>
        <v>0.10432999999999999</v>
      </c>
      <c r="J75" s="49">
        <f>累计考核费用!K150/10000</f>
        <v>0.10432999999999999</v>
      </c>
      <c r="K75" s="49">
        <f>累计考核费用!L150/10000</f>
        <v>0.41731999999999997</v>
      </c>
      <c r="L75" s="49">
        <f>累计考核费用!M150/10000</f>
        <v>0.10432999999999999</v>
      </c>
      <c r="M75" s="49">
        <f>累计考核费用!N150/10000</f>
        <v>0.10432999999999999</v>
      </c>
      <c r="N75" s="49">
        <f>累计考核费用!O150/10000</f>
        <v>0.10432999999999999</v>
      </c>
      <c r="O75" s="49">
        <f>累计考核费用!P150/10000</f>
        <v>0.10432999999999999</v>
      </c>
      <c r="P75" s="49">
        <f>累计考核费用!Q150/10000</f>
        <v>0.20865999999999998</v>
      </c>
      <c r="Q75" s="49">
        <f>累计考核费用!R150/10000</f>
        <v>0.10432999999999999</v>
      </c>
      <c r="R75" s="49">
        <f>累计考核费用!S150/10000</f>
        <v>0.10432999999999999</v>
      </c>
      <c r="S75" s="49">
        <f>累计考核费用!T150/10000</f>
        <v>156.77485200000001</v>
      </c>
      <c r="T75" s="49">
        <f>累计考核费用!U150/10000</f>
        <v>0.67711699999999997</v>
      </c>
      <c r="U75" s="49">
        <f>累计考核费用!V150/10000</f>
        <v>0.40626999999999996</v>
      </c>
      <c r="V75" s="49">
        <f>累计考核费用!W150/10000</f>
        <v>0.270847</v>
      </c>
      <c r="W75" s="49">
        <f>累计考核费用!X150/10000</f>
        <v>0</v>
      </c>
      <c r="X75" s="49">
        <f>累计考核费用!Y150/10000</f>
        <v>0</v>
      </c>
      <c r="Y75" s="49">
        <f>累计考核费用!Z150/10000</f>
        <v>0</v>
      </c>
      <c r="Z75" s="49">
        <f>累计考核费用!AA150/10000</f>
        <v>0</v>
      </c>
      <c r="AA75" s="49">
        <f>累计考核费用!AB150/10000</f>
        <v>0</v>
      </c>
      <c r="AB75" s="49">
        <f>累计考核费用!AC150/10000</f>
        <v>0</v>
      </c>
      <c r="AC75" s="49">
        <f>累计考核费用!AD150/10000</f>
        <v>2.4007999999999998</v>
      </c>
      <c r="AD75" s="49">
        <f>累计考核费用!AE150/10000</f>
        <v>0</v>
      </c>
      <c r="AE75" s="49"/>
      <c r="AF75" s="2">
        <f t="shared" si="1"/>
        <v>56.337954999999994</v>
      </c>
    </row>
    <row r="76" spans="1:32" s="2" customFormat="1">
      <c r="A76" s="48" t="s">
        <v>132</v>
      </c>
      <c r="B76" s="49">
        <f>累计考核费用!C151/10000</f>
        <v>152.93311299999999</v>
      </c>
      <c r="C76" s="49">
        <f>累计考核费用!D151/10000</f>
        <v>-83.333332999999996</v>
      </c>
      <c r="D76" s="49">
        <f>累计考核费用!E151/10000</f>
        <v>111.31729900000001</v>
      </c>
      <c r="E76" s="49">
        <f>累计考核费用!F151/10000</f>
        <v>118.73640899999998</v>
      </c>
      <c r="F76" s="49">
        <f>累计考核费用!G151/10000</f>
        <v>0</v>
      </c>
      <c r="G76" s="49">
        <f>累计考核费用!H151/10000</f>
        <v>0.54499799999999998</v>
      </c>
      <c r="H76" s="49">
        <f>累计考核费用!I151/10000</f>
        <v>0</v>
      </c>
      <c r="I76" s="49">
        <f>累计考核费用!J151/10000</f>
        <v>0</v>
      </c>
      <c r="J76" s="49">
        <f>累计考核费用!K151/10000</f>
        <v>0.54499799999999998</v>
      </c>
      <c r="K76" s="49">
        <f>累计考核费用!L151/10000</f>
        <v>0.81097200000000003</v>
      </c>
      <c r="L76" s="49">
        <f>累计考核费用!M151/10000</f>
        <v>0.71848100000000004</v>
      </c>
      <c r="M76" s="49">
        <f>累计考核费用!N151/10000</f>
        <v>6.4165E-2</v>
      </c>
      <c r="N76" s="49">
        <f>累计考核费用!O151/10000</f>
        <v>0</v>
      </c>
      <c r="O76" s="49">
        <f>累计考核费用!P151/10000</f>
        <v>2.8326E-2</v>
      </c>
      <c r="P76" s="49">
        <f>累计考核费用!Q151/10000</f>
        <v>0.33800399999999997</v>
      </c>
      <c r="Q76" s="49">
        <f>累计考核费用!R151/10000</f>
        <v>7.8592999999999996E-2</v>
      </c>
      <c r="R76" s="49">
        <f>累计考核费用!S151/10000</f>
        <v>0.259411</v>
      </c>
      <c r="S76" s="49">
        <f>累计考核费用!T151/10000</f>
        <v>4.518764</v>
      </c>
      <c r="T76" s="49">
        <f>累计考核费用!U151/10000</f>
        <v>0</v>
      </c>
      <c r="U76" s="49">
        <f>累计考核费用!V151/10000</f>
        <v>0</v>
      </c>
      <c r="V76" s="49">
        <f>累计考核费用!W151/10000</f>
        <v>0</v>
      </c>
      <c r="W76" s="49">
        <f>累计考核费用!X151/10000</f>
        <v>0</v>
      </c>
      <c r="X76" s="49">
        <f>累计考核费用!Y151/10000</f>
        <v>0</v>
      </c>
      <c r="Y76" s="49">
        <f>累计考核费用!Z151/10000</f>
        <v>0</v>
      </c>
      <c r="Z76" s="49">
        <f>累计考核费用!AA151/10000</f>
        <v>0</v>
      </c>
      <c r="AA76" s="49">
        <f>累计考核费用!AB151/10000</f>
        <v>0</v>
      </c>
      <c r="AB76" s="49">
        <f>累计考核费用!AC151/10000</f>
        <v>0</v>
      </c>
      <c r="AC76" s="49">
        <f>累计考核费用!AD151/10000</f>
        <v>0</v>
      </c>
      <c r="AD76" s="49">
        <f>累计考核费用!AE151/10000</f>
        <v>0</v>
      </c>
      <c r="AE76" s="49"/>
      <c r="AF76" s="2">
        <f t="shared" si="1"/>
        <v>111.86229700000001</v>
      </c>
    </row>
    <row r="77" spans="1:32" s="2" customFormat="1">
      <c r="A77" s="48" t="s">
        <v>133</v>
      </c>
      <c r="B77" s="49">
        <f>累计考核费用!C152/10000</f>
        <v>77.461333999999994</v>
      </c>
      <c r="C77" s="49">
        <f>累计考核费用!D152/10000</f>
        <v>0</v>
      </c>
      <c r="D77" s="49">
        <f>累计考核费用!E152/10000</f>
        <v>71.137986999999995</v>
      </c>
      <c r="E77" s="49">
        <f>累计考核费用!F152/10000</f>
        <v>5.1442620000000003</v>
      </c>
      <c r="F77" s="49">
        <f>累计考核费用!G152/10000</f>
        <v>0</v>
      </c>
      <c r="G77" s="49">
        <f>累计考核费用!H152/10000</f>
        <v>0</v>
      </c>
      <c r="H77" s="49">
        <f>累计考核费用!I152/10000</f>
        <v>0</v>
      </c>
      <c r="I77" s="49">
        <f>累计考核费用!J152/10000</f>
        <v>0</v>
      </c>
      <c r="J77" s="49">
        <f>累计考核费用!K152/10000</f>
        <v>0</v>
      </c>
      <c r="K77" s="49">
        <f>累计考核费用!L152/10000</f>
        <v>1.1161909999999999</v>
      </c>
      <c r="L77" s="49">
        <f>累计考核费用!M152/10000</f>
        <v>1.1161909999999999</v>
      </c>
      <c r="M77" s="49">
        <f>累计考核费用!N152/10000</f>
        <v>0</v>
      </c>
      <c r="N77" s="49">
        <f>累计考核费用!O152/10000</f>
        <v>0</v>
      </c>
      <c r="O77" s="49">
        <f>累计考核费用!P152/10000</f>
        <v>0</v>
      </c>
      <c r="P77" s="49">
        <f>累计考核费用!Q152/10000</f>
        <v>0</v>
      </c>
      <c r="Q77" s="49">
        <f>累计考核费用!R152/10000</f>
        <v>0</v>
      </c>
      <c r="R77" s="49">
        <f>累计考核费用!S152/10000</f>
        <v>0</v>
      </c>
      <c r="S77" s="49">
        <f>累计考核费用!T152/10000</f>
        <v>0</v>
      </c>
      <c r="T77" s="49">
        <f>累计考核费用!U152/10000</f>
        <v>0</v>
      </c>
      <c r="U77" s="49">
        <f>累计考核费用!V152/10000</f>
        <v>0</v>
      </c>
      <c r="V77" s="49">
        <f>累计考核费用!W152/10000</f>
        <v>0</v>
      </c>
      <c r="W77" s="49">
        <f>累计考核费用!X152/10000</f>
        <v>0</v>
      </c>
      <c r="X77" s="49">
        <f>累计考核费用!Y152/10000</f>
        <v>0</v>
      </c>
      <c r="Y77" s="49">
        <f>累计考核费用!Z152/10000</f>
        <v>0</v>
      </c>
      <c r="Z77" s="49">
        <f>累计考核费用!AA152/10000</f>
        <v>0</v>
      </c>
      <c r="AA77" s="49">
        <f>累计考核费用!AB152/10000</f>
        <v>0</v>
      </c>
      <c r="AB77" s="49">
        <f>累计考核费用!AC152/10000</f>
        <v>0</v>
      </c>
      <c r="AC77" s="49">
        <f>累计考核费用!AD152/10000</f>
        <v>6.2894000000000005E-2</v>
      </c>
      <c r="AD77" s="49">
        <f>累计考核费用!AE152/10000</f>
        <v>0</v>
      </c>
      <c r="AE77" s="49"/>
      <c r="AF77" s="2">
        <f t="shared" si="1"/>
        <v>71.137986999999995</v>
      </c>
    </row>
    <row r="78" spans="1:32" s="2" customFormat="1">
      <c r="A78" s="48" t="s">
        <v>134</v>
      </c>
      <c r="B78" s="49">
        <f>累计考核费用!C153/10000</f>
        <v>59.564434999999996</v>
      </c>
      <c r="C78" s="49">
        <f>累计考核费用!D153/10000</f>
        <v>0</v>
      </c>
      <c r="D78" s="49">
        <f>累计考核费用!E153/10000</f>
        <v>19.328161999999999</v>
      </c>
      <c r="E78" s="49">
        <f>累计考核费用!F153/10000</f>
        <v>37.539394000000001</v>
      </c>
      <c r="F78" s="49">
        <f>累计考核费用!G153/10000</f>
        <v>0.10278499999999999</v>
      </c>
      <c r="G78" s="49">
        <f>累计考核费用!H153/10000</f>
        <v>0.66520800000000002</v>
      </c>
      <c r="H78" s="49">
        <f>累计考核费用!I153/10000</f>
        <v>0</v>
      </c>
      <c r="I78" s="49">
        <f>累计考核费用!J153/10000</f>
        <v>0.44596800000000003</v>
      </c>
      <c r="J78" s="49">
        <f>累计考核费用!K153/10000</f>
        <v>0.21924000000000002</v>
      </c>
      <c r="K78" s="49">
        <f>累计考核费用!L153/10000</f>
        <v>1.0039960000000001</v>
      </c>
      <c r="L78" s="49">
        <f>累计考核费用!M153/10000</f>
        <v>0.23030700000000001</v>
      </c>
      <c r="M78" s="49">
        <f>累计考核费用!N153/10000</f>
        <v>0.21924000000000002</v>
      </c>
      <c r="N78" s="49">
        <f>累计考核费用!O153/10000</f>
        <v>0.33520900000000003</v>
      </c>
      <c r="O78" s="49">
        <f>累计考核费用!P153/10000</f>
        <v>0.21924000000000002</v>
      </c>
      <c r="P78" s="49">
        <f>累计考核费用!Q153/10000</f>
        <v>0.43848000000000004</v>
      </c>
      <c r="Q78" s="49">
        <f>累计考核费用!R153/10000</f>
        <v>0.21924000000000002</v>
      </c>
      <c r="R78" s="49">
        <f>累计考核费用!S153/10000</f>
        <v>0.21924000000000002</v>
      </c>
      <c r="S78" s="49">
        <f>累计考核费用!T153/10000</f>
        <v>0.32958999999999999</v>
      </c>
      <c r="T78" s="49">
        <f>累计考核费用!U153/10000</f>
        <v>0.15682000000000001</v>
      </c>
      <c r="U78" s="49">
        <f>累计考核费用!V153/10000</f>
        <v>1.5667E-2</v>
      </c>
      <c r="V78" s="49">
        <f>累计考核费用!W153/10000</f>
        <v>0.141153</v>
      </c>
      <c r="W78" s="49">
        <f>累计考核费用!X153/10000</f>
        <v>0</v>
      </c>
      <c r="X78" s="49">
        <f>累计考核费用!Y153/10000</f>
        <v>0</v>
      </c>
      <c r="Y78" s="49">
        <f>累计考核费用!Z153/10000</f>
        <v>0</v>
      </c>
      <c r="Z78" s="49">
        <f>累计考核费用!AA153/10000</f>
        <v>0</v>
      </c>
      <c r="AA78" s="49">
        <f>累计考核费用!AB153/10000</f>
        <v>0</v>
      </c>
      <c r="AB78" s="49">
        <f>累计考核费用!AC153/10000</f>
        <v>0</v>
      </c>
      <c r="AC78" s="49">
        <f>累计考核费用!AD153/10000</f>
        <v>0</v>
      </c>
      <c r="AD78" s="49">
        <f>累计考核费用!AE153/10000</f>
        <v>0</v>
      </c>
      <c r="AE78" s="49"/>
      <c r="AF78" s="2">
        <f t="shared" si="1"/>
        <v>19.993369999999999</v>
      </c>
    </row>
    <row r="79" spans="1:32" s="2" customFormat="1">
      <c r="A79" s="48" t="s">
        <v>135</v>
      </c>
      <c r="B79" s="49">
        <f>累计考核费用!C154/10000</f>
        <v>6.1728339999999999</v>
      </c>
      <c r="C79" s="49">
        <f>累计考核费用!D154/10000</f>
        <v>0</v>
      </c>
      <c r="D79" s="49">
        <f>累计考核费用!E154/10000</f>
        <v>3.0660380000000003</v>
      </c>
      <c r="E79" s="49">
        <f>累计考核费用!F154/10000</f>
        <v>0</v>
      </c>
      <c r="F79" s="49">
        <f>累计考核费用!G154/10000</f>
        <v>0</v>
      </c>
      <c r="G79" s="49">
        <f>累计考核费用!H154/10000</f>
        <v>0</v>
      </c>
      <c r="H79" s="49">
        <f>累计考核费用!I154/10000</f>
        <v>0</v>
      </c>
      <c r="I79" s="49">
        <f>累计考核费用!J154/10000</f>
        <v>0</v>
      </c>
      <c r="J79" s="49">
        <f>累计考核费用!K154/10000</f>
        <v>0</v>
      </c>
      <c r="K79" s="49">
        <f>累计考核费用!L154/10000</f>
        <v>0</v>
      </c>
      <c r="L79" s="49">
        <f>累计考核费用!M154/10000</f>
        <v>0</v>
      </c>
      <c r="M79" s="49">
        <f>累计考核费用!N154/10000</f>
        <v>0</v>
      </c>
      <c r="N79" s="49">
        <f>累计考核费用!O154/10000</f>
        <v>0</v>
      </c>
      <c r="O79" s="49">
        <f>累计考核费用!P154/10000</f>
        <v>0</v>
      </c>
      <c r="P79" s="49">
        <f>累计考核费用!Q154/10000</f>
        <v>3.1067960000000001</v>
      </c>
      <c r="Q79" s="49">
        <f>累计考核费用!R154/10000</f>
        <v>0</v>
      </c>
      <c r="R79" s="49">
        <f>累计考核费用!S154/10000</f>
        <v>3.1067960000000001</v>
      </c>
      <c r="S79" s="49">
        <f>累计考核费用!T154/10000</f>
        <v>0</v>
      </c>
      <c r="T79" s="49">
        <f>累计考核费用!U154/10000</f>
        <v>0</v>
      </c>
      <c r="U79" s="49">
        <f>累计考核费用!V154/10000</f>
        <v>0</v>
      </c>
      <c r="V79" s="49">
        <f>累计考核费用!W154/10000</f>
        <v>0</v>
      </c>
      <c r="W79" s="49">
        <f>累计考核费用!X154/10000</f>
        <v>0</v>
      </c>
      <c r="X79" s="49">
        <f>累计考核费用!Y154/10000</f>
        <v>0</v>
      </c>
      <c r="Y79" s="49">
        <f>累计考核费用!Z154/10000</f>
        <v>0</v>
      </c>
      <c r="Z79" s="49">
        <f>累计考核费用!AA154/10000</f>
        <v>0</v>
      </c>
      <c r="AA79" s="49">
        <f>累计考核费用!AB154/10000</f>
        <v>0</v>
      </c>
      <c r="AB79" s="49">
        <f>累计考核费用!AC154/10000</f>
        <v>0</v>
      </c>
      <c r="AC79" s="49">
        <f>累计考核费用!AD154/10000</f>
        <v>0</v>
      </c>
      <c r="AD79" s="49">
        <f>累计考核费用!AE154/10000</f>
        <v>0</v>
      </c>
      <c r="AE79" s="49"/>
      <c r="AF79" s="2">
        <f t="shared" si="1"/>
        <v>3.0660380000000003</v>
      </c>
    </row>
    <row r="80" spans="1:32" s="2" customFormat="1">
      <c r="A80" s="46" t="s">
        <v>98</v>
      </c>
      <c r="B80" s="49">
        <f>累计考核费用!C155/10000</f>
        <v>896.93933900000002</v>
      </c>
      <c r="C80" s="49">
        <f>累计考核费用!D155/10000</f>
        <v>-83.333332999999996</v>
      </c>
      <c r="D80" s="49">
        <f>累计考核费用!E155/10000</f>
        <v>321.48036999999999</v>
      </c>
      <c r="E80" s="49">
        <f>累计考核费用!F155/10000</f>
        <v>415.77689399999997</v>
      </c>
      <c r="F80" s="49">
        <f>累计考核费用!G155/10000</f>
        <v>0.19056599999999999</v>
      </c>
      <c r="G80" s="49">
        <f>累计考核费用!H155/10000</f>
        <v>2.2060379999999999</v>
      </c>
      <c r="H80" s="49">
        <f>累计考核费用!I155/10000</f>
        <v>3.0024000000000002E-2</v>
      </c>
      <c r="I80" s="49">
        <f>累计考核费用!J155/10000</f>
        <v>1.0323530000000001</v>
      </c>
      <c r="J80" s="49">
        <f>累计考核费用!K155/10000</f>
        <v>1.1436609999999998</v>
      </c>
      <c r="K80" s="49">
        <f>累计考核费用!L155/10000</f>
        <v>64.584625999999986</v>
      </c>
      <c r="L80" s="49">
        <f>累计考核费用!M155/10000</f>
        <v>2.4821529999999998</v>
      </c>
      <c r="M80" s="49">
        <f>累计考核费用!N155/10000</f>
        <v>60.562619000000005</v>
      </c>
      <c r="N80" s="49">
        <f>累计考核费用!O155/10000</f>
        <v>0.780914</v>
      </c>
      <c r="O80" s="49">
        <f>累计考核费用!P155/10000</f>
        <v>0.75893999999999995</v>
      </c>
      <c r="P80" s="49">
        <f>累计考核费用!Q155/10000</f>
        <v>5.7887889999999995</v>
      </c>
      <c r="Q80" s="49">
        <f>累计考核费用!R155/10000</f>
        <v>0.66119500000000009</v>
      </c>
      <c r="R80" s="49">
        <f>累计考核费用!S155/10000</f>
        <v>5.1275940000000002</v>
      </c>
      <c r="S80" s="49">
        <f>累计考核费用!T155/10000</f>
        <v>164.30274699999998</v>
      </c>
      <c r="T80" s="49">
        <f>累计考核费用!U155/10000</f>
        <v>2.3511980000000001</v>
      </c>
      <c r="U80" s="49">
        <f>累计考核费用!V155/10000</f>
        <v>0.94892600000000005</v>
      </c>
      <c r="V80" s="49">
        <f>累计考核费用!W155/10000</f>
        <v>0.79368899999999998</v>
      </c>
      <c r="W80" s="49">
        <f>累计考核费用!X155/10000</f>
        <v>0.25678199999999995</v>
      </c>
      <c r="X80" s="49">
        <f>累计考核费用!Y155/10000</f>
        <v>0.14957000000000001</v>
      </c>
      <c r="Y80" s="49">
        <f>累计考核费用!Z155/10000</f>
        <v>0.13319500000000001</v>
      </c>
      <c r="Z80" s="49">
        <f>累计考核费用!AA155/10000</f>
        <v>6.9036E-2</v>
      </c>
      <c r="AA80" s="49">
        <f>累计考核费用!AB155/10000</f>
        <v>0</v>
      </c>
      <c r="AB80" s="49">
        <f>累计考核费用!AC155/10000</f>
        <v>0.109324</v>
      </c>
      <c r="AC80" s="49">
        <f>累计考核费用!AD155/10000</f>
        <v>3.4821199999999997</v>
      </c>
      <c r="AD80" s="49">
        <f>累计考核费用!AE155/10000</f>
        <v>0</v>
      </c>
      <c r="AE80" s="49"/>
      <c r="AF80" s="2">
        <f t="shared" si="1"/>
        <v>323.79573199999999</v>
      </c>
    </row>
    <row r="81" spans="1:32" s="2" customFormat="1">
      <c r="A81" s="46" t="s">
        <v>4</v>
      </c>
      <c r="B81" s="49">
        <f>累计考核费用!C156/10000</f>
        <v>4303.1182840000001</v>
      </c>
      <c r="C81" s="49">
        <f>累计考核费用!D156/10000</f>
        <v>-189.28704700000003</v>
      </c>
      <c r="D81" s="49">
        <f>累计考核费用!E156/10000</f>
        <v>873.34959499999991</v>
      </c>
      <c r="E81" s="49">
        <f>累计考核费用!F156/10000</f>
        <v>2509.1032439999999</v>
      </c>
      <c r="F81" s="49">
        <f>累计考核费用!G156/10000</f>
        <v>28.913694</v>
      </c>
      <c r="G81" s="49">
        <f>累计考核费用!H156/10000</f>
        <v>172.49953500000001</v>
      </c>
      <c r="H81" s="49">
        <f>累计考核费用!I156/10000</f>
        <v>37.474377000000004</v>
      </c>
      <c r="I81" s="49">
        <f>累计考核费用!J156/10000</f>
        <v>27.183183000000003</v>
      </c>
      <c r="J81" s="49">
        <f>累计考核费用!K156/10000</f>
        <v>107.84197500000001</v>
      </c>
      <c r="K81" s="49">
        <f>累计考核费用!L156/10000</f>
        <v>186.57915999999997</v>
      </c>
      <c r="L81" s="49">
        <f>累计考核费用!M156/10000</f>
        <v>25.170711000000001</v>
      </c>
      <c r="M81" s="49">
        <f>累计考核费用!N156/10000</f>
        <v>97.29762700000002</v>
      </c>
      <c r="N81" s="49">
        <f>累计考核费用!O156/10000</f>
        <v>54.057618999999995</v>
      </c>
      <c r="O81" s="49">
        <f>累计考核费用!P156/10000</f>
        <v>10.053203</v>
      </c>
      <c r="P81" s="49">
        <f>累计考核费用!Q156/10000</f>
        <v>26.564071999999996</v>
      </c>
      <c r="Q81" s="49">
        <f>累计考核费用!R156/10000</f>
        <v>-6.679600000000006</v>
      </c>
      <c r="R81" s="49">
        <f>累计考核费用!S156/10000</f>
        <v>33.243672000000004</v>
      </c>
      <c r="S81" s="49">
        <f>累计考核费用!T156/10000</f>
        <v>188.940473</v>
      </c>
      <c r="T81" s="49">
        <f>累计考核费用!U156/10000</f>
        <v>357.63910600000003</v>
      </c>
      <c r="U81" s="49">
        <f>累计考核费用!V156/10000</f>
        <v>119.85572500000002</v>
      </c>
      <c r="V81" s="49">
        <f>累计考核费用!W156/10000</f>
        <v>102.884207</v>
      </c>
      <c r="W81" s="49">
        <f>累计考核费用!X156/10000</f>
        <v>62.041303000000006</v>
      </c>
      <c r="X81" s="49">
        <f>累计考核费用!Y156/10000</f>
        <v>26.775504999999999</v>
      </c>
      <c r="Y81" s="49">
        <f>累计考核费用!Z156/10000</f>
        <v>29.748070999999996</v>
      </c>
      <c r="Z81" s="49">
        <f>累计考核费用!AA156/10000</f>
        <v>16.334295000000001</v>
      </c>
      <c r="AA81" s="49">
        <f>累计考核费用!AB156/10000</f>
        <v>0</v>
      </c>
      <c r="AB81" s="49">
        <f>累计考核费用!AC156/10000</f>
        <v>59.959026000000001</v>
      </c>
      <c r="AC81" s="49">
        <f>累计考核费用!AD156/10000</f>
        <v>88.857426000000004</v>
      </c>
      <c r="AD81" s="49">
        <f>累计考核费用!AE156/10000</f>
        <v>0</v>
      </c>
      <c r="AE81" s="49"/>
      <c r="AF81" s="2">
        <f t="shared" si="1"/>
        <v>1105.8081559999998</v>
      </c>
    </row>
  </sheetData>
  <phoneticPr fontId="3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vt:i4>
      </vt:variant>
    </vt:vector>
  </HeadingPairs>
  <TitlesOfParts>
    <vt:vector size="12" baseType="lpstr">
      <vt:lpstr>累计利润调整表</vt:lpstr>
      <vt:lpstr>累计考核费用</vt:lpstr>
      <vt:lpstr>费用表原始表</vt:lpstr>
      <vt:lpstr>考核调整事项表</vt:lpstr>
      <vt:lpstr>资金</vt:lpstr>
      <vt:lpstr>Sheet2</vt:lpstr>
      <vt:lpstr>Sheet1</vt:lpstr>
      <vt:lpstr>分部报表（费用）</vt:lpstr>
      <vt:lpstr>调整后万元版</vt:lpstr>
      <vt:lpstr>分部报表原始表</vt:lpstr>
      <vt:lpstr>原格式费用考核表</vt:lpstr>
      <vt:lpstr>部门名称</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黎嘉</dc:creator>
  <cp:lastModifiedBy> </cp:lastModifiedBy>
  <cp:lastPrinted>2018-01-04T08:42:00Z</cp:lastPrinted>
  <dcterms:created xsi:type="dcterms:W3CDTF">2015-03-04T01:18:00Z</dcterms:created>
  <dcterms:modified xsi:type="dcterms:W3CDTF">2018-03-08T09:18:30Z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