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6\6月\"/>
    </mc:Choice>
  </mc:AlternateContent>
  <bookViews>
    <workbookView xWindow="0" yWindow="0" windowWidth="28080" windowHeight="12795"/>
  </bookViews>
  <sheets>
    <sheet name="累计利润调整表" sheetId="1" r:id="rId1"/>
    <sheet name="累计考核费用" sheetId="2" r:id="rId2"/>
    <sheet name="考核调整事项表" sheetId="3" r:id="rId3"/>
    <sheet name="调整后万元版" sheetId="4" r:id="rId4"/>
  </sheets>
  <externalReferences>
    <externalReference r:id="rId5"/>
  </externalReferences>
  <definedNames>
    <definedName name="_xlnm._FilterDatabase" localSheetId="2" hidden="1">考核调整事项表!$B$51:$K$62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30" i="1" l="1"/>
  <c r="C90" i="3" l="1"/>
  <c r="E238" i="3"/>
  <c r="E239" i="3"/>
  <c r="C216" i="3"/>
  <c r="C215" i="3"/>
  <c r="C238" i="3"/>
  <c r="C239" i="3"/>
  <c r="D238" i="3"/>
  <c r="D239" i="3"/>
  <c r="D240" i="3"/>
  <c r="C214" i="3"/>
  <c r="E215" i="3"/>
  <c r="E216" i="3"/>
  <c r="E73" i="3"/>
  <c r="D98" i="3"/>
  <c r="D99" i="3"/>
  <c r="D100" i="3"/>
  <c r="D101" i="3"/>
  <c r="C53" i="3"/>
  <c r="C54" i="3"/>
  <c r="E54" i="3"/>
  <c r="C56" i="3"/>
  <c r="C102" i="3"/>
  <c r="E102" i="3"/>
  <c r="C76" i="3"/>
  <c r="E76" i="3"/>
  <c r="C77" i="3"/>
  <c r="E77" i="3"/>
  <c r="C78" i="3"/>
  <c r="C79" i="3"/>
  <c r="E79" i="3"/>
  <c r="C80" i="3"/>
  <c r="E80" i="3"/>
  <c r="C81" i="3"/>
  <c r="E81" i="3"/>
  <c r="C82" i="3"/>
  <c r="E82" i="3"/>
  <c r="C83" i="3"/>
  <c r="E83" i="3"/>
  <c r="C84" i="3"/>
  <c r="C85" i="3"/>
  <c r="E85" i="3"/>
  <c r="C86" i="3"/>
  <c r="E86" i="3"/>
  <c r="C87" i="3"/>
  <c r="E87" i="3"/>
  <c r="C88" i="3"/>
  <c r="E88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8" i="3"/>
  <c r="C101" i="3"/>
  <c r="E101" i="3"/>
  <c r="C103" i="3"/>
  <c r="C104" i="3"/>
  <c r="E104" i="3"/>
  <c r="C105" i="3"/>
  <c r="E105" i="3"/>
  <c r="C106" i="3"/>
  <c r="E106" i="3"/>
  <c r="C107" i="3"/>
  <c r="C108" i="3"/>
  <c r="E108" i="3"/>
  <c r="C109" i="3"/>
  <c r="E109" i="3"/>
  <c r="C110" i="3"/>
  <c r="E110" i="3"/>
  <c r="C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272" i="3"/>
  <c r="C274" i="3"/>
  <c r="C275" i="3"/>
  <c r="E275" i="3"/>
  <c r="C169" i="3"/>
  <c r="C218" i="3"/>
  <c r="C194" i="3"/>
  <c r="E194" i="3"/>
  <c r="C219" i="3"/>
  <c r="C220" i="3"/>
  <c r="C221" i="3"/>
  <c r="C197" i="3"/>
  <c r="E197" i="3"/>
  <c r="C222" i="3"/>
  <c r="C198" i="3"/>
  <c r="E198" i="3"/>
  <c r="C223" i="3"/>
  <c r="C224" i="3"/>
  <c r="C225" i="3"/>
  <c r="C201" i="3"/>
  <c r="E201" i="3"/>
  <c r="C226" i="3"/>
  <c r="C202" i="3"/>
  <c r="E202" i="3"/>
  <c r="C227" i="3"/>
  <c r="C228" i="3"/>
  <c r="C229" i="3"/>
  <c r="C205" i="3"/>
  <c r="E205" i="3"/>
  <c r="C230" i="3"/>
  <c r="C206" i="3"/>
  <c r="E206" i="3"/>
  <c r="C231" i="3"/>
  <c r="C232" i="3"/>
  <c r="C233" i="3"/>
  <c r="C209" i="3"/>
  <c r="E209" i="3"/>
  <c r="C234" i="3"/>
  <c r="C210" i="3"/>
  <c r="E210" i="3"/>
  <c r="C236" i="3"/>
  <c r="C212" i="3"/>
  <c r="E212" i="3"/>
  <c r="C237" i="3"/>
  <c r="E237" i="3"/>
  <c r="E214" i="3"/>
  <c r="C235" i="3"/>
  <c r="E235" i="3"/>
  <c r="C250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44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67" i="3"/>
  <c r="E52" i="3"/>
  <c r="E55" i="3"/>
  <c r="E174" i="3"/>
  <c r="J41" i="1"/>
  <c r="J72" i="1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4" i="3"/>
  <c r="E84" i="3"/>
  <c r="E89" i="3"/>
  <c r="E98" i="3"/>
  <c r="E103" i="3"/>
  <c r="E107" i="3"/>
  <c r="E111" i="3"/>
  <c r="E112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9" i="3"/>
  <c r="E150" i="3"/>
  <c r="E151" i="3"/>
  <c r="E152" i="3"/>
  <c r="E153" i="3"/>
  <c r="E154" i="3"/>
  <c r="E155" i="3"/>
  <c r="E170" i="3"/>
  <c r="E171" i="3"/>
  <c r="E172" i="3"/>
  <c r="E173" i="3"/>
  <c r="E175" i="3"/>
  <c r="E176" i="3"/>
  <c r="E177" i="3"/>
  <c r="E178" i="3"/>
  <c r="E179" i="3"/>
  <c r="N36" i="1"/>
  <c r="E180" i="3"/>
  <c r="E181" i="3"/>
  <c r="E182" i="3"/>
  <c r="E183" i="3"/>
  <c r="C35" i="1"/>
  <c r="C66" i="1"/>
  <c r="E184" i="3"/>
  <c r="E185" i="3"/>
  <c r="E186" i="3"/>
  <c r="E187" i="3"/>
  <c r="E188" i="3"/>
  <c r="E189" i="3"/>
  <c r="E190" i="3"/>
  <c r="E191" i="3"/>
  <c r="E192" i="3"/>
  <c r="E211" i="3"/>
  <c r="E233" i="3"/>
  <c r="E236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9" i="3"/>
  <c r="E260" i="3"/>
  <c r="E261" i="3"/>
  <c r="E272" i="3"/>
  <c r="E273" i="3"/>
  <c r="E274" i="3"/>
  <c r="E276" i="3"/>
  <c r="E277" i="3"/>
  <c r="E278" i="3"/>
  <c r="E279" i="3"/>
  <c r="F76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8" i="3"/>
  <c r="F99" i="3"/>
  <c r="F100" i="3"/>
  <c r="F101" i="3"/>
  <c r="F102" i="3"/>
  <c r="F103" i="3"/>
  <c r="F104" i="3"/>
  <c r="F105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44" i="3"/>
  <c r="F194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8" i="3"/>
  <c r="F219" i="3"/>
  <c r="F220" i="3"/>
  <c r="F221" i="3"/>
  <c r="F222" i="3"/>
  <c r="F223" i="3"/>
  <c r="F224" i="3"/>
  <c r="F225" i="3"/>
  <c r="F227" i="3"/>
  <c r="F228" i="3"/>
  <c r="F229" i="3"/>
  <c r="F230" i="3"/>
  <c r="F231" i="3"/>
  <c r="F232" i="3"/>
  <c r="F233" i="3"/>
  <c r="F234" i="3"/>
  <c r="F235" i="3"/>
  <c r="F236" i="3"/>
  <c r="F237" i="3"/>
  <c r="F267" i="3"/>
  <c r="G29" i="1"/>
  <c r="B29" i="4"/>
  <c r="H29" i="1"/>
  <c r="B55" i="1"/>
  <c r="B58" i="1"/>
  <c r="C258" i="3"/>
  <c r="C53" i="1"/>
  <c r="C84" i="1"/>
  <c r="C23" i="4"/>
  <c r="R32" i="1"/>
  <c r="S32" i="4"/>
  <c r="F55" i="1"/>
  <c r="F58" i="1"/>
  <c r="E59" i="1"/>
  <c r="M55" i="1"/>
  <c r="M86" i="1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58" i="4"/>
  <c r="Z58" i="4"/>
  <c r="Y59" i="4"/>
  <c r="Z59" i="4"/>
  <c r="Y60" i="4"/>
  <c r="Z60" i="4"/>
  <c r="Y61" i="4"/>
  <c r="Z61" i="4"/>
  <c r="Y62" i="4"/>
  <c r="Z62" i="4"/>
  <c r="Y63" i="4"/>
  <c r="Z63" i="4"/>
  <c r="Y64" i="4"/>
  <c r="Z64" i="4"/>
  <c r="Y65" i="4"/>
  <c r="Z65" i="4"/>
  <c r="Y66" i="4"/>
  <c r="Z66" i="4"/>
  <c r="Y67" i="4"/>
  <c r="Z67" i="4"/>
  <c r="Y68" i="4"/>
  <c r="Z68" i="4"/>
  <c r="Y69" i="4"/>
  <c r="Z69" i="4"/>
  <c r="Y70" i="4"/>
  <c r="Z70" i="4"/>
  <c r="Y71" i="4"/>
  <c r="Z71" i="4"/>
  <c r="Y72" i="4"/>
  <c r="Z72" i="4"/>
  <c r="Y73" i="4"/>
  <c r="Z73" i="4"/>
  <c r="Y74" i="4"/>
  <c r="Z74" i="4"/>
  <c r="Y75" i="4"/>
  <c r="Z75" i="4"/>
  <c r="Y76" i="4"/>
  <c r="Z76" i="4"/>
  <c r="Y77" i="4"/>
  <c r="Z77" i="4"/>
  <c r="Y78" i="4"/>
  <c r="Z78" i="4"/>
  <c r="Y79" i="4"/>
  <c r="Z79" i="4"/>
  <c r="Y80" i="4"/>
  <c r="Z80" i="4"/>
  <c r="Y81" i="4"/>
  <c r="Z8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B10" i="4"/>
  <c r="B27" i="4"/>
  <c r="E42" i="1"/>
  <c r="E73" i="1"/>
  <c r="C55" i="1"/>
  <c r="D55" i="1"/>
  <c r="E55" i="1"/>
  <c r="E86" i="1"/>
  <c r="G55" i="1"/>
  <c r="H55" i="1"/>
  <c r="I55" i="1"/>
  <c r="J55" i="1"/>
  <c r="J86" i="1"/>
  <c r="K55" i="1"/>
  <c r="L55" i="1"/>
  <c r="N55" i="1"/>
  <c r="O55" i="1"/>
  <c r="P55" i="1"/>
  <c r="Q55" i="1"/>
  <c r="R55" i="1"/>
  <c r="S55" i="1"/>
  <c r="S86" i="1"/>
  <c r="T55" i="1"/>
  <c r="U55" i="1"/>
  <c r="V55" i="1"/>
  <c r="W55" i="1"/>
  <c r="W86" i="1"/>
  <c r="X55" i="1"/>
  <c r="C51" i="1"/>
  <c r="C37" i="1"/>
  <c r="Y55" i="1"/>
  <c r="Y86" i="1"/>
  <c r="W41" i="1"/>
  <c r="V41" i="1"/>
  <c r="U41" i="1"/>
  <c r="U72" i="1"/>
  <c r="S41" i="1"/>
  <c r="R41" i="1"/>
  <c r="Q41" i="1"/>
  <c r="Q72" i="1"/>
  <c r="P41" i="1"/>
  <c r="P72" i="1"/>
  <c r="K41" i="1"/>
  <c r="L41" i="1"/>
  <c r="I42" i="1"/>
  <c r="I73" i="1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Z3" i="2"/>
  <c r="Y3" i="2"/>
  <c r="Y58" i="2"/>
  <c r="X3" i="2"/>
  <c r="X61" i="2"/>
  <c r="X113" i="2"/>
  <c r="X38" i="4"/>
  <c r="W3" i="2"/>
  <c r="W81" i="2"/>
  <c r="W133" i="2"/>
  <c r="W58" i="4"/>
  <c r="V3" i="2"/>
  <c r="V80" i="2"/>
  <c r="U3" i="2"/>
  <c r="T3" i="2"/>
  <c r="T61" i="2"/>
  <c r="T113" i="2"/>
  <c r="S3" i="2"/>
  <c r="S60" i="2"/>
  <c r="S112" i="2"/>
  <c r="R3" i="2"/>
  <c r="R76" i="2"/>
  <c r="R128" i="2"/>
  <c r="R53" i="4"/>
  <c r="Q3" i="2"/>
  <c r="Q71" i="2"/>
  <c r="P3" i="2"/>
  <c r="O3" i="2"/>
  <c r="O88" i="2"/>
  <c r="O140" i="2"/>
  <c r="N3" i="2"/>
  <c r="N72" i="2"/>
  <c r="M3" i="2"/>
  <c r="M83" i="2"/>
  <c r="M135" i="2"/>
  <c r="M60" i="4"/>
  <c r="L3" i="2"/>
  <c r="L61" i="2"/>
  <c r="K3" i="2"/>
  <c r="K101" i="2"/>
  <c r="K153" i="2"/>
  <c r="K78" i="4"/>
  <c r="J3" i="2"/>
  <c r="I3" i="2"/>
  <c r="I60" i="2"/>
  <c r="I112" i="2"/>
  <c r="I37" i="4"/>
  <c r="H3" i="2"/>
  <c r="G3" i="2"/>
  <c r="G62" i="2"/>
  <c r="F3" i="2"/>
  <c r="F87" i="2"/>
  <c r="F139" i="2"/>
  <c r="F64" i="4"/>
  <c r="E3" i="2"/>
  <c r="E62" i="2"/>
  <c r="D3" i="2"/>
  <c r="D66" i="2"/>
  <c r="D118" i="2"/>
  <c r="D43" i="4"/>
  <c r="C3" i="2"/>
  <c r="Y89" i="1"/>
  <c r="Y28" i="4"/>
  <c r="X89" i="1"/>
  <c r="X28" i="4"/>
  <c r="Y25" i="4"/>
  <c r="X86" i="1"/>
  <c r="X25" i="4"/>
  <c r="Y84" i="1"/>
  <c r="Y23" i="4"/>
  <c r="X84" i="1"/>
  <c r="X23" i="4"/>
  <c r="Y82" i="1"/>
  <c r="Y21" i="4"/>
  <c r="X82" i="1"/>
  <c r="X21" i="4"/>
  <c r="Y81" i="1"/>
  <c r="Y20" i="4"/>
  <c r="X81" i="1"/>
  <c r="X20" i="4"/>
  <c r="Y79" i="1"/>
  <c r="Y18" i="4"/>
  <c r="X79" i="1"/>
  <c r="X18" i="4"/>
  <c r="Y78" i="1"/>
  <c r="Y17" i="4"/>
  <c r="X78" i="1"/>
  <c r="X17" i="4"/>
  <c r="Y77" i="1"/>
  <c r="Y16" i="4"/>
  <c r="X77" i="1"/>
  <c r="Y76" i="1"/>
  <c r="Y15" i="4"/>
  <c r="X76" i="1"/>
  <c r="X15" i="4"/>
  <c r="Y74" i="1"/>
  <c r="Y13" i="4"/>
  <c r="X74" i="1"/>
  <c r="X13" i="4"/>
  <c r="Y73" i="1"/>
  <c r="Y12" i="4"/>
  <c r="X73" i="1"/>
  <c r="X12" i="4"/>
  <c r="Y72" i="1"/>
  <c r="Y11" i="4"/>
  <c r="Y70" i="1"/>
  <c r="Y9" i="4"/>
  <c r="X70" i="1"/>
  <c r="X9" i="4"/>
  <c r="Y69" i="1"/>
  <c r="Y8" i="4"/>
  <c r="X69" i="1"/>
  <c r="X8" i="4"/>
  <c r="Y68" i="1"/>
  <c r="Y7" i="4"/>
  <c r="X68" i="1"/>
  <c r="X7" i="4"/>
  <c r="Y67" i="1"/>
  <c r="Y6" i="4"/>
  <c r="X67" i="1"/>
  <c r="X6" i="4"/>
  <c r="Y66" i="1"/>
  <c r="Y5" i="4"/>
  <c r="X66" i="1"/>
  <c r="X5" i="4"/>
  <c r="Y65" i="1"/>
  <c r="Y4" i="4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/>
  <c r="W28" i="4"/>
  <c r="V59" i="1"/>
  <c r="U59" i="1"/>
  <c r="U89" i="1"/>
  <c r="U28" i="4"/>
  <c r="S59" i="1"/>
  <c r="S89" i="1"/>
  <c r="S28" i="4"/>
  <c r="R59" i="1"/>
  <c r="R89" i="1"/>
  <c r="R28" i="4"/>
  <c r="Q59" i="1"/>
  <c r="Q89" i="1"/>
  <c r="Q28" i="4"/>
  <c r="P59" i="1"/>
  <c r="N59" i="1"/>
  <c r="N89" i="1"/>
  <c r="N28" i="4"/>
  <c r="M59" i="1"/>
  <c r="M89" i="1"/>
  <c r="M28" i="4"/>
  <c r="L59" i="1"/>
  <c r="L89" i="1"/>
  <c r="L28" i="4"/>
  <c r="K59" i="1"/>
  <c r="K89" i="1"/>
  <c r="K28" i="4"/>
  <c r="J59" i="1"/>
  <c r="J89" i="1"/>
  <c r="J28" i="4"/>
  <c r="I59" i="1"/>
  <c r="I89" i="1"/>
  <c r="I28" i="4"/>
  <c r="H59" i="1"/>
  <c r="F59" i="1"/>
  <c r="F89" i="1"/>
  <c r="F28" i="4"/>
  <c r="E89" i="1"/>
  <c r="E28" i="4"/>
  <c r="D59" i="1"/>
  <c r="D89" i="1"/>
  <c r="D28" i="4"/>
  <c r="C59" i="1"/>
  <c r="C89" i="1"/>
  <c r="C28" i="4"/>
  <c r="Y58" i="1"/>
  <c r="X58" i="1"/>
  <c r="X41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C156" i="3"/>
  <c r="D58" i="1"/>
  <c r="C58" i="1"/>
  <c r="W25" i="4"/>
  <c r="V86" i="1"/>
  <c r="V25" i="4"/>
  <c r="U86" i="1"/>
  <c r="U25" i="4"/>
  <c r="S25" i="4"/>
  <c r="R86" i="1"/>
  <c r="R25" i="4"/>
  <c r="Q86" i="1"/>
  <c r="Q25" i="4"/>
  <c r="P86" i="1"/>
  <c r="P25" i="4"/>
  <c r="N86" i="1"/>
  <c r="N25" i="4"/>
  <c r="L86" i="1"/>
  <c r="L25" i="4"/>
  <c r="K86" i="1"/>
  <c r="K25" i="4"/>
  <c r="J25" i="4"/>
  <c r="H86" i="1"/>
  <c r="H25" i="4"/>
  <c r="E25" i="4"/>
  <c r="D86" i="1"/>
  <c r="D25" i="4"/>
  <c r="C86" i="1"/>
  <c r="C25" i="4"/>
  <c r="W53" i="1"/>
  <c r="W84" i="1"/>
  <c r="W23" i="4"/>
  <c r="V53" i="1"/>
  <c r="V84" i="1"/>
  <c r="V23" i="4"/>
  <c r="U53" i="1"/>
  <c r="S53" i="1"/>
  <c r="S84" i="1"/>
  <c r="S23" i="4"/>
  <c r="R53" i="1"/>
  <c r="R84" i="1"/>
  <c r="R23" i="4"/>
  <c r="Q53" i="1"/>
  <c r="Q84" i="1"/>
  <c r="Q23" i="4"/>
  <c r="P53" i="1"/>
  <c r="P84" i="1"/>
  <c r="P23" i="4"/>
  <c r="N53" i="1"/>
  <c r="N84" i="1"/>
  <c r="N23" i="4"/>
  <c r="M53" i="1"/>
  <c r="M84" i="1"/>
  <c r="M23" i="4"/>
  <c r="L53" i="1"/>
  <c r="K53" i="1"/>
  <c r="K84" i="1"/>
  <c r="K23" i="4"/>
  <c r="J53" i="1"/>
  <c r="J84" i="1"/>
  <c r="J23" i="4"/>
  <c r="I53" i="1"/>
  <c r="I84" i="1"/>
  <c r="I23" i="4"/>
  <c r="H53" i="1"/>
  <c r="H84" i="1"/>
  <c r="H23" i="4"/>
  <c r="F53" i="1"/>
  <c r="F84" i="1"/>
  <c r="F23" i="4"/>
  <c r="E53" i="1"/>
  <c r="E84" i="1"/>
  <c r="E23" i="4"/>
  <c r="D53" i="1"/>
  <c r="W51" i="1"/>
  <c r="W82" i="1"/>
  <c r="W21" i="4"/>
  <c r="V51" i="1"/>
  <c r="V82" i="1"/>
  <c r="V21" i="4"/>
  <c r="U51" i="1"/>
  <c r="U82" i="1"/>
  <c r="U21" i="4"/>
  <c r="S51" i="1"/>
  <c r="S82" i="1"/>
  <c r="S21" i="4"/>
  <c r="R51" i="1"/>
  <c r="R82" i="1"/>
  <c r="R21" i="4"/>
  <c r="Q51" i="1"/>
  <c r="P51" i="1"/>
  <c r="P82" i="1"/>
  <c r="P21" i="4"/>
  <c r="N51" i="1"/>
  <c r="N82" i="1"/>
  <c r="N21" i="4"/>
  <c r="M51" i="1"/>
  <c r="M82" i="1"/>
  <c r="M21" i="4"/>
  <c r="L51" i="1"/>
  <c r="L82" i="1"/>
  <c r="L21" i="4"/>
  <c r="K51" i="1"/>
  <c r="K82" i="1"/>
  <c r="K21" i="4"/>
  <c r="J51" i="1"/>
  <c r="J82" i="1"/>
  <c r="J21" i="4"/>
  <c r="I51" i="1"/>
  <c r="I82" i="1"/>
  <c r="I21" i="4"/>
  <c r="H51" i="1"/>
  <c r="H82" i="1"/>
  <c r="H21" i="4"/>
  <c r="F51" i="1"/>
  <c r="F82" i="1"/>
  <c r="F21" i="4"/>
  <c r="E51" i="1"/>
  <c r="E82" i="1"/>
  <c r="E21" i="4"/>
  <c r="D51" i="1"/>
  <c r="D82" i="1"/>
  <c r="D21" i="4"/>
  <c r="C82" i="1"/>
  <c r="C21" i="4"/>
  <c r="W50" i="1"/>
  <c r="W81" i="1"/>
  <c r="W20" i="4"/>
  <c r="V50" i="1"/>
  <c r="V81" i="1"/>
  <c r="V20" i="4"/>
  <c r="U50" i="1"/>
  <c r="S50" i="1"/>
  <c r="S81" i="1"/>
  <c r="S20" i="4"/>
  <c r="R50" i="1"/>
  <c r="R81" i="1"/>
  <c r="R20" i="4"/>
  <c r="Q50" i="1"/>
  <c r="Q81" i="1"/>
  <c r="Q20" i="4"/>
  <c r="P50" i="1"/>
  <c r="P81" i="1"/>
  <c r="P20" i="4"/>
  <c r="N50" i="1"/>
  <c r="N81" i="1"/>
  <c r="N20" i="4"/>
  <c r="M50" i="1"/>
  <c r="M81" i="1"/>
  <c r="M20" i="4"/>
  <c r="L50" i="1"/>
  <c r="L81" i="1"/>
  <c r="L20" i="4"/>
  <c r="K50" i="1"/>
  <c r="K81" i="1"/>
  <c r="K20" i="4"/>
  <c r="J50" i="1"/>
  <c r="J81" i="1"/>
  <c r="J20" i="4"/>
  <c r="I50" i="1"/>
  <c r="H50" i="1"/>
  <c r="H81" i="1"/>
  <c r="H20" i="4"/>
  <c r="F50" i="1"/>
  <c r="F81" i="1"/>
  <c r="F20" i="4"/>
  <c r="E50" i="1"/>
  <c r="E81" i="1"/>
  <c r="E20" i="4"/>
  <c r="D50" i="1"/>
  <c r="D81" i="1"/>
  <c r="D20" i="4"/>
  <c r="C50" i="1"/>
  <c r="C81" i="1"/>
  <c r="C20" i="4"/>
  <c r="W48" i="1"/>
  <c r="W79" i="1"/>
  <c r="W18" i="4"/>
  <c r="V48" i="1"/>
  <c r="V79" i="1"/>
  <c r="V18" i="4"/>
  <c r="U48" i="1"/>
  <c r="U79" i="1"/>
  <c r="U18" i="4"/>
  <c r="S48" i="1"/>
  <c r="S79" i="1"/>
  <c r="S18" i="4"/>
  <c r="R48" i="1"/>
  <c r="R79" i="1"/>
  <c r="R18" i="4"/>
  <c r="Q48" i="1"/>
  <c r="Q79" i="1"/>
  <c r="Q18" i="4"/>
  <c r="P48" i="1"/>
  <c r="P79" i="1"/>
  <c r="P18" i="4"/>
  <c r="N48" i="1"/>
  <c r="N79" i="1"/>
  <c r="N18" i="4"/>
  <c r="M48" i="1"/>
  <c r="M79" i="1"/>
  <c r="M18" i="4"/>
  <c r="L48" i="1"/>
  <c r="L79" i="1"/>
  <c r="L18" i="4"/>
  <c r="K48" i="1"/>
  <c r="K79" i="1"/>
  <c r="K18" i="4"/>
  <c r="J48" i="1"/>
  <c r="J79" i="1"/>
  <c r="J18" i="4"/>
  <c r="I48" i="1"/>
  <c r="I79" i="1"/>
  <c r="I18" i="4"/>
  <c r="H48" i="1"/>
  <c r="H79" i="1"/>
  <c r="H18" i="4"/>
  <c r="F48" i="1"/>
  <c r="F79" i="1"/>
  <c r="F18" i="4"/>
  <c r="E48" i="1"/>
  <c r="E79" i="1"/>
  <c r="E18" i="4"/>
  <c r="D48" i="1"/>
  <c r="D79" i="1"/>
  <c r="D18" i="4"/>
  <c r="C48" i="1"/>
  <c r="C79" i="1"/>
  <c r="C18" i="4"/>
  <c r="W47" i="1"/>
  <c r="W78" i="1"/>
  <c r="W17" i="4"/>
  <c r="V47" i="1"/>
  <c r="V78" i="1"/>
  <c r="V17" i="4"/>
  <c r="U47" i="1"/>
  <c r="U78" i="1"/>
  <c r="S47" i="1"/>
  <c r="S78" i="1"/>
  <c r="S17" i="4"/>
  <c r="R47" i="1"/>
  <c r="R78" i="1"/>
  <c r="R17" i="4"/>
  <c r="Q47" i="1"/>
  <c r="Q78" i="1"/>
  <c r="Q17" i="4"/>
  <c r="P47" i="1"/>
  <c r="P78" i="1"/>
  <c r="P17" i="4"/>
  <c r="N47" i="1"/>
  <c r="N78" i="1"/>
  <c r="N17" i="4"/>
  <c r="M47" i="1"/>
  <c r="M78" i="1"/>
  <c r="M17" i="4"/>
  <c r="L47" i="1"/>
  <c r="L78" i="1"/>
  <c r="L17" i="4"/>
  <c r="K47" i="1"/>
  <c r="K78" i="1"/>
  <c r="K17" i="4"/>
  <c r="J47" i="1"/>
  <c r="J78" i="1"/>
  <c r="J17" i="4"/>
  <c r="I47" i="1"/>
  <c r="I78" i="1"/>
  <c r="I17" i="4"/>
  <c r="H47" i="1"/>
  <c r="H78" i="1"/>
  <c r="H17" i="4"/>
  <c r="F47" i="1"/>
  <c r="F78" i="1"/>
  <c r="F17" i="4"/>
  <c r="E47" i="1"/>
  <c r="E78" i="1"/>
  <c r="E17" i="4"/>
  <c r="D47" i="1"/>
  <c r="D78" i="1"/>
  <c r="D17" i="4"/>
  <c r="C47" i="1"/>
  <c r="C78" i="1"/>
  <c r="C17" i="4"/>
  <c r="Y44" i="1"/>
  <c r="X44" i="1"/>
  <c r="W43" i="1"/>
  <c r="W74" i="1"/>
  <c r="W13" i="4"/>
  <c r="V43" i="1"/>
  <c r="V74" i="1"/>
  <c r="V13" i="4"/>
  <c r="U43" i="1"/>
  <c r="U74" i="1"/>
  <c r="U13" i="4"/>
  <c r="S43" i="1"/>
  <c r="S74" i="1"/>
  <c r="S13" i="4"/>
  <c r="R43" i="1"/>
  <c r="R74" i="1"/>
  <c r="R13" i="4"/>
  <c r="Q43" i="1"/>
  <c r="Q74" i="1"/>
  <c r="Q13" i="4"/>
  <c r="P43" i="1"/>
  <c r="P74" i="1"/>
  <c r="P13" i="4"/>
  <c r="N43" i="1"/>
  <c r="N74" i="1"/>
  <c r="N13" i="4"/>
  <c r="M43" i="1"/>
  <c r="M74" i="1"/>
  <c r="M13" i="4"/>
  <c r="L43" i="1"/>
  <c r="L74" i="1"/>
  <c r="L13" i="4"/>
  <c r="K43" i="1"/>
  <c r="K74" i="1"/>
  <c r="K13" i="4"/>
  <c r="J43" i="1"/>
  <c r="I43" i="1"/>
  <c r="I74" i="1"/>
  <c r="I13" i="4"/>
  <c r="H43" i="1"/>
  <c r="H74" i="1"/>
  <c r="H13" i="4"/>
  <c r="F43" i="1"/>
  <c r="F74" i="1"/>
  <c r="F13" i="4"/>
  <c r="E43" i="1"/>
  <c r="E74" i="1"/>
  <c r="E13" i="4"/>
  <c r="D43" i="1"/>
  <c r="D74" i="1"/>
  <c r="D13" i="4"/>
  <c r="C43" i="1"/>
  <c r="C74" i="1"/>
  <c r="C13" i="4"/>
  <c r="W42" i="1"/>
  <c r="W73" i="1"/>
  <c r="W12" i="4"/>
  <c r="V42" i="1"/>
  <c r="V73" i="1"/>
  <c r="V12" i="4"/>
  <c r="U42" i="1"/>
  <c r="S42" i="1"/>
  <c r="S73" i="1"/>
  <c r="S12" i="4"/>
  <c r="R42" i="1"/>
  <c r="R73" i="1"/>
  <c r="R12" i="4"/>
  <c r="Q42" i="1"/>
  <c r="Q73" i="1"/>
  <c r="Q12" i="4"/>
  <c r="P42" i="1"/>
  <c r="P73" i="1"/>
  <c r="P12" i="4"/>
  <c r="N42" i="1"/>
  <c r="N73" i="1"/>
  <c r="N12" i="4"/>
  <c r="M42" i="1"/>
  <c r="M73" i="1"/>
  <c r="M12" i="4"/>
  <c r="L42" i="1"/>
  <c r="L73" i="1"/>
  <c r="L12" i="4"/>
  <c r="K42" i="1"/>
  <c r="K73" i="1"/>
  <c r="K12" i="4"/>
  <c r="J42" i="1"/>
  <c r="J73" i="1"/>
  <c r="J12" i="4"/>
  <c r="I12" i="4"/>
  <c r="H42" i="1"/>
  <c r="H73" i="1"/>
  <c r="H12" i="4"/>
  <c r="F42" i="1"/>
  <c r="F73" i="1"/>
  <c r="F12" i="4"/>
  <c r="E12" i="4"/>
  <c r="D42" i="1"/>
  <c r="D73" i="1"/>
  <c r="D12" i="4"/>
  <c r="C42" i="1"/>
  <c r="C73" i="1"/>
  <c r="C12" i="4"/>
  <c r="W72" i="1"/>
  <c r="W11" i="4"/>
  <c r="U11" i="4"/>
  <c r="S72" i="1"/>
  <c r="S11" i="4"/>
  <c r="R72" i="1"/>
  <c r="R11" i="4"/>
  <c r="Q11" i="4"/>
  <c r="L72" i="1"/>
  <c r="L11" i="4"/>
  <c r="K72" i="1"/>
  <c r="K11" i="4"/>
  <c r="W40" i="1"/>
  <c r="V40" i="1"/>
  <c r="U40" i="1"/>
  <c r="S40" i="1"/>
  <c r="R40" i="1"/>
  <c r="Q40" i="1"/>
  <c r="P40" i="1"/>
  <c r="N40" i="1"/>
  <c r="M40" i="1"/>
  <c r="L40" i="1"/>
  <c r="K40" i="1"/>
  <c r="J40" i="1"/>
  <c r="I40" i="1"/>
  <c r="H40" i="1"/>
  <c r="F40" i="1"/>
  <c r="E40" i="1"/>
  <c r="D40" i="1"/>
  <c r="C40" i="1"/>
  <c r="W39" i="1"/>
  <c r="W70" i="1"/>
  <c r="W9" i="4"/>
  <c r="V39" i="1"/>
  <c r="V70" i="1"/>
  <c r="V9" i="4"/>
  <c r="U39" i="1"/>
  <c r="S39" i="1"/>
  <c r="S70" i="1"/>
  <c r="S9" i="4"/>
  <c r="R39" i="1"/>
  <c r="R70" i="1"/>
  <c r="R9" i="4"/>
  <c r="Q39" i="1"/>
  <c r="Q70" i="1"/>
  <c r="Q9" i="4"/>
  <c r="P39" i="1"/>
  <c r="P70" i="1"/>
  <c r="P9" i="4"/>
  <c r="N39" i="1"/>
  <c r="N70" i="1"/>
  <c r="N9" i="4"/>
  <c r="M39" i="1"/>
  <c r="M70" i="1"/>
  <c r="M9" i="4"/>
  <c r="L39" i="1"/>
  <c r="L70" i="1"/>
  <c r="L9" i="4"/>
  <c r="K39" i="1"/>
  <c r="K70" i="1"/>
  <c r="K9" i="4"/>
  <c r="J39" i="1"/>
  <c r="J70" i="1"/>
  <c r="J9" i="4"/>
  <c r="I39" i="1"/>
  <c r="I70" i="1"/>
  <c r="I9" i="4"/>
  <c r="F39" i="1"/>
  <c r="F70" i="1"/>
  <c r="F9" i="4"/>
  <c r="E39" i="1"/>
  <c r="E70" i="1"/>
  <c r="E9" i="4"/>
  <c r="W38" i="1"/>
  <c r="W69" i="1"/>
  <c r="W8" i="4"/>
  <c r="V38" i="1"/>
  <c r="V69" i="1"/>
  <c r="V8" i="4"/>
  <c r="U38" i="1"/>
  <c r="U69" i="1"/>
  <c r="U8" i="4"/>
  <c r="S38" i="1"/>
  <c r="S69" i="1"/>
  <c r="S8" i="4"/>
  <c r="R38" i="1"/>
  <c r="R69" i="1"/>
  <c r="R8" i="4"/>
  <c r="Q38" i="1"/>
  <c r="Q69" i="1"/>
  <c r="Q8" i="4"/>
  <c r="P38" i="1"/>
  <c r="P69" i="1"/>
  <c r="P8" i="4"/>
  <c r="N38" i="1"/>
  <c r="N69" i="1"/>
  <c r="N8" i="4"/>
  <c r="M38" i="1"/>
  <c r="M69" i="1"/>
  <c r="M8" i="4"/>
  <c r="L38" i="1"/>
  <c r="L69" i="1"/>
  <c r="L8" i="4"/>
  <c r="K38" i="1"/>
  <c r="K69" i="1"/>
  <c r="K8" i="4"/>
  <c r="J38" i="1"/>
  <c r="J69" i="1"/>
  <c r="J8" i="4"/>
  <c r="F38" i="1"/>
  <c r="F69" i="1"/>
  <c r="F8" i="4"/>
  <c r="E38" i="1"/>
  <c r="E69" i="1"/>
  <c r="E8" i="4"/>
  <c r="C38" i="1"/>
  <c r="C69" i="1"/>
  <c r="C8" i="4"/>
  <c r="W37" i="1"/>
  <c r="W68" i="1"/>
  <c r="W7" i="4"/>
  <c r="V37" i="1"/>
  <c r="V68" i="1"/>
  <c r="V7" i="4"/>
  <c r="U37" i="1"/>
  <c r="S37" i="1"/>
  <c r="S68" i="1"/>
  <c r="S7" i="4"/>
  <c r="R37" i="1"/>
  <c r="Q37" i="1"/>
  <c r="Q68" i="1"/>
  <c r="Q7" i="4"/>
  <c r="P37" i="1"/>
  <c r="N37" i="1"/>
  <c r="N68" i="1"/>
  <c r="N7" i="4"/>
  <c r="M37" i="1"/>
  <c r="M68" i="1"/>
  <c r="M7" i="4"/>
  <c r="L37" i="1"/>
  <c r="L68" i="1"/>
  <c r="L7" i="4"/>
  <c r="K37" i="1"/>
  <c r="K68" i="1"/>
  <c r="K7" i="4"/>
  <c r="J37" i="1"/>
  <c r="I37" i="1"/>
  <c r="I68" i="1"/>
  <c r="I7" i="4"/>
  <c r="H37" i="1"/>
  <c r="F37" i="1"/>
  <c r="E37" i="1"/>
  <c r="E68" i="1"/>
  <c r="E7" i="4"/>
  <c r="D37" i="1"/>
  <c r="C68" i="1"/>
  <c r="C7" i="4"/>
  <c r="W36" i="1"/>
  <c r="W67" i="1"/>
  <c r="W6" i="4"/>
  <c r="V36" i="1"/>
  <c r="V67" i="1"/>
  <c r="V6" i="4"/>
  <c r="U36" i="1"/>
  <c r="S36" i="1"/>
  <c r="S67" i="1"/>
  <c r="S6" i="4"/>
  <c r="R36" i="1"/>
  <c r="R67" i="1"/>
  <c r="R6" i="4"/>
  <c r="Q36" i="1"/>
  <c r="P36" i="1"/>
  <c r="P67" i="1"/>
  <c r="P6" i="4"/>
  <c r="M36" i="1"/>
  <c r="M67" i="1"/>
  <c r="M6" i="4"/>
  <c r="L36" i="1"/>
  <c r="L67" i="1"/>
  <c r="L6" i="4"/>
  <c r="K36" i="1"/>
  <c r="K67" i="1"/>
  <c r="K6" i="4"/>
  <c r="J36" i="1"/>
  <c r="J67" i="1"/>
  <c r="J6" i="4"/>
  <c r="I36" i="1"/>
  <c r="H36" i="1"/>
  <c r="H67" i="1"/>
  <c r="H6" i="4"/>
  <c r="F36" i="1"/>
  <c r="F67" i="1"/>
  <c r="F6" i="4"/>
  <c r="E36" i="1"/>
  <c r="E67" i="1"/>
  <c r="E6" i="4"/>
  <c r="D36" i="1"/>
  <c r="D67" i="1"/>
  <c r="D6" i="4"/>
  <c r="C36" i="1"/>
  <c r="C67" i="1"/>
  <c r="C6" i="4"/>
  <c r="W35" i="1"/>
  <c r="W66" i="1"/>
  <c r="W5" i="4"/>
  <c r="V35" i="1"/>
  <c r="V66" i="1"/>
  <c r="V5" i="4"/>
  <c r="U35" i="1"/>
  <c r="U66" i="1"/>
  <c r="S35" i="1"/>
  <c r="S66" i="1"/>
  <c r="S5" i="4"/>
  <c r="R35" i="1"/>
  <c r="Q35" i="1"/>
  <c r="Q66" i="1"/>
  <c r="P35" i="1"/>
  <c r="P66" i="1"/>
  <c r="P5" i="4"/>
  <c r="N35" i="1"/>
  <c r="N66" i="1"/>
  <c r="N5" i="4"/>
  <c r="M35" i="1"/>
  <c r="L35" i="1"/>
  <c r="L66" i="1"/>
  <c r="L5" i="4"/>
  <c r="K35" i="1"/>
  <c r="K66" i="1"/>
  <c r="K5" i="4"/>
  <c r="J35" i="1"/>
  <c r="J66" i="1"/>
  <c r="J5" i="4"/>
  <c r="I35" i="1"/>
  <c r="H35" i="1"/>
  <c r="H66" i="1"/>
  <c r="H5" i="4"/>
  <c r="F35" i="1"/>
  <c r="F66" i="1"/>
  <c r="F5" i="4"/>
  <c r="E35" i="1"/>
  <c r="D35" i="1"/>
  <c r="D66" i="1"/>
  <c r="D5" i="4"/>
  <c r="C5" i="4"/>
  <c r="X34" i="1"/>
  <c r="X65" i="1"/>
  <c r="X4" i="4"/>
  <c r="Y33" i="1"/>
  <c r="Y64" i="1"/>
  <c r="Y3" i="4"/>
  <c r="Y32" i="1"/>
  <c r="Z32" i="4"/>
  <c r="X32" i="1"/>
  <c r="Y32" i="4"/>
  <c r="W32" i="1"/>
  <c r="X32" i="4"/>
  <c r="V32" i="1"/>
  <c r="W32" i="4"/>
  <c r="U32" i="1"/>
  <c r="V32" i="4"/>
  <c r="T32" i="1"/>
  <c r="U32" i="4"/>
  <c r="S32" i="1"/>
  <c r="T32" i="4"/>
  <c r="Q32" i="1"/>
  <c r="R32" i="4"/>
  <c r="P32" i="1"/>
  <c r="Q32" i="4"/>
  <c r="O32" i="1"/>
  <c r="P32" i="4"/>
  <c r="N32" i="1"/>
  <c r="O32" i="4"/>
  <c r="M32" i="1"/>
  <c r="N32" i="4"/>
  <c r="L32" i="1"/>
  <c r="M32" i="4"/>
  <c r="K32" i="1"/>
  <c r="L32" i="4"/>
  <c r="J32" i="1"/>
  <c r="K32" i="4"/>
  <c r="I32" i="1"/>
  <c r="J32" i="4"/>
  <c r="H32" i="1"/>
  <c r="I32" i="4"/>
  <c r="G32" i="1"/>
  <c r="H32" i="4"/>
  <c r="F32" i="1"/>
  <c r="G32" i="4"/>
  <c r="E32" i="1"/>
  <c r="F32" i="4"/>
  <c r="D32" i="1"/>
  <c r="E32" i="4"/>
  <c r="C32" i="1"/>
  <c r="D32" i="4"/>
  <c r="B32" i="1"/>
  <c r="C32" i="4"/>
  <c r="M29" i="1"/>
  <c r="L29" i="1"/>
  <c r="K29" i="1"/>
  <c r="J29" i="1"/>
  <c r="I29" i="1"/>
  <c r="G58" i="1"/>
  <c r="J11" i="4"/>
  <c r="N41" i="1"/>
  <c r="N72" i="1"/>
  <c r="N11" i="4"/>
  <c r="D41" i="1"/>
  <c r="D72" i="1"/>
  <c r="D11" i="4"/>
  <c r="Y158" i="2"/>
  <c r="X16" i="4"/>
  <c r="D84" i="1"/>
  <c r="D23" i="4"/>
  <c r="K56" i="2"/>
  <c r="K108" i="2"/>
  <c r="K33" i="4"/>
  <c r="T57" i="2"/>
  <c r="T109" i="2"/>
  <c r="T34" i="4"/>
  <c r="S37" i="4"/>
  <c r="S93" i="2"/>
  <c r="S145" i="2"/>
  <c r="S70" i="4"/>
  <c r="W56" i="2"/>
  <c r="W108" i="2"/>
  <c r="W33" i="4"/>
  <c r="O58" i="2"/>
  <c r="O110" i="2"/>
  <c r="O35" i="4"/>
  <c r="L57" i="2"/>
  <c r="L109" i="2"/>
  <c r="L34" i="4"/>
  <c r="K60" i="2"/>
  <c r="K112" i="2"/>
  <c r="K37" i="4"/>
  <c r="T38" i="4"/>
  <c r="S73" i="2"/>
  <c r="S125" i="2"/>
  <c r="S50" i="4"/>
  <c r="G58" i="2"/>
  <c r="G110" i="2"/>
  <c r="G35" i="4"/>
  <c r="W60" i="2"/>
  <c r="W112" i="2"/>
  <c r="W37" i="4"/>
  <c r="O62" i="2"/>
  <c r="O114" i="2"/>
  <c r="O39" i="4"/>
  <c r="Y75" i="1"/>
  <c r="Y14" i="4"/>
  <c r="F86" i="1"/>
  <c r="F25" i="4"/>
  <c r="L45" i="1"/>
  <c r="L76" i="1"/>
  <c r="L15" i="4"/>
  <c r="M25" i="4"/>
  <c r="Y62" i="2"/>
  <c r="I79" i="2"/>
  <c r="I131" i="2"/>
  <c r="I56" i="4"/>
  <c r="Y85" i="2"/>
  <c r="E56" i="2"/>
  <c r="E108" i="2"/>
  <c r="E33" i="4"/>
  <c r="M56" i="2"/>
  <c r="I58" i="2"/>
  <c r="I110" i="2"/>
  <c r="I35" i="4"/>
  <c r="Q58" i="2"/>
  <c r="Q110" i="2"/>
  <c r="Q35" i="4"/>
  <c r="E60" i="2"/>
  <c r="E112" i="2"/>
  <c r="E37" i="4"/>
  <c r="M60" i="2"/>
  <c r="M112" i="2"/>
  <c r="M37" i="4"/>
  <c r="I62" i="2"/>
  <c r="I114" i="2"/>
  <c r="I39" i="4"/>
  <c r="Q62" i="2"/>
  <c r="Q114" i="2"/>
  <c r="Q39" i="4"/>
  <c r="M63" i="2"/>
  <c r="M115" i="2"/>
  <c r="M40" i="4"/>
  <c r="M67" i="2"/>
  <c r="M119" i="2"/>
  <c r="M44" i="4"/>
  <c r="E75" i="2"/>
  <c r="E127" i="2"/>
  <c r="E52" i="4"/>
  <c r="Y79" i="2"/>
  <c r="G56" i="2"/>
  <c r="G108" i="2"/>
  <c r="G33" i="4"/>
  <c r="O56" i="2"/>
  <c r="O108" i="2"/>
  <c r="O33" i="4"/>
  <c r="Y56" i="2"/>
  <c r="X57" i="2"/>
  <c r="X109" i="2"/>
  <c r="X34" i="4"/>
  <c r="K58" i="2"/>
  <c r="S58" i="2"/>
  <c r="S110" i="2"/>
  <c r="S35" i="4"/>
  <c r="G60" i="2"/>
  <c r="G112" i="2"/>
  <c r="G37" i="4"/>
  <c r="O60" i="2"/>
  <c r="O112" i="2"/>
  <c r="O37" i="4"/>
  <c r="Y60" i="2"/>
  <c r="K62" i="2"/>
  <c r="K114" i="2"/>
  <c r="K39" i="4"/>
  <c r="S62" i="2"/>
  <c r="S114" i="2"/>
  <c r="S39" i="4"/>
  <c r="O63" i="2"/>
  <c r="O115" i="2"/>
  <c r="O40" i="4"/>
  <c r="O69" i="2"/>
  <c r="O121" i="2"/>
  <c r="O46" i="4"/>
  <c r="G77" i="2"/>
  <c r="G129" i="2"/>
  <c r="G54" i="4"/>
  <c r="K81" i="2"/>
  <c r="K133" i="2"/>
  <c r="K58" i="4"/>
  <c r="I99" i="2"/>
  <c r="I151" i="2"/>
  <c r="I76" i="4"/>
  <c r="I56" i="2"/>
  <c r="Q56" i="2"/>
  <c r="Q108" i="2"/>
  <c r="Q33" i="4"/>
  <c r="D57" i="2"/>
  <c r="D109" i="2"/>
  <c r="D34" i="4"/>
  <c r="E58" i="2"/>
  <c r="E110" i="2"/>
  <c r="E35" i="4"/>
  <c r="M58" i="2"/>
  <c r="M110" i="2"/>
  <c r="M35" i="4"/>
  <c r="W58" i="2"/>
  <c r="W110" i="2"/>
  <c r="W35" i="4"/>
  <c r="Q60" i="2"/>
  <c r="Q112" i="2"/>
  <c r="Q37" i="4"/>
  <c r="D61" i="2"/>
  <c r="D113" i="2"/>
  <c r="D38" i="4"/>
  <c r="M62" i="2"/>
  <c r="M114" i="2"/>
  <c r="M39" i="4"/>
  <c r="W62" i="2"/>
  <c r="W114" i="2"/>
  <c r="W39" i="4"/>
  <c r="W77" i="2"/>
  <c r="W129" i="2"/>
  <c r="W54" i="4"/>
  <c r="X75" i="1"/>
  <c r="X14" i="4"/>
  <c r="I86" i="1"/>
  <c r="I25" i="4"/>
  <c r="R45" i="1"/>
  <c r="R76" i="1"/>
  <c r="O65" i="4"/>
  <c r="D91" i="2"/>
  <c r="D143" i="2"/>
  <c r="D68" i="4"/>
  <c r="D87" i="2"/>
  <c r="D139" i="2"/>
  <c r="D64" i="4"/>
  <c r="D100" i="2"/>
  <c r="D152" i="2"/>
  <c r="D77" i="4"/>
  <c r="D96" i="2"/>
  <c r="D92" i="2"/>
  <c r="D144" i="2"/>
  <c r="D69" i="4"/>
  <c r="D101" i="2"/>
  <c r="D153" i="2"/>
  <c r="D78" i="4"/>
  <c r="D97" i="2"/>
  <c r="D149" i="2"/>
  <c r="D74" i="4"/>
  <c r="D93" i="2"/>
  <c r="D145" i="2"/>
  <c r="D70" i="4"/>
  <c r="D90" i="2"/>
  <c r="D142" i="2"/>
  <c r="D67" i="4"/>
  <c r="D83" i="2"/>
  <c r="D135" i="2"/>
  <c r="D60" i="4"/>
  <c r="D75" i="2"/>
  <c r="D127" i="2"/>
  <c r="D52" i="4"/>
  <c r="D71" i="2"/>
  <c r="D67" i="2"/>
  <c r="D119" i="2"/>
  <c r="D44" i="4"/>
  <c r="D94" i="2"/>
  <c r="D146" i="2"/>
  <c r="D71" i="4"/>
  <c r="D84" i="2"/>
  <c r="D136" i="2"/>
  <c r="D61" i="4"/>
  <c r="D80" i="2"/>
  <c r="D132" i="2"/>
  <c r="D57" i="4"/>
  <c r="D76" i="2"/>
  <c r="D128" i="2"/>
  <c r="D53" i="4"/>
  <c r="D72" i="2"/>
  <c r="D124" i="2"/>
  <c r="D49" i="4"/>
  <c r="D98" i="2"/>
  <c r="D150" i="2"/>
  <c r="D75" i="4"/>
  <c r="D86" i="2"/>
  <c r="D138" i="2"/>
  <c r="D63" i="4"/>
  <c r="D81" i="2"/>
  <c r="D133" i="2"/>
  <c r="D58" i="4"/>
  <c r="D77" i="2"/>
  <c r="D129" i="2"/>
  <c r="D54" i="4"/>
  <c r="D73" i="2"/>
  <c r="D125" i="2"/>
  <c r="D50" i="4"/>
  <c r="D69" i="2"/>
  <c r="D121" i="2"/>
  <c r="D46" i="4"/>
  <c r="L99" i="2"/>
  <c r="L151" i="2"/>
  <c r="L76" i="4"/>
  <c r="L91" i="2"/>
  <c r="L143" i="2"/>
  <c r="L68" i="4"/>
  <c r="L87" i="2"/>
  <c r="L139" i="2"/>
  <c r="L64" i="4"/>
  <c r="L100" i="2"/>
  <c r="L152" i="2"/>
  <c r="L77" i="4"/>
  <c r="L96" i="2"/>
  <c r="L92" i="2"/>
  <c r="L144" i="2"/>
  <c r="L69" i="4"/>
  <c r="L101" i="2"/>
  <c r="L153" i="2"/>
  <c r="L78" i="4"/>
  <c r="L97" i="2"/>
  <c r="L149" i="2"/>
  <c r="L74" i="4"/>
  <c r="L93" i="2"/>
  <c r="L145" i="2"/>
  <c r="L70" i="4"/>
  <c r="L89" i="2"/>
  <c r="L141" i="2"/>
  <c r="L66" i="4"/>
  <c r="L98" i="2"/>
  <c r="L150" i="2"/>
  <c r="L75" i="4"/>
  <c r="L86" i="2"/>
  <c r="L138" i="2"/>
  <c r="L63" i="4"/>
  <c r="L83" i="2"/>
  <c r="L135" i="2"/>
  <c r="L60" i="4"/>
  <c r="L79" i="2"/>
  <c r="L131" i="2"/>
  <c r="L56" i="4"/>
  <c r="L75" i="2"/>
  <c r="L127" i="2"/>
  <c r="L52" i="4"/>
  <c r="L71" i="2"/>
  <c r="L67" i="2"/>
  <c r="L119" i="2"/>
  <c r="L44" i="4"/>
  <c r="L63" i="2"/>
  <c r="L115" i="2"/>
  <c r="L40" i="4"/>
  <c r="L102" i="2"/>
  <c r="L154" i="2"/>
  <c r="L79" i="4"/>
  <c r="L88" i="2"/>
  <c r="L140" i="2"/>
  <c r="L65" i="4"/>
  <c r="L85" i="2"/>
  <c r="L137" i="2"/>
  <c r="L62" i="4"/>
  <c r="L80" i="2"/>
  <c r="L132" i="2"/>
  <c r="L57" i="4"/>
  <c r="L76" i="2"/>
  <c r="L128" i="2"/>
  <c r="L53" i="4"/>
  <c r="L72" i="2"/>
  <c r="L124" i="2"/>
  <c r="L49" i="4"/>
  <c r="L90" i="2"/>
  <c r="L142" i="2"/>
  <c r="L67" i="4"/>
  <c r="L84" i="2"/>
  <c r="L136" i="2"/>
  <c r="L61" i="4"/>
  <c r="L81" i="2"/>
  <c r="L133" i="2"/>
  <c r="L58" i="4"/>
  <c r="L77" i="2"/>
  <c r="L129" i="2"/>
  <c r="L54" i="4"/>
  <c r="L73" i="2"/>
  <c r="L125" i="2"/>
  <c r="L50" i="4"/>
  <c r="L69" i="2"/>
  <c r="L121" i="2"/>
  <c r="L46" i="4"/>
  <c r="T99" i="2"/>
  <c r="T151" i="2"/>
  <c r="T76" i="4"/>
  <c r="T91" i="2"/>
  <c r="T143" i="2"/>
  <c r="T68" i="4"/>
  <c r="T87" i="2"/>
  <c r="T139" i="2"/>
  <c r="T64" i="4"/>
  <c r="T100" i="2"/>
  <c r="T152" i="2"/>
  <c r="T77" i="4"/>
  <c r="T96" i="2"/>
  <c r="T92" i="2"/>
  <c r="T144" i="2"/>
  <c r="T69" i="4"/>
  <c r="T101" i="2"/>
  <c r="T153" i="2"/>
  <c r="T78" i="4"/>
  <c r="T97" i="2"/>
  <c r="T149" i="2"/>
  <c r="T74" i="4"/>
  <c r="T93" i="2"/>
  <c r="T145" i="2"/>
  <c r="T70" i="4"/>
  <c r="T89" i="2"/>
  <c r="T141" i="2"/>
  <c r="T66" i="4"/>
  <c r="T90" i="2"/>
  <c r="T142" i="2"/>
  <c r="T67" i="4"/>
  <c r="T84" i="2"/>
  <c r="T136" i="2"/>
  <c r="T61" i="4"/>
  <c r="T83" i="2"/>
  <c r="T135" i="2"/>
  <c r="T60" i="4"/>
  <c r="T79" i="2"/>
  <c r="T131" i="2"/>
  <c r="T56" i="4"/>
  <c r="T75" i="2"/>
  <c r="T127" i="2"/>
  <c r="T52" i="4"/>
  <c r="T71" i="2"/>
  <c r="T67" i="2"/>
  <c r="T119" i="2"/>
  <c r="T44" i="4"/>
  <c r="T63" i="2"/>
  <c r="T115" i="2"/>
  <c r="T40" i="4"/>
  <c r="T94" i="2"/>
  <c r="T146" i="2"/>
  <c r="T71" i="4"/>
  <c r="T80" i="2"/>
  <c r="T132" i="2"/>
  <c r="T57" i="4"/>
  <c r="T76" i="2"/>
  <c r="T128" i="2"/>
  <c r="T53" i="4"/>
  <c r="T72" i="2"/>
  <c r="T124" i="2"/>
  <c r="T49" i="4"/>
  <c r="T64" i="2"/>
  <c r="T116" i="2"/>
  <c r="T41" i="4"/>
  <c r="T98" i="2"/>
  <c r="T86" i="2"/>
  <c r="T138" i="2"/>
  <c r="T63" i="4"/>
  <c r="T81" i="2"/>
  <c r="T133" i="2"/>
  <c r="T58" i="4"/>
  <c r="T77" i="2"/>
  <c r="T129" i="2"/>
  <c r="T54" i="4"/>
  <c r="T73" i="2"/>
  <c r="T125" i="2"/>
  <c r="T50" i="4"/>
  <c r="T69" i="2"/>
  <c r="T121" i="2"/>
  <c r="T46" i="4"/>
  <c r="X99" i="2"/>
  <c r="X151" i="2"/>
  <c r="X76" i="4"/>
  <c r="X91" i="2"/>
  <c r="X143" i="2"/>
  <c r="X68" i="4"/>
  <c r="X87" i="2"/>
  <c r="X139" i="2"/>
  <c r="X64" i="4"/>
  <c r="X100" i="2"/>
  <c r="X152" i="2"/>
  <c r="X77" i="4"/>
  <c r="X96" i="2"/>
  <c r="X92" i="2"/>
  <c r="X144" i="2"/>
  <c r="X69" i="4"/>
  <c r="X88" i="2"/>
  <c r="X140" i="2"/>
  <c r="X65" i="4"/>
  <c r="X101" i="2"/>
  <c r="X153" i="2"/>
  <c r="X78" i="4"/>
  <c r="X97" i="2"/>
  <c r="X149" i="2"/>
  <c r="X74" i="4"/>
  <c r="X93" i="2"/>
  <c r="X145" i="2"/>
  <c r="X70" i="4"/>
  <c r="X89" i="2"/>
  <c r="X141" i="2"/>
  <c r="X66" i="4"/>
  <c r="X94" i="2"/>
  <c r="X146" i="2"/>
  <c r="X71" i="4"/>
  <c r="X85" i="2"/>
  <c r="X137" i="2"/>
  <c r="X62" i="4"/>
  <c r="X83" i="2"/>
  <c r="X135" i="2"/>
  <c r="X60" i="4"/>
  <c r="X79" i="2"/>
  <c r="X131" i="2"/>
  <c r="X56" i="4"/>
  <c r="X75" i="2"/>
  <c r="X127" i="2"/>
  <c r="X52" i="4"/>
  <c r="X71" i="2"/>
  <c r="X67" i="2"/>
  <c r="X119" i="2"/>
  <c r="X44" i="4"/>
  <c r="X63" i="2"/>
  <c r="X115" i="2"/>
  <c r="X40" i="4"/>
  <c r="X98" i="2"/>
  <c r="X150" i="2"/>
  <c r="X75" i="4"/>
  <c r="X84" i="2"/>
  <c r="X136" i="2"/>
  <c r="X61" i="4"/>
  <c r="X80" i="2"/>
  <c r="X132" i="2"/>
  <c r="X57" i="4"/>
  <c r="X76" i="2"/>
  <c r="X128" i="2"/>
  <c r="X53" i="4"/>
  <c r="X72" i="2"/>
  <c r="X124" i="2"/>
  <c r="X49" i="4"/>
  <c r="X64" i="2"/>
  <c r="X116" i="2"/>
  <c r="X41" i="4"/>
  <c r="X102" i="2"/>
  <c r="X154" i="2"/>
  <c r="X79" i="4"/>
  <c r="X81" i="2"/>
  <c r="X133" i="2"/>
  <c r="X58" i="4"/>
  <c r="X77" i="2"/>
  <c r="X129" i="2"/>
  <c r="X54" i="4"/>
  <c r="X73" i="2"/>
  <c r="X125" i="2"/>
  <c r="X50" i="4"/>
  <c r="X69" i="2"/>
  <c r="X121" i="2"/>
  <c r="X46" i="4"/>
  <c r="D59" i="2"/>
  <c r="D111" i="2"/>
  <c r="D36" i="4"/>
  <c r="L59" i="2"/>
  <c r="L111" i="2"/>
  <c r="L36" i="4"/>
  <c r="T59" i="2"/>
  <c r="T111" i="2"/>
  <c r="T36" i="4"/>
  <c r="X59" i="2"/>
  <c r="X111" i="2"/>
  <c r="X36" i="4"/>
  <c r="D63" i="2"/>
  <c r="D115" i="2"/>
  <c r="D40" i="4"/>
  <c r="E100" i="2"/>
  <c r="E152" i="2"/>
  <c r="E77" i="4"/>
  <c r="E96" i="2"/>
  <c r="E92" i="2"/>
  <c r="E144" i="2"/>
  <c r="E69" i="4"/>
  <c r="E88" i="2"/>
  <c r="E140" i="2"/>
  <c r="E65" i="4"/>
  <c r="E101" i="2"/>
  <c r="E153" i="2"/>
  <c r="E78" i="4"/>
  <c r="E97" i="2"/>
  <c r="E149" i="2"/>
  <c r="E74" i="4"/>
  <c r="E93" i="2"/>
  <c r="E145" i="2"/>
  <c r="E70" i="4"/>
  <c r="E89" i="2"/>
  <c r="E141" i="2"/>
  <c r="E66" i="4"/>
  <c r="E102" i="2"/>
  <c r="E154" i="2"/>
  <c r="E79" i="4"/>
  <c r="E98" i="2"/>
  <c r="E150" i="2"/>
  <c r="E75" i="4"/>
  <c r="E94" i="2"/>
  <c r="E146" i="2"/>
  <c r="E71" i="4"/>
  <c r="E90" i="2"/>
  <c r="E142" i="2"/>
  <c r="E67" i="4"/>
  <c r="E99" i="2"/>
  <c r="E151" i="2"/>
  <c r="E76" i="4"/>
  <c r="E87" i="2"/>
  <c r="E139" i="2"/>
  <c r="E64" i="4"/>
  <c r="E84" i="2"/>
  <c r="E136" i="2"/>
  <c r="E61" i="4"/>
  <c r="E80" i="2"/>
  <c r="E132" i="2"/>
  <c r="E57" i="4"/>
  <c r="E76" i="2"/>
  <c r="E128" i="2"/>
  <c r="E53" i="4"/>
  <c r="E72" i="2"/>
  <c r="E124" i="2"/>
  <c r="E49" i="4"/>
  <c r="E64" i="2"/>
  <c r="E116" i="2"/>
  <c r="E41" i="4"/>
  <c r="E86" i="2"/>
  <c r="E138" i="2"/>
  <c r="E63" i="4"/>
  <c r="E81" i="2"/>
  <c r="E133" i="2"/>
  <c r="E58" i="4"/>
  <c r="E77" i="2"/>
  <c r="E129" i="2"/>
  <c r="E54" i="4"/>
  <c r="E73" i="2"/>
  <c r="E125" i="2"/>
  <c r="E50" i="4"/>
  <c r="E69" i="2"/>
  <c r="E121" i="2"/>
  <c r="E46" i="4"/>
  <c r="E91" i="2"/>
  <c r="E143" i="2"/>
  <c r="E68" i="4"/>
  <c r="E85" i="2"/>
  <c r="E137" i="2"/>
  <c r="E62" i="4"/>
  <c r="E82" i="2"/>
  <c r="E134" i="2"/>
  <c r="E59" i="4"/>
  <c r="E78" i="2"/>
  <c r="E130" i="2"/>
  <c r="E55" i="4"/>
  <c r="E74" i="2"/>
  <c r="E126" i="2"/>
  <c r="E51" i="4"/>
  <c r="E66" i="2"/>
  <c r="I100" i="2"/>
  <c r="I96" i="2"/>
  <c r="I92" i="2"/>
  <c r="I88" i="2"/>
  <c r="I84" i="2"/>
  <c r="I101" i="2"/>
  <c r="I97" i="2"/>
  <c r="I93" i="2"/>
  <c r="I89" i="2"/>
  <c r="I102" i="2"/>
  <c r="I98" i="2"/>
  <c r="I94" i="2"/>
  <c r="I90" i="2"/>
  <c r="I80" i="2"/>
  <c r="I76" i="2"/>
  <c r="I128" i="2"/>
  <c r="I72" i="2"/>
  <c r="I64" i="2"/>
  <c r="I91" i="2"/>
  <c r="I87" i="2"/>
  <c r="I81" i="2"/>
  <c r="I77" i="2"/>
  <c r="I73" i="2"/>
  <c r="I69" i="2"/>
  <c r="I86" i="2"/>
  <c r="I82" i="2"/>
  <c r="I78" i="2"/>
  <c r="I74" i="2"/>
  <c r="I66" i="2"/>
  <c r="M100" i="2"/>
  <c r="M152" i="2"/>
  <c r="M77" i="4"/>
  <c r="M96" i="2"/>
  <c r="M92" i="2"/>
  <c r="M144" i="2"/>
  <c r="M69" i="4"/>
  <c r="M88" i="2"/>
  <c r="M140" i="2"/>
  <c r="M65" i="4"/>
  <c r="M84" i="2"/>
  <c r="M136" i="2"/>
  <c r="M61" i="4"/>
  <c r="M101" i="2"/>
  <c r="M153" i="2"/>
  <c r="M78" i="4"/>
  <c r="M97" i="2"/>
  <c r="M149" i="2"/>
  <c r="M74" i="4"/>
  <c r="M93" i="2"/>
  <c r="M145" i="2"/>
  <c r="M70" i="4"/>
  <c r="M89" i="2"/>
  <c r="M141" i="2"/>
  <c r="M66" i="4"/>
  <c r="M102" i="2"/>
  <c r="M154" i="2"/>
  <c r="M79" i="4"/>
  <c r="M98" i="2"/>
  <c r="M150" i="2"/>
  <c r="M75" i="4"/>
  <c r="M94" i="2"/>
  <c r="M146" i="2"/>
  <c r="M71" i="4"/>
  <c r="M90" i="2"/>
  <c r="M142" i="2"/>
  <c r="M67" i="4"/>
  <c r="M91" i="2"/>
  <c r="M143" i="2"/>
  <c r="M68" i="4"/>
  <c r="M85" i="2"/>
  <c r="M137" i="2"/>
  <c r="M62" i="4"/>
  <c r="M80" i="2"/>
  <c r="M132" i="2"/>
  <c r="M57" i="4"/>
  <c r="M76" i="2"/>
  <c r="M128" i="2"/>
  <c r="M53" i="4"/>
  <c r="M72" i="2"/>
  <c r="M124" i="2"/>
  <c r="M49" i="4"/>
  <c r="M68" i="2"/>
  <c r="M120" i="2"/>
  <c r="M45" i="4"/>
  <c r="M64" i="2"/>
  <c r="M116" i="2"/>
  <c r="M41" i="4"/>
  <c r="M81" i="2"/>
  <c r="M133" i="2"/>
  <c r="M58" i="4"/>
  <c r="M77" i="2"/>
  <c r="M129" i="2"/>
  <c r="M54" i="4"/>
  <c r="M73" i="2"/>
  <c r="M125" i="2"/>
  <c r="M50" i="4"/>
  <c r="M69" i="2"/>
  <c r="M121" i="2"/>
  <c r="M46" i="4"/>
  <c r="M99" i="2"/>
  <c r="M151" i="2"/>
  <c r="M76" i="4"/>
  <c r="M87" i="2"/>
  <c r="M139" i="2"/>
  <c r="M64" i="4"/>
  <c r="M82" i="2"/>
  <c r="M134" i="2"/>
  <c r="M59" i="4"/>
  <c r="M78" i="2"/>
  <c r="M130" i="2"/>
  <c r="M55" i="4"/>
  <c r="M74" i="2"/>
  <c r="M126" i="2"/>
  <c r="M51" i="4"/>
  <c r="M66" i="2"/>
  <c r="Q100" i="2"/>
  <c r="Q96" i="2"/>
  <c r="Q92" i="2"/>
  <c r="Q88" i="2"/>
  <c r="Q84" i="2"/>
  <c r="Q101" i="2"/>
  <c r="Q97" i="2"/>
  <c r="Q93" i="2"/>
  <c r="Q89" i="2"/>
  <c r="Q102" i="2"/>
  <c r="Q98" i="2"/>
  <c r="Q94" i="2"/>
  <c r="Q90" i="2"/>
  <c r="Q86" i="2"/>
  <c r="Q80" i="2"/>
  <c r="Q76" i="2"/>
  <c r="Q72" i="2"/>
  <c r="Q64" i="2"/>
  <c r="Q99" i="2"/>
  <c r="Q85" i="2"/>
  <c r="Q81" i="2"/>
  <c r="Q77" i="2"/>
  <c r="Q73" i="2"/>
  <c r="Q69" i="2"/>
  <c r="Q82" i="2"/>
  <c r="Q78" i="2"/>
  <c r="Q74" i="2"/>
  <c r="Q66" i="2"/>
  <c r="Y100" i="2"/>
  <c r="Y96" i="2"/>
  <c r="Y92" i="2"/>
  <c r="Y88" i="2"/>
  <c r="Y84" i="2"/>
  <c r="Y101" i="2"/>
  <c r="Y97" i="2"/>
  <c r="Y93" i="2"/>
  <c r="Y89" i="2"/>
  <c r="Y102" i="2"/>
  <c r="Y98" i="2"/>
  <c r="Y94" i="2"/>
  <c r="Y90" i="2"/>
  <c r="Y80" i="2"/>
  <c r="Y76" i="2"/>
  <c r="Y72" i="2"/>
  <c r="Y64" i="2"/>
  <c r="Y91" i="2"/>
  <c r="Y87" i="2"/>
  <c r="Y81" i="2"/>
  <c r="Y77" i="2"/>
  <c r="Y73" i="2"/>
  <c r="Y69" i="2"/>
  <c r="Y86" i="2"/>
  <c r="Y82" i="2"/>
  <c r="Y78" i="2"/>
  <c r="Y74" i="2"/>
  <c r="Y66" i="2"/>
  <c r="F56" i="2"/>
  <c r="J56" i="2"/>
  <c r="N56" i="2"/>
  <c r="R56" i="2"/>
  <c r="V56" i="2"/>
  <c r="G57" i="2"/>
  <c r="G109" i="2"/>
  <c r="G34" i="4"/>
  <c r="K57" i="2"/>
  <c r="K109" i="2"/>
  <c r="K34" i="4"/>
  <c r="O57" i="2"/>
  <c r="S57" i="2"/>
  <c r="S109" i="2"/>
  <c r="S34" i="4"/>
  <c r="W57" i="2"/>
  <c r="W109" i="2"/>
  <c r="W34" i="4"/>
  <c r="D58" i="2"/>
  <c r="D110" i="2"/>
  <c r="D35" i="4"/>
  <c r="L58" i="2"/>
  <c r="L110" i="2"/>
  <c r="L35" i="4"/>
  <c r="T58" i="2"/>
  <c r="T110" i="2"/>
  <c r="T35" i="4"/>
  <c r="X58" i="2"/>
  <c r="X110" i="2"/>
  <c r="X35" i="4"/>
  <c r="E59" i="2"/>
  <c r="E111" i="2"/>
  <c r="E36" i="4"/>
  <c r="I59" i="2"/>
  <c r="I111" i="2"/>
  <c r="M59" i="2"/>
  <c r="M111" i="2"/>
  <c r="M36" i="4"/>
  <c r="Q59" i="2"/>
  <c r="Y59" i="2"/>
  <c r="F60" i="2"/>
  <c r="F112" i="2"/>
  <c r="F37" i="4"/>
  <c r="J60" i="2"/>
  <c r="J112" i="2"/>
  <c r="J37" i="4"/>
  <c r="N60" i="2"/>
  <c r="N112" i="2"/>
  <c r="N37" i="4"/>
  <c r="R60" i="2"/>
  <c r="R112" i="2"/>
  <c r="R37" i="4"/>
  <c r="V60" i="2"/>
  <c r="G61" i="2"/>
  <c r="G113" i="2"/>
  <c r="G38" i="4"/>
  <c r="K61" i="2"/>
  <c r="K113" i="2"/>
  <c r="K38" i="4"/>
  <c r="O61" i="2"/>
  <c r="S61" i="2"/>
  <c r="S113" i="2"/>
  <c r="S38" i="4"/>
  <c r="W61" i="2"/>
  <c r="W113" i="2"/>
  <c r="W38" i="4"/>
  <c r="D62" i="2"/>
  <c r="D114" i="2"/>
  <c r="D39" i="4"/>
  <c r="L62" i="2"/>
  <c r="L114" i="2"/>
  <c r="L39" i="4"/>
  <c r="T62" i="2"/>
  <c r="T114" i="2"/>
  <c r="T39" i="4"/>
  <c r="X62" i="2"/>
  <c r="X114" i="2"/>
  <c r="X39" i="4"/>
  <c r="E63" i="2"/>
  <c r="E115" i="2"/>
  <c r="E40" i="4"/>
  <c r="I63" i="2"/>
  <c r="N63" i="2"/>
  <c r="N115" i="2"/>
  <c r="N40" i="4"/>
  <c r="S63" i="2"/>
  <c r="S115" i="2"/>
  <c r="S40" i="4"/>
  <c r="Y63" i="2"/>
  <c r="G64" i="2"/>
  <c r="G116" i="2"/>
  <c r="G41" i="4"/>
  <c r="N64" i="2"/>
  <c r="N116" i="2"/>
  <c r="N41" i="4"/>
  <c r="I67" i="2"/>
  <c r="Y67" i="2"/>
  <c r="K69" i="2"/>
  <c r="K121" i="2"/>
  <c r="K46" i="4"/>
  <c r="M71" i="2"/>
  <c r="F72" i="2"/>
  <c r="F124" i="2"/>
  <c r="F49" i="4"/>
  <c r="V72" i="2"/>
  <c r="O73" i="2"/>
  <c r="X74" i="2"/>
  <c r="X126" i="2"/>
  <c r="X51" i="4"/>
  <c r="Q75" i="2"/>
  <c r="J76" i="2"/>
  <c r="J128" i="2"/>
  <c r="J53" i="4"/>
  <c r="L78" i="2"/>
  <c r="L130" i="2"/>
  <c r="L55" i="4"/>
  <c r="E79" i="2"/>
  <c r="E131" i="2"/>
  <c r="E56" i="4"/>
  <c r="N80" i="2"/>
  <c r="N132" i="2"/>
  <c r="N57" i="4"/>
  <c r="I83" i="2"/>
  <c r="Y83" i="2"/>
  <c r="V84" i="2"/>
  <c r="T85" i="2"/>
  <c r="T137" i="2"/>
  <c r="T62" i="4"/>
  <c r="R86" i="2"/>
  <c r="R138" i="2"/>
  <c r="R63" i="4"/>
  <c r="Q87" i="2"/>
  <c r="F63" i="2"/>
  <c r="F115" i="2"/>
  <c r="F40" i="4"/>
  <c r="J63" i="2"/>
  <c r="J115" i="2"/>
  <c r="J40" i="4"/>
  <c r="Q123" i="2"/>
  <c r="Q48" i="4"/>
  <c r="J72" i="2"/>
  <c r="J124" i="2"/>
  <c r="J49" i="4"/>
  <c r="L74" i="2"/>
  <c r="L126" i="2"/>
  <c r="L51" i="4"/>
  <c r="N76" i="2"/>
  <c r="N128" i="2"/>
  <c r="N53" i="4"/>
  <c r="R80" i="2"/>
  <c r="R132" i="2"/>
  <c r="R57" i="4"/>
  <c r="D82" i="2"/>
  <c r="D134" i="2"/>
  <c r="D59" i="4"/>
  <c r="T82" i="2"/>
  <c r="T134" i="2"/>
  <c r="T59" i="4"/>
  <c r="F84" i="2"/>
  <c r="F136" i="2"/>
  <c r="F61" i="4"/>
  <c r="D85" i="2"/>
  <c r="D137" i="2"/>
  <c r="D62" i="4"/>
  <c r="X86" i="2"/>
  <c r="X138" i="2"/>
  <c r="X63" i="4"/>
  <c r="V87" i="2"/>
  <c r="T88" i="2"/>
  <c r="T140" i="2"/>
  <c r="T65" i="4"/>
  <c r="X90" i="2"/>
  <c r="X142" i="2"/>
  <c r="X67" i="4"/>
  <c r="N96" i="2"/>
  <c r="D102" i="2"/>
  <c r="D154" i="2"/>
  <c r="D79" i="4"/>
  <c r="G102" i="2"/>
  <c r="G154" i="2"/>
  <c r="G79" i="4"/>
  <c r="G98" i="2"/>
  <c r="G150" i="2"/>
  <c r="G75" i="4"/>
  <c r="G94" i="2"/>
  <c r="G146" i="2"/>
  <c r="G71" i="4"/>
  <c r="G90" i="2"/>
  <c r="G142" i="2"/>
  <c r="G67" i="4"/>
  <c r="G86" i="2"/>
  <c r="G138" i="2"/>
  <c r="G63" i="4"/>
  <c r="G99" i="2"/>
  <c r="G151" i="2"/>
  <c r="G76" i="4"/>
  <c r="G91" i="2"/>
  <c r="G143" i="2"/>
  <c r="G68" i="4"/>
  <c r="G100" i="2"/>
  <c r="G152" i="2"/>
  <c r="G77" i="4"/>
  <c r="G96" i="2"/>
  <c r="G92" i="2"/>
  <c r="G144" i="2"/>
  <c r="G69" i="4"/>
  <c r="G101" i="2"/>
  <c r="G153" i="2"/>
  <c r="G78" i="4"/>
  <c r="G82" i="2"/>
  <c r="G134" i="2"/>
  <c r="G59" i="4"/>
  <c r="G78" i="2"/>
  <c r="G130" i="2"/>
  <c r="G55" i="4"/>
  <c r="G74" i="2"/>
  <c r="G126" i="2"/>
  <c r="G51" i="4"/>
  <c r="G66" i="2"/>
  <c r="G88" i="2"/>
  <c r="G140" i="2"/>
  <c r="G65" i="4"/>
  <c r="G85" i="2"/>
  <c r="G137" i="2"/>
  <c r="G62" i="4"/>
  <c r="G83" i="2"/>
  <c r="G135" i="2"/>
  <c r="G60" i="4"/>
  <c r="G79" i="2"/>
  <c r="G131" i="2"/>
  <c r="G56" i="4"/>
  <c r="G75" i="2"/>
  <c r="G127" i="2"/>
  <c r="G52" i="4"/>
  <c r="G71" i="2"/>
  <c r="G67" i="2"/>
  <c r="G119" i="2"/>
  <c r="G44" i="4"/>
  <c r="G93" i="2"/>
  <c r="G145" i="2"/>
  <c r="G70" i="4"/>
  <c r="G89" i="2"/>
  <c r="G141" i="2"/>
  <c r="G66" i="4"/>
  <c r="G87" i="2"/>
  <c r="G139" i="2"/>
  <c r="G64" i="4"/>
  <c r="G84" i="2"/>
  <c r="G136" i="2"/>
  <c r="G61" i="4"/>
  <c r="G80" i="2"/>
  <c r="G132" i="2"/>
  <c r="G57" i="4"/>
  <c r="G76" i="2"/>
  <c r="G128" i="2"/>
  <c r="G53" i="4"/>
  <c r="G72" i="2"/>
  <c r="G124" i="2"/>
  <c r="G49" i="4"/>
  <c r="K102" i="2"/>
  <c r="K154" i="2"/>
  <c r="K79" i="4"/>
  <c r="K98" i="2"/>
  <c r="K150" i="2"/>
  <c r="K75" i="4"/>
  <c r="K94" i="2"/>
  <c r="K146" i="2"/>
  <c r="K71" i="4"/>
  <c r="K90" i="2"/>
  <c r="K142" i="2"/>
  <c r="K67" i="4"/>
  <c r="K86" i="2"/>
  <c r="K138" i="2"/>
  <c r="K63" i="4"/>
  <c r="K99" i="2"/>
  <c r="K151" i="2"/>
  <c r="K76" i="4"/>
  <c r="K91" i="2"/>
  <c r="K143" i="2"/>
  <c r="K68" i="4"/>
  <c r="K100" i="2"/>
  <c r="K152" i="2"/>
  <c r="K77" i="4"/>
  <c r="K96" i="2"/>
  <c r="K92" i="2"/>
  <c r="K144" i="2"/>
  <c r="K69" i="4"/>
  <c r="K89" i="2"/>
  <c r="K141" i="2"/>
  <c r="K66" i="4"/>
  <c r="K82" i="2"/>
  <c r="K134" i="2"/>
  <c r="K59" i="4"/>
  <c r="K78" i="2"/>
  <c r="K130" i="2"/>
  <c r="K55" i="4"/>
  <c r="K74" i="2"/>
  <c r="K126" i="2"/>
  <c r="K51" i="4"/>
  <c r="K66" i="2"/>
  <c r="K93" i="2"/>
  <c r="K145" i="2"/>
  <c r="K70" i="4"/>
  <c r="K83" i="2"/>
  <c r="K135" i="2"/>
  <c r="K60" i="4"/>
  <c r="K79" i="2"/>
  <c r="K131" i="2"/>
  <c r="K56" i="4"/>
  <c r="K75" i="2"/>
  <c r="K127" i="2"/>
  <c r="K52" i="4"/>
  <c r="K71" i="2"/>
  <c r="K67" i="2"/>
  <c r="K119" i="2"/>
  <c r="K44" i="4"/>
  <c r="K97" i="2"/>
  <c r="K149" i="2"/>
  <c r="K74" i="4"/>
  <c r="K88" i="2"/>
  <c r="K140" i="2"/>
  <c r="K65" i="4"/>
  <c r="K85" i="2"/>
  <c r="K137" i="2"/>
  <c r="K62" i="4"/>
  <c r="K80" i="2"/>
  <c r="K132" i="2"/>
  <c r="K57" i="4"/>
  <c r="K76" i="2"/>
  <c r="K128" i="2"/>
  <c r="K53" i="4"/>
  <c r="K72" i="2"/>
  <c r="K124" i="2"/>
  <c r="K49" i="4"/>
  <c r="K64" i="2"/>
  <c r="K116" i="2"/>
  <c r="K41" i="4"/>
  <c r="O102" i="2"/>
  <c r="O98" i="2"/>
  <c r="O94" i="2"/>
  <c r="O90" i="2"/>
  <c r="O86" i="2"/>
  <c r="O138" i="2"/>
  <c r="O99" i="2"/>
  <c r="O91" i="2"/>
  <c r="O100" i="2"/>
  <c r="O96" i="2"/>
  <c r="O92" i="2"/>
  <c r="O93" i="2"/>
  <c r="O87" i="2"/>
  <c r="O84" i="2"/>
  <c r="O82" i="2"/>
  <c r="O78" i="2"/>
  <c r="O74" i="2"/>
  <c r="O66" i="2"/>
  <c r="O97" i="2"/>
  <c r="O83" i="2"/>
  <c r="O79" i="2"/>
  <c r="O75" i="2"/>
  <c r="O71" i="2"/>
  <c r="O67" i="2"/>
  <c r="O101" i="2"/>
  <c r="O80" i="2"/>
  <c r="O76" i="2"/>
  <c r="O72" i="2"/>
  <c r="O64" i="2"/>
  <c r="S102" i="2"/>
  <c r="S154" i="2"/>
  <c r="S79" i="4"/>
  <c r="S98" i="2"/>
  <c r="S150" i="2"/>
  <c r="S75" i="4"/>
  <c r="S94" i="2"/>
  <c r="S146" i="2"/>
  <c r="S71" i="4"/>
  <c r="S90" i="2"/>
  <c r="S142" i="2"/>
  <c r="S67" i="4"/>
  <c r="S86" i="2"/>
  <c r="S138" i="2"/>
  <c r="S63" i="4"/>
  <c r="S99" i="2"/>
  <c r="S151" i="2"/>
  <c r="S76" i="4"/>
  <c r="S91" i="2"/>
  <c r="S143" i="2"/>
  <c r="S68" i="4"/>
  <c r="S100" i="2"/>
  <c r="S152" i="2"/>
  <c r="S77" i="4"/>
  <c r="S96" i="2"/>
  <c r="S92" i="2"/>
  <c r="S144" i="2"/>
  <c r="S69" i="4"/>
  <c r="S97" i="2"/>
  <c r="S149" i="2"/>
  <c r="S74" i="4"/>
  <c r="S88" i="2"/>
  <c r="S140" i="2"/>
  <c r="S65" i="4"/>
  <c r="S85" i="2"/>
  <c r="S137" i="2"/>
  <c r="S62" i="4"/>
  <c r="S82" i="2"/>
  <c r="S134" i="2"/>
  <c r="S59" i="4"/>
  <c r="S78" i="2"/>
  <c r="S130" i="2"/>
  <c r="S55" i="4"/>
  <c r="S74" i="2"/>
  <c r="S126" i="2"/>
  <c r="S51" i="4"/>
  <c r="S66" i="2"/>
  <c r="S101" i="2"/>
  <c r="S153" i="2"/>
  <c r="S78" i="4"/>
  <c r="S87" i="2"/>
  <c r="S139" i="2"/>
  <c r="S64" i="4"/>
  <c r="S84" i="2"/>
  <c r="S136" i="2"/>
  <c r="S61" i="4"/>
  <c r="S83" i="2"/>
  <c r="S135" i="2"/>
  <c r="S60" i="4"/>
  <c r="S79" i="2"/>
  <c r="S131" i="2"/>
  <c r="S56" i="4"/>
  <c r="S75" i="2"/>
  <c r="S127" i="2"/>
  <c r="S52" i="4"/>
  <c r="S71" i="2"/>
  <c r="S67" i="2"/>
  <c r="S119" i="2"/>
  <c r="S44" i="4"/>
  <c r="S89" i="2"/>
  <c r="S141" i="2"/>
  <c r="S66" i="4"/>
  <c r="S80" i="2"/>
  <c r="S132" i="2"/>
  <c r="S57" i="4"/>
  <c r="S76" i="2"/>
  <c r="S128" i="2"/>
  <c r="S53" i="4"/>
  <c r="S72" i="2"/>
  <c r="S124" i="2"/>
  <c r="S49" i="4"/>
  <c r="S64" i="2"/>
  <c r="S116" i="2"/>
  <c r="S41" i="4"/>
  <c r="W102" i="2"/>
  <c r="W154" i="2"/>
  <c r="W79" i="4"/>
  <c r="W98" i="2"/>
  <c r="W150" i="2"/>
  <c r="W75" i="4"/>
  <c r="W94" i="2"/>
  <c r="W146" i="2"/>
  <c r="W71" i="4"/>
  <c r="W90" i="2"/>
  <c r="W142" i="2"/>
  <c r="W67" i="4"/>
  <c r="W86" i="2"/>
  <c r="W138" i="2"/>
  <c r="W63" i="4"/>
  <c r="W99" i="2"/>
  <c r="W151" i="2"/>
  <c r="W76" i="4"/>
  <c r="W91" i="2"/>
  <c r="W143" i="2"/>
  <c r="W68" i="4"/>
  <c r="W100" i="2"/>
  <c r="W152" i="2"/>
  <c r="W77" i="4"/>
  <c r="W96" i="2"/>
  <c r="W92" i="2"/>
  <c r="W144" i="2"/>
  <c r="W69" i="4"/>
  <c r="W101" i="2"/>
  <c r="W153" i="2"/>
  <c r="W78" i="4"/>
  <c r="W82" i="2"/>
  <c r="W134" i="2"/>
  <c r="W59" i="4"/>
  <c r="W78" i="2"/>
  <c r="W130" i="2"/>
  <c r="W55" i="4"/>
  <c r="W74" i="2"/>
  <c r="W126" i="2"/>
  <c r="W51" i="4"/>
  <c r="W66" i="2"/>
  <c r="W89" i="2"/>
  <c r="W141" i="2"/>
  <c r="W66" i="4"/>
  <c r="W88" i="2"/>
  <c r="W140" i="2"/>
  <c r="W65" i="4"/>
  <c r="W85" i="2"/>
  <c r="W137" i="2"/>
  <c r="W62" i="4"/>
  <c r="W83" i="2"/>
  <c r="W135" i="2"/>
  <c r="W60" i="4"/>
  <c r="W79" i="2"/>
  <c r="W131" i="2"/>
  <c r="W56" i="4"/>
  <c r="W75" i="2"/>
  <c r="W127" i="2"/>
  <c r="W52" i="4"/>
  <c r="W71" i="2"/>
  <c r="W123" i="2"/>
  <c r="W67" i="2"/>
  <c r="W119" i="2"/>
  <c r="W44" i="4"/>
  <c r="W93" i="2"/>
  <c r="W145" i="2"/>
  <c r="W70" i="4"/>
  <c r="W87" i="2"/>
  <c r="W139" i="2"/>
  <c r="W64" i="4"/>
  <c r="W84" i="2"/>
  <c r="W136" i="2"/>
  <c r="W61" i="4"/>
  <c r="W80" i="2"/>
  <c r="W132" i="2"/>
  <c r="W57" i="4"/>
  <c r="W76" i="2"/>
  <c r="W128" i="2"/>
  <c r="W53" i="4"/>
  <c r="W72" i="2"/>
  <c r="W124" i="2"/>
  <c r="W49" i="4"/>
  <c r="W64" i="2"/>
  <c r="W116" i="2"/>
  <c r="W41" i="4"/>
  <c r="D56" i="2"/>
  <c r="L56" i="2"/>
  <c r="T56" i="2"/>
  <c r="T108" i="2"/>
  <c r="X56" i="2"/>
  <c r="E57" i="2"/>
  <c r="E109" i="2"/>
  <c r="E34" i="4"/>
  <c r="I57" i="2"/>
  <c r="M57" i="2"/>
  <c r="M109" i="2"/>
  <c r="M34" i="4"/>
  <c r="Q57" i="2"/>
  <c r="Y57" i="2"/>
  <c r="F58" i="2"/>
  <c r="F110" i="2"/>
  <c r="F35" i="4"/>
  <c r="J58" i="2"/>
  <c r="J110" i="2"/>
  <c r="J35" i="4"/>
  <c r="N58" i="2"/>
  <c r="N110" i="2"/>
  <c r="N35" i="4"/>
  <c r="R58" i="2"/>
  <c r="R110" i="2"/>
  <c r="R35" i="4"/>
  <c r="V58" i="2"/>
  <c r="G59" i="2"/>
  <c r="G111" i="2"/>
  <c r="G36" i="4"/>
  <c r="K59" i="2"/>
  <c r="K111" i="2"/>
  <c r="K36" i="4"/>
  <c r="O59" i="2"/>
  <c r="S59" i="2"/>
  <c r="S111" i="2"/>
  <c r="S36" i="4"/>
  <c r="W59" i="2"/>
  <c r="W111" i="2"/>
  <c r="W36" i="4"/>
  <c r="D60" i="2"/>
  <c r="D112" i="2"/>
  <c r="D37" i="4"/>
  <c r="L60" i="2"/>
  <c r="L112" i="2"/>
  <c r="L37" i="4"/>
  <c r="T60" i="2"/>
  <c r="T112" i="2"/>
  <c r="P112" i="2"/>
  <c r="X60" i="2"/>
  <c r="X112" i="2"/>
  <c r="X37" i="4"/>
  <c r="E61" i="2"/>
  <c r="E113" i="2"/>
  <c r="E38" i="4"/>
  <c r="I61" i="2"/>
  <c r="M61" i="2"/>
  <c r="M113" i="2"/>
  <c r="M38" i="4"/>
  <c r="Q61" i="2"/>
  <c r="Y61" i="2"/>
  <c r="F62" i="2"/>
  <c r="F114" i="2"/>
  <c r="F39" i="4"/>
  <c r="J62" i="2"/>
  <c r="J114" i="2"/>
  <c r="J39" i="4"/>
  <c r="N62" i="2"/>
  <c r="N114" i="2"/>
  <c r="R62" i="2"/>
  <c r="R114" i="2"/>
  <c r="V62" i="2"/>
  <c r="G63" i="2"/>
  <c r="G115" i="2"/>
  <c r="G40" i="4"/>
  <c r="K63" i="2"/>
  <c r="K115" i="2"/>
  <c r="K40" i="4"/>
  <c r="Q63" i="2"/>
  <c r="V63" i="2"/>
  <c r="D64" i="2"/>
  <c r="D116" i="2"/>
  <c r="D41" i="4"/>
  <c r="J64" i="2"/>
  <c r="J116" i="2"/>
  <c r="J41" i="4"/>
  <c r="V64" i="2"/>
  <c r="V116" i="2"/>
  <c r="X66" i="2"/>
  <c r="Q67" i="2"/>
  <c r="S69" i="2"/>
  <c r="S121" i="2"/>
  <c r="S46" i="4"/>
  <c r="G73" i="2"/>
  <c r="G125" i="2"/>
  <c r="G50" i="4"/>
  <c r="W73" i="2"/>
  <c r="W125" i="2"/>
  <c r="W50" i="4"/>
  <c r="I75" i="2"/>
  <c r="Y75" i="2"/>
  <c r="K77" i="2"/>
  <c r="K129" i="2"/>
  <c r="K54" i="4"/>
  <c r="D78" i="2"/>
  <c r="D130" i="2"/>
  <c r="D55" i="4"/>
  <c r="T78" i="2"/>
  <c r="T130" i="2"/>
  <c r="T55" i="4"/>
  <c r="M79" i="2"/>
  <c r="M131" i="2"/>
  <c r="M56" i="4"/>
  <c r="F80" i="2"/>
  <c r="F132" i="2"/>
  <c r="F57" i="4"/>
  <c r="O81" i="2"/>
  <c r="O133" i="2"/>
  <c r="X82" i="2"/>
  <c r="X134" i="2"/>
  <c r="X59" i="4"/>
  <c r="Q83" i="2"/>
  <c r="Q135" i="2"/>
  <c r="K84" i="2"/>
  <c r="K136" i="2"/>
  <c r="K61" i="4"/>
  <c r="I85" i="2"/>
  <c r="D88" i="2"/>
  <c r="D140" i="2"/>
  <c r="D65" i="4"/>
  <c r="D89" i="2"/>
  <c r="D141" i="2"/>
  <c r="D66" i="4"/>
  <c r="Q91" i="2"/>
  <c r="L94" i="2"/>
  <c r="L146" i="2"/>
  <c r="L71" i="4"/>
  <c r="G97" i="2"/>
  <c r="G149" i="2"/>
  <c r="G74" i="4"/>
  <c r="Y99" i="2"/>
  <c r="T102" i="2"/>
  <c r="T154" i="2"/>
  <c r="T79" i="4"/>
  <c r="F101" i="2"/>
  <c r="F153" i="2"/>
  <c r="F78" i="4"/>
  <c r="F97" i="2"/>
  <c r="F149" i="2"/>
  <c r="F74" i="4"/>
  <c r="F93" i="2"/>
  <c r="F145" i="2"/>
  <c r="F70" i="4"/>
  <c r="F85" i="2"/>
  <c r="F137" i="2"/>
  <c r="F62" i="4"/>
  <c r="F102" i="2"/>
  <c r="F154" i="2"/>
  <c r="F79" i="4"/>
  <c r="F98" i="2"/>
  <c r="F150" i="2"/>
  <c r="F75" i="4"/>
  <c r="F94" i="2"/>
  <c r="F146" i="2"/>
  <c r="F71" i="4"/>
  <c r="F90" i="2"/>
  <c r="F142" i="2"/>
  <c r="F67" i="4"/>
  <c r="F99" i="2"/>
  <c r="F151" i="2"/>
  <c r="F76" i="4"/>
  <c r="F91" i="2"/>
  <c r="F143" i="2"/>
  <c r="F68" i="4"/>
  <c r="F92" i="2"/>
  <c r="F144" i="2"/>
  <c r="F69" i="4"/>
  <c r="F86" i="2"/>
  <c r="F138" i="2"/>
  <c r="F63" i="4"/>
  <c r="F81" i="2"/>
  <c r="F133" i="2"/>
  <c r="F58" i="4"/>
  <c r="F77" i="2"/>
  <c r="F129" i="2"/>
  <c r="F54" i="4"/>
  <c r="F73" i="2"/>
  <c r="F125" i="2"/>
  <c r="F50" i="4"/>
  <c r="F69" i="2"/>
  <c r="F121" i="2"/>
  <c r="F46" i="4"/>
  <c r="F96" i="2"/>
  <c r="F82" i="2"/>
  <c r="F134" i="2"/>
  <c r="F59" i="4"/>
  <c r="F78" i="2"/>
  <c r="F130" i="2"/>
  <c r="F55" i="4"/>
  <c r="F66" i="2"/>
  <c r="F100" i="2"/>
  <c r="F152" i="2"/>
  <c r="F77" i="4"/>
  <c r="F88" i="2"/>
  <c r="F140" i="2"/>
  <c r="F65" i="4"/>
  <c r="F83" i="2"/>
  <c r="F135" i="2"/>
  <c r="F60" i="4"/>
  <c r="F79" i="2"/>
  <c r="F131" i="2"/>
  <c r="F56" i="4"/>
  <c r="F75" i="2"/>
  <c r="F127" i="2"/>
  <c r="F52" i="4"/>
  <c r="F71" i="2"/>
  <c r="F67" i="2"/>
  <c r="F119" i="2"/>
  <c r="F44" i="4"/>
  <c r="J101" i="2"/>
  <c r="J153" i="2"/>
  <c r="J78" i="4"/>
  <c r="J97" i="2"/>
  <c r="J149" i="2"/>
  <c r="J74" i="4"/>
  <c r="J93" i="2"/>
  <c r="J145" i="2"/>
  <c r="J70" i="4"/>
  <c r="J89" i="2"/>
  <c r="J141" i="2"/>
  <c r="J66" i="4"/>
  <c r="J85" i="2"/>
  <c r="J137" i="2"/>
  <c r="J62" i="4"/>
  <c r="J102" i="2"/>
  <c r="J154" i="2"/>
  <c r="J79" i="4"/>
  <c r="J98" i="2"/>
  <c r="J150" i="2"/>
  <c r="J75" i="4"/>
  <c r="J94" i="2"/>
  <c r="J146" i="2"/>
  <c r="J71" i="4"/>
  <c r="J90" i="2"/>
  <c r="J142" i="2"/>
  <c r="J67" i="4"/>
  <c r="J99" i="2"/>
  <c r="J151" i="2"/>
  <c r="J76" i="4"/>
  <c r="J91" i="2"/>
  <c r="J143" i="2"/>
  <c r="J68" i="4"/>
  <c r="J96" i="2"/>
  <c r="J87" i="2"/>
  <c r="J139" i="2"/>
  <c r="J64" i="4"/>
  <c r="J84" i="2"/>
  <c r="J136" i="2"/>
  <c r="J61" i="4"/>
  <c r="J81" i="2"/>
  <c r="J133" i="2"/>
  <c r="J58" i="4"/>
  <c r="J77" i="2"/>
  <c r="J73" i="2"/>
  <c r="J125" i="2"/>
  <c r="J50" i="4"/>
  <c r="J69" i="2"/>
  <c r="J121" i="2"/>
  <c r="J46" i="4"/>
  <c r="J100" i="2"/>
  <c r="J152" i="2"/>
  <c r="J77" i="4"/>
  <c r="J86" i="2"/>
  <c r="J138" i="2"/>
  <c r="J63" i="4"/>
  <c r="J82" i="2"/>
  <c r="J134" i="2"/>
  <c r="J59" i="4"/>
  <c r="J78" i="2"/>
  <c r="J130" i="2"/>
  <c r="J55" i="4"/>
  <c r="J74" i="2"/>
  <c r="J126" i="2"/>
  <c r="J51" i="4"/>
  <c r="J66" i="2"/>
  <c r="J118" i="2"/>
  <c r="J83" i="2"/>
  <c r="J135" i="2"/>
  <c r="J60" i="4"/>
  <c r="J79" i="2"/>
  <c r="J75" i="2"/>
  <c r="J127" i="2"/>
  <c r="J52" i="4"/>
  <c r="J71" i="2"/>
  <c r="J67" i="2"/>
  <c r="J119" i="2"/>
  <c r="J44" i="4"/>
  <c r="N101" i="2"/>
  <c r="N153" i="2"/>
  <c r="N78" i="4"/>
  <c r="N97" i="2"/>
  <c r="N149" i="2"/>
  <c r="N74" i="4"/>
  <c r="N93" i="2"/>
  <c r="N145" i="2"/>
  <c r="N70" i="4"/>
  <c r="N89" i="2"/>
  <c r="N141" i="2"/>
  <c r="N66" i="4"/>
  <c r="N85" i="2"/>
  <c r="N137" i="2"/>
  <c r="N62" i="4"/>
  <c r="N102" i="2"/>
  <c r="N154" i="2"/>
  <c r="N79" i="4"/>
  <c r="N98" i="2"/>
  <c r="N94" i="2"/>
  <c r="N146" i="2"/>
  <c r="N90" i="2"/>
  <c r="N142" i="2"/>
  <c r="N67" i="4"/>
  <c r="N99" i="2"/>
  <c r="N151" i="2"/>
  <c r="N76" i="4"/>
  <c r="N91" i="2"/>
  <c r="N100" i="2"/>
  <c r="N152" i="2"/>
  <c r="N77" i="4"/>
  <c r="N88" i="2"/>
  <c r="N140" i="2"/>
  <c r="N65" i="4"/>
  <c r="N81" i="2"/>
  <c r="N133" i="2"/>
  <c r="N58" i="4"/>
  <c r="N77" i="2"/>
  <c r="N129" i="2"/>
  <c r="N54" i="4"/>
  <c r="N73" i="2"/>
  <c r="N125" i="2"/>
  <c r="N50" i="4"/>
  <c r="N69" i="2"/>
  <c r="N121" i="2"/>
  <c r="N46" i="4"/>
  <c r="N87" i="2"/>
  <c r="N139" i="2"/>
  <c r="N64" i="4"/>
  <c r="N84" i="2"/>
  <c r="N136" i="2"/>
  <c r="N61" i="4"/>
  <c r="N82" i="2"/>
  <c r="N134" i="2"/>
  <c r="N59" i="4"/>
  <c r="N78" i="2"/>
  <c r="N130" i="2"/>
  <c r="N55" i="4"/>
  <c r="N74" i="2"/>
  <c r="N126" i="2"/>
  <c r="N51" i="4"/>
  <c r="N66" i="2"/>
  <c r="N118" i="2"/>
  <c r="N92" i="2"/>
  <c r="N144" i="2"/>
  <c r="N69" i="4"/>
  <c r="N86" i="2"/>
  <c r="N138" i="2"/>
  <c r="N63" i="4"/>
  <c r="N83" i="2"/>
  <c r="N135" i="2"/>
  <c r="N60" i="4"/>
  <c r="N79" i="2"/>
  <c r="N131" i="2"/>
  <c r="N56" i="4"/>
  <c r="N75" i="2"/>
  <c r="N127" i="2"/>
  <c r="N52" i="4"/>
  <c r="N71" i="2"/>
  <c r="N67" i="2"/>
  <c r="N119" i="2"/>
  <c r="N44" i="4"/>
  <c r="R101" i="2"/>
  <c r="R97" i="2"/>
  <c r="R149" i="2"/>
  <c r="R74" i="4"/>
  <c r="R93" i="2"/>
  <c r="R145" i="2"/>
  <c r="R70" i="4"/>
  <c r="R89" i="2"/>
  <c r="R141" i="2"/>
  <c r="R66" i="4"/>
  <c r="R85" i="2"/>
  <c r="R137" i="2"/>
  <c r="R62" i="4"/>
  <c r="R102" i="2"/>
  <c r="R154" i="2"/>
  <c r="R79" i="4"/>
  <c r="R98" i="2"/>
  <c r="R150" i="2"/>
  <c r="R75" i="4"/>
  <c r="R94" i="2"/>
  <c r="R146" i="2"/>
  <c r="R71" i="4"/>
  <c r="R90" i="2"/>
  <c r="R142" i="2"/>
  <c r="R67" i="4"/>
  <c r="R99" i="2"/>
  <c r="R151" i="2"/>
  <c r="R76" i="4"/>
  <c r="R91" i="2"/>
  <c r="R143" i="2"/>
  <c r="R68" i="4"/>
  <c r="R81" i="2"/>
  <c r="R133" i="2"/>
  <c r="R58" i="4"/>
  <c r="R77" i="2"/>
  <c r="R73" i="2"/>
  <c r="R125" i="2"/>
  <c r="R50" i="4"/>
  <c r="R69" i="2"/>
  <c r="R121" i="2"/>
  <c r="R46" i="4"/>
  <c r="R92" i="2"/>
  <c r="P92" i="2"/>
  <c r="R88" i="2"/>
  <c r="R140" i="2"/>
  <c r="R65" i="4"/>
  <c r="R82" i="2"/>
  <c r="R78" i="2"/>
  <c r="R130" i="2"/>
  <c r="R55" i="4"/>
  <c r="R74" i="2"/>
  <c r="R126" i="2"/>
  <c r="R51" i="4"/>
  <c r="R66" i="2"/>
  <c r="R96" i="2"/>
  <c r="R87" i="2"/>
  <c r="R139" i="2"/>
  <c r="R64" i="4"/>
  <c r="R84" i="2"/>
  <c r="R136" i="2"/>
  <c r="R61" i="4"/>
  <c r="R83" i="2"/>
  <c r="R79" i="2"/>
  <c r="R131" i="2"/>
  <c r="R56" i="4"/>
  <c r="R75" i="2"/>
  <c r="R127" i="2"/>
  <c r="R52" i="4"/>
  <c r="R71" i="2"/>
  <c r="P71" i="2"/>
  <c r="R67" i="2"/>
  <c r="V101" i="2"/>
  <c r="V153" i="2"/>
  <c r="V78" i="4"/>
  <c r="V97" i="2"/>
  <c r="V93" i="2"/>
  <c r="V145" i="2"/>
  <c r="V70" i="4"/>
  <c r="V89" i="2"/>
  <c r="V141" i="2"/>
  <c r="V85" i="2"/>
  <c r="V102" i="2"/>
  <c r="V154" i="2"/>
  <c r="V98" i="2"/>
  <c r="V94" i="2"/>
  <c r="V90" i="2"/>
  <c r="V99" i="2"/>
  <c r="V151" i="2"/>
  <c r="V76" i="4"/>
  <c r="V91" i="2"/>
  <c r="V143" i="2"/>
  <c r="U143" i="2"/>
  <c r="V92" i="2"/>
  <c r="V86" i="2"/>
  <c r="U86" i="2"/>
  <c r="V81" i="2"/>
  <c r="V133" i="2"/>
  <c r="U133" i="2"/>
  <c r="V77" i="2"/>
  <c r="U77" i="2"/>
  <c r="V73" i="2"/>
  <c r="U73" i="2"/>
  <c r="V69" i="2"/>
  <c r="V121" i="2"/>
  <c r="V96" i="2"/>
  <c r="V148" i="2"/>
  <c r="V82" i="2"/>
  <c r="V134" i="2"/>
  <c r="V59" i="4"/>
  <c r="V78" i="2"/>
  <c r="V74" i="2"/>
  <c r="V126" i="2"/>
  <c r="U126" i="2"/>
  <c r="U51" i="4"/>
  <c r="V66" i="2"/>
  <c r="V100" i="2"/>
  <c r="V152" i="2"/>
  <c r="U152" i="2"/>
  <c r="V88" i="2"/>
  <c r="V83" i="2"/>
  <c r="U83" i="2"/>
  <c r="V79" i="2"/>
  <c r="U79" i="2"/>
  <c r="V75" i="2"/>
  <c r="U75" i="2"/>
  <c r="V71" i="2"/>
  <c r="V67" i="2"/>
  <c r="V119" i="2"/>
  <c r="V44" i="4"/>
  <c r="F59" i="2"/>
  <c r="F111" i="2"/>
  <c r="F36" i="4"/>
  <c r="J59" i="2"/>
  <c r="J111" i="2"/>
  <c r="J36" i="4"/>
  <c r="N59" i="2"/>
  <c r="N111" i="2"/>
  <c r="N36" i="4"/>
  <c r="R59" i="2"/>
  <c r="V59" i="2"/>
  <c r="U59" i="2"/>
  <c r="R64" i="2"/>
  <c r="R116" i="2"/>
  <c r="R41" i="4"/>
  <c r="V68" i="2"/>
  <c r="V120" i="2"/>
  <c r="M108" i="2"/>
  <c r="M33" i="4"/>
  <c r="F57" i="2"/>
  <c r="J57" i="2"/>
  <c r="J109" i="2"/>
  <c r="J34" i="4"/>
  <c r="N57" i="2"/>
  <c r="N109" i="2"/>
  <c r="N34" i="4"/>
  <c r="R57" i="2"/>
  <c r="R109" i="2"/>
  <c r="R34" i="4"/>
  <c r="V57" i="2"/>
  <c r="V109" i="2"/>
  <c r="V34" i="4"/>
  <c r="F61" i="2"/>
  <c r="F113" i="2"/>
  <c r="F38" i="4"/>
  <c r="J61" i="2"/>
  <c r="N61" i="2"/>
  <c r="N113" i="2"/>
  <c r="N38" i="4"/>
  <c r="R61" i="2"/>
  <c r="V61" i="2"/>
  <c r="R63" i="2"/>
  <c r="R115" i="2"/>
  <c r="R40" i="4"/>
  <c r="W63" i="2"/>
  <c r="W115" i="2"/>
  <c r="W40" i="4"/>
  <c r="F64" i="2"/>
  <c r="F116" i="2"/>
  <c r="F41" i="4"/>
  <c r="L64" i="2"/>
  <c r="L116" i="2"/>
  <c r="L41" i="4"/>
  <c r="L66" i="2"/>
  <c r="L118" i="2"/>
  <c r="L43" i="4"/>
  <c r="E67" i="2"/>
  <c r="E119" i="2"/>
  <c r="E44" i="4"/>
  <c r="G69" i="2"/>
  <c r="G121" i="2"/>
  <c r="G46" i="4"/>
  <c r="W69" i="2"/>
  <c r="W121" i="2"/>
  <c r="W46" i="4"/>
  <c r="I71" i="2"/>
  <c r="H71" i="2"/>
  <c r="Y71" i="2"/>
  <c r="Y95" i="2"/>
  <c r="R72" i="2"/>
  <c r="K73" i="2"/>
  <c r="K125" i="2"/>
  <c r="K50" i="4"/>
  <c r="D74" i="2"/>
  <c r="D126" i="2"/>
  <c r="D51" i="4"/>
  <c r="T74" i="2"/>
  <c r="P74" i="2"/>
  <c r="M75" i="2"/>
  <c r="M127" i="2"/>
  <c r="M52" i="4"/>
  <c r="F76" i="2"/>
  <c r="F128" i="2"/>
  <c r="F53" i="4"/>
  <c r="V76" i="2"/>
  <c r="O77" i="2"/>
  <c r="O129" i="2"/>
  <c r="O54" i="4"/>
  <c r="X78" i="2"/>
  <c r="X130" i="2"/>
  <c r="X55" i="4"/>
  <c r="Q79" i="2"/>
  <c r="J80" i="2"/>
  <c r="J132" i="2"/>
  <c r="J57" i="4"/>
  <c r="S81" i="2"/>
  <c r="S133" i="2"/>
  <c r="L82" i="2"/>
  <c r="H82" i="2"/>
  <c r="E83" i="2"/>
  <c r="O85" i="2"/>
  <c r="O137" i="2"/>
  <c r="M86" i="2"/>
  <c r="K87" i="2"/>
  <c r="J88" i="2"/>
  <c r="J140" i="2"/>
  <c r="J65" i="4"/>
  <c r="O89" i="2"/>
  <c r="O141" i="2"/>
  <c r="O66" i="4"/>
  <c r="J92" i="2"/>
  <c r="H92" i="2"/>
  <c r="W97" i="2"/>
  <c r="W149" i="2"/>
  <c r="W74" i="4"/>
  <c r="R100" i="2"/>
  <c r="P100" i="2"/>
  <c r="X72" i="1"/>
  <c r="X11" i="4"/>
  <c r="I66" i="1"/>
  <c r="I5" i="4"/>
  <c r="Q5" i="4"/>
  <c r="U5" i="4"/>
  <c r="U67" i="1"/>
  <c r="U6" i="4"/>
  <c r="S34" i="1"/>
  <c r="S33" i="1"/>
  <c r="S64" i="1"/>
  <c r="S3" i="4"/>
  <c r="P11" i="4"/>
  <c r="O41" i="1"/>
  <c r="O72" i="1"/>
  <c r="O11" i="4"/>
  <c r="U17" i="4"/>
  <c r="T47" i="1"/>
  <c r="T78" i="1"/>
  <c r="T17" i="4"/>
  <c r="U81" i="1"/>
  <c r="U20" i="4"/>
  <c r="T50" i="1"/>
  <c r="T81" i="1"/>
  <c r="T20" i="4"/>
  <c r="U84" i="1"/>
  <c r="U23" i="4"/>
  <c r="T53" i="1"/>
  <c r="T84" i="1"/>
  <c r="T23" i="4"/>
  <c r="P89" i="1"/>
  <c r="P28" i="4"/>
  <c r="O59" i="1"/>
  <c r="O89" i="1"/>
  <c r="O28" i="4"/>
  <c r="E66" i="1"/>
  <c r="E5" i="4"/>
  <c r="M66" i="1"/>
  <c r="M5" i="4"/>
  <c r="O86" i="1"/>
  <c r="O25" i="4"/>
  <c r="H89" i="1"/>
  <c r="H28" i="4"/>
  <c r="G59" i="1"/>
  <c r="G89" i="1"/>
  <c r="G28" i="4"/>
  <c r="T38" i="1"/>
  <c r="T69" i="1"/>
  <c r="T8" i="4"/>
  <c r="T43" i="1"/>
  <c r="T74" i="1"/>
  <c r="T13" i="4"/>
  <c r="T51" i="1"/>
  <c r="T86" i="1"/>
  <c r="T25" i="4"/>
  <c r="G42" i="1"/>
  <c r="G73" i="1"/>
  <c r="G12" i="4"/>
  <c r="O42" i="1"/>
  <c r="O73" i="1"/>
  <c r="O12" i="4"/>
  <c r="O50" i="1"/>
  <c r="O81" i="1"/>
  <c r="O20" i="4"/>
  <c r="M65" i="2"/>
  <c r="G86" i="1"/>
  <c r="G25" i="4"/>
  <c r="O65" i="2"/>
  <c r="H60" i="2"/>
  <c r="R15" i="4"/>
  <c r="Q65" i="2"/>
  <c r="P37" i="4"/>
  <c r="L108" i="2"/>
  <c r="L33" i="4"/>
  <c r="W95" i="2"/>
  <c r="S118" i="2"/>
  <c r="S43" i="4"/>
  <c r="O123" i="2"/>
  <c r="O48" i="4"/>
  <c r="O144" i="2"/>
  <c r="O69" i="4"/>
  <c r="K118" i="2"/>
  <c r="K43" i="4"/>
  <c r="G123" i="2"/>
  <c r="G48" i="4"/>
  <c r="G148" i="2"/>
  <c r="G73" i="4"/>
  <c r="G103" i="2"/>
  <c r="N148" i="2"/>
  <c r="N73" i="4"/>
  <c r="O113" i="2"/>
  <c r="O38" i="4"/>
  <c r="V108" i="2"/>
  <c r="V33" i="4"/>
  <c r="U56" i="2"/>
  <c r="Y103" i="2"/>
  <c r="Q116" i="2"/>
  <c r="Q149" i="2"/>
  <c r="Q74" i="4"/>
  <c r="P97" i="2"/>
  <c r="I116" i="2"/>
  <c r="I41" i="4"/>
  <c r="I153" i="2"/>
  <c r="I78" i="4"/>
  <c r="H101" i="2"/>
  <c r="X123" i="2"/>
  <c r="X48" i="4"/>
  <c r="X148" i="2"/>
  <c r="X73" i="4"/>
  <c r="X103" i="2"/>
  <c r="D148" i="2"/>
  <c r="D73" i="4"/>
  <c r="V127" i="2"/>
  <c r="V52" i="4"/>
  <c r="U82" i="2"/>
  <c r="U91" i="2"/>
  <c r="V150" i="2"/>
  <c r="R123" i="2"/>
  <c r="R48" i="4"/>
  <c r="F123" i="2"/>
  <c r="F48" i="4"/>
  <c r="Q143" i="2"/>
  <c r="Q68" i="4"/>
  <c r="Q119" i="2"/>
  <c r="Q44" i="4"/>
  <c r="V110" i="2"/>
  <c r="V35" i="4"/>
  <c r="W118" i="2"/>
  <c r="W43" i="4"/>
  <c r="O124" i="2"/>
  <c r="O49" i="4"/>
  <c r="O119" i="2"/>
  <c r="O44" i="4"/>
  <c r="O135" i="2"/>
  <c r="O60" i="4"/>
  <c r="O130" i="2"/>
  <c r="O55" i="4"/>
  <c r="O145" i="2"/>
  <c r="O70" i="4"/>
  <c r="O143" i="2"/>
  <c r="O68" i="4"/>
  <c r="O146" i="2"/>
  <c r="O71" i="4"/>
  <c r="K123" i="2"/>
  <c r="V139" i="2"/>
  <c r="U139" i="2"/>
  <c r="U64" i="4"/>
  <c r="Q127" i="2"/>
  <c r="P127" i="2"/>
  <c r="P52" i="4"/>
  <c r="W65" i="2"/>
  <c r="V112" i="2"/>
  <c r="U60" i="2"/>
  <c r="P58" i="2"/>
  <c r="J108" i="2"/>
  <c r="J33" i="4"/>
  <c r="Q126" i="2"/>
  <c r="Q51" i="4"/>
  <c r="Q125" i="2"/>
  <c r="Q50" i="4"/>
  <c r="P73" i="2"/>
  <c r="Q151" i="2"/>
  <c r="P151" i="2"/>
  <c r="P99" i="2"/>
  <c r="Q128" i="2"/>
  <c r="Q53" i="4"/>
  <c r="P76" i="2"/>
  <c r="Q146" i="2"/>
  <c r="Q71" i="4"/>
  <c r="Q145" i="2"/>
  <c r="Q70" i="4"/>
  <c r="P93" i="2"/>
  <c r="Q140" i="2"/>
  <c r="P140" i="2"/>
  <c r="P65" i="4"/>
  <c r="P88" i="2"/>
  <c r="M118" i="2"/>
  <c r="M43" i="4"/>
  <c r="M70" i="2"/>
  <c r="M148" i="2"/>
  <c r="M73" i="4"/>
  <c r="M103" i="2"/>
  <c r="I130" i="2"/>
  <c r="I55" i="4"/>
  <c r="H78" i="2"/>
  <c r="I125" i="2"/>
  <c r="I50" i="4"/>
  <c r="I143" i="2"/>
  <c r="I68" i="4"/>
  <c r="H76" i="2"/>
  <c r="I150" i="2"/>
  <c r="I75" i="4"/>
  <c r="I149" i="2"/>
  <c r="I74" i="4"/>
  <c r="I144" i="2"/>
  <c r="I69" i="4"/>
  <c r="E148" i="2"/>
  <c r="E103" i="2"/>
  <c r="T123" i="2"/>
  <c r="T48" i="4"/>
  <c r="D123" i="2"/>
  <c r="V131" i="2"/>
  <c r="V56" i="4"/>
  <c r="U102" i="2"/>
  <c r="N123" i="2"/>
  <c r="N48" i="4"/>
  <c r="Q113" i="2"/>
  <c r="Q38" i="4"/>
  <c r="O149" i="2"/>
  <c r="O74" i="4"/>
  <c r="O151" i="2"/>
  <c r="O76" i="4"/>
  <c r="V136" i="2"/>
  <c r="M123" i="2"/>
  <c r="M48" i="4"/>
  <c r="Q129" i="2"/>
  <c r="Q54" i="4"/>
  <c r="Q150" i="2"/>
  <c r="Q75" i="4"/>
  <c r="I129" i="2"/>
  <c r="I54" i="4"/>
  <c r="I154" i="2"/>
  <c r="I79" i="4"/>
  <c r="H102" i="2"/>
  <c r="V135" i="2"/>
  <c r="U135" i="2"/>
  <c r="U60" i="4"/>
  <c r="V138" i="2"/>
  <c r="V63" i="4"/>
  <c r="V142" i="2"/>
  <c r="V67" i="4"/>
  <c r="V137" i="2"/>
  <c r="U137" i="2"/>
  <c r="U62" i="4"/>
  <c r="U85" i="2"/>
  <c r="U101" i="2"/>
  <c r="R148" i="2"/>
  <c r="R73" i="4"/>
  <c r="F118" i="2"/>
  <c r="F43" i="4"/>
  <c r="F148" i="2"/>
  <c r="F73" i="4"/>
  <c r="F103" i="2"/>
  <c r="I127" i="2"/>
  <c r="I52" i="4"/>
  <c r="V115" i="2"/>
  <c r="Q109" i="2"/>
  <c r="P57" i="2"/>
  <c r="X108" i="2"/>
  <c r="X33" i="4"/>
  <c r="X65" i="2"/>
  <c r="W148" i="2"/>
  <c r="W73" i="4"/>
  <c r="S123" i="2"/>
  <c r="S48" i="4"/>
  <c r="O116" i="2"/>
  <c r="O41" i="4"/>
  <c r="O132" i="2"/>
  <c r="O57" i="4"/>
  <c r="O127" i="2"/>
  <c r="O52" i="4"/>
  <c r="O118" i="2"/>
  <c r="O43" i="4"/>
  <c r="O136" i="2"/>
  <c r="O61" i="4"/>
  <c r="O148" i="2"/>
  <c r="O73" i="4"/>
  <c r="O103" i="2"/>
  <c r="O63" i="4"/>
  <c r="O154" i="2"/>
  <c r="O79" i="4"/>
  <c r="Q139" i="2"/>
  <c r="Q64" i="4"/>
  <c r="P87" i="2"/>
  <c r="O125" i="2"/>
  <c r="O50" i="4"/>
  <c r="Q111" i="2"/>
  <c r="Q36" i="4"/>
  <c r="H58" i="2"/>
  <c r="O109" i="2"/>
  <c r="O34" i="4"/>
  <c r="R108" i="2"/>
  <c r="R33" i="4"/>
  <c r="Q134" i="2"/>
  <c r="Q59" i="4"/>
  <c r="Q133" i="2"/>
  <c r="Q58" i="4"/>
  <c r="Q138" i="2"/>
  <c r="Q63" i="4"/>
  <c r="Q154" i="2"/>
  <c r="Q79" i="4"/>
  <c r="P102" i="2"/>
  <c r="Q153" i="2"/>
  <c r="Q78" i="4"/>
  <c r="Q148" i="2"/>
  <c r="Q73" i="4"/>
  <c r="P96" i="2"/>
  <c r="I118" i="2"/>
  <c r="I43" i="4"/>
  <c r="I138" i="2"/>
  <c r="I63" i="4"/>
  <c r="I133" i="2"/>
  <c r="H81" i="2"/>
  <c r="I142" i="2"/>
  <c r="I67" i="4"/>
  <c r="H90" i="2"/>
  <c r="I141" i="2"/>
  <c r="I66" i="4"/>
  <c r="H89" i="2"/>
  <c r="I136" i="2"/>
  <c r="H136" i="2"/>
  <c r="H61" i="4"/>
  <c r="H84" i="2"/>
  <c r="I152" i="2"/>
  <c r="I77" i="4"/>
  <c r="H100" i="2"/>
  <c r="L148" i="2"/>
  <c r="L73" i="4"/>
  <c r="L103" i="2"/>
  <c r="V73" i="4"/>
  <c r="V149" i="2"/>
  <c r="V74" i="4"/>
  <c r="X118" i="2"/>
  <c r="X43" i="4"/>
  <c r="O111" i="2"/>
  <c r="O36" i="4"/>
  <c r="S148" i="2"/>
  <c r="S73" i="4"/>
  <c r="O128" i="2"/>
  <c r="O53" i="4"/>
  <c r="O134" i="2"/>
  <c r="O59" i="4"/>
  <c r="O150" i="2"/>
  <c r="O75" i="4"/>
  <c r="H62" i="2"/>
  <c r="F108" i="2"/>
  <c r="F33" i="4"/>
  <c r="Q130" i="2"/>
  <c r="P130" i="2"/>
  <c r="P55" i="4"/>
  <c r="P78" i="2"/>
  <c r="Q132" i="2"/>
  <c r="Q57" i="4"/>
  <c r="P80" i="2"/>
  <c r="Q144" i="2"/>
  <c r="Q69" i="4"/>
  <c r="I134" i="2"/>
  <c r="I59" i="4"/>
  <c r="I132" i="2"/>
  <c r="I57" i="4"/>
  <c r="I148" i="2"/>
  <c r="I73" i="4"/>
  <c r="H96" i="2"/>
  <c r="I103" i="2"/>
  <c r="O62" i="4"/>
  <c r="V111" i="2"/>
  <c r="U111" i="2"/>
  <c r="U36" i="4"/>
  <c r="R118" i="2"/>
  <c r="R43" i="4"/>
  <c r="N43" i="4"/>
  <c r="J123" i="2"/>
  <c r="J48" i="4"/>
  <c r="J148" i="2"/>
  <c r="J73" i="4"/>
  <c r="J103" i="2"/>
  <c r="I137" i="2"/>
  <c r="I62" i="4"/>
  <c r="H85" i="2"/>
  <c r="O58" i="4"/>
  <c r="U64" i="2"/>
  <c r="Q115" i="2"/>
  <c r="Q40" i="4"/>
  <c r="V114" i="2"/>
  <c r="U62" i="2"/>
  <c r="I113" i="2"/>
  <c r="I38" i="4"/>
  <c r="P60" i="2"/>
  <c r="T65" i="2"/>
  <c r="D108" i="2"/>
  <c r="D33" i="4"/>
  <c r="O153" i="2"/>
  <c r="O78" i="4"/>
  <c r="O131" i="2"/>
  <c r="O56" i="4"/>
  <c r="O126" i="2"/>
  <c r="O51" i="4"/>
  <c r="O139" i="2"/>
  <c r="O64" i="4"/>
  <c r="O152" i="2"/>
  <c r="O77" i="4"/>
  <c r="O142" i="2"/>
  <c r="O67" i="4"/>
  <c r="K148" i="2"/>
  <c r="K73" i="4"/>
  <c r="K103" i="2"/>
  <c r="G118" i="2"/>
  <c r="G43" i="4"/>
  <c r="H99" i="2"/>
  <c r="I135" i="2"/>
  <c r="I60" i="4"/>
  <c r="H83" i="2"/>
  <c r="V124" i="2"/>
  <c r="U72" i="2"/>
  <c r="I119" i="2"/>
  <c r="I44" i="4"/>
  <c r="H67" i="2"/>
  <c r="I115" i="2"/>
  <c r="I40" i="4"/>
  <c r="H63" i="2"/>
  <c r="P62" i="2"/>
  <c r="N108" i="2"/>
  <c r="N33" i="4"/>
  <c r="Q118" i="2"/>
  <c r="Q43" i="4"/>
  <c r="Q121" i="2"/>
  <c r="P121" i="2"/>
  <c r="P46" i="4"/>
  <c r="P69" i="2"/>
  <c r="Q137" i="2"/>
  <c r="Q62" i="4"/>
  <c r="P85" i="2"/>
  <c r="Q124" i="2"/>
  <c r="Q49" i="4"/>
  <c r="Q142" i="2"/>
  <c r="P90" i="2"/>
  <c r="Q141" i="2"/>
  <c r="Q66" i="4"/>
  <c r="P89" i="2"/>
  <c r="Q136" i="2"/>
  <c r="Q61" i="4"/>
  <c r="Q152" i="2"/>
  <c r="Q77" i="4"/>
  <c r="I126" i="2"/>
  <c r="H74" i="2"/>
  <c r="I121" i="2"/>
  <c r="I46" i="4"/>
  <c r="H69" i="2"/>
  <c r="I139" i="2"/>
  <c r="I64" i="4"/>
  <c r="I124" i="2"/>
  <c r="I49" i="4"/>
  <c r="I146" i="2"/>
  <c r="I71" i="4"/>
  <c r="H94" i="2"/>
  <c r="I145" i="2"/>
  <c r="I70" i="4"/>
  <c r="H93" i="2"/>
  <c r="I140" i="2"/>
  <c r="E118" i="2"/>
  <c r="E43" i="4"/>
  <c r="T148" i="2"/>
  <c r="T73" i="4"/>
  <c r="T103" i="2"/>
  <c r="L123" i="2"/>
  <c r="L48" i="4"/>
  <c r="J45" i="1"/>
  <c r="J76" i="1"/>
  <c r="J15" i="4"/>
  <c r="T33" i="4"/>
  <c r="I61" i="4"/>
  <c r="W48" i="4"/>
  <c r="U151" i="2"/>
  <c r="U76" i="4"/>
  <c r="I51" i="4"/>
  <c r="J43" i="4"/>
  <c r="I58" i="4"/>
  <c r="V46" i="4"/>
  <c r="I36" i="4"/>
  <c r="K48" i="4"/>
  <c r="Q41" i="4"/>
  <c r="V41" i="4"/>
  <c r="V66" i="4"/>
  <c r="Q34" i="4"/>
  <c r="V61" i="4"/>
  <c r="Q60" i="4"/>
  <c r="U58" i="4"/>
  <c r="V58" i="4"/>
  <c r="D48" i="4"/>
  <c r="I53" i="4"/>
  <c r="P76" i="4"/>
  <c r="U68" i="4"/>
  <c r="V68" i="4"/>
  <c r="U77" i="4"/>
  <c r="V45" i="4"/>
  <c r="B86" i="1"/>
  <c r="B25" i="4"/>
  <c r="B29" i="1"/>
  <c r="F41" i="1"/>
  <c r="M45" i="1"/>
  <c r="M76" i="1"/>
  <c r="M15" i="4"/>
  <c r="E229" i="3"/>
  <c r="R39" i="4"/>
  <c r="P114" i="2"/>
  <c r="P39" i="4"/>
  <c r="E221" i="3"/>
  <c r="N68" i="2"/>
  <c r="Q46" i="4"/>
  <c r="H39" i="1"/>
  <c r="V36" i="4"/>
  <c r="U63" i="2"/>
  <c r="V62" i="4"/>
  <c r="L155" i="2"/>
  <c r="L80" i="4"/>
  <c r="U154" i="2"/>
  <c r="U79" i="4"/>
  <c r="V79" i="4"/>
  <c r="E230" i="3"/>
  <c r="E218" i="3"/>
  <c r="V64" i="4"/>
  <c r="H121" i="2"/>
  <c r="H46" i="4"/>
  <c r="V77" i="4"/>
  <c r="U93" i="2"/>
  <c r="H64" i="2"/>
  <c r="E222" i="3"/>
  <c r="V60" i="4"/>
  <c r="U58" i="2"/>
  <c r="L95" i="2"/>
  <c r="R111" i="2"/>
  <c r="R36" i="4"/>
  <c r="P59" i="2"/>
  <c r="U124" i="2"/>
  <c r="U49" i="4"/>
  <c r="V49" i="4"/>
  <c r="U112" i="2"/>
  <c r="U37" i="4"/>
  <c r="V37" i="4"/>
  <c r="V51" i="4"/>
  <c r="H140" i="2"/>
  <c r="H65" i="4"/>
  <c r="I65" i="4"/>
  <c r="Q65" i="4"/>
  <c r="P115" i="2"/>
  <c r="P40" i="4"/>
  <c r="H88" i="2"/>
  <c r="C213" i="3"/>
  <c r="E213" i="3"/>
  <c r="U150" i="2"/>
  <c r="U75" i="4"/>
  <c r="T39" i="1"/>
  <c r="T70" i="1"/>
  <c r="T9" i="4"/>
  <c r="H114" i="2"/>
  <c r="H39" i="4"/>
  <c r="C148" i="3"/>
  <c r="E156" i="3"/>
  <c r="E41" i="1"/>
  <c r="E72" i="1"/>
  <c r="E11" i="4"/>
  <c r="V75" i="4"/>
  <c r="Q76" i="4"/>
  <c r="Q55" i="4"/>
  <c r="P81" i="2"/>
  <c r="T37" i="4"/>
  <c r="D99" i="2"/>
  <c r="D38" i="1"/>
  <c r="D69" i="1"/>
  <c r="D8" i="4"/>
  <c r="G36" i="1"/>
  <c r="G67" i="1"/>
  <c r="G6" i="4"/>
  <c r="F89" i="2"/>
  <c r="F141" i="2"/>
  <c r="F66" i="4"/>
  <c r="F74" i="2"/>
  <c r="F126" i="2"/>
  <c r="F51" i="4"/>
  <c r="T37" i="1"/>
  <c r="T68" i="1"/>
  <c r="T7" i="4"/>
  <c r="E234" i="3"/>
  <c r="E226" i="3"/>
  <c r="S68" i="2"/>
  <c r="E56" i="3"/>
  <c r="U115" i="2"/>
  <c r="U40" i="4"/>
  <c r="V40" i="4"/>
  <c r="P142" i="2"/>
  <c r="P67" i="4"/>
  <c r="Q67" i="4"/>
  <c r="U114" i="2"/>
  <c r="U39" i="4"/>
  <c r="V39" i="4"/>
  <c r="E155" i="2"/>
  <c r="E80" i="4"/>
  <c r="E73" i="4"/>
  <c r="Q52" i="4"/>
  <c r="X95" i="2"/>
  <c r="R152" i="2"/>
  <c r="R77" i="4"/>
  <c r="R103" i="2"/>
  <c r="H146" i="2"/>
  <c r="H71" i="4"/>
  <c r="N71" i="4"/>
  <c r="P133" i="2"/>
  <c r="P58" i="4"/>
  <c r="S58" i="4"/>
  <c r="U61" i="2"/>
  <c r="V113" i="2"/>
  <c r="U84" i="2"/>
  <c r="N39" i="4"/>
  <c r="U57" i="2"/>
  <c r="H57" i="2"/>
  <c r="C57" i="2"/>
  <c r="T117" i="2"/>
  <c r="T42" i="4"/>
  <c r="S103" i="2"/>
  <c r="U67" i="2"/>
  <c r="U74" i="2"/>
  <c r="U87" i="2"/>
  <c r="Q103" i="2"/>
  <c r="P110" i="2"/>
  <c r="P35" i="4"/>
  <c r="T42" i="1"/>
  <c r="T73" i="1"/>
  <c r="T12" i="4"/>
  <c r="V70" i="2"/>
  <c r="H128" i="2"/>
  <c r="H53" i="4"/>
  <c r="H97" i="2"/>
  <c r="K110" i="2"/>
  <c r="K35" i="4"/>
  <c r="K65" i="2"/>
  <c r="O37" i="1"/>
  <c r="O68" i="1"/>
  <c r="O7" i="4"/>
  <c r="R68" i="1"/>
  <c r="R7" i="4"/>
  <c r="E71" i="2"/>
  <c r="E123" i="2"/>
  <c r="E48" i="4"/>
  <c r="V103" i="2"/>
  <c r="P86" i="2"/>
  <c r="P94" i="2"/>
  <c r="I109" i="2"/>
  <c r="I34" i="4"/>
  <c r="P91" i="2"/>
  <c r="P64" i="2"/>
  <c r="V118" i="2"/>
  <c r="V43" i="4"/>
  <c r="P75" i="2"/>
  <c r="H137" i="2"/>
  <c r="H62" i="4"/>
  <c r="I108" i="2"/>
  <c r="H56" i="2"/>
  <c r="C75" i="3"/>
  <c r="E78" i="3"/>
  <c r="M46" i="1"/>
  <c r="M77" i="1"/>
  <c r="M16" i="4"/>
  <c r="F46" i="1"/>
  <c r="F77" i="1"/>
  <c r="F16" i="4"/>
  <c r="X68" i="2"/>
  <c r="F68" i="2"/>
  <c r="G68" i="2"/>
  <c r="G120" i="2"/>
  <c r="L68" i="2"/>
  <c r="L120" i="2"/>
  <c r="L45" i="4"/>
  <c r="Q68" i="2"/>
  <c r="Y68" i="2"/>
  <c r="Y70" i="2"/>
  <c r="R68" i="2"/>
  <c r="R120" i="2"/>
  <c r="R45" i="4"/>
  <c r="W68" i="2"/>
  <c r="P84" i="2"/>
  <c r="I65" i="2"/>
  <c r="U96" i="2"/>
  <c r="H75" i="2"/>
  <c r="U90" i="2"/>
  <c r="U81" i="2"/>
  <c r="V129" i="2"/>
  <c r="U108" i="2"/>
  <c r="U33" i="4"/>
  <c r="U99" i="2"/>
  <c r="C99" i="2"/>
  <c r="H118" i="2"/>
  <c r="H43" i="4"/>
  <c r="V146" i="2"/>
  <c r="U94" i="2"/>
  <c r="R134" i="2"/>
  <c r="R59" i="4"/>
  <c r="P82" i="2"/>
  <c r="C82" i="2"/>
  <c r="R144" i="2"/>
  <c r="H68" i="1"/>
  <c r="H7" i="4"/>
  <c r="H34" i="1"/>
  <c r="H65" i="1"/>
  <c r="H4" i="4"/>
  <c r="G53" i="1"/>
  <c r="G84" i="1"/>
  <c r="G23" i="4"/>
  <c r="L84" i="1"/>
  <c r="L23" i="4"/>
  <c r="E271" i="3"/>
  <c r="S45" i="1"/>
  <c r="S76" i="1"/>
  <c r="S15" i="4"/>
  <c r="C208" i="3"/>
  <c r="E208" i="3"/>
  <c r="D45" i="1"/>
  <c r="D76" i="1"/>
  <c r="D15" i="4"/>
  <c r="E232" i="3"/>
  <c r="C204" i="3"/>
  <c r="E204" i="3"/>
  <c r="E228" i="3"/>
  <c r="C200" i="3"/>
  <c r="E200" i="3"/>
  <c r="E224" i="3"/>
  <c r="C196" i="3"/>
  <c r="E196" i="3"/>
  <c r="E220" i="3"/>
  <c r="C100" i="3"/>
  <c r="E100" i="3"/>
  <c r="U66" i="2"/>
  <c r="U100" i="2"/>
  <c r="C100" i="2"/>
  <c r="U98" i="2"/>
  <c r="R119" i="2"/>
  <c r="P67" i="2"/>
  <c r="C67" i="2"/>
  <c r="T150" i="2"/>
  <c r="P98" i="2"/>
  <c r="R66" i="1"/>
  <c r="R5" i="4"/>
  <c r="R34" i="1"/>
  <c r="R65" i="1"/>
  <c r="R4" i="4"/>
  <c r="Q67" i="1"/>
  <c r="Q6" i="4"/>
  <c r="Q34" i="1"/>
  <c r="Q65" i="1"/>
  <c r="Q4" i="4"/>
  <c r="O40" i="1"/>
  <c r="C41" i="1"/>
  <c r="C72" i="1"/>
  <c r="C11" i="4"/>
  <c r="H110" i="2"/>
  <c r="H35" i="4"/>
  <c r="H153" i="2"/>
  <c r="H78" i="4"/>
  <c r="U145" i="2"/>
  <c r="U70" i="4"/>
  <c r="P138" i="2"/>
  <c r="P63" i="4"/>
  <c r="P139" i="2"/>
  <c r="P64" i="4"/>
  <c r="P109" i="2"/>
  <c r="P34" i="4"/>
  <c r="U142" i="2"/>
  <c r="U67" i="4"/>
  <c r="H130" i="2"/>
  <c r="H55" i="4"/>
  <c r="P145" i="2"/>
  <c r="P70" i="4"/>
  <c r="P128" i="2"/>
  <c r="P53" i="4"/>
  <c r="X155" i="2"/>
  <c r="X80" i="4"/>
  <c r="X117" i="2"/>
  <c r="X42" i="4"/>
  <c r="G50" i="1"/>
  <c r="G81" i="1"/>
  <c r="G20" i="4"/>
  <c r="H41" i="1"/>
  <c r="H72" i="1"/>
  <c r="H11" i="4"/>
  <c r="I41" i="1"/>
  <c r="I72" i="1"/>
  <c r="I11" i="4"/>
  <c r="C271" i="3"/>
  <c r="C165" i="3"/>
  <c r="E114" i="2"/>
  <c r="E39" i="4"/>
  <c r="C62" i="2"/>
  <c r="X147" i="2"/>
  <c r="X72" i="4"/>
  <c r="G114" i="2"/>
  <c r="G65" i="2"/>
  <c r="L113" i="2"/>
  <c r="L38" i="4"/>
  <c r="L65" i="2"/>
  <c r="V132" i="2"/>
  <c r="U80" i="2"/>
  <c r="H127" i="2"/>
  <c r="H52" i="4"/>
  <c r="U153" i="2"/>
  <c r="U78" i="4"/>
  <c r="N124" i="2"/>
  <c r="H72" i="2"/>
  <c r="N95" i="2"/>
  <c r="H61" i="2"/>
  <c r="H145" i="2"/>
  <c r="H70" i="4"/>
  <c r="U119" i="2"/>
  <c r="U44" i="4"/>
  <c r="G81" i="2"/>
  <c r="H119" i="2"/>
  <c r="H44" i="4"/>
  <c r="U110" i="2"/>
  <c r="U35" i="4"/>
  <c r="P143" i="2"/>
  <c r="P68" i="4"/>
  <c r="U127" i="2"/>
  <c r="U52" i="4"/>
  <c r="H66" i="2"/>
  <c r="H149" i="2"/>
  <c r="H74" i="4"/>
  <c r="M122" i="2"/>
  <c r="M47" i="4"/>
  <c r="P125" i="2"/>
  <c r="P50" i="4"/>
  <c r="P116" i="2"/>
  <c r="P41" i="4"/>
  <c r="T155" i="2"/>
  <c r="T80" i="4"/>
  <c r="N65" i="2"/>
  <c r="H115" i="2"/>
  <c r="G70" i="2"/>
  <c r="J95" i="2"/>
  <c r="H80" i="2"/>
  <c r="U149" i="2"/>
  <c r="U74" i="4"/>
  <c r="P154" i="2"/>
  <c r="P79" i="4"/>
  <c r="C58" i="2"/>
  <c r="H73" i="2"/>
  <c r="C73" i="2"/>
  <c r="P123" i="2"/>
  <c r="P48" i="4"/>
  <c r="V65" i="2"/>
  <c r="O147" i="2"/>
  <c r="O72" i="4"/>
  <c r="M95" i="2"/>
  <c r="M104" i="2"/>
  <c r="P134" i="2"/>
  <c r="P59" i="4"/>
  <c r="P149" i="2"/>
  <c r="P74" i="4"/>
  <c r="P132" i="2"/>
  <c r="P57" i="4"/>
  <c r="K117" i="2"/>
  <c r="K42" i="4"/>
  <c r="L122" i="2"/>
  <c r="L47" i="4"/>
  <c r="I123" i="2"/>
  <c r="Q117" i="2"/>
  <c r="Q42" i="4"/>
  <c r="I95" i="2"/>
  <c r="H154" i="2"/>
  <c r="H79" i="4"/>
  <c r="T95" i="2"/>
  <c r="H125" i="2"/>
  <c r="H50" i="4"/>
  <c r="M155" i="2"/>
  <c r="M80" i="4"/>
  <c r="P146" i="2"/>
  <c r="H108" i="2"/>
  <c r="H33" i="4"/>
  <c r="L70" i="2"/>
  <c r="G155" i="2"/>
  <c r="G80" i="4"/>
  <c r="P152" i="2"/>
  <c r="P77" i="4"/>
  <c r="T126" i="2"/>
  <c r="T147" i="2"/>
  <c r="T72" i="4"/>
  <c r="U116" i="2"/>
  <c r="U41" i="4"/>
  <c r="P136" i="2"/>
  <c r="P61" i="4"/>
  <c r="J155" i="2"/>
  <c r="J80" i="4"/>
  <c r="D79" i="2"/>
  <c r="O53" i="1"/>
  <c r="O47" i="1"/>
  <c r="O78" i="1"/>
  <c r="O17" i="4"/>
  <c r="G37" i="1"/>
  <c r="G68" i="1"/>
  <c r="G7" i="4"/>
  <c r="G35" i="1"/>
  <c r="G66" i="1"/>
  <c r="G5" i="4"/>
  <c r="U73" i="1"/>
  <c r="U12" i="4"/>
  <c r="U70" i="1"/>
  <c r="U9" i="4"/>
  <c r="U68" i="1"/>
  <c r="U7" i="4"/>
  <c r="U34" i="1"/>
  <c r="U33" i="1"/>
  <c r="O43" i="1"/>
  <c r="O74" i="1"/>
  <c r="O13" i="4"/>
  <c r="I34" i="1"/>
  <c r="I65" i="1"/>
  <c r="I4" i="4"/>
  <c r="I67" i="1"/>
  <c r="I6" i="4"/>
  <c r="I81" i="1"/>
  <c r="I20" i="4"/>
  <c r="G47" i="1"/>
  <c r="G78" i="1"/>
  <c r="G17" i="4"/>
  <c r="G48" i="1"/>
  <c r="E34" i="1"/>
  <c r="C34" i="1"/>
  <c r="C65" i="1"/>
  <c r="C4" i="4"/>
  <c r="T36" i="1"/>
  <c r="T67" i="1"/>
  <c r="T6" i="4"/>
  <c r="O35" i="1"/>
  <c r="O66" i="1"/>
  <c r="O5" i="4"/>
  <c r="O38" i="1"/>
  <c r="O69" i="1"/>
  <c r="O8" i="4"/>
  <c r="G51" i="1"/>
  <c r="G82" i="1"/>
  <c r="G21" i="4"/>
  <c r="B50" i="1"/>
  <c r="B81" i="1"/>
  <c r="B20" i="4"/>
  <c r="B42" i="1"/>
  <c r="B73" i="1"/>
  <c r="B12" i="4"/>
  <c r="O39" i="1"/>
  <c r="O70" i="1"/>
  <c r="O9" i="4"/>
  <c r="T48" i="1"/>
  <c r="T79" i="1"/>
  <c r="T18" i="4"/>
  <c r="M34" i="1"/>
  <c r="M65" i="1"/>
  <c r="M4" i="4"/>
  <c r="T35" i="1"/>
  <c r="T66" i="1"/>
  <c r="T5" i="4"/>
  <c r="K34" i="1"/>
  <c r="O36" i="1"/>
  <c r="O67" i="1"/>
  <c r="O6" i="4"/>
  <c r="X33" i="1"/>
  <c r="X49" i="1"/>
  <c r="O48" i="1"/>
  <c r="O79" i="1"/>
  <c r="O18" i="4"/>
  <c r="P111" i="2"/>
  <c r="P36" i="4"/>
  <c r="W155" i="2"/>
  <c r="W80" i="4"/>
  <c r="C90" i="2"/>
  <c r="F95" i="2"/>
  <c r="C64" i="2"/>
  <c r="R113" i="2"/>
  <c r="P61" i="2"/>
  <c r="M44" i="1"/>
  <c r="M75" i="1"/>
  <c r="M14" i="4"/>
  <c r="S65" i="1"/>
  <c r="S4" i="4"/>
  <c r="P141" i="2"/>
  <c r="P66" i="4"/>
  <c r="N117" i="2"/>
  <c r="N42" i="4"/>
  <c r="P148" i="2"/>
  <c r="P73" i="4"/>
  <c r="H142" i="2"/>
  <c r="H67" i="4"/>
  <c r="C102" i="2"/>
  <c r="U69" i="2"/>
  <c r="U136" i="2"/>
  <c r="U61" i="4"/>
  <c r="F147" i="2"/>
  <c r="F72" i="4"/>
  <c r="H116" i="2"/>
  <c r="H41" i="4"/>
  <c r="W147" i="2"/>
  <c r="W72" i="4"/>
  <c r="U138" i="2"/>
  <c r="U63" i="4"/>
  <c r="H112" i="2"/>
  <c r="N67" i="1"/>
  <c r="N6" i="4"/>
  <c r="N34" i="1"/>
  <c r="H126" i="2"/>
  <c r="H51" i="4"/>
  <c r="K155" i="2"/>
  <c r="K80" i="4"/>
  <c r="U131" i="2"/>
  <c r="U56" i="4"/>
  <c r="M138" i="2"/>
  <c r="E135" i="2"/>
  <c r="M117" i="2"/>
  <c r="M42" i="4"/>
  <c r="W117" i="2"/>
  <c r="W42" i="4"/>
  <c r="C84" i="2"/>
  <c r="P137" i="2"/>
  <c r="P62" i="4"/>
  <c r="H135" i="2"/>
  <c r="H60" i="4"/>
  <c r="D117" i="2"/>
  <c r="D42" i="4"/>
  <c r="P63" i="2"/>
  <c r="C63" i="2"/>
  <c r="C137" i="2"/>
  <c r="C62" i="4"/>
  <c r="H132" i="2"/>
  <c r="H57" i="4"/>
  <c r="O117" i="2"/>
  <c r="O42" i="4"/>
  <c r="H152" i="2"/>
  <c r="H77" i="4"/>
  <c r="H141" i="2"/>
  <c r="H66" i="4"/>
  <c r="H133" i="2"/>
  <c r="H58" i="4"/>
  <c r="H59" i="2"/>
  <c r="C59" i="2"/>
  <c r="H151" i="2"/>
  <c r="D34" i="1"/>
  <c r="D68" i="1"/>
  <c r="D7" i="4"/>
  <c r="F68" i="1"/>
  <c r="F7" i="4"/>
  <c r="F34" i="1"/>
  <c r="F65" i="1"/>
  <c r="F4" i="4"/>
  <c r="J74" i="1"/>
  <c r="J13" i="4"/>
  <c r="G43" i="1"/>
  <c r="E225" i="3"/>
  <c r="E75" i="3"/>
  <c r="Y65" i="2"/>
  <c r="C207" i="3"/>
  <c r="E207" i="3"/>
  <c r="C45" i="1"/>
  <c r="E231" i="3"/>
  <c r="C203" i="3"/>
  <c r="E203" i="3"/>
  <c r="N45" i="1"/>
  <c r="E227" i="3"/>
  <c r="O68" i="2"/>
  <c r="C199" i="3"/>
  <c r="E199" i="3"/>
  <c r="E223" i="3"/>
  <c r="C195" i="3"/>
  <c r="E219" i="3"/>
  <c r="U141" i="2"/>
  <c r="P68" i="1"/>
  <c r="P7" i="4"/>
  <c r="P34" i="1"/>
  <c r="P33" i="1"/>
  <c r="O51" i="1"/>
  <c r="O82" i="1"/>
  <c r="O21" i="4"/>
  <c r="Q82" i="1"/>
  <c r="Q21" i="4"/>
  <c r="V89" i="1"/>
  <c r="V28" i="4"/>
  <c r="T59" i="1"/>
  <c r="V72" i="1"/>
  <c r="V11" i="4"/>
  <c r="T41" i="1"/>
  <c r="T72" i="1"/>
  <c r="T11" i="4"/>
  <c r="M41" i="1"/>
  <c r="E148" i="3"/>
  <c r="V45" i="1"/>
  <c r="V76" i="1"/>
  <c r="V15" i="4"/>
  <c r="Q45" i="1"/>
  <c r="W45" i="1"/>
  <c r="F45" i="1"/>
  <c r="P45" i="1"/>
  <c r="P76" i="1"/>
  <c r="P15" i="4"/>
  <c r="U45" i="1"/>
  <c r="E45" i="1"/>
  <c r="K45" i="1"/>
  <c r="C51" i="3"/>
  <c r="I38" i="1"/>
  <c r="I69" i="1"/>
  <c r="I8" i="4"/>
  <c r="C99" i="3"/>
  <c r="J68" i="2"/>
  <c r="E53" i="3"/>
  <c r="V46" i="1"/>
  <c r="V77" i="1"/>
  <c r="V16" i="4"/>
  <c r="K46" i="1"/>
  <c r="K77" i="1"/>
  <c r="K16" i="4"/>
  <c r="Q46" i="1"/>
  <c r="Q77" i="1"/>
  <c r="Q16" i="4"/>
  <c r="E46" i="1"/>
  <c r="E77" i="1"/>
  <c r="E16" i="4"/>
  <c r="U46" i="1"/>
  <c r="U77" i="1"/>
  <c r="U16" i="4"/>
  <c r="P46" i="1"/>
  <c r="R46" i="1"/>
  <c r="R77" i="1"/>
  <c r="R16" i="4"/>
  <c r="W46" i="1"/>
  <c r="W77" i="1"/>
  <c r="W16" i="4"/>
  <c r="S46" i="1"/>
  <c r="L46" i="1"/>
  <c r="T68" i="2"/>
  <c r="T120" i="2"/>
  <c r="T45" i="4"/>
  <c r="H111" i="2"/>
  <c r="P119" i="2"/>
  <c r="P44" i="4"/>
  <c r="U134" i="2"/>
  <c r="U59" i="4"/>
  <c r="J68" i="1"/>
  <c r="J7" i="4"/>
  <c r="J34" i="1"/>
  <c r="J65" i="1"/>
  <c r="J4" i="4"/>
  <c r="E169" i="3"/>
  <c r="C39" i="1"/>
  <c r="D39" i="1"/>
  <c r="D70" i="1"/>
  <c r="D9" i="4"/>
  <c r="L34" i="1"/>
  <c r="C217" i="3"/>
  <c r="V130" i="2"/>
  <c r="U78" i="2"/>
  <c r="C78" i="2"/>
  <c r="Q131" i="2"/>
  <c r="P79" i="2"/>
  <c r="V128" i="2"/>
  <c r="U76" i="2"/>
  <c r="C76" i="2"/>
  <c r="R124" i="2"/>
  <c r="R49" i="4"/>
  <c r="R95" i="2"/>
  <c r="V140" i="2"/>
  <c r="U88" i="2"/>
  <c r="C88" i="2"/>
  <c r="V144" i="2"/>
  <c r="U92" i="2"/>
  <c r="C92" i="2"/>
  <c r="O155" i="2"/>
  <c r="O80" i="4"/>
  <c r="C94" i="2"/>
  <c r="V125" i="2"/>
  <c r="K139" i="2"/>
  <c r="K95" i="2"/>
  <c r="H87" i="2"/>
  <c r="C87" i="2"/>
  <c r="C85" i="2"/>
  <c r="O95" i="2"/>
  <c r="P72" i="2"/>
  <c r="C72" i="2"/>
  <c r="U71" i="2"/>
  <c r="C71" i="2"/>
  <c r="V123" i="2"/>
  <c r="V48" i="4"/>
  <c r="H109" i="2"/>
  <c r="H34" i="4"/>
  <c r="Q95" i="2"/>
  <c r="C96" i="2"/>
  <c r="V155" i="2"/>
  <c r="V80" i="4"/>
  <c r="U121" i="2"/>
  <c r="V122" i="2"/>
  <c r="V47" i="4"/>
  <c r="I147" i="2"/>
  <c r="I72" i="4"/>
  <c r="N120" i="2"/>
  <c r="N70" i="2"/>
  <c r="V95" i="2"/>
  <c r="V104" i="2"/>
  <c r="H148" i="2"/>
  <c r="H73" i="4"/>
  <c r="R129" i="2"/>
  <c r="R54" i="4"/>
  <c r="N150" i="2"/>
  <c r="N103" i="2"/>
  <c r="H98" i="2"/>
  <c r="C98" i="2"/>
  <c r="J131" i="2"/>
  <c r="H79" i="2"/>
  <c r="J129" i="2"/>
  <c r="H77" i="2"/>
  <c r="F155" i="2"/>
  <c r="F80" i="4"/>
  <c r="I155" i="2"/>
  <c r="I80" i="4"/>
  <c r="S155" i="2"/>
  <c r="S80" i="4"/>
  <c r="S70" i="2"/>
  <c r="L104" i="2"/>
  <c r="H86" i="2"/>
  <c r="C86" i="2"/>
  <c r="Q155" i="2"/>
  <c r="Q80" i="4"/>
  <c r="H65" i="2"/>
  <c r="C60" i="2"/>
  <c r="C93" i="2"/>
  <c r="C75" i="2"/>
  <c r="S120" i="2"/>
  <c r="S45" i="4"/>
  <c r="J144" i="2"/>
  <c r="L134" i="2"/>
  <c r="L59" i="4"/>
  <c r="J113" i="2"/>
  <c r="J65" i="2"/>
  <c r="R135" i="2"/>
  <c r="P83" i="2"/>
  <c r="C83" i="2"/>
  <c r="R153" i="2"/>
  <c r="R78" i="4"/>
  <c r="P101" i="2"/>
  <c r="C101" i="2"/>
  <c r="N143" i="2"/>
  <c r="N68" i="4"/>
  <c r="H91" i="2"/>
  <c r="C91" i="2"/>
  <c r="H138" i="2"/>
  <c r="S122" i="2"/>
  <c r="S47" i="4"/>
  <c r="U109" i="2"/>
  <c r="U34" i="4"/>
  <c r="V117" i="2"/>
  <c r="V42" i="4"/>
  <c r="Y104" i="2"/>
  <c r="U89" i="2"/>
  <c r="C89" i="2"/>
  <c r="U148" i="2"/>
  <c r="U73" i="4"/>
  <c r="C74" i="2"/>
  <c r="U65" i="2"/>
  <c r="U118" i="2"/>
  <c r="U43" i="4"/>
  <c r="W103" i="2"/>
  <c r="U97" i="2"/>
  <c r="U103" i="2"/>
  <c r="F109" i="2"/>
  <c r="F65" i="2"/>
  <c r="D65" i="2"/>
  <c r="E65" i="2"/>
  <c r="R65" i="2"/>
  <c r="S56" i="2"/>
  <c r="S77" i="2"/>
  <c r="P77" i="2"/>
  <c r="T66" i="2"/>
  <c r="F72" i="1"/>
  <c r="F11" i="4"/>
  <c r="F33" i="1"/>
  <c r="U64" i="1"/>
  <c r="U3" i="4"/>
  <c r="B35" i="1"/>
  <c r="B66" i="1"/>
  <c r="B5" i="4"/>
  <c r="O84" i="1"/>
  <c r="O23" i="4"/>
  <c r="X64" i="1"/>
  <c r="X3" i="4"/>
  <c r="T82" i="1"/>
  <c r="T21" i="4"/>
  <c r="B51" i="1"/>
  <c r="B82" i="1"/>
  <c r="B21" i="4"/>
  <c r="U76" i="1"/>
  <c r="U15" i="4"/>
  <c r="G79" i="1"/>
  <c r="G18" i="4"/>
  <c r="B48" i="1"/>
  <c r="B79" i="1"/>
  <c r="B18" i="4"/>
  <c r="O45" i="1"/>
  <c r="P65" i="1"/>
  <c r="P4" i="4"/>
  <c r="O34" i="1"/>
  <c r="W34" i="1"/>
  <c r="Y49" i="1"/>
  <c r="V34" i="1"/>
  <c r="R70" i="2"/>
  <c r="C110" i="2"/>
  <c r="C35" i="4"/>
  <c r="R33" i="1"/>
  <c r="R64" i="1"/>
  <c r="R3" i="4"/>
  <c r="H70" i="1"/>
  <c r="H9" i="4"/>
  <c r="G39" i="1"/>
  <c r="G70" i="1"/>
  <c r="G9" i="4"/>
  <c r="C61" i="2"/>
  <c r="L117" i="2"/>
  <c r="L42" i="4"/>
  <c r="J46" i="1"/>
  <c r="K68" i="2"/>
  <c r="B53" i="1"/>
  <c r="B84" i="1"/>
  <c r="B23" i="4"/>
  <c r="N46" i="1"/>
  <c r="N77" i="1"/>
  <c r="N16" i="4"/>
  <c r="B37" i="1"/>
  <c r="B68" i="1"/>
  <c r="B7" i="4"/>
  <c r="D151" i="2"/>
  <c r="C151" i="2"/>
  <c r="C76" i="4"/>
  <c r="D103" i="2"/>
  <c r="U125" i="2"/>
  <c r="V50" i="4"/>
  <c r="E147" i="2"/>
  <c r="E72" i="4"/>
  <c r="E60" i="4"/>
  <c r="P71" i="4"/>
  <c r="H124" i="2"/>
  <c r="H49" i="4"/>
  <c r="N49" i="4"/>
  <c r="P150" i="2"/>
  <c r="P75" i="4"/>
  <c r="T75" i="4"/>
  <c r="P135" i="2"/>
  <c r="R60" i="4"/>
  <c r="H144" i="2"/>
  <c r="H69" i="4"/>
  <c r="J69" i="4"/>
  <c r="H131" i="2"/>
  <c r="H56" i="4"/>
  <c r="J56" i="4"/>
  <c r="N122" i="2"/>
  <c r="N47" i="4"/>
  <c r="N45" i="4"/>
  <c r="K147" i="2"/>
  <c r="K64" i="4"/>
  <c r="U140" i="2"/>
  <c r="V65" i="4"/>
  <c r="U128" i="2"/>
  <c r="V53" i="4"/>
  <c r="U130" i="2"/>
  <c r="V55" i="4"/>
  <c r="F117" i="2"/>
  <c r="F42" i="4"/>
  <c r="F34" i="4"/>
  <c r="C138" i="2"/>
  <c r="C63" i="4"/>
  <c r="H63" i="4"/>
  <c r="H113" i="2"/>
  <c r="H38" i="4"/>
  <c r="J38" i="4"/>
  <c r="H129" i="2"/>
  <c r="H54" i="4"/>
  <c r="J54" i="4"/>
  <c r="C119" i="2"/>
  <c r="C44" i="4"/>
  <c r="U144" i="2"/>
  <c r="U69" i="4"/>
  <c r="V69" i="4"/>
  <c r="P131" i="2"/>
  <c r="P56" i="4"/>
  <c r="Q56" i="4"/>
  <c r="C111" i="2"/>
  <c r="C36" i="4"/>
  <c r="H36" i="4"/>
  <c r="P103" i="2"/>
  <c r="N155" i="2"/>
  <c r="N80" i="4"/>
  <c r="N75" i="4"/>
  <c r="C121" i="2"/>
  <c r="C46" i="4"/>
  <c r="U46" i="4"/>
  <c r="C141" i="2"/>
  <c r="C66" i="4"/>
  <c r="U66" i="4"/>
  <c r="U65" i="1"/>
  <c r="U4" i="4"/>
  <c r="M147" i="2"/>
  <c r="M72" i="4"/>
  <c r="M63" i="4"/>
  <c r="C112" i="2"/>
  <c r="C37" i="4"/>
  <c r="H37" i="4"/>
  <c r="R117" i="2"/>
  <c r="R42" i="4"/>
  <c r="R38" i="4"/>
  <c r="E117" i="2"/>
  <c r="E42" i="4"/>
  <c r="U132" i="2"/>
  <c r="V57" i="4"/>
  <c r="G117" i="2"/>
  <c r="G42" i="4"/>
  <c r="G39" i="4"/>
  <c r="C115" i="2"/>
  <c r="C40" i="4"/>
  <c r="H40" i="4"/>
  <c r="R122" i="2"/>
  <c r="R47" i="4"/>
  <c r="R44" i="4"/>
  <c r="P144" i="2"/>
  <c r="P69" i="4"/>
  <c r="R69" i="4"/>
  <c r="U146" i="2"/>
  <c r="U71" i="4"/>
  <c r="V71" i="4"/>
  <c r="U129" i="2"/>
  <c r="U54" i="4"/>
  <c r="V54" i="4"/>
  <c r="U113" i="2"/>
  <c r="U38" i="4"/>
  <c r="V38" i="4"/>
  <c r="H76" i="4"/>
  <c r="P126" i="2"/>
  <c r="P51" i="4"/>
  <c r="T51" i="4"/>
  <c r="H123" i="2"/>
  <c r="H48" i="4"/>
  <c r="I48" i="4"/>
  <c r="C80" i="2"/>
  <c r="G122" i="2"/>
  <c r="G47" i="4"/>
  <c r="G45" i="4"/>
  <c r="I117" i="2"/>
  <c r="I42" i="4"/>
  <c r="I33" i="4"/>
  <c r="J33" i="1"/>
  <c r="J64" i="1"/>
  <c r="J3" i="4"/>
  <c r="C154" i="2"/>
  <c r="C79" i="4"/>
  <c r="U68" i="2"/>
  <c r="U70" i="2"/>
  <c r="W120" i="2"/>
  <c r="W45" i="4"/>
  <c r="W70" i="2"/>
  <c r="W104" i="2"/>
  <c r="T45" i="1"/>
  <c r="T76" i="1"/>
  <c r="T15" i="4"/>
  <c r="C116" i="2"/>
  <c r="C41" i="4"/>
  <c r="E95" i="2"/>
  <c r="F120" i="2"/>
  <c r="F70" i="2"/>
  <c r="F104" i="2"/>
  <c r="R44" i="1"/>
  <c r="C136" i="2"/>
  <c r="C61" i="4"/>
  <c r="C142" i="2"/>
  <c r="C67" i="4"/>
  <c r="Q33" i="1"/>
  <c r="C114" i="2"/>
  <c r="C39" i="4"/>
  <c r="C149" i="2"/>
  <c r="C74" i="4"/>
  <c r="C145" i="2"/>
  <c r="C70" i="4"/>
  <c r="Q120" i="2"/>
  <c r="Q70" i="2"/>
  <c r="Q104" i="2"/>
  <c r="X120" i="2"/>
  <c r="X70" i="2"/>
  <c r="X104" i="2"/>
  <c r="C69" i="2"/>
  <c r="G133" i="2"/>
  <c r="G58" i="4"/>
  <c r="G95" i="2"/>
  <c r="G104" i="2"/>
  <c r="H150" i="2"/>
  <c r="H155" i="2"/>
  <c r="H80" i="4"/>
  <c r="H139" i="2"/>
  <c r="Q147" i="2"/>
  <c r="Q72" i="4"/>
  <c r="C152" i="2"/>
  <c r="C77" i="4"/>
  <c r="C127" i="2"/>
  <c r="C52" i="4"/>
  <c r="P120" i="2"/>
  <c r="P45" i="4"/>
  <c r="C81" i="2"/>
  <c r="D131" i="2"/>
  <c r="D95" i="2"/>
  <c r="U44" i="1"/>
  <c r="U75" i="1"/>
  <c r="U14" i="4"/>
  <c r="X52" i="1"/>
  <c r="X80" i="1"/>
  <c r="X19" i="4"/>
  <c r="K65" i="1"/>
  <c r="K4" i="4"/>
  <c r="K33" i="1"/>
  <c r="K64" i="1"/>
  <c r="K3" i="4"/>
  <c r="B47" i="1"/>
  <c r="B78" i="1"/>
  <c r="B17" i="4"/>
  <c r="E65" i="1"/>
  <c r="E4" i="4"/>
  <c r="E33" i="1"/>
  <c r="E64" i="1"/>
  <c r="E3" i="4"/>
  <c r="B36" i="1"/>
  <c r="B67" i="1"/>
  <c r="B6" i="4"/>
  <c r="C76" i="1"/>
  <c r="C15" i="4"/>
  <c r="S77" i="1"/>
  <c r="S16" i="4"/>
  <c r="S44" i="1"/>
  <c r="J120" i="2"/>
  <c r="J70" i="2"/>
  <c r="E99" i="3"/>
  <c r="C97" i="3"/>
  <c r="I46" i="1"/>
  <c r="I77" i="1"/>
  <c r="I16" i="4"/>
  <c r="E76" i="1"/>
  <c r="E15" i="4"/>
  <c r="E44" i="1"/>
  <c r="W76" i="1"/>
  <c r="W15" i="4"/>
  <c r="W44" i="1"/>
  <c r="W75" i="1"/>
  <c r="W14" i="4"/>
  <c r="T89" i="1"/>
  <c r="T28" i="4"/>
  <c r="B59" i="1"/>
  <c r="B89" i="1"/>
  <c r="B28" i="4"/>
  <c r="P64" i="1"/>
  <c r="P3" i="4"/>
  <c r="C46" i="1"/>
  <c r="C77" i="1"/>
  <c r="C16" i="4"/>
  <c r="D68" i="2"/>
  <c r="I33" i="1"/>
  <c r="I64" i="1"/>
  <c r="I3" i="4"/>
  <c r="L65" i="1"/>
  <c r="L4" i="4"/>
  <c r="L33" i="1"/>
  <c r="G34" i="1"/>
  <c r="Q76" i="1"/>
  <c r="Q15" i="4"/>
  <c r="Q44" i="1"/>
  <c r="Q75" i="1"/>
  <c r="Q14" i="4"/>
  <c r="M72" i="1"/>
  <c r="M11" i="4"/>
  <c r="G41" i="1"/>
  <c r="D46" i="1"/>
  <c r="E68" i="2"/>
  <c r="P68" i="2"/>
  <c r="P113" i="2"/>
  <c r="P38" i="4"/>
  <c r="V44" i="1"/>
  <c r="V75" i="1"/>
  <c r="V14" i="4"/>
  <c r="P44" i="1"/>
  <c r="P75" i="1"/>
  <c r="P14" i="4"/>
  <c r="E217" i="3"/>
  <c r="O120" i="2"/>
  <c r="O70" i="2"/>
  <c r="O104" i="2"/>
  <c r="G74" i="1"/>
  <c r="G13" i="4"/>
  <c r="B43" i="1"/>
  <c r="B74" i="1"/>
  <c r="B13" i="4"/>
  <c r="N65" i="1"/>
  <c r="N4" i="4"/>
  <c r="N33" i="1"/>
  <c r="Q64" i="1"/>
  <c r="Q3" i="4"/>
  <c r="M33" i="1"/>
  <c r="T46" i="1"/>
  <c r="T77" i="1"/>
  <c r="T16" i="4"/>
  <c r="J104" i="2"/>
  <c r="C70" i="1"/>
  <c r="C9" i="4"/>
  <c r="B39" i="1"/>
  <c r="B70" i="1"/>
  <c r="B9" i="4"/>
  <c r="C33" i="1"/>
  <c r="L77" i="1"/>
  <c r="L44" i="1"/>
  <c r="L75" i="1"/>
  <c r="L14" i="4"/>
  <c r="O46" i="1"/>
  <c r="O77" i="1"/>
  <c r="O16" i="4"/>
  <c r="P77" i="1"/>
  <c r="P16" i="4"/>
  <c r="E51" i="3"/>
  <c r="H38" i="1"/>
  <c r="K76" i="1"/>
  <c r="K15" i="4"/>
  <c r="K44" i="1"/>
  <c r="F44" i="1"/>
  <c r="F75" i="1"/>
  <c r="F14" i="4"/>
  <c r="F76" i="1"/>
  <c r="F15" i="4"/>
  <c r="C193" i="3"/>
  <c r="E195" i="3"/>
  <c r="I45" i="1"/>
  <c r="N44" i="1"/>
  <c r="N75" i="1"/>
  <c r="N14" i="4"/>
  <c r="N76" i="1"/>
  <c r="N15" i="4"/>
  <c r="D65" i="1"/>
  <c r="D4" i="4"/>
  <c r="D33" i="1"/>
  <c r="C77" i="2"/>
  <c r="P95" i="2"/>
  <c r="U155" i="2"/>
  <c r="U80" i="4"/>
  <c r="C148" i="2"/>
  <c r="C73" i="4"/>
  <c r="H134" i="2"/>
  <c r="L147" i="2"/>
  <c r="U95" i="2"/>
  <c r="H117" i="2"/>
  <c r="H42" i="4"/>
  <c r="H103" i="2"/>
  <c r="C144" i="2"/>
  <c r="C69" i="4"/>
  <c r="P124" i="2"/>
  <c r="P49" i="4"/>
  <c r="R147" i="2"/>
  <c r="R72" i="4"/>
  <c r="C131" i="2"/>
  <c r="C56" i="4"/>
  <c r="J117" i="2"/>
  <c r="J42" i="4"/>
  <c r="S108" i="2"/>
  <c r="S33" i="4"/>
  <c r="P56" i="2"/>
  <c r="S65" i="2"/>
  <c r="C109" i="2"/>
  <c r="C34" i="4"/>
  <c r="N147" i="2"/>
  <c r="H143" i="2"/>
  <c r="H95" i="2"/>
  <c r="C97" i="2"/>
  <c r="C103" i="2"/>
  <c r="S129" i="2"/>
  <c r="S95" i="2"/>
  <c r="J147" i="2"/>
  <c r="J72" i="4"/>
  <c r="N104" i="2"/>
  <c r="T118" i="2"/>
  <c r="T43" i="4"/>
  <c r="T70" i="2"/>
  <c r="T104" i="2"/>
  <c r="P66" i="2"/>
  <c r="P153" i="2"/>
  <c r="P78" i="4"/>
  <c r="R155" i="2"/>
  <c r="V147" i="2"/>
  <c r="U123" i="2"/>
  <c r="U48" i="4"/>
  <c r="R104" i="2"/>
  <c r="C79" i="2"/>
  <c r="W65" i="1"/>
  <c r="W4" i="4"/>
  <c r="W33" i="1"/>
  <c r="F64" i="1"/>
  <c r="F3" i="4"/>
  <c r="R49" i="1"/>
  <c r="R75" i="1"/>
  <c r="R14" i="4"/>
  <c r="T34" i="1"/>
  <c r="B34" i="1"/>
  <c r="V65" i="1"/>
  <c r="V4" i="4"/>
  <c r="V33" i="1"/>
  <c r="U49" i="1"/>
  <c r="O33" i="1"/>
  <c r="O65" i="1"/>
  <c r="O4" i="4"/>
  <c r="Y52" i="1"/>
  <c r="Y80" i="1"/>
  <c r="Y19" i="4"/>
  <c r="O76" i="1"/>
  <c r="O15" i="4"/>
  <c r="C95" i="2"/>
  <c r="U117" i="2"/>
  <c r="U42" i="4"/>
  <c r="C113" i="2"/>
  <c r="C38" i="4"/>
  <c r="C126" i="2"/>
  <c r="C51" i="4"/>
  <c r="P49" i="1"/>
  <c r="K120" i="2"/>
  <c r="K70" i="2"/>
  <c r="K104" i="2"/>
  <c r="J44" i="1"/>
  <c r="J77" i="1"/>
  <c r="J16" i="4"/>
  <c r="U104" i="2"/>
  <c r="M156" i="2"/>
  <c r="M81" i="4"/>
  <c r="D76" i="4"/>
  <c r="D155" i="2"/>
  <c r="D80" i="4"/>
  <c r="R156" i="2"/>
  <c r="R80" i="4"/>
  <c r="C143" i="2"/>
  <c r="C68" i="4"/>
  <c r="H68" i="4"/>
  <c r="L156" i="2"/>
  <c r="L72" i="4"/>
  <c r="O122" i="2"/>
  <c r="O45" i="4"/>
  <c r="J122" i="2"/>
  <c r="J47" i="4"/>
  <c r="J45" i="4"/>
  <c r="C139" i="2"/>
  <c r="C64" i="4"/>
  <c r="H64" i="4"/>
  <c r="Q122" i="2"/>
  <c r="Q47" i="4"/>
  <c r="Q45" i="4"/>
  <c r="V156" i="2"/>
  <c r="V72" i="4"/>
  <c r="S147" i="2"/>
  <c r="S72" i="4"/>
  <c r="S54" i="4"/>
  <c r="N156" i="2"/>
  <c r="N72" i="4"/>
  <c r="C134" i="2"/>
  <c r="C59" i="4"/>
  <c r="H59" i="4"/>
  <c r="C150" i="2"/>
  <c r="C75" i="4"/>
  <c r="H75" i="4"/>
  <c r="C128" i="2"/>
  <c r="C53" i="4"/>
  <c r="U53" i="4"/>
  <c r="K72" i="4"/>
  <c r="C135" i="2"/>
  <c r="C60" i="4"/>
  <c r="P60" i="4"/>
  <c r="M158" i="2"/>
  <c r="L16" i="4"/>
  <c r="D147" i="2"/>
  <c r="D72" i="4"/>
  <c r="D56" i="4"/>
  <c r="X122" i="2"/>
  <c r="X45" i="4"/>
  <c r="F122" i="2"/>
  <c r="F45" i="4"/>
  <c r="U57" i="4"/>
  <c r="C132" i="2"/>
  <c r="C57" i="4"/>
  <c r="C130" i="2"/>
  <c r="C55" i="4"/>
  <c r="U55" i="4"/>
  <c r="C140" i="2"/>
  <c r="C65" i="4"/>
  <c r="U65" i="4"/>
  <c r="C146" i="2"/>
  <c r="C71" i="4"/>
  <c r="C125" i="2"/>
  <c r="C50" i="4"/>
  <c r="U50" i="4"/>
  <c r="T44" i="1"/>
  <c r="T75" i="1"/>
  <c r="T14" i="4"/>
  <c r="U120" i="2"/>
  <c r="W122" i="2"/>
  <c r="C133" i="2"/>
  <c r="C58" i="4"/>
  <c r="G147" i="2"/>
  <c r="Q49" i="1"/>
  <c r="Q80" i="1"/>
  <c r="Q19" i="4"/>
  <c r="X54" i="1"/>
  <c r="X83" i="1"/>
  <c r="X22" i="4"/>
  <c r="I76" i="1"/>
  <c r="I15" i="4"/>
  <c r="I44" i="1"/>
  <c r="N64" i="1"/>
  <c r="N3" i="4"/>
  <c r="N49" i="1"/>
  <c r="F49" i="1"/>
  <c r="F52" i="1"/>
  <c r="E193" i="3"/>
  <c r="H45" i="1"/>
  <c r="K75" i="1"/>
  <c r="K14" i="4"/>
  <c r="K49" i="1"/>
  <c r="C64" i="1"/>
  <c r="C3" i="4"/>
  <c r="M49" i="1"/>
  <c r="M64" i="1"/>
  <c r="M3" i="4"/>
  <c r="G72" i="1"/>
  <c r="G11" i="4"/>
  <c r="B41" i="1"/>
  <c r="G65" i="1"/>
  <c r="G4" i="4"/>
  <c r="O44" i="1"/>
  <c r="O75" i="1"/>
  <c r="O14" i="4"/>
  <c r="H69" i="1"/>
  <c r="H8" i="4"/>
  <c r="G38" i="1"/>
  <c r="G33" i="1"/>
  <c r="G64" i="1"/>
  <c r="G3" i="4"/>
  <c r="H33" i="1"/>
  <c r="E120" i="2"/>
  <c r="E70" i="2"/>
  <c r="E104" i="2"/>
  <c r="S75" i="1"/>
  <c r="S14" i="4"/>
  <c r="S49" i="1"/>
  <c r="C44" i="1"/>
  <c r="C75" i="1"/>
  <c r="C14" i="4"/>
  <c r="L64" i="1"/>
  <c r="L3" i="4"/>
  <c r="L49" i="1"/>
  <c r="P52" i="1"/>
  <c r="P80" i="1"/>
  <c r="P19" i="4"/>
  <c r="D64" i="1"/>
  <c r="D3" i="4"/>
  <c r="D77" i="1"/>
  <c r="D16" i="4"/>
  <c r="D44" i="1"/>
  <c r="D75" i="1"/>
  <c r="D14" i="4"/>
  <c r="D120" i="2"/>
  <c r="D70" i="2"/>
  <c r="D104" i="2"/>
  <c r="E75" i="1"/>
  <c r="E14" i="4"/>
  <c r="E49" i="1"/>
  <c r="I68" i="2"/>
  <c r="H46" i="1"/>
  <c r="E97" i="3"/>
  <c r="U147" i="2"/>
  <c r="C123" i="2"/>
  <c r="C48" i="4"/>
  <c r="C153" i="2"/>
  <c r="P155" i="2"/>
  <c r="P80" i="4"/>
  <c r="H147" i="2"/>
  <c r="H72" i="4"/>
  <c r="J156" i="2"/>
  <c r="S104" i="2"/>
  <c r="P129" i="2"/>
  <c r="P65" i="2"/>
  <c r="C56" i="2"/>
  <c r="C65" i="2"/>
  <c r="T122" i="2"/>
  <c r="P118" i="2"/>
  <c r="P43" i="4"/>
  <c r="P70" i="2"/>
  <c r="P104" i="2"/>
  <c r="C66" i="2"/>
  <c r="S117" i="2"/>
  <c r="P108" i="2"/>
  <c r="P33" i="4"/>
  <c r="C124" i="2"/>
  <c r="C49" i="4"/>
  <c r="U52" i="1"/>
  <c r="U80" i="1"/>
  <c r="U19" i="4"/>
  <c r="B65" i="1"/>
  <c r="B4" i="4"/>
  <c r="V64" i="1"/>
  <c r="V3" i="4"/>
  <c r="V49" i="1"/>
  <c r="Y54" i="1"/>
  <c r="Y83" i="1"/>
  <c r="Y22" i="4"/>
  <c r="W64" i="1"/>
  <c r="W3" i="4"/>
  <c r="W49" i="1"/>
  <c r="O64" i="1"/>
  <c r="O3" i="4"/>
  <c r="F80" i="1"/>
  <c r="F19" i="4"/>
  <c r="T33" i="1"/>
  <c r="T65" i="1"/>
  <c r="T4" i="4"/>
  <c r="R52" i="1"/>
  <c r="R80" i="1"/>
  <c r="R19" i="4"/>
  <c r="K45" i="4"/>
  <c r="K122" i="2"/>
  <c r="J75" i="1"/>
  <c r="J14" i="4"/>
  <c r="J49" i="1"/>
  <c r="Q52" i="1"/>
  <c r="Q83" i="1"/>
  <c r="Q22" i="4"/>
  <c r="Q156" i="2"/>
  <c r="Q81" i="4"/>
  <c r="S156" i="2"/>
  <c r="S42" i="4"/>
  <c r="T156" i="2"/>
  <c r="T47" i="4"/>
  <c r="C155" i="2"/>
  <c r="C80" i="4"/>
  <c r="C78" i="4"/>
  <c r="J158" i="2"/>
  <c r="J81" i="4"/>
  <c r="D122" i="2"/>
  <c r="D45" i="4"/>
  <c r="U72" i="4"/>
  <c r="X156" i="2"/>
  <c r="X47" i="4"/>
  <c r="N158" i="2"/>
  <c r="N81" i="4"/>
  <c r="V158" i="2"/>
  <c r="V81" i="4"/>
  <c r="O156" i="2"/>
  <c r="O47" i="4"/>
  <c r="C129" i="2"/>
  <c r="C54" i="4"/>
  <c r="P54" i="4"/>
  <c r="Q158" i="2"/>
  <c r="W156" i="2"/>
  <c r="W47" i="4"/>
  <c r="D49" i="1"/>
  <c r="D52" i="1"/>
  <c r="E122" i="2"/>
  <c r="E45" i="4"/>
  <c r="G156" i="2"/>
  <c r="G72" i="4"/>
  <c r="U122" i="2"/>
  <c r="U47" i="4"/>
  <c r="U45" i="4"/>
  <c r="F47" i="4"/>
  <c r="F156" i="2"/>
  <c r="L158" i="2"/>
  <c r="L81" i="4"/>
  <c r="R158" i="2"/>
  <c r="R81" i="4"/>
  <c r="O49" i="1"/>
  <c r="O52" i="1"/>
  <c r="X56" i="1"/>
  <c r="X87" i="1"/>
  <c r="X85" i="1"/>
  <c r="X24" i="4"/>
  <c r="H76" i="1"/>
  <c r="H15" i="4"/>
  <c r="H44" i="1"/>
  <c r="H75" i="1"/>
  <c r="H14" i="4"/>
  <c r="G45" i="1"/>
  <c r="I70" i="2"/>
  <c r="I104" i="2"/>
  <c r="I120" i="2"/>
  <c r="I45" i="4"/>
  <c r="H68" i="2"/>
  <c r="C49" i="1"/>
  <c r="I75" i="1"/>
  <c r="I14" i="4"/>
  <c r="I49" i="1"/>
  <c r="H77" i="1"/>
  <c r="H16" i="4"/>
  <c r="G46" i="1"/>
  <c r="L52" i="1"/>
  <c r="L80" i="1"/>
  <c r="L19" i="4"/>
  <c r="B72" i="1"/>
  <c r="B11" i="4"/>
  <c r="B57" i="1"/>
  <c r="E52" i="1"/>
  <c r="E80" i="1"/>
  <c r="E19" i="4"/>
  <c r="S52" i="1"/>
  <c r="S80" i="1"/>
  <c r="S19" i="4"/>
  <c r="H64" i="1"/>
  <c r="H3" i="4"/>
  <c r="K52" i="1"/>
  <c r="K80" i="1"/>
  <c r="K19" i="4"/>
  <c r="P54" i="1"/>
  <c r="P83" i="1"/>
  <c r="P22" i="4"/>
  <c r="G69" i="1"/>
  <c r="G8" i="4"/>
  <c r="B38" i="1"/>
  <c r="M80" i="1"/>
  <c r="M19" i="4"/>
  <c r="M52" i="1"/>
  <c r="N52" i="1"/>
  <c r="N80" i="1"/>
  <c r="N19" i="4"/>
  <c r="P117" i="2"/>
  <c r="P42" i="4"/>
  <c r="C108" i="2"/>
  <c r="P122" i="2"/>
  <c r="P47" i="4"/>
  <c r="C118" i="2"/>
  <c r="C43" i="4"/>
  <c r="P147" i="2"/>
  <c r="V52" i="1"/>
  <c r="V80" i="1"/>
  <c r="V19" i="4"/>
  <c r="O80" i="1"/>
  <c r="O19" i="4"/>
  <c r="W52" i="1"/>
  <c r="W80" i="1"/>
  <c r="W19" i="4"/>
  <c r="R54" i="1"/>
  <c r="R83" i="1"/>
  <c r="R22" i="4"/>
  <c r="T49" i="1"/>
  <c r="T64" i="1"/>
  <c r="T3" i="4"/>
  <c r="F54" i="1"/>
  <c r="F83" i="1"/>
  <c r="F22" i="4"/>
  <c r="Y56" i="1"/>
  <c r="Y87" i="1"/>
  <c r="Y85" i="1"/>
  <c r="Y24" i="4"/>
  <c r="U54" i="1"/>
  <c r="U83" i="1"/>
  <c r="U22" i="4"/>
  <c r="J80" i="1"/>
  <c r="J19" i="4"/>
  <c r="J52" i="1"/>
  <c r="Q54" i="1"/>
  <c r="Q56" i="1"/>
  <c r="Q87" i="1"/>
  <c r="K47" i="4"/>
  <c r="K156" i="2"/>
  <c r="D80" i="1"/>
  <c r="D19" i="4"/>
  <c r="Y90" i="1"/>
  <c r="Y29" i="4"/>
  <c r="Y26" i="4"/>
  <c r="E156" i="2"/>
  <c r="E47" i="4"/>
  <c r="O158" i="2"/>
  <c r="O81" i="4"/>
  <c r="X81" i="4"/>
  <c r="X158" i="2"/>
  <c r="D156" i="2"/>
  <c r="D47" i="4"/>
  <c r="S158" i="2"/>
  <c r="S81" i="4"/>
  <c r="C117" i="2"/>
  <c r="C42" i="4"/>
  <c r="C33" i="4"/>
  <c r="F158" i="2"/>
  <c r="F81" i="4"/>
  <c r="C147" i="2"/>
  <c r="C72" i="4"/>
  <c r="P72" i="4"/>
  <c r="X90" i="1"/>
  <c r="X29" i="4"/>
  <c r="X26" i="4"/>
  <c r="G158" i="2"/>
  <c r="G81" i="4"/>
  <c r="U156" i="2"/>
  <c r="T158" i="2"/>
  <c r="T81" i="4"/>
  <c r="W158" i="2"/>
  <c r="W81" i="4"/>
  <c r="I122" i="2"/>
  <c r="H120" i="2"/>
  <c r="H45" i="4"/>
  <c r="N54" i="1"/>
  <c r="N83" i="1"/>
  <c r="N22" i="4"/>
  <c r="K54" i="1"/>
  <c r="K83" i="1"/>
  <c r="K22" i="4"/>
  <c r="S54" i="1"/>
  <c r="S83" i="1"/>
  <c r="S22" i="4"/>
  <c r="E54" i="1"/>
  <c r="E83" i="1"/>
  <c r="E22" i="4"/>
  <c r="G77" i="1"/>
  <c r="G16" i="4"/>
  <c r="B46" i="1"/>
  <c r="B77" i="1"/>
  <c r="B16" i="4"/>
  <c r="C52" i="1"/>
  <c r="C80" i="1"/>
  <c r="C19" i="4"/>
  <c r="I52" i="1"/>
  <c r="I80" i="1"/>
  <c r="I19" i="4"/>
  <c r="M83" i="1"/>
  <c r="M22" i="4"/>
  <c r="M54" i="1"/>
  <c r="H49" i="1"/>
  <c r="Q85" i="1"/>
  <c r="Q24" i="4"/>
  <c r="L54" i="1"/>
  <c r="L83" i="1"/>
  <c r="L22" i="4"/>
  <c r="C68" i="2"/>
  <c r="C70" i="2"/>
  <c r="C104" i="2"/>
  <c r="H70" i="2"/>
  <c r="H104" i="2"/>
  <c r="G76" i="1"/>
  <c r="G15" i="4"/>
  <c r="G44" i="1"/>
  <c r="B45" i="1"/>
  <c r="P56" i="1"/>
  <c r="P87" i="1"/>
  <c r="P85" i="1"/>
  <c r="P24" i="4"/>
  <c r="B69" i="1"/>
  <c r="B8" i="4"/>
  <c r="B33" i="1"/>
  <c r="D54" i="1"/>
  <c r="D83" i="1"/>
  <c r="D22" i="4"/>
  <c r="P156" i="2"/>
  <c r="O83" i="1"/>
  <c r="O22" i="4"/>
  <c r="O54" i="1"/>
  <c r="T52" i="1"/>
  <c r="T80" i="1"/>
  <c r="T19" i="4"/>
  <c r="W83" i="1"/>
  <c r="W22" i="4"/>
  <c r="W54" i="1"/>
  <c r="U85" i="1"/>
  <c r="U24" i="4"/>
  <c r="U56" i="1"/>
  <c r="U87" i="1"/>
  <c r="F85" i="1"/>
  <c r="F24" i="4"/>
  <c r="F56" i="1"/>
  <c r="F87" i="1"/>
  <c r="R56" i="1"/>
  <c r="R87" i="1"/>
  <c r="R85" i="1"/>
  <c r="R24" i="4"/>
  <c r="V83" i="1"/>
  <c r="V22" i="4"/>
  <c r="V54" i="1"/>
  <c r="J54" i="1"/>
  <c r="J83" i="1"/>
  <c r="J22" i="4"/>
  <c r="K81" i="4"/>
  <c r="K158" i="2"/>
  <c r="U158" i="2"/>
  <c r="U81" i="4"/>
  <c r="U90" i="1"/>
  <c r="U29" i="4"/>
  <c r="U26" i="4"/>
  <c r="P158" i="2"/>
  <c r="P81" i="4"/>
  <c r="R90" i="1"/>
  <c r="R29" i="4"/>
  <c r="R26" i="4"/>
  <c r="D158" i="2"/>
  <c r="D81" i="4"/>
  <c r="F90" i="1"/>
  <c r="F29" i="4"/>
  <c r="F26" i="4"/>
  <c r="P90" i="1"/>
  <c r="P29" i="4"/>
  <c r="P26" i="4"/>
  <c r="Q90" i="1"/>
  <c r="Q29" i="4"/>
  <c r="Q26" i="4"/>
  <c r="I156" i="2"/>
  <c r="I47" i="4"/>
  <c r="E81" i="4"/>
  <c r="E158" i="2"/>
  <c r="M56" i="1"/>
  <c r="M87" i="1"/>
  <c r="M85" i="1"/>
  <c r="M24" i="4"/>
  <c r="B76" i="1"/>
  <c r="B15" i="4"/>
  <c r="B44" i="1"/>
  <c r="B75" i="1"/>
  <c r="B14" i="4"/>
  <c r="B64" i="1"/>
  <c r="B3" i="4"/>
  <c r="L56" i="1"/>
  <c r="L87" i="1"/>
  <c r="L85" i="1"/>
  <c r="L24" i="4"/>
  <c r="D85" i="1"/>
  <c r="D24" i="4"/>
  <c r="D56" i="1"/>
  <c r="D87" i="1"/>
  <c r="G75" i="1"/>
  <c r="G14" i="4"/>
  <c r="G49" i="1"/>
  <c r="H80" i="1"/>
  <c r="H19" i="4"/>
  <c r="H52" i="1"/>
  <c r="I54" i="1"/>
  <c r="I83" i="1"/>
  <c r="I22" i="4"/>
  <c r="S56" i="1"/>
  <c r="S87" i="1"/>
  <c r="S85" i="1"/>
  <c r="S24" i="4"/>
  <c r="N56" i="1"/>
  <c r="N87" i="1"/>
  <c r="N85" i="1"/>
  <c r="N24" i="4"/>
  <c r="H122" i="2"/>
  <c r="C120" i="2"/>
  <c r="C83" i="1"/>
  <c r="C22" i="4"/>
  <c r="C54" i="1"/>
  <c r="E85" i="1"/>
  <c r="E24" i="4"/>
  <c r="E56" i="1"/>
  <c r="E87" i="1"/>
  <c r="K56" i="1"/>
  <c r="K87" i="1"/>
  <c r="K85" i="1"/>
  <c r="K24" i="4"/>
  <c r="T54" i="1"/>
  <c r="T83" i="1"/>
  <c r="T22" i="4"/>
  <c r="V85" i="1"/>
  <c r="V24" i="4"/>
  <c r="V56" i="1"/>
  <c r="V87" i="1"/>
  <c r="W56" i="1"/>
  <c r="W87" i="1"/>
  <c r="W85" i="1"/>
  <c r="W24" i="4"/>
  <c r="O56" i="1"/>
  <c r="O87" i="1"/>
  <c r="O85" i="1"/>
  <c r="O24" i="4"/>
  <c r="J56" i="1"/>
  <c r="J87" i="1"/>
  <c r="J85" i="1"/>
  <c r="J24" i="4"/>
  <c r="H156" i="2"/>
  <c r="H47" i="4"/>
  <c r="V90" i="1"/>
  <c r="V29" i="4"/>
  <c r="V26" i="4"/>
  <c r="O90" i="1"/>
  <c r="O29" i="4"/>
  <c r="O26" i="4"/>
  <c r="K90" i="1"/>
  <c r="K29" i="4"/>
  <c r="K26" i="4"/>
  <c r="N90" i="1"/>
  <c r="N29" i="4"/>
  <c r="N26" i="4"/>
  <c r="L90" i="1"/>
  <c r="L29" i="4"/>
  <c r="L26" i="4"/>
  <c r="D90" i="1"/>
  <c r="D29" i="4"/>
  <c r="D26" i="4"/>
  <c r="M90" i="1"/>
  <c r="M29" i="4"/>
  <c r="M26" i="4"/>
  <c r="I158" i="2"/>
  <c r="I81" i="4"/>
  <c r="E90" i="1"/>
  <c r="E29" i="4"/>
  <c r="E26" i="4"/>
  <c r="W90" i="1"/>
  <c r="W29" i="4"/>
  <c r="W26" i="4"/>
  <c r="S90" i="1"/>
  <c r="S29" i="4"/>
  <c r="S26" i="4"/>
  <c r="C122" i="2"/>
  <c r="C45" i="4"/>
  <c r="B49" i="1"/>
  <c r="B52" i="1"/>
  <c r="C56" i="1"/>
  <c r="C87" i="1"/>
  <c r="C85" i="1"/>
  <c r="C24" i="4"/>
  <c r="G52" i="1"/>
  <c r="G80" i="1"/>
  <c r="G19" i="4"/>
  <c r="I56" i="1"/>
  <c r="I87" i="1"/>
  <c r="I85" i="1"/>
  <c r="I24" i="4"/>
  <c r="H54" i="1"/>
  <c r="H83" i="1"/>
  <c r="H22" i="4"/>
  <c r="T56" i="1"/>
  <c r="T87" i="1"/>
  <c r="T85" i="1"/>
  <c r="T24" i="4"/>
  <c r="J26" i="4"/>
  <c r="J90" i="1"/>
  <c r="J29" i="4"/>
  <c r="T90" i="1"/>
  <c r="T29" i="4"/>
  <c r="T26" i="4"/>
  <c r="B80" i="1"/>
  <c r="B19" i="4"/>
  <c r="C156" i="2"/>
  <c r="C47" i="4"/>
  <c r="H158" i="2"/>
  <c r="H81" i="4"/>
  <c r="I90" i="1"/>
  <c r="I29" i="4"/>
  <c r="I26" i="4"/>
  <c r="C90" i="1"/>
  <c r="C29" i="4"/>
  <c r="C26" i="4"/>
  <c r="H85" i="1"/>
  <c r="H24" i="4"/>
  <c r="H56" i="1"/>
  <c r="H87" i="1"/>
  <c r="G83" i="1"/>
  <c r="G22" i="4"/>
  <c r="G54" i="1"/>
  <c r="B83" i="1"/>
  <c r="B22" i="4"/>
  <c r="B54" i="1"/>
  <c r="H90" i="1"/>
  <c r="H29" i="4"/>
  <c r="H26" i="4"/>
  <c r="C158" i="2"/>
  <c r="C81" i="4"/>
  <c r="B56" i="1"/>
  <c r="B87" i="1"/>
  <c r="B26" i="4"/>
  <c r="B85" i="1"/>
  <c r="B24" i="4"/>
  <c r="G56" i="1"/>
  <c r="G87" i="1"/>
  <c r="G85" i="1"/>
  <c r="G24" i="4"/>
  <c r="G90" i="1"/>
  <c r="G29" i="4"/>
  <c r="G26" i="4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color indexed="81"/>
            <rFont val="宋体"/>
            <family val="3"/>
            <charset val="134"/>
          </rPr>
          <t>1-4月已固定格式，填5=12月发生数。体现为价税分离以后的收入</t>
        </r>
      </text>
    </comment>
    <comment ref="I9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149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153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I167" authorId="0" shapeId="0">
      <text>
        <r>
          <rPr>
            <sz val="9"/>
            <color indexed="81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217" authorId="0" shapeId="0">
      <text>
        <r>
          <rPr>
            <sz val="9"/>
            <color indexed="81"/>
            <rFont val="宋体"/>
            <family val="3"/>
            <charset val="134"/>
          </rPr>
          <t>黄奕馨:
流程号或纸质存档资料（三方存档）</t>
        </r>
      </text>
    </comment>
    <comment ref="B272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76" authorId="0" shapeId="0">
      <text>
        <r>
          <rPr>
            <sz val="9"/>
            <color indexed="81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sharedStrings.xml><?xml version="1.0" encoding="utf-8"?>
<sst xmlns="http://schemas.openxmlformats.org/spreadsheetml/2006/main" count="1297" uniqueCount="243">
  <si>
    <t>2016年1-12月利润调整表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</si>
  <si>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</si>
  <si>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</si>
  <si>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</si>
  <si>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</si>
  <si>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</si>
  <si>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</si>
  <si>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</si>
  <si>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</si>
  <si>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</si>
  <si>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</si>
  <si>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证券投资部</t>
  </si>
  <si>
    <t>金融衍生品投资部</t>
  </si>
  <si>
    <t>风险管理部</t>
  </si>
  <si>
    <t>深圳管理部</t>
  </si>
  <si>
    <t>金融工程部</t>
  </si>
  <si>
    <t>中小企业融资部</t>
  </si>
  <si>
    <t>投资银行合计</t>
  </si>
  <si>
    <t>财务顾问部</t>
  </si>
  <si>
    <t>债券融资部</t>
  </si>
  <si>
    <t>股权融资部</t>
  </si>
  <si>
    <t>投行管理总部</t>
  </si>
  <si>
    <t>浙江分公司小计</t>
  </si>
  <si>
    <t>浙分总部</t>
  </si>
  <si>
    <t>综合业务部</t>
  </si>
  <si>
    <t>网络金融部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</si>
  <si>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</si>
  <si>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</si>
  <si>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</si>
  <si>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</si>
  <si>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</si>
  <si>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</si>
  <si>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</si>
  <si>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</si>
  <si>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</si>
  <si>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</si>
  <si>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</si>
  <si>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</si>
  <si>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</si>
  <si>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</si>
  <si>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</si>
  <si>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</si>
  <si>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</si>
  <si>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</si>
  <si>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</si>
  <si>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</si>
  <si>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</si>
  <si>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</si>
  <si>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</si>
  <si>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</si>
  <si>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</si>
  <si>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</si>
  <si>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</si>
  <si>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</si>
  <si>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</si>
  <si>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部门考核利润</t>
  </si>
  <si>
    <t>2016年1-12月费用调整表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</si>
  <si>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</si>
  <si>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</si>
  <si>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</si>
  <si>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</si>
  <si>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</si>
  <si>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</si>
  <si>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</si>
  <si>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社保费</t>
  </si>
  <si>
    <t>劳动补偿金</t>
  </si>
  <si>
    <t>劳动保护费</t>
  </si>
  <si>
    <t>员工误餐费</t>
  </si>
  <si>
    <t>自选福利</t>
  </si>
  <si>
    <t>奖金</t>
  </si>
  <si>
    <t>小计</t>
  </si>
  <si>
    <t>业务费用</t>
  </si>
  <si>
    <t>营销费用</t>
  </si>
  <si>
    <t>中介费用</t>
  </si>
  <si>
    <t>投保基金</t>
  </si>
  <si>
    <t>交易所会员年费</t>
  </si>
  <si>
    <t>管理费用</t>
  </si>
  <si>
    <t>业务招待费</t>
  </si>
  <si>
    <t>差旅费</t>
  </si>
  <si>
    <t>水电费</t>
  </si>
  <si>
    <t>邮电通讯费</t>
  </si>
  <si>
    <t>办公费</t>
  </si>
  <si>
    <t>低值易耗品</t>
  </si>
  <si>
    <t>职工教育费</t>
  </si>
  <si>
    <t>审计评估费</t>
  </si>
  <si>
    <t>广告宣传费</t>
  </si>
  <si>
    <t>营销活动费</t>
  </si>
  <si>
    <t>咨讯费</t>
  </si>
  <si>
    <t>安全保卫费</t>
  </si>
  <si>
    <t>会议费</t>
  </si>
  <si>
    <t>印刷费</t>
  </si>
  <si>
    <t>机动车辆运营费</t>
  </si>
  <si>
    <t>董事会费</t>
  </si>
  <si>
    <t>修理费</t>
  </si>
  <si>
    <t>报刊书籍费</t>
  </si>
  <si>
    <t>市内办公交通费</t>
  </si>
  <si>
    <t>上交管理费</t>
  </si>
  <si>
    <t>税金</t>
  </si>
  <si>
    <t>诉讼律师费</t>
  </si>
  <si>
    <t>财产保险费</t>
  </si>
  <si>
    <t>其它</t>
  </si>
  <si>
    <t>运营费用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</si>
  <si>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</si>
  <si>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</si>
  <si>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</si>
  <si>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</si>
  <si>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</si>
  <si>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</si>
  <si>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交易席位费摊销</t>
  </si>
  <si>
    <t>调整数据</t>
  </si>
  <si>
    <t>调整后</t>
  </si>
  <si>
    <t xml:space="preserve">   1.手续费及佣金收入</t>
  </si>
  <si>
    <t>2.利息净收入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</si>
  <si>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</si>
  <si>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</si>
  <si>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</si>
  <si>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</si>
  <si>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</si>
  <si>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</si>
  <si>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</si>
  <si>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</si>
  <si>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>投资银行总部</t>
  </si>
  <si>
    <t xml:space="preserve">  减：所得税费用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</si>
  <si>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</si>
  <si>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</si>
  <si>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</si>
  <si>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</si>
  <si>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</si>
  <si>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</si>
  <si>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</si>
  <si>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</si>
  <si>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</si>
  <si>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</si>
  <si>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</si>
  <si>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</si>
  <si>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</si>
  <si>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</si>
  <si>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</si>
  <si>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</si>
  <si>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</si>
  <si>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</si>
  <si>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</si>
  <si>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</si>
  <si>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</si>
  <si>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</si>
  <si>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</si>
  <si>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</si>
  <si>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</si>
  <si>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三、营业税调整项</t>
  </si>
  <si>
    <t>四、费用调整项</t>
  </si>
  <si>
    <t>考核利润</t>
  </si>
  <si>
    <t>综合收益调整表</t>
  </si>
  <si>
    <t>调整科目</t>
  </si>
  <si>
    <t>六、综合收益调整项</t>
  </si>
  <si>
    <r>
      <rPr>
        <b/>
        <sz val="10"/>
        <color rgb="FFFF0000"/>
        <rFont val="微软雅黑"/>
        <family val="2"/>
        <charset val="134"/>
      </rPr>
      <t>注：</t>
    </r>
    <r>
      <rPr>
        <sz val="10"/>
        <color rgb="FFFF0000"/>
        <rFont val="微软雅黑"/>
        <family val="2"/>
        <charset val="134"/>
      </rPr>
      <t>1、无对应调整部门的填为"其他"，如综合收益与跨期调整事项(总部中后台为与总部帐套调整事项,总部代付或总部分摊等）</t>
    </r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</si>
  <si>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</si>
  <si>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</si>
  <si>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</si>
  <si>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</si>
  <si>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r>
      <t>资金运营部2</t>
    </r>
    <r>
      <rPr>
        <sz val="10"/>
        <rFont val="微软雅黑"/>
        <family val="2"/>
        <charset val="134"/>
      </rPr>
      <t>906账户回购利息</t>
    </r>
    <phoneticPr fontId="30" type="noConversion"/>
  </si>
  <si>
    <t>固收期货</t>
    <phoneticPr fontId="30" type="noConversion"/>
  </si>
  <si>
    <t>金工期货</t>
    <phoneticPr fontId="30" type="noConversion"/>
  </si>
  <si>
    <r>
      <t>固收2</t>
    </r>
    <r>
      <rPr>
        <sz val="10"/>
        <rFont val="微软雅黑"/>
        <family val="2"/>
        <charset val="134"/>
      </rPr>
      <t>921账户基金投资收益</t>
    </r>
    <phoneticPr fontId="30" type="noConversion"/>
  </si>
  <si>
    <t>固收2921账户基金浮动盈亏</t>
    <phoneticPr fontId="30" type="noConversion"/>
  </si>
  <si>
    <t>证投游族网络及稳赢系列浮动盈亏</t>
    <phoneticPr fontId="30" type="noConversion"/>
  </si>
  <si>
    <t>资管楚天科技浮动盈亏</t>
    <phoneticPr fontId="30" type="noConversion"/>
  </si>
  <si>
    <t>固收投资户浮动盈亏</t>
    <phoneticPr fontId="30" type="noConversion"/>
  </si>
  <si>
    <t>金工产品浮动盈亏</t>
    <phoneticPr fontId="30" type="noConversion"/>
  </si>
  <si>
    <t>往年分销费收回</t>
    <phoneticPr fontId="30" type="noConversion"/>
  </si>
  <si>
    <t>资金运营部委托现金管理收入</t>
    <phoneticPr fontId="30" type="noConversion"/>
  </si>
  <si>
    <t>固收代持撮合户浮动盈亏调出</t>
    <phoneticPr fontId="30" type="noConversion"/>
  </si>
  <si>
    <t>资产管理浮动收益</t>
    <phoneticPr fontId="30" type="noConversion"/>
  </si>
  <si>
    <t>融券浮动收益</t>
    <phoneticPr fontId="30" type="noConversion"/>
  </si>
  <si>
    <r>
      <t>融盈2号</t>
    </r>
    <r>
      <rPr>
        <sz val="10"/>
        <color theme="1"/>
        <rFont val="微软雅黑"/>
        <family val="2"/>
        <charset val="134"/>
      </rPr>
      <t>不计入部门收入</t>
    </r>
    <phoneticPr fontId="30" type="noConversion"/>
  </si>
  <si>
    <t>验证：</t>
    <phoneticPr fontId="30" type="noConversion"/>
  </si>
  <si>
    <t>转融通利息调整</t>
    <phoneticPr fontId="30" type="noConversion"/>
  </si>
  <si>
    <t>9</t>
    <phoneticPr fontId="30" type="noConversion"/>
  </si>
  <si>
    <t>折旧费分摊</t>
    <phoneticPr fontId="30" type="noConversion"/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</si>
  <si>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</si>
  <si>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</si>
  <si>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</si>
  <si>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</si>
  <si>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</si>
  <si>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</si>
  <si>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</si>
  <si>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</si>
  <si>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</si>
  <si>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t>考核利润表</t>
    <phoneticPr fontId="30" type="noConversion"/>
  </si>
  <si>
    <t>债券承销款资金利息</t>
    <phoneticPr fontId="30" type="noConversion"/>
  </si>
  <si>
    <r>
      <t>2016年</t>
    </r>
    <r>
      <rPr>
        <b/>
        <sz val="12"/>
        <color theme="1"/>
        <rFont val="微软雅黑"/>
        <family val="2"/>
        <charset val="134"/>
      </rPr>
      <t>2</t>
    </r>
    <r>
      <rPr>
        <b/>
        <sz val="12"/>
        <color theme="1"/>
        <rFont val="微软雅黑"/>
        <family val="2"/>
        <charset val="134"/>
      </rPr>
      <t>月考核调整事项表</t>
    </r>
    <phoneticPr fontId="30" type="noConversion"/>
  </si>
  <si>
    <r>
      <t>固收2</t>
    </r>
    <r>
      <rPr>
        <sz val="10"/>
        <rFont val="微软雅黑"/>
        <family val="2"/>
        <charset val="134"/>
      </rPr>
      <t>921账户回购利息</t>
    </r>
    <phoneticPr fontId="30" type="noConversion"/>
  </si>
  <si>
    <t>证投赛莱拉财务顾问收入</t>
    <phoneticPr fontId="30" type="noConversion"/>
  </si>
  <si>
    <t>红桂客户蓝补2015年度佣金</t>
    <phoneticPr fontId="30" type="noConversion"/>
  </si>
  <si>
    <t>浙分总部</t>
    <phoneticPr fontId="30" type="noConversion"/>
  </si>
  <si>
    <t>投资银行总部</t>
    <phoneticPr fontId="30" type="noConversion"/>
  </si>
  <si>
    <t>资金运营部场外基金申购红利</t>
  </si>
  <si>
    <t>固收投顾团队费用从运营支持部调入</t>
    <phoneticPr fontId="30" type="noConversion"/>
  </si>
  <si>
    <t>德盛期货财富1号调至金工</t>
  </si>
  <si>
    <t>赛莱拉利润调整申请（纸质，双方领导签字）</t>
  </si>
  <si>
    <t>16</t>
  </si>
  <si>
    <t>17</t>
  </si>
  <si>
    <t>18</t>
  </si>
  <si>
    <t>19</t>
  </si>
  <si>
    <t>20</t>
  </si>
  <si>
    <t>21</t>
  </si>
  <si>
    <t>22</t>
  </si>
  <si>
    <t>23</t>
  </si>
  <si>
    <t>江苏开磷瑞阳、湖南桃花江游艇</t>
    <phoneticPr fontId="30" type="noConversion"/>
  </si>
  <si>
    <t>总部大宗采购分摊费用转出</t>
  </si>
  <si>
    <t>通道占用</t>
    <phoneticPr fontId="30" type="noConversion"/>
  </si>
  <si>
    <t>委托理财</t>
    <phoneticPr fontId="30" type="noConversion"/>
  </si>
  <si>
    <t>业务分成（纸质，双方签字）</t>
    <phoneticPr fontId="30" type="noConversion"/>
  </si>
  <si>
    <t>融盈2号暂不计入部门收入</t>
    <phoneticPr fontId="30" type="noConversion"/>
  </si>
  <si>
    <t>深圳管理部</t>
    <phoneticPr fontId="30" type="noConversion"/>
  </si>
  <si>
    <t>股权融资部</t>
    <phoneticPr fontId="30" type="noConversion"/>
  </si>
  <si>
    <t>月多利1-3号利息支出</t>
    <phoneticPr fontId="30" type="noConversion"/>
  </si>
  <si>
    <t>利息收入未计提营业税</t>
    <phoneticPr fontId="30" type="noConversion"/>
  </si>
  <si>
    <t>利息收入未计提营业税</t>
    <phoneticPr fontId="30" type="noConversion"/>
  </si>
  <si>
    <t>税金为负数</t>
    <phoneticPr fontId="30" type="noConversion"/>
  </si>
  <si>
    <t>金衍期货</t>
    <phoneticPr fontId="30" type="noConversion"/>
  </si>
  <si>
    <t>2016年5-12月</t>
    <phoneticPr fontId="30" type="noConversion"/>
  </si>
  <si>
    <t>2016年1-4月</t>
    <phoneticPr fontId="30" type="noConversion"/>
  </si>
  <si>
    <t>网络引流推广费计提</t>
    <phoneticPr fontId="30" type="noConversion"/>
  </si>
  <si>
    <t>网络引流服务费计提</t>
    <phoneticPr fontId="30" type="noConversion"/>
  </si>
  <si>
    <t>销项税负数分离引起的收入增加调整</t>
    <phoneticPr fontId="30" type="noConversion"/>
  </si>
  <si>
    <t>新疆西龙土推荐挂牌财务顾问收入</t>
  </si>
  <si>
    <t>1-5月IB分成利润</t>
    <phoneticPr fontId="30" type="noConversion"/>
  </si>
  <si>
    <t>网络引流推广费计提(冲回）</t>
    <phoneticPr fontId="30" type="noConversion"/>
  </si>
  <si>
    <t>网络引流服务费计提(冲回）</t>
    <phoneticPr fontId="30" type="noConversion"/>
  </si>
  <si>
    <t>经纪业务部</t>
    <phoneticPr fontId="30" type="noConversion"/>
  </si>
  <si>
    <t>收入已扣除税费</t>
    <phoneticPr fontId="30" type="noConversion"/>
  </si>
  <si>
    <t>销项税负数分离引起的收入增加调整</t>
    <phoneticPr fontId="30" type="noConversion"/>
  </si>
  <si>
    <t>资金运营部委托金工现金管理收入</t>
    <phoneticPr fontId="30" type="noConversion"/>
  </si>
  <si>
    <t xml:space="preserve">   2.业务及管理费</t>
    <phoneticPr fontId="30" type="noConversion"/>
  </si>
  <si>
    <t>月多利5号利息支出</t>
    <phoneticPr fontId="30" type="noConversion"/>
  </si>
  <si>
    <t>月多利1-4号利息支出,财丰金系列</t>
    <phoneticPr fontId="30" type="noConversion"/>
  </si>
  <si>
    <t>浙江一夫、江阴华新、江苏亿阀、华会通推荐挂牌收入</t>
    <phoneticPr fontId="30" type="noConversion"/>
  </si>
  <si>
    <t>业务分成（纸质，双方签字）</t>
  </si>
  <si>
    <t>债券承销款资金利息（债券部）</t>
    <phoneticPr fontId="30" type="noConversion"/>
  </si>
  <si>
    <t>债券承销款资金利息（股权部）</t>
    <phoneticPr fontId="30" type="noConversion"/>
  </si>
  <si>
    <t>天津益泽行推荐挂牌收入</t>
    <phoneticPr fontId="30" type="noConversion"/>
  </si>
  <si>
    <t>浙江一夫、杭州华会通推荐挂牌收入</t>
    <phoneticPr fontId="30" type="noConversion"/>
  </si>
  <si>
    <t>1-6月协同双计收入（长沙八一债融承揽费用、三板承揽收入）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</si>
</sst>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0.00_ "/>
    <numFmt numFmtId="180" formatCode="0_ "/>
  </numFmts>
  <fonts count="39">
    <font>
      <sz val="11"/>
      <color theme="1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Times New Roman"/>
      <family val="1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sz val="10"/>
      <color theme="0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Times New Roman"/>
      <family val="1"/>
    </font>
    <font>
      <b/>
      <sz val="14"/>
      <color theme="1"/>
      <name val="微软雅黑"/>
      <family val="2"/>
      <charset val="134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  <font>
      <b/>
      <sz val="10"/>
      <name val="仿宋_GB2312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</fills>
  <borders count="29">
    <border>
      <left/>
      <right/>
      <top/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/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/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 style="hair">
        <color indexed="12"/>
      </top>
      <bottom/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</borders>
  <cellStyleXfs count="4">
    <xf numFmtId="0" fontId="0" fillId="0" borderId="0">
      <alignment vertical="center"/>
    </xf>
    <xf numFmtId="177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8" fontId="28" fillId="0" borderId="0" applyFont="0" applyFill="0" applyBorder="0" applyAlignment="0" applyProtection="0"/>
  </cellStyleXfs>
  <cellXfs count="273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5" fillId="2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Protection="1">
      <alignment vertical="center"/>
      <protection locked="0"/>
    </xf>
    <xf numFmtId="0" fontId="2" fillId="2" borderId="0" xfId="0" applyFont="1" applyFill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  <protection locked="0"/>
    </xf>
    <xf numFmtId="43" fontId="6" fillId="3" borderId="2" xfId="3" applyNumberFormat="1" applyFont="1" applyFill="1" applyBorder="1" applyAlignment="1" applyProtection="1">
      <alignment horizontal="center" vertical="center"/>
      <protection locked="0"/>
    </xf>
    <xf numFmtId="9" fontId="7" fillId="4" borderId="3" xfId="2" applyFont="1" applyFill="1" applyBorder="1" applyAlignment="1" applyProtection="1">
      <alignment horizontal="left" wrapText="1"/>
      <protection locked="0"/>
    </xf>
    <xf numFmtId="176" fontId="7" fillId="4" borderId="3" xfId="2" applyNumberFormat="1" applyFont="1" applyFill="1" applyBorder="1" applyAlignment="1" applyProtection="1">
      <alignment horizontal="left" wrapText="1"/>
      <protection locked="0"/>
    </xf>
    <xf numFmtId="176" fontId="7" fillId="4" borderId="4" xfId="2" applyNumberFormat="1" applyFont="1" applyFill="1" applyBorder="1" applyAlignment="1" applyProtection="1">
      <alignment horizontal="left" wrapText="1"/>
      <protection locked="0"/>
    </xf>
    <xf numFmtId="177" fontId="7" fillId="4" borderId="3" xfId="2" applyNumberFormat="1" applyFont="1" applyFill="1" applyBorder="1" applyAlignment="1" applyProtection="1">
      <alignment horizontal="left" wrapText="1"/>
      <protection locked="0"/>
    </xf>
    <xf numFmtId="49" fontId="8" fillId="2" borderId="3" xfId="1" applyNumberFormat="1" applyFont="1" applyFill="1" applyBorder="1" applyAlignment="1" applyProtection="1">
      <protection locked="0"/>
    </xf>
    <xf numFmtId="177" fontId="8" fillId="2" borderId="3" xfId="1" applyNumberFormat="1" applyFont="1" applyFill="1" applyBorder="1" applyAlignment="1" applyProtection="1">
      <protection locked="0"/>
    </xf>
    <xf numFmtId="177" fontId="1" fillId="2" borderId="3" xfId="1" applyNumberFormat="1" applyFont="1" applyFill="1" applyBorder="1" applyAlignment="1" applyProtection="1">
      <protection locked="0"/>
    </xf>
    <xf numFmtId="179" fontId="8" fillId="2" borderId="3" xfId="1" applyNumberFormat="1" applyFont="1" applyFill="1" applyBorder="1" applyAlignment="1" applyProtection="1">
      <protection locked="0"/>
    </xf>
    <xf numFmtId="0" fontId="2" fillId="0" borderId="3" xfId="0" applyFont="1" applyBorder="1" applyProtection="1">
      <alignment vertical="center"/>
      <protection locked="0"/>
    </xf>
    <xf numFmtId="0" fontId="2" fillId="0" borderId="4" xfId="0" applyFont="1" applyBorder="1" applyProtection="1">
      <alignment vertical="center"/>
      <protection locked="0"/>
    </xf>
    <xf numFmtId="177" fontId="7" fillId="4" borderId="4" xfId="2" applyNumberFormat="1" applyFont="1" applyFill="1" applyBorder="1" applyAlignment="1" applyProtection="1">
      <alignment horizontal="left" wrapText="1"/>
      <protection locked="0"/>
    </xf>
    <xf numFmtId="49" fontId="8" fillId="5" borderId="3" xfId="1" applyNumberFormat="1" applyFont="1" applyFill="1" applyBorder="1" applyAlignment="1" applyProtection="1">
      <protection locked="0"/>
    </xf>
    <xf numFmtId="177" fontId="8" fillId="5" borderId="3" xfId="1" applyNumberFormat="1" applyFont="1" applyFill="1" applyBorder="1" applyAlignment="1" applyProtection="1">
      <protection locked="0"/>
    </xf>
    <xf numFmtId="177" fontId="8" fillId="5" borderId="4" xfId="1" applyNumberFormat="1" applyFont="1" applyFill="1" applyBorder="1" applyAlignment="1" applyProtection="1">
      <protection locked="0"/>
    </xf>
    <xf numFmtId="49" fontId="8" fillId="2" borderId="5" xfId="1" applyNumberFormat="1" applyFont="1" applyFill="1" applyBorder="1" applyAlignment="1" applyProtection="1">
      <protection locked="0"/>
    </xf>
    <xf numFmtId="49" fontId="8" fillId="2" borderId="6" xfId="1" applyNumberFormat="1" applyFont="1" applyFill="1" applyBorder="1" applyAlignment="1" applyProtection="1">
      <protection locked="0"/>
    </xf>
    <xf numFmtId="49" fontId="8" fillId="2" borderId="7" xfId="1" applyNumberFormat="1" applyFont="1" applyFill="1" applyBorder="1" applyAlignment="1" applyProtection="1">
      <protection locked="0"/>
    </xf>
    <xf numFmtId="177" fontId="8" fillId="5" borderId="7" xfId="1" applyNumberFormat="1" applyFont="1" applyFill="1" applyBorder="1" applyAlignment="1" applyProtection="1">
      <protection locked="0"/>
    </xf>
    <xf numFmtId="177" fontId="8" fillId="2" borderId="7" xfId="1" applyNumberFormat="1" applyFont="1" applyFill="1" applyBorder="1" applyAlignment="1" applyProtection="1">
      <protection locked="0"/>
    </xf>
    <xf numFmtId="0" fontId="6" fillId="3" borderId="8" xfId="0" applyFont="1" applyFill="1" applyBorder="1" applyAlignment="1" applyProtection="1">
      <alignment horizontal="left"/>
      <protection locked="0"/>
    </xf>
    <xf numFmtId="177" fontId="6" fillId="3" borderId="8" xfId="0" applyNumberFormat="1" applyFont="1" applyFill="1" applyBorder="1" applyAlignment="1" applyProtection="1">
      <alignment horizontal="left"/>
      <protection locked="0"/>
    </xf>
    <xf numFmtId="177" fontId="6" fillId="3" borderId="9" xfId="0" applyNumberFormat="1" applyFont="1" applyFill="1" applyBorder="1" applyAlignment="1" applyProtection="1">
      <alignment horizontal="left"/>
      <protection locked="0"/>
    </xf>
    <xf numFmtId="177" fontId="2" fillId="0" borderId="0" xfId="0" applyNumberFormat="1" applyFont="1" applyProtection="1">
      <alignment vertical="center"/>
      <protection locked="0"/>
    </xf>
    <xf numFmtId="9" fontId="7" fillId="2" borderId="3" xfId="2" applyFont="1" applyFill="1" applyBorder="1" applyAlignment="1" applyProtection="1">
      <alignment horizontal="left" wrapText="1"/>
      <protection locked="0"/>
    </xf>
    <xf numFmtId="177" fontId="3" fillId="2" borderId="3" xfId="2" applyNumberFormat="1" applyFont="1" applyFill="1" applyBorder="1" applyAlignment="1" applyProtection="1">
      <alignment horizontal="left" wrapText="1"/>
      <protection locked="0"/>
    </xf>
    <xf numFmtId="177" fontId="3" fillId="2" borderId="4" xfId="2" applyNumberFormat="1" applyFont="1" applyFill="1" applyBorder="1" applyAlignment="1" applyProtection="1">
      <alignment horizontal="left" wrapText="1"/>
      <protection locked="0"/>
    </xf>
    <xf numFmtId="177" fontId="3" fillId="2" borderId="6" xfId="2" applyNumberFormat="1" applyFont="1" applyFill="1" applyBorder="1" applyAlignment="1" applyProtection="1">
      <alignment horizontal="left" wrapText="1"/>
      <protection locked="0"/>
    </xf>
    <xf numFmtId="177" fontId="3" fillId="2" borderId="10" xfId="2" applyNumberFormat="1" applyFont="1" applyFill="1" applyBorder="1" applyAlignment="1" applyProtection="1">
      <alignment horizontal="left" wrapText="1"/>
      <protection locked="0"/>
    </xf>
    <xf numFmtId="0" fontId="6" fillId="3" borderId="11" xfId="0" applyFont="1" applyFill="1" applyBorder="1" applyAlignment="1" applyProtection="1">
      <alignment horizontal="left"/>
      <protection locked="0"/>
    </xf>
    <xf numFmtId="177" fontId="6" fillId="3" borderId="11" xfId="0" applyNumberFormat="1" applyFont="1" applyFill="1" applyBorder="1" applyAlignment="1" applyProtection="1">
      <alignment horizontal="left"/>
      <protection locked="0"/>
    </xf>
    <xf numFmtId="177" fontId="6" fillId="3" borderId="12" xfId="0" applyNumberFormat="1" applyFont="1" applyFill="1" applyBorder="1" applyAlignment="1" applyProtection="1">
      <alignment horizontal="left"/>
      <protection locked="0"/>
    </xf>
    <xf numFmtId="0" fontId="6" fillId="2" borderId="13" xfId="0" applyFont="1" applyFill="1" applyBorder="1" applyAlignment="1" applyProtection="1">
      <alignment horizontal="left"/>
      <protection locked="0"/>
    </xf>
    <xf numFmtId="177" fontId="6" fillId="2" borderId="13" xfId="0" applyNumberFormat="1" applyFont="1" applyFill="1" applyBorder="1" applyAlignment="1" applyProtection="1">
      <alignment horizontal="left"/>
      <protection locked="0"/>
    </xf>
    <xf numFmtId="177" fontId="10" fillId="2" borderId="13" xfId="0" applyNumberFormat="1" applyFont="1" applyFill="1" applyBorder="1" applyAlignment="1" applyProtection="1">
      <alignment horizontal="left"/>
      <protection locked="0"/>
    </xf>
    <xf numFmtId="177" fontId="6" fillId="2" borderId="0" xfId="0" applyNumberFormat="1" applyFont="1" applyFill="1" applyBorder="1" applyAlignment="1" applyProtection="1">
      <alignment horizontal="left"/>
      <protection locked="0"/>
    </xf>
    <xf numFmtId="43" fontId="6" fillId="6" borderId="14" xfId="3" applyNumberFormat="1" applyFont="1" applyFill="1" applyBorder="1" applyAlignment="1" applyProtection="1">
      <alignment horizontal="center" vertical="center"/>
      <protection locked="0"/>
    </xf>
    <xf numFmtId="43" fontId="6" fillId="6" borderId="15" xfId="3" applyNumberFormat="1" applyFont="1" applyFill="1" applyBorder="1" applyAlignment="1" applyProtection="1">
      <alignment horizontal="center" vertical="center"/>
      <protection locked="0"/>
    </xf>
    <xf numFmtId="49" fontId="8" fillId="7" borderId="3" xfId="1" applyNumberFormat="1" applyFont="1" applyFill="1" applyBorder="1" applyAlignment="1" applyProtection="1">
      <protection locked="0"/>
    </xf>
    <xf numFmtId="177" fontId="8" fillId="7" borderId="3" xfId="1" applyNumberFormat="1" applyFont="1" applyFill="1" applyBorder="1" applyAlignment="1" applyProtection="1">
      <protection locked="0"/>
    </xf>
    <xf numFmtId="0" fontId="2" fillId="7" borderId="3" xfId="0" applyFont="1" applyFill="1" applyBorder="1" applyProtection="1">
      <alignment vertical="center"/>
      <protection locked="0"/>
    </xf>
    <xf numFmtId="49" fontId="1" fillId="2" borderId="0" xfId="0" applyNumberFormat="1" applyFont="1" applyFill="1" applyAlignment="1" applyProtection="1">
      <alignment vertical="center"/>
      <protection locked="0"/>
    </xf>
    <xf numFmtId="49" fontId="11" fillId="2" borderId="0" xfId="0" applyNumberFormat="1" applyFont="1" applyFill="1" applyAlignment="1" applyProtection="1">
      <alignment vertical="center"/>
      <protection locked="0"/>
    </xf>
    <xf numFmtId="177" fontId="8" fillId="5" borderId="16" xfId="1" applyNumberFormat="1" applyFont="1" applyFill="1" applyBorder="1" applyAlignment="1" applyProtection="1">
      <protection locked="0"/>
    </xf>
    <xf numFmtId="41" fontId="12" fillId="0" borderId="0" xfId="0" applyNumberFormat="1" applyFont="1">
      <alignment vertical="center"/>
    </xf>
    <xf numFmtId="41" fontId="0" fillId="0" borderId="0" xfId="0" applyNumberFormat="1" applyAlignment="1" applyProtection="1">
      <alignment horizontal="center" vertical="center"/>
      <protection locked="0"/>
    </xf>
    <xf numFmtId="41" fontId="13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41" fontId="0" fillId="2" borderId="0" xfId="0" applyNumberFormat="1" applyFill="1">
      <alignment vertical="center"/>
    </xf>
    <xf numFmtId="41" fontId="14" fillId="8" borderId="0" xfId="0" applyNumberFormat="1" applyFont="1" applyFill="1">
      <alignment vertical="center"/>
    </xf>
    <xf numFmtId="41" fontId="13" fillId="2" borderId="0" xfId="0" applyNumberFormat="1" applyFont="1" applyFill="1">
      <alignment vertical="center"/>
    </xf>
    <xf numFmtId="41" fontId="15" fillId="3" borderId="17" xfId="3" applyNumberFormat="1" applyFont="1" applyFill="1" applyBorder="1" applyAlignment="1">
      <alignment horizontal="center" vertical="center"/>
    </xf>
    <xf numFmtId="41" fontId="15" fillId="3" borderId="18" xfId="3" applyNumberFormat="1" applyFont="1" applyFill="1" applyBorder="1" applyAlignment="1">
      <alignment horizontal="center" vertical="center"/>
    </xf>
    <xf numFmtId="180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6" fillId="0" borderId="3" xfId="1" applyNumberFormat="1" applyFont="1" applyFill="1" applyBorder="1" applyAlignment="1">
      <alignment horizontal="left" vertical="center"/>
    </xf>
    <xf numFmtId="41" fontId="17" fillId="9" borderId="3" xfId="1" applyNumberFormat="1" applyFont="1" applyFill="1" applyBorder="1" applyAlignment="1"/>
    <xf numFmtId="41" fontId="18" fillId="3" borderId="3" xfId="1" applyNumberFormat="1" applyFont="1" applyFill="1" applyBorder="1" applyAlignment="1">
      <alignment horizontal="right" wrapText="1"/>
    </xf>
    <xf numFmtId="41" fontId="16" fillId="0" borderId="3" xfId="1" applyNumberFormat="1" applyFont="1" applyBorder="1" applyAlignment="1">
      <alignment horizontal="left" vertical="center" wrapText="1"/>
    </xf>
    <xf numFmtId="41" fontId="16" fillId="3" borderId="3" xfId="1" applyNumberFormat="1" applyFont="1" applyFill="1" applyBorder="1" applyAlignment="1">
      <alignment horizontal="left" vertical="center"/>
    </xf>
    <xf numFmtId="41" fontId="18" fillId="3" borderId="3" xfId="1" applyNumberFormat="1" applyFont="1" applyFill="1" applyBorder="1" applyAlignment="1">
      <alignment horizontal="center" wrapText="1"/>
    </xf>
    <xf numFmtId="41" fontId="19" fillId="3" borderId="19" xfId="1" applyNumberFormat="1" applyFont="1" applyFill="1" applyBorder="1" applyAlignment="1">
      <alignment horizontal="left" vertical="center"/>
    </xf>
    <xf numFmtId="41" fontId="15" fillId="3" borderId="17" xfId="3" applyNumberFormat="1" applyFont="1" applyFill="1" applyBorder="1" applyAlignment="1" applyProtection="1">
      <alignment horizontal="center" vertical="center"/>
      <protection locked="0"/>
    </xf>
    <xf numFmtId="41" fontId="14" fillId="10" borderId="0" xfId="0" applyNumberFormat="1" applyFont="1" applyFill="1">
      <alignment vertical="center"/>
    </xf>
    <xf numFmtId="41" fontId="0" fillId="2" borderId="0" xfId="0" applyNumberFormat="1" applyFill="1" applyAlignment="1">
      <alignment horizontal="center" vertical="center"/>
    </xf>
    <xf numFmtId="180" fontId="15" fillId="11" borderId="17" xfId="3" applyNumberFormat="1" applyFont="1" applyFill="1" applyBorder="1" applyAlignment="1" applyProtection="1">
      <alignment horizontal="center" vertical="center"/>
      <protection locked="0"/>
    </xf>
    <xf numFmtId="41" fontId="17" fillId="9" borderId="3" xfId="1" applyNumberFormat="1" applyFont="1" applyFill="1" applyBorder="1" applyAlignment="1">
      <alignment horizontal="center"/>
    </xf>
    <xf numFmtId="41" fontId="16" fillId="3" borderId="3" xfId="1" applyNumberFormat="1" applyFont="1" applyFill="1" applyBorder="1" applyAlignment="1">
      <alignment horizontal="center" vertical="center"/>
    </xf>
    <xf numFmtId="41" fontId="19" fillId="3" borderId="19" xfId="1" applyNumberFormat="1" applyFont="1" applyFill="1" applyBorder="1" applyAlignment="1">
      <alignment horizontal="center" vertical="center"/>
    </xf>
    <xf numFmtId="41" fontId="17" fillId="9" borderId="3" xfId="1" applyNumberFormat="1" applyFont="1" applyFill="1" applyBorder="1" applyAlignment="1" applyProtection="1"/>
    <xf numFmtId="41" fontId="18" fillId="3" borderId="3" xfId="1" applyNumberFormat="1" applyFont="1" applyFill="1" applyBorder="1" applyAlignment="1" applyProtection="1">
      <alignment horizontal="right" wrapText="1"/>
    </xf>
    <xf numFmtId="41" fontId="17" fillId="9" borderId="3" xfId="1" applyNumberFormat="1" applyFont="1" applyFill="1" applyBorder="1" applyAlignment="1" applyProtection="1">
      <alignment horizontal="center"/>
    </xf>
    <xf numFmtId="41" fontId="18" fillId="3" borderId="3" xfId="1" applyNumberFormat="1" applyFont="1" applyFill="1" applyBorder="1" applyAlignment="1" applyProtection="1">
      <alignment horizontal="center" wrapText="1"/>
    </xf>
    <xf numFmtId="41" fontId="16" fillId="3" borderId="3" xfId="1" applyNumberFormat="1" applyFont="1" applyFill="1" applyBorder="1" applyAlignment="1" applyProtection="1">
      <alignment horizontal="left" vertical="center"/>
    </xf>
    <xf numFmtId="41" fontId="19" fillId="3" borderId="19" xfId="1" applyNumberFormat="1" applyFont="1" applyFill="1" applyBorder="1" applyAlignment="1" applyProtection="1">
      <alignment horizontal="left" vertical="center"/>
    </xf>
    <xf numFmtId="41" fontId="16" fillId="8" borderId="0" xfId="1" applyNumberFormat="1" applyFont="1" applyFill="1" applyBorder="1" applyAlignment="1">
      <alignment horizontal="left" vertical="center" wrapText="1"/>
    </xf>
    <xf numFmtId="41" fontId="16" fillId="3" borderId="3" xfId="1" applyNumberFormat="1" applyFont="1" applyFill="1" applyBorder="1" applyAlignment="1" applyProtection="1">
      <alignment horizontal="center" vertical="center"/>
    </xf>
    <xf numFmtId="41" fontId="19" fillId="3" borderId="19" xfId="1" applyNumberFormat="1" applyFont="1" applyFill="1" applyBorder="1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  <protection locked="0"/>
    </xf>
    <xf numFmtId="180" fontId="0" fillId="0" borderId="0" xfId="0" applyNumberFormat="1" applyFont="1" applyAlignment="1" applyProtection="1">
      <alignment horizontal="center" vertical="center"/>
      <protection locked="0"/>
    </xf>
    <xf numFmtId="180" fontId="13" fillId="0" borderId="0" xfId="0" applyNumberFormat="1" applyFont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21" fillId="10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locked="0"/>
    </xf>
    <xf numFmtId="180" fontId="4" fillId="9" borderId="5" xfId="0" applyNumberFormat="1" applyFont="1" applyFill="1" applyBorder="1" applyAlignment="1" applyProtection="1">
      <alignment horizontal="center"/>
      <protection locked="0"/>
    </xf>
    <xf numFmtId="180" fontId="22" fillId="0" borderId="21" xfId="0" applyNumberFormat="1" applyFont="1" applyBorder="1" applyAlignment="1" applyProtection="1">
      <alignment horizontal="center" vertical="center"/>
      <protection locked="0"/>
    </xf>
    <xf numFmtId="180" fontId="23" fillId="4" borderId="5" xfId="0" applyNumberFormat="1" applyFont="1" applyFill="1" applyBorder="1" applyAlignment="1" applyProtection="1">
      <alignment horizontal="center"/>
      <protection locked="0"/>
    </xf>
    <xf numFmtId="180" fontId="17" fillId="9" borderId="5" xfId="0" applyNumberFormat="1" applyFont="1" applyFill="1" applyBorder="1" applyAlignment="1" applyProtection="1">
      <alignment horizontal="center"/>
      <protection locked="0"/>
    </xf>
    <xf numFmtId="180" fontId="23" fillId="2" borderId="6" xfId="0" applyNumberFormat="1" applyFont="1" applyFill="1" applyBorder="1" applyAlignment="1" applyProtection="1">
      <alignment horizontal="center"/>
      <protection locked="0"/>
    </xf>
    <xf numFmtId="180" fontId="23" fillId="3" borderId="11" xfId="0" applyNumberFormat="1" applyFont="1" applyFill="1" applyBorder="1" applyAlignment="1" applyProtection="1">
      <alignment horizontal="center"/>
      <protection locked="0"/>
    </xf>
    <xf numFmtId="180" fontId="24" fillId="10" borderId="0" xfId="0" applyNumberFormat="1" applyFont="1" applyFill="1" applyAlignment="1" applyProtection="1">
      <alignment horizontal="center" vertical="center"/>
      <protection locked="0"/>
    </xf>
    <xf numFmtId="180" fontId="18" fillId="4" borderId="3" xfId="2" applyNumberFormat="1" applyFont="1" applyFill="1" applyBorder="1" applyAlignment="1" applyProtection="1">
      <alignment horizontal="center" wrapText="1"/>
      <protection hidden="1"/>
    </xf>
    <xf numFmtId="180" fontId="4" fillId="9" borderId="5" xfId="0" applyNumberFormat="1" applyFont="1" applyFill="1" applyBorder="1" applyAlignment="1" applyProtection="1">
      <alignment horizontal="center"/>
      <protection hidden="1"/>
    </xf>
    <xf numFmtId="180" fontId="22" fillId="0" borderId="21" xfId="0" applyNumberFormat="1" applyFont="1" applyBorder="1" applyAlignment="1" applyProtection="1">
      <alignment horizontal="center" vertical="center"/>
      <protection hidden="1"/>
    </xf>
    <xf numFmtId="180" fontId="23" fillId="4" borderId="5" xfId="0" applyNumberFormat="1" applyFont="1" applyFill="1" applyBorder="1" applyAlignment="1" applyProtection="1">
      <alignment horizontal="center"/>
      <protection hidden="1"/>
    </xf>
    <xf numFmtId="180" fontId="17" fillId="9" borderId="5" xfId="0" applyNumberFormat="1" applyFont="1" applyFill="1" applyBorder="1" applyAlignment="1" applyProtection="1">
      <alignment horizontal="center"/>
      <protection hidden="1"/>
    </xf>
    <xf numFmtId="180" fontId="23" fillId="2" borderId="6" xfId="0" applyNumberFormat="1" applyFont="1" applyFill="1" applyBorder="1" applyAlignment="1" applyProtection="1">
      <alignment horizontal="center"/>
      <protection hidden="1"/>
    </xf>
    <xf numFmtId="180" fontId="23" fillId="3" borderId="11" xfId="0" applyNumberFormat="1" applyFont="1" applyFill="1" applyBorder="1" applyAlignment="1" applyProtection="1">
      <alignment horizontal="center"/>
      <protection hidden="1"/>
    </xf>
    <xf numFmtId="180" fontId="25" fillId="0" borderId="0" xfId="0" applyNumberFormat="1" applyFont="1" applyAlignment="1" applyProtection="1">
      <alignment horizontal="center" vertical="center"/>
      <protection locked="0"/>
    </xf>
    <xf numFmtId="180" fontId="0" fillId="2" borderId="0" xfId="0" applyNumberForma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3" fontId="13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31" fillId="2" borderId="3" xfId="1" applyNumberFormat="1" applyFont="1" applyFill="1" applyBorder="1" applyAlignment="1" applyProtection="1">
      <protection locked="0"/>
    </xf>
    <xf numFmtId="177" fontId="31" fillId="7" borderId="3" xfId="1" applyNumberFormat="1" applyFont="1" applyFill="1" applyBorder="1" applyAlignment="1" applyProtection="1">
      <protection locked="0"/>
    </xf>
    <xf numFmtId="0" fontId="32" fillId="7" borderId="3" xfId="0" applyFont="1" applyFill="1" applyBorder="1" applyProtection="1">
      <alignment vertical="center"/>
      <protection locked="0"/>
    </xf>
    <xf numFmtId="43" fontId="33" fillId="2" borderId="0" xfId="0" applyNumberFormat="1" applyFont="1" applyFill="1" applyAlignment="1" applyProtection="1">
      <alignment vertical="center"/>
      <protection locked="0"/>
    </xf>
    <xf numFmtId="49" fontId="31" fillId="7" borderId="3" xfId="1" applyNumberFormat="1" applyFont="1" applyFill="1" applyBorder="1" applyAlignment="1" applyProtection="1">
      <protection locked="0"/>
    </xf>
    <xf numFmtId="177" fontId="33" fillId="2" borderId="3" xfId="2" applyNumberFormat="1" applyFont="1" applyFill="1" applyBorder="1" applyAlignment="1" applyProtection="1">
      <alignment horizontal="left" wrapText="1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locked="0"/>
    </xf>
    <xf numFmtId="180" fontId="4" fillId="9" borderId="5" xfId="0" applyNumberFormat="1" applyFont="1" applyFill="1" applyBorder="1" applyAlignment="1" applyProtection="1">
      <alignment vertical="center"/>
      <protection locked="0"/>
    </xf>
    <xf numFmtId="180" fontId="22" fillId="0" borderId="21" xfId="0" applyNumberFormat="1" applyFont="1" applyBorder="1" applyAlignment="1" applyProtection="1">
      <alignment vertical="center"/>
      <protection locked="0"/>
    </xf>
    <xf numFmtId="180" fontId="17" fillId="9" borderId="5" xfId="0" applyNumberFormat="1" applyFont="1" applyFill="1" applyBorder="1" applyAlignment="1" applyProtection="1">
      <alignment vertical="center"/>
      <protection locked="0"/>
    </xf>
    <xf numFmtId="180" fontId="23" fillId="4" borderId="5" xfId="0" applyNumberFormat="1" applyFont="1" applyFill="1" applyBorder="1" applyAlignment="1" applyProtection="1">
      <alignment vertical="center"/>
      <protection locked="0"/>
    </xf>
    <xf numFmtId="180" fontId="23" fillId="2" borderId="6" xfId="0" applyNumberFormat="1" applyFont="1" applyFill="1" applyBorder="1" applyAlignment="1" applyProtection="1">
      <alignment vertical="center"/>
      <protection locked="0"/>
    </xf>
    <xf numFmtId="180" fontId="23" fillId="3" borderId="11" xfId="0" applyNumberFormat="1" applyFont="1" applyFill="1" applyBorder="1" applyAlignment="1" applyProtection="1">
      <alignment vertical="center"/>
      <protection locked="0"/>
    </xf>
    <xf numFmtId="180" fontId="0" fillId="0" borderId="0" xfId="0" applyNumberFormat="1" applyAlignment="1" applyProtection="1">
      <alignment vertical="center"/>
      <protection locked="0"/>
    </xf>
    <xf numFmtId="180" fontId="13" fillId="12" borderId="0" xfId="0" applyNumberFormat="1" applyFont="1" applyFill="1" applyAlignment="1" applyProtection="1">
      <alignment vertical="center"/>
      <protection locked="0"/>
    </xf>
    <xf numFmtId="180" fontId="13" fillId="0" borderId="0" xfId="0" applyNumberFormat="1" applyFont="1" applyAlignment="1" applyProtection="1">
      <alignment vertical="center"/>
      <protection locked="0"/>
    </xf>
    <xf numFmtId="180" fontId="0" fillId="2" borderId="0" xfId="0" applyNumberFormat="1" applyFill="1" applyAlignment="1" applyProtection="1">
      <alignment vertical="center"/>
      <protection locked="0"/>
    </xf>
    <xf numFmtId="180" fontId="18" fillId="4" borderId="3" xfId="2" applyNumberFormat="1" applyFont="1" applyFill="1" applyBorder="1" applyAlignment="1" applyProtection="1">
      <alignment vertical="center" wrapText="1"/>
      <protection hidden="1"/>
    </xf>
    <xf numFmtId="180" fontId="4" fillId="9" borderId="5" xfId="0" applyNumberFormat="1" applyFont="1" applyFill="1" applyBorder="1" applyAlignment="1" applyProtection="1">
      <alignment vertical="center"/>
      <protection hidden="1"/>
    </xf>
    <xf numFmtId="180" fontId="22" fillId="0" borderId="21" xfId="0" applyNumberFormat="1" applyFont="1" applyBorder="1" applyAlignment="1" applyProtection="1">
      <alignment vertical="center"/>
      <protection hidden="1"/>
    </xf>
    <xf numFmtId="180" fontId="23" fillId="4" borderId="5" xfId="0" applyNumberFormat="1" applyFont="1" applyFill="1" applyBorder="1" applyAlignment="1" applyProtection="1">
      <alignment vertical="center"/>
      <protection hidden="1"/>
    </xf>
    <xf numFmtId="180" fontId="17" fillId="9" borderId="5" xfId="0" applyNumberFormat="1" applyFont="1" applyFill="1" applyBorder="1" applyAlignment="1" applyProtection="1">
      <alignment vertical="center"/>
      <protection hidden="1"/>
    </xf>
    <xf numFmtId="180" fontId="23" fillId="3" borderId="11" xfId="0" applyNumberFormat="1" applyFont="1" applyFill="1" applyBorder="1" applyAlignment="1" applyProtection="1">
      <alignment vertical="center"/>
      <protection hidden="1"/>
    </xf>
    <xf numFmtId="180" fontId="17" fillId="2" borderId="5" xfId="0" applyNumberFormat="1" applyFont="1" applyFill="1" applyBorder="1" applyAlignment="1" applyProtection="1">
      <alignment horizontal="center"/>
      <protection hidden="1"/>
    </xf>
    <xf numFmtId="180" fontId="22" fillId="2" borderId="21" xfId="0" applyNumberFormat="1" applyFont="1" applyFill="1" applyBorder="1" applyAlignment="1" applyProtection="1">
      <alignment horizontal="center" vertic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hidden="1"/>
    </xf>
    <xf numFmtId="180" fontId="26" fillId="2" borderId="6" xfId="0" applyNumberFormat="1" applyFont="1" applyFill="1" applyBorder="1" applyAlignment="1" applyProtection="1">
      <alignment horizontal="center"/>
      <protection hidden="1"/>
    </xf>
    <xf numFmtId="180" fontId="26" fillId="3" borderId="11" xfId="0" applyNumberFormat="1" applyFont="1" applyFill="1" applyBorder="1" applyAlignment="1" applyProtection="1">
      <alignment horizontal="center"/>
      <protection hidden="1"/>
    </xf>
    <xf numFmtId="180" fontId="26" fillId="4" borderId="5" xfId="0" applyNumberFormat="1" applyFont="1" applyFill="1" applyBorder="1" applyAlignment="1" applyProtection="1">
      <alignment horizontal="center"/>
      <protection locked="0"/>
    </xf>
    <xf numFmtId="180" fontId="26" fillId="3" borderId="11" xfId="0" applyNumberFormat="1" applyFont="1" applyFill="1" applyBorder="1" applyAlignment="1" applyProtection="1">
      <alignment horizontal="center"/>
      <protection locked="0"/>
    </xf>
    <xf numFmtId="49" fontId="33" fillId="2" borderId="0" xfId="0" applyNumberFormat="1" applyFont="1" applyFill="1" applyAlignment="1" applyProtection="1">
      <alignment vertical="center"/>
      <protection locked="0"/>
    </xf>
    <xf numFmtId="179" fontId="23" fillId="4" borderId="5" xfId="0" applyNumberFormat="1" applyFont="1" applyFill="1" applyBorder="1" applyAlignment="1" applyProtection="1">
      <alignment horizontal="center"/>
      <protection locked="0"/>
    </xf>
    <xf numFmtId="180" fontId="14" fillId="0" borderId="0" xfId="0" applyNumberFormat="1" applyFont="1" applyAlignment="1" applyProtection="1">
      <alignment horizontal="center" vertical="center"/>
      <protection hidden="1"/>
    </xf>
    <xf numFmtId="180" fontId="27" fillId="0" borderId="0" xfId="0" applyNumberFormat="1" applyFont="1" applyAlignment="1" applyProtection="1">
      <alignment horizontal="center" vertical="center"/>
      <protection hidden="1"/>
    </xf>
    <xf numFmtId="180" fontId="26" fillId="2" borderId="6" xfId="0" applyNumberFormat="1" applyFont="1" applyFill="1" applyBorder="1" applyAlignment="1" applyProtection="1">
      <alignment vertical="center"/>
      <protection hidden="1"/>
    </xf>
    <xf numFmtId="180" fontId="4" fillId="2" borderId="5" xfId="0" applyNumberFormat="1" applyFont="1" applyFill="1" applyBorder="1" applyAlignment="1" applyProtection="1">
      <alignment horizontal="center"/>
      <protection hidden="1"/>
    </xf>
    <xf numFmtId="180" fontId="34" fillId="2" borderId="5" xfId="0" applyNumberFormat="1" applyFont="1" applyFill="1" applyBorder="1" applyAlignment="1" applyProtection="1">
      <alignment horizontal="center"/>
      <protection hidden="1"/>
    </xf>
    <xf numFmtId="180" fontId="21" fillId="10" borderId="0" xfId="0" applyNumberFormat="1" applyFont="1" applyFill="1" applyAlignment="1" applyProtection="1">
      <alignment horizontal="center" vertical="center"/>
      <protection locked="0"/>
    </xf>
    <xf numFmtId="177" fontId="8" fillId="13" borderId="3" xfId="1" applyNumberFormat="1" applyFont="1" applyFill="1" applyBorder="1" applyAlignment="1" applyProtection="1">
      <protection locked="0"/>
    </xf>
    <xf numFmtId="177" fontId="8" fillId="14" borderId="3" xfId="1" applyNumberFormat="1" applyFont="1" applyFill="1" applyBorder="1" applyAlignment="1" applyProtection="1">
      <protection locked="0"/>
    </xf>
    <xf numFmtId="49" fontId="31" fillId="7" borderId="0" xfId="1" applyNumberFormat="1" applyFont="1" applyFill="1" applyBorder="1" applyAlignment="1" applyProtection="1">
      <protection locked="0"/>
    </xf>
    <xf numFmtId="49" fontId="8" fillId="7" borderId="0" xfId="1" applyNumberFormat="1" applyFont="1" applyFill="1" applyBorder="1" applyAlignment="1" applyProtection="1">
      <protection locked="0"/>
    </xf>
    <xf numFmtId="177" fontId="8" fillId="14" borderId="0" xfId="1" applyNumberFormat="1" applyFont="1" applyFill="1" applyBorder="1" applyAlignment="1" applyProtection="1">
      <protection locked="0"/>
    </xf>
    <xf numFmtId="177" fontId="8" fillId="7" borderId="0" xfId="1" applyNumberFormat="1" applyFont="1" applyFill="1" applyBorder="1" applyAlignment="1" applyProtection="1">
      <protection locked="0"/>
    </xf>
    <xf numFmtId="0" fontId="2" fillId="7" borderId="0" xfId="0" applyFont="1" applyFill="1" applyBorder="1" applyProtection="1">
      <alignment vertical="center"/>
      <protection locked="0"/>
    </xf>
    <xf numFmtId="43" fontId="6" fillId="3" borderId="1" xfId="3" applyNumberFormat="1" applyFont="1" applyFill="1" applyBorder="1" applyAlignment="1" applyProtection="1">
      <alignment horizontal="center" vertical="center"/>
    </xf>
    <xf numFmtId="43" fontId="6" fillId="3" borderId="2" xfId="3" applyNumberFormat="1" applyFont="1" applyFill="1" applyBorder="1" applyAlignment="1" applyProtection="1">
      <alignment horizontal="center" vertical="center"/>
    </xf>
    <xf numFmtId="9" fontId="7" fillId="4" borderId="3" xfId="2" applyFont="1" applyFill="1" applyBorder="1" applyAlignment="1" applyProtection="1">
      <alignment horizontal="left" wrapText="1"/>
    </xf>
    <xf numFmtId="176" fontId="7" fillId="4" borderId="3" xfId="2" applyNumberFormat="1" applyFont="1" applyFill="1" applyBorder="1" applyAlignment="1" applyProtection="1">
      <alignment horizontal="left" wrapText="1"/>
    </xf>
    <xf numFmtId="176" fontId="7" fillId="4" borderId="4" xfId="2" applyNumberFormat="1" applyFont="1" applyFill="1" applyBorder="1" applyAlignment="1" applyProtection="1">
      <alignment horizontal="left" wrapText="1"/>
    </xf>
    <xf numFmtId="177" fontId="7" fillId="4" borderId="3" xfId="2" applyNumberFormat="1" applyFont="1" applyFill="1" applyBorder="1" applyAlignment="1" applyProtection="1">
      <alignment horizontal="left" wrapText="1"/>
    </xf>
    <xf numFmtId="49" fontId="8" fillId="2" borderId="3" xfId="1" applyNumberFormat="1" applyFont="1" applyFill="1" applyBorder="1" applyAlignment="1" applyProtection="1"/>
    <xf numFmtId="177" fontId="8" fillId="2" borderId="3" xfId="1" applyNumberFormat="1" applyFont="1" applyFill="1" applyBorder="1" applyAlignment="1" applyProtection="1">
      <alignment horizontal="left"/>
    </xf>
    <xf numFmtId="177" fontId="8" fillId="2" borderId="3" xfId="1" applyNumberFormat="1" applyFont="1" applyFill="1" applyBorder="1" applyAlignment="1" applyProtection="1"/>
    <xf numFmtId="177" fontId="31" fillId="2" borderId="3" xfId="1" applyNumberFormat="1" applyFont="1" applyFill="1" applyBorder="1" applyAlignment="1" applyProtection="1"/>
    <xf numFmtId="177" fontId="1" fillId="2" borderId="3" xfId="1" applyNumberFormat="1" applyFont="1" applyFill="1" applyBorder="1" applyAlignment="1" applyProtection="1"/>
    <xf numFmtId="177" fontId="9" fillId="2" borderId="3" xfId="1" applyNumberFormat="1" applyFont="1" applyFill="1" applyBorder="1" applyAlignment="1" applyProtection="1"/>
    <xf numFmtId="179" fontId="8" fillId="10" borderId="3" xfId="1" applyNumberFormat="1" applyFont="1" applyFill="1" applyBorder="1" applyAlignment="1" applyProtection="1"/>
    <xf numFmtId="0" fontId="2" fillId="0" borderId="3" xfId="0" applyFont="1" applyBorder="1" applyProtection="1">
      <alignment vertical="center"/>
    </xf>
    <xf numFmtId="0" fontId="2" fillId="10" borderId="3" xfId="0" applyFont="1" applyFill="1" applyBorder="1" applyProtection="1">
      <alignment vertical="center"/>
    </xf>
    <xf numFmtId="179" fontId="8" fillId="2" borderId="3" xfId="1" applyNumberFormat="1" applyFont="1" applyFill="1" applyBorder="1" applyAlignment="1" applyProtection="1"/>
    <xf numFmtId="0" fontId="2" fillId="0" borderId="4" xfId="0" applyFont="1" applyBorder="1" applyProtection="1">
      <alignment vertical="center"/>
    </xf>
    <xf numFmtId="177" fontId="8" fillId="10" borderId="3" xfId="1" applyNumberFormat="1" applyFont="1" applyFill="1" applyBorder="1" applyAlignment="1" applyProtection="1"/>
    <xf numFmtId="0" fontId="2" fillId="10" borderId="4" xfId="0" applyFont="1" applyFill="1" applyBorder="1" applyProtection="1">
      <alignment vertical="center"/>
    </xf>
    <xf numFmtId="177" fontId="7" fillId="4" borderId="4" xfId="2" applyNumberFormat="1" applyFont="1" applyFill="1" applyBorder="1" applyAlignment="1" applyProtection="1">
      <alignment horizontal="left" wrapText="1"/>
    </xf>
    <xf numFmtId="49" fontId="8" fillId="5" borderId="3" xfId="1" applyNumberFormat="1" applyFont="1" applyFill="1" applyBorder="1" applyAlignment="1" applyProtection="1"/>
    <xf numFmtId="177" fontId="8" fillId="5" borderId="3" xfId="1" applyNumberFormat="1" applyFont="1" applyFill="1" applyBorder="1" applyAlignment="1" applyProtection="1"/>
    <xf numFmtId="177" fontId="8" fillId="5" borderId="4" xfId="1" applyNumberFormat="1" applyFont="1" applyFill="1" applyBorder="1" applyAlignment="1" applyProtection="1"/>
    <xf numFmtId="49" fontId="8" fillId="2" borderId="5" xfId="1" applyNumberFormat="1" applyFont="1" applyFill="1" applyBorder="1" applyAlignment="1" applyProtection="1"/>
    <xf numFmtId="49" fontId="8" fillId="2" borderId="6" xfId="1" applyNumberFormat="1" applyFont="1" applyFill="1" applyBorder="1" applyAlignment="1" applyProtection="1"/>
    <xf numFmtId="49" fontId="8" fillId="2" borderId="7" xfId="1" applyNumberFormat="1" applyFont="1" applyFill="1" applyBorder="1" applyAlignment="1" applyProtection="1"/>
    <xf numFmtId="177" fontId="8" fillId="5" borderId="7" xfId="1" applyNumberFormat="1" applyFont="1" applyFill="1" applyBorder="1" applyAlignment="1" applyProtection="1"/>
    <xf numFmtId="177" fontId="8" fillId="2" borderId="7" xfId="1" applyNumberFormat="1" applyFont="1" applyFill="1" applyBorder="1" applyAlignment="1" applyProtection="1"/>
    <xf numFmtId="177" fontId="8" fillId="5" borderId="16" xfId="1" applyNumberFormat="1" applyFont="1" applyFill="1" applyBorder="1" applyAlignment="1" applyProtection="1"/>
    <xf numFmtId="0" fontId="6" fillId="3" borderId="8" xfId="0" applyFont="1" applyFill="1" applyBorder="1" applyAlignment="1" applyProtection="1">
      <alignment horizontal="left"/>
    </xf>
    <xf numFmtId="177" fontId="6" fillId="3" borderId="8" xfId="0" applyNumberFormat="1" applyFont="1" applyFill="1" applyBorder="1" applyAlignment="1" applyProtection="1">
      <alignment horizontal="left"/>
    </xf>
    <xf numFmtId="177" fontId="6" fillId="3" borderId="9" xfId="0" applyNumberFormat="1" applyFont="1" applyFill="1" applyBorder="1" applyAlignment="1" applyProtection="1">
      <alignment horizontal="left"/>
    </xf>
    <xf numFmtId="49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0" fontId="2" fillId="0" borderId="0" xfId="0" applyFont="1" applyProtection="1">
      <alignment vertical="center"/>
    </xf>
    <xf numFmtId="9" fontId="7" fillId="2" borderId="3" xfId="2" applyFont="1" applyFill="1" applyBorder="1" applyAlignment="1" applyProtection="1">
      <alignment horizontal="left" wrapText="1"/>
    </xf>
    <xf numFmtId="177" fontId="33" fillId="2" borderId="3" xfId="2" applyNumberFormat="1" applyFont="1" applyFill="1" applyBorder="1" applyAlignment="1" applyProtection="1">
      <alignment horizontal="left" wrapText="1"/>
    </xf>
    <xf numFmtId="177" fontId="3" fillId="2" borderId="3" xfId="2" applyNumberFormat="1" applyFont="1" applyFill="1" applyBorder="1" applyAlignment="1" applyProtection="1">
      <alignment horizontal="left" wrapText="1"/>
    </xf>
    <xf numFmtId="177" fontId="3" fillId="2" borderId="4" xfId="2" applyNumberFormat="1" applyFont="1" applyFill="1" applyBorder="1" applyAlignment="1" applyProtection="1">
      <alignment horizontal="left" wrapText="1"/>
    </xf>
    <xf numFmtId="177" fontId="3" fillId="2" borderId="6" xfId="2" applyNumberFormat="1" applyFont="1" applyFill="1" applyBorder="1" applyAlignment="1" applyProtection="1">
      <alignment horizontal="left" wrapText="1"/>
    </xf>
    <xf numFmtId="177" fontId="3" fillId="2" borderId="10" xfId="2" applyNumberFormat="1" applyFont="1" applyFill="1" applyBorder="1" applyAlignment="1" applyProtection="1">
      <alignment horizontal="left" wrapText="1"/>
    </xf>
    <xf numFmtId="0" fontId="6" fillId="3" borderId="11" xfId="0" applyFont="1" applyFill="1" applyBorder="1" applyAlignment="1" applyProtection="1">
      <alignment horizontal="left"/>
    </xf>
    <xf numFmtId="177" fontId="6" fillId="3" borderId="11" xfId="0" applyNumberFormat="1" applyFont="1" applyFill="1" applyBorder="1" applyAlignment="1" applyProtection="1">
      <alignment horizontal="left"/>
    </xf>
    <xf numFmtId="177" fontId="6" fillId="3" borderId="12" xfId="0" applyNumberFormat="1" applyFont="1" applyFill="1" applyBorder="1" applyAlignment="1" applyProtection="1">
      <alignment horizontal="left"/>
    </xf>
    <xf numFmtId="0" fontId="6" fillId="2" borderId="13" xfId="0" applyFont="1" applyFill="1" applyBorder="1" applyAlignment="1" applyProtection="1">
      <alignment horizontal="left"/>
    </xf>
    <xf numFmtId="177" fontId="6" fillId="2" borderId="13" xfId="0" applyNumberFormat="1" applyFont="1" applyFill="1" applyBorder="1" applyAlignment="1" applyProtection="1">
      <alignment horizontal="left"/>
    </xf>
    <xf numFmtId="177" fontId="10" fillId="2" borderId="13" xfId="0" applyNumberFormat="1" applyFont="1" applyFill="1" applyBorder="1" applyAlignment="1" applyProtection="1">
      <alignment horizontal="left"/>
    </xf>
    <xf numFmtId="177" fontId="6" fillId="2" borderId="0" xfId="0" applyNumberFormat="1" applyFont="1" applyFill="1" applyBorder="1" applyAlignment="1" applyProtection="1">
      <alignment horizontal="left"/>
    </xf>
    <xf numFmtId="43" fontId="6" fillId="6" borderId="14" xfId="3" applyNumberFormat="1" applyFont="1" applyFill="1" applyBorder="1" applyAlignment="1" applyProtection="1">
      <alignment horizontal="center" vertical="center"/>
    </xf>
    <xf numFmtId="43" fontId="6" fillId="6" borderId="15" xfId="3" applyNumberFormat="1" applyFont="1" applyFill="1" applyBorder="1" applyAlignment="1" applyProtection="1">
      <alignment horizontal="center" vertical="center"/>
    </xf>
    <xf numFmtId="49" fontId="8" fillId="7" borderId="3" xfId="1" applyNumberFormat="1" applyFont="1" applyFill="1" applyBorder="1" applyAlignment="1" applyProtection="1"/>
    <xf numFmtId="177" fontId="8" fillId="14" borderId="3" xfId="1" applyNumberFormat="1" applyFont="1" applyFill="1" applyBorder="1" applyAlignment="1" applyProtection="1"/>
    <xf numFmtId="177" fontId="8" fillId="7" borderId="3" xfId="1" applyNumberFormat="1" applyFont="1" applyFill="1" applyBorder="1" applyAlignment="1" applyProtection="1"/>
    <xf numFmtId="177" fontId="31" fillId="7" borderId="3" xfId="1" applyNumberFormat="1" applyFont="1" applyFill="1" applyBorder="1" applyAlignment="1" applyProtection="1"/>
    <xf numFmtId="0" fontId="32" fillId="7" borderId="3" xfId="0" applyFont="1" applyFill="1" applyBorder="1" applyProtection="1">
      <alignment vertical="center"/>
    </xf>
    <xf numFmtId="0" fontId="2" fillId="7" borderId="3" xfId="0" applyFont="1" applyFill="1" applyBorder="1" applyProtection="1">
      <alignment vertical="center"/>
    </xf>
    <xf numFmtId="177" fontId="8" fillId="13" borderId="3" xfId="1" applyNumberFormat="1" applyFont="1" applyFill="1" applyBorder="1" applyAlignment="1" applyProtection="1"/>
    <xf numFmtId="49" fontId="31" fillId="7" borderId="3" xfId="1" applyNumberFormat="1" applyFont="1" applyFill="1" applyBorder="1" applyAlignment="1" applyProtection="1"/>
    <xf numFmtId="180" fontId="18" fillId="4" borderId="3" xfId="2" applyNumberFormat="1" applyFont="1" applyFill="1" applyBorder="1" applyAlignment="1">
      <alignment horizontal="right" wrapText="1"/>
    </xf>
    <xf numFmtId="180" fontId="4" fillId="9" borderId="5" xfId="0" applyNumberFormat="1" applyFont="1" applyFill="1" applyBorder="1" applyAlignment="1">
      <alignment horizontal="right"/>
    </xf>
    <xf numFmtId="180" fontId="36" fillId="0" borderId="22" xfId="0" applyNumberFormat="1" applyFont="1" applyBorder="1" applyAlignment="1">
      <alignment horizontal="right" vertical="center"/>
    </xf>
    <xf numFmtId="180" fontId="23" fillId="4" borderId="5" xfId="0" applyNumberFormat="1" applyFont="1" applyFill="1" applyBorder="1" applyAlignment="1">
      <alignment horizontal="right"/>
    </xf>
    <xf numFmtId="180" fontId="17" fillId="9" borderId="5" xfId="0" applyNumberFormat="1" applyFont="1" applyFill="1" applyBorder="1" applyAlignment="1">
      <alignment horizontal="right"/>
    </xf>
    <xf numFmtId="180" fontId="23" fillId="2" borderId="6" xfId="0" applyNumberFormat="1" applyFont="1" applyFill="1" applyBorder="1" applyAlignment="1">
      <alignment horizontal="right"/>
    </xf>
    <xf numFmtId="180" fontId="23" fillId="3" borderId="11" xfId="0" applyNumberFormat="1" applyFont="1" applyFill="1" applyBorder="1" applyAlignment="1">
      <alignment horizontal="right"/>
    </xf>
    <xf numFmtId="177" fontId="8" fillId="2" borderId="4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>
      <protection locked="0"/>
    </xf>
    <xf numFmtId="177" fontId="8" fillId="5" borderId="23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/>
    <xf numFmtId="180" fontId="17" fillId="9" borderId="24" xfId="0" applyNumberFormat="1" applyFont="1" applyFill="1" applyBorder="1" applyAlignment="1" applyProtection="1">
      <alignment vertical="center"/>
      <protection locked="0"/>
    </xf>
    <xf numFmtId="180" fontId="17" fillId="10" borderId="24" xfId="0" applyNumberFormat="1" applyFont="1" applyFill="1" applyBorder="1" applyAlignment="1" applyProtection="1">
      <alignment vertical="center"/>
      <protection locked="0"/>
    </xf>
    <xf numFmtId="180" fontId="23" fillId="4" borderId="24" xfId="0" applyNumberFormat="1" applyFont="1" applyFill="1" applyBorder="1" applyAlignment="1" applyProtection="1">
      <alignment vertical="center"/>
      <protection locked="0"/>
    </xf>
    <xf numFmtId="180" fontId="23" fillId="2" borderId="25" xfId="0" applyNumberFormat="1" applyFont="1" applyFill="1" applyBorder="1" applyAlignment="1" applyProtection="1">
      <alignment vertical="center"/>
      <protection locked="0"/>
    </xf>
    <xf numFmtId="180" fontId="23" fillId="3" borderId="26" xfId="0" applyNumberFormat="1" applyFont="1" applyFill="1" applyBorder="1" applyAlignment="1" applyProtection="1">
      <alignment vertical="center"/>
      <protection locked="0"/>
    </xf>
    <xf numFmtId="180" fontId="4" fillId="2" borderId="5" xfId="0" applyNumberFormat="1" applyFont="1" applyFill="1" applyBorder="1" applyAlignment="1" applyProtection="1">
      <alignment vertical="center"/>
      <protection hidden="1"/>
    </xf>
    <xf numFmtId="177" fontId="8" fillId="8" borderId="3" xfId="1" applyNumberFormat="1" applyFont="1" applyFill="1" applyBorder="1" applyAlignment="1" applyProtection="1">
      <protection locked="0"/>
    </xf>
    <xf numFmtId="177" fontId="17" fillId="9" borderId="23" xfId="1" applyFont="1" applyFill="1" applyBorder="1" applyAlignment="1"/>
    <xf numFmtId="177" fontId="17" fillId="2" borderId="23" xfId="1" applyFont="1" applyFill="1" applyBorder="1" applyAlignment="1"/>
    <xf numFmtId="2" fontId="17" fillId="2" borderId="23" xfId="1" applyNumberFormat="1" applyFont="1" applyFill="1" applyBorder="1" applyAlignment="1"/>
    <xf numFmtId="177" fontId="18" fillId="3" borderId="23" xfId="1" applyFont="1" applyFill="1" applyBorder="1" applyAlignment="1">
      <alignment horizontal="right" wrapText="1"/>
    </xf>
    <xf numFmtId="177" fontId="17" fillId="5" borderId="23" xfId="1" applyFont="1" applyFill="1" applyBorder="1" applyAlignment="1"/>
    <xf numFmtId="43" fontId="20" fillId="2" borderId="23" xfId="1" applyNumberFormat="1" applyFont="1" applyFill="1" applyBorder="1" applyAlignment="1"/>
    <xf numFmtId="43" fontId="37" fillId="3" borderId="23" xfId="1" applyNumberFormat="1" applyFont="1" applyFill="1" applyBorder="1" applyAlignment="1">
      <alignment horizontal="left" vertical="center"/>
    </xf>
    <xf numFmtId="177" fontId="18" fillId="3" borderId="23" xfId="1" applyFont="1" applyFill="1" applyBorder="1" applyAlignment="1">
      <alignment horizontal="center" wrapText="1"/>
    </xf>
    <xf numFmtId="43" fontId="38" fillId="3" borderId="27" xfId="1" applyNumberFormat="1" applyFont="1" applyFill="1" applyBorder="1" applyAlignment="1">
      <alignment horizontal="left" vertical="center"/>
    </xf>
    <xf numFmtId="177" fontId="8" fillId="7" borderId="23" xfId="1" applyNumberFormat="1" applyFont="1" applyFill="1" applyBorder="1" applyAlignment="1" applyProtection="1">
      <protection locked="0"/>
    </xf>
    <xf numFmtId="177" fontId="8" fillId="14" borderId="23" xfId="1" applyNumberFormat="1" applyFont="1" applyFill="1" applyBorder="1" applyAlignment="1" applyProtection="1">
      <protection locked="0"/>
    </xf>
    <xf numFmtId="177" fontId="8" fillId="2" borderId="23" xfId="1" applyNumberFormat="1" applyFont="1" applyFill="1" applyBorder="1" applyAlignment="1" applyProtection="1">
      <alignment horizontal="left"/>
      <protection locked="0"/>
    </xf>
    <xf numFmtId="177" fontId="1" fillId="2" borderId="23" xfId="1" applyNumberFormat="1" applyFont="1" applyFill="1" applyBorder="1" applyAlignment="1" applyProtection="1">
      <protection locked="0"/>
    </xf>
    <xf numFmtId="177" fontId="8" fillId="5" borderId="28" xfId="1" applyNumberFormat="1" applyFont="1" applyFill="1" applyBorder="1" applyAlignment="1" applyProtection="1">
      <protection locked="0"/>
    </xf>
    <xf numFmtId="49" fontId="8" fillId="2" borderId="23" xfId="1" applyNumberFormat="1" applyFont="1" applyFill="1" applyBorder="1" applyAlignment="1" applyProtection="1"/>
    <xf numFmtId="0" fontId="2" fillId="10" borderId="23" xfId="0" applyFont="1" applyFill="1" applyBorder="1" applyProtection="1">
      <alignment vertical="center"/>
    </xf>
    <xf numFmtId="0" fontId="2" fillId="10" borderId="28" xfId="0" applyFont="1" applyFill="1" applyBorder="1" applyProtection="1">
      <alignment vertical="center"/>
    </xf>
    <xf numFmtId="0" fontId="2" fillId="0" borderId="28" xfId="0" applyFont="1" applyBorder="1" applyProtection="1">
      <alignment vertical="center"/>
    </xf>
    <xf numFmtId="177" fontId="8" fillId="5" borderId="28" xfId="1" applyNumberFormat="1" applyFont="1" applyFill="1" applyBorder="1" applyAlignment="1" applyProtection="1"/>
    <xf numFmtId="0" fontId="12" fillId="0" borderId="0" xfId="0" applyFont="1" applyAlignment="1" applyProtection="1">
      <alignment horizontal="center" vertical="center"/>
      <protection locked="0"/>
    </xf>
    <xf numFmtId="41" fontId="16" fillId="0" borderId="6" xfId="1" applyNumberFormat="1" applyFont="1" applyBorder="1" applyAlignment="1">
      <alignment horizontal="center" vertical="top" textRotation="255" wrapText="1"/>
    </xf>
    <xf numFmtId="41" fontId="16" fillId="0" borderId="13" xfId="1" applyNumberFormat="1" applyFont="1" applyBorder="1" applyAlignment="1">
      <alignment horizontal="center" vertical="top" textRotation="255" wrapText="1"/>
    </xf>
    <xf numFmtId="41" fontId="16" fillId="0" borderId="20" xfId="1" applyNumberFormat="1" applyFont="1" applyBorder="1" applyAlignment="1">
      <alignment horizontal="center" vertical="top" textRotation="255" wrapText="1"/>
    </xf>
    <xf numFmtId="41" fontId="16" fillId="0" borderId="6" xfId="1" applyNumberFormat="1" applyFont="1" applyBorder="1" applyAlignment="1">
      <alignment horizontal="center" vertical="center" textRotation="255" wrapText="1"/>
    </xf>
    <xf numFmtId="41" fontId="16" fillId="0" borderId="13" xfId="1" applyNumberFormat="1" applyFont="1" applyBorder="1" applyAlignment="1">
      <alignment horizontal="center" vertical="center" textRotation="255" wrapText="1"/>
    </xf>
    <xf numFmtId="41" fontId="16" fillId="0" borderId="20" xfId="1" applyNumberFormat="1" applyFont="1" applyBorder="1" applyAlignment="1">
      <alignment horizontal="center" vertical="center" textRotation="255" wrapText="1"/>
    </xf>
    <xf numFmtId="41" fontId="16" fillId="0" borderId="6" xfId="1" applyNumberFormat="1" applyFont="1" applyFill="1" applyBorder="1" applyAlignment="1">
      <alignment horizontal="center" vertical="center" textRotation="255"/>
    </xf>
    <xf numFmtId="41" fontId="16" fillId="0" borderId="13" xfId="1" applyNumberFormat="1" applyFont="1" applyFill="1" applyBorder="1" applyAlignment="1">
      <alignment horizontal="center" vertical="center" textRotation="255"/>
    </xf>
    <xf numFmtId="41" fontId="16" fillId="0" borderId="20" xfId="1" applyNumberFormat="1" applyFont="1" applyFill="1" applyBorder="1" applyAlignment="1">
      <alignment horizontal="center" vertical="center" textRotation="255"/>
    </xf>
    <xf numFmtId="41" fontId="12" fillId="0" borderId="0" xfId="0" applyNumberFormat="1" applyFont="1" applyAlignment="1">
      <alignment horizontal="center" vertical="center"/>
    </xf>
    <xf numFmtId="41" fontId="16" fillId="0" borderId="5" xfId="1" applyNumberFormat="1" applyFont="1" applyFill="1" applyBorder="1" applyAlignment="1">
      <alignment horizontal="center" vertical="center" textRotation="255"/>
    </xf>
    <xf numFmtId="41" fontId="16" fillId="0" borderId="5" xfId="1" applyNumberFormat="1" applyFont="1" applyBorder="1" applyAlignment="1">
      <alignment horizontal="center" vertical="top" textRotation="255" wrapText="1"/>
    </xf>
    <xf numFmtId="41" fontId="16" fillId="0" borderId="5" xfId="1" applyNumberFormat="1" applyFont="1" applyBorder="1" applyAlignment="1">
      <alignment horizontal="center" vertical="center" textRotation="255" wrapText="1"/>
    </xf>
    <xf numFmtId="49" fontId="3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B31" sqref="B31"/>
    </sheetView>
  </sheetViews>
  <sheetFormatPr defaultColWidth="9" defaultRowHeight="13.5"/>
  <cols>
    <col min="1" max="1" width="34.875" style="93" customWidth="1"/>
    <col min="2" max="2" width="18" style="93" customWidth="1"/>
    <col min="3" max="3" width="17.375" style="93" customWidth="1"/>
    <col min="4" max="4" width="15.125" style="93" customWidth="1"/>
    <col min="5" max="5" width="16.875" style="93" customWidth="1"/>
    <col min="6" max="6" width="17.875" style="93" customWidth="1"/>
    <col min="7" max="7" width="17.25" style="93" customWidth="1"/>
    <col min="8" max="8" width="17.875" style="93" customWidth="1"/>
    <col min="9" max="9" width="17.25" style="93" customWidth="1"/>
    <col min="10" max="10" width="14.125" style="93" customWidth="1"/>
    <col min="11" max="11" width="12" style="93" customWidth="1"/>
    <col min="12" max="12" width="15.125" style="93" customWidth="1"/>
    <col min="13" max="13" width="15.75" style="93" customWidth="1"/>
    <col min="14" max="15" width="16.125" style="93" customWidth="1"/>
    <col min="16" max="16" width="12" style="93" customWidth="1"/>
    <col min="17" max="17" width="16.125" style="93" customWidth="1"/>
    <col min="18" max="19" width="12" style="93" customWidth="1"/>
    <col min="20" max="20" width="16.375" style="93" customWidth="1"/>
    <col min="21" max="25" width="12" style="93" customWidth="1"/>
    <col min="26" max="16384" width="9" style="93"/>
  </cols>
  <sheetData>
    <row r="1" spans="1:26" ht="22.5" customHeight="1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</row>
    <row r="2" spans="1:26">
      <c r="A2" s="94" t="s">
        <v>1</v>
      </c>
      <c r="B2" s="95" t="s">
        <v>2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6" s="89" customFormat="1" ht="14.25" customHeight="1">
      <c r="A3" s="65" t="s">
        <v>3</v>
      </c>
      <c r="B3" s="65" t="s">
        <v>4</v>
      </c>
      <c r="C3" s="65" t="s">
        <v>5</v>
      </c>
      <c r="D3" s="65" t="s">
        <v>6</v>
      </c>
      <c r="E3" s="65" t="s">
        <v>229</v>
      </c>
      <c r="F3" s="65" t="s">
        <v>8</v>
      </c>
      <c r="G3" s="65" t="s">
        <v>9</v>
      </c>
      <c r="H3" s="76" t="s">
        <v>10</v>
      </c>
      <c r="I3" s="76" t="s">
        <v>11</v>
      </c>
      <c r="J3" s="76" t="s">
        <v>12</v>
      </c>
      <c r="K3" s="76" t="s">
        <v>13</v>
      </c>
      <c r="L3" s="76" t="s">
        <v>14</v>
      </c>
      <c r="M3" s="76" t="s">
        <v>15</v>
      </c>
      <c r="N3" s="65" t="s">
        <v>16</v>
      </c>
      <c r="O3" s="65" t="s">
        <v>17</v>
      </c>
      <c r="P3" s="76" t="s">
        <v>18</v>
      </c>
      <c r="Q3" s="76" t="s">
        <v>19</v>
      </c>
      <c r="R3" s="76" t="s">
        <v>214</v>
      </c>
      <c r="S3" s="76" t="s">
        <v>194</v>
      </c>
      <c r="T3" s="65" t="s">
        <v>22</v>
      </c>
      <c r="U3" s="76" t="s">
        <v>23</v>
      </c>
      <c r="V3" s="76" t="s">
        <v>24</v>
      </c>
      <c r="W3" s="76" t="s">
        <v>25</v>
      </c>
      <c r="X3" s="65"/>
      <c r="Y3" s="65"/>
    </row>
    <row r="4" spans="1:26" s="89" customFormat="1">
      <c r="A4" s="97" t="s">
        <v>26</v>
      </c>
      <c r="B4" s="220">
        <v>695608438.79999995</v>
      </c>
      <c r="C4" s="220">
        <v>1340567.43</v>
      </c>
      <c r="D4" s="220">
        <v>-123960121.54999991</v>
      </c>
      <c r="E4" s="220">
        <v>554456181.61000013</v>
      </c>
      <c r="F4" s="220">
        <v>-129414002.94000001</v>
      </c>
      <c r="G4" s="220">
        <v>102188417.36999999</v>
      </c>
      <c r="H4" s="220">
        <v>83902532.660000011</v>
      </c>
      <c r="I4" s="220">
        <v>14121190.330000002</v>
      </c>
      <c r="J4" s="220">
        <v>4407155.92</v>
      </c>
      <c r="K4" s="220">
        <v>0</v>
      </c>
      <c r="L4" s="220">
        <v>3781.34</v>
      </c>
      <c r="M4" s="220">
        <v>-246242.87999999998</v>
      </c>
      <c r="N4" s="220">
        <v>12405355.130000001</v>
      </c>
      <c r="O4" s="220">
        <v>278590897.45999998</v>
      </c>
      <c r="P4" s="220">
        <v>0</v>
      </c>
      <c r="Q4" s="220">
        <v>241463161.62</v>
      </c>
      <c r="R4" s="220">
        <v>37127735.840000004</v>
      </c>
      <c r="S4" s="220">
        <v>0</v>
      </c>
      <c r="T4" s="220">
        <v>1144.29</v>
      </c>
      <c r="U4" s="220">
        <v>1344.13</v>
      </c>
      <c r="V4" s="220">
        <v>0</v>
      </c>
      <c r="W4" s="220">
        <v>-199.84000000000003</v>
      </c>
      <c r="X4" s="123">
        <v>0</v>
      </c>
      <c r="Y4" s="123">
        <v>0</v>
      </c>
    </row>
    <row r="5" spans="1:26" s="89" customFormat="1">
      <c r="A5" s="98" t="s">
        <v>27</v>
      </c>
      <c r="B5" s="221">
        <v>598500713.44000006</v>
      </c>
      <c r="C5" s="221">
        <v>0</v>
      </c>
      <c r="D5" s="221">
        <v>-2296911.699999969</v>
      </c>
      <c r="E5" s="221">
        <v>298917627.90000004</v>
      </c>
      <c r="F5" s="221">
        <v>10886812.619999999</v>
      </c>
      <c r="G5" s="221">
        <v>-2868.1300000000219</v>
      </c>
      <c r="H5" s="221">
        <v>-249807.28</v>
      </c>
      <c r="I5" s="221">
        <v>0</v>
      </c>
      <c r="J5" s="221">
        <v>-4476</v>
      </c>
      <c r="K5" s="221">
        <v>0</v>
      </c>
      <c r="L5" s="221">
        <v>-1900</v>
      </c>
      <c r="M5" s="221">
        <v>253315.15</v>
      </c>
      <c r="N5" s="221">
        <v>12405355.130000001</v>
      </c>
      <c r="O5" s="221">
        <v>278590897.45999998</v>
      </c>
      <c r="P5" s="221">
        <v>0</v>
      </c>
      <c r="Q5" s="221">
        <v>241463161.62</v>
      </c>
      <c r="R5" s="221">
        <v>37127735.840000004</v>
      </c>
      <c r="S5" s="221">
        <v>0</v>
      </c>
      <c r="T5" s="221">
        <v>-199.84000000000003</v>
      </c>
      <c r="U5" s="221">
        <v>0</v>
      </c>
      <c r="V5" s="221">
        <v>0</v>
      </c>
      <c r="W5" s="221">
        <v>-199.84000000000003</v>
      </c>
      <c r="X5" s="124"/>
      <c r="Y5" s="124"/>
    </row>
    <row r="6" spans="1:26" s="90" customFormat="1">
      <c r="A6" s="99" t="s">
        <v>28</v>
      </c>
      <c r="B6" s="222">
        <v>295350582.44</v>
      </c>
      <c r="C6" s="222">
        <v>0</v>
      </c>
      <c r="D6" s="222">
        <v>-2079531.7799999795</v>
      </c>
      <c r="E6" s="222">
        <v>297094515.27999997</v>
      </c>
      <c r="F6" s="222">
        <v>86759.79</v>
      </c>
      <c r="G6" s="222">
        <v>248839.15</v>
      </c>
      <c r="H6" s="222">
        <v>0</v>
      </c>
      <c r="I6" s="222">
        <v>0</v>
      </c>
      <c r="J6" s="222">
        <v>-4476</v>
      </c>
      <c r="K6" s="222">
        <v>0</v>
      </c>
      <c r="L6" s="222">
        <v>0</v>
      </c>
      <c r="M6" s="222">
        <v>253315.15</v>
      </c>
      <c r="N6" s="222">
        <v>0</v>
      </c>
      <c r="O6" s="222">
        <v>0</v>
      </c>
      <c r="P6" s="222">
        <v>0</v>
      </c>
      <c r="Q6" s="222">
        <v>0</v>
      </c>
      <c r="R6" s="222">
        <v>0</v>
      </c>
      <c r="S6" s="222">
        <v>0</v>
      </c>
      <c r="T6" s="222">
        <v>0</v>
      </c>
      <c r="U6" s="222">
        <v>0</v>
      </c>
      <c r="V6" s="222">
        <v>0</v>
      </c>
      <c r="W6" s="222">
        <v>0</v>
      </c>
      <c r="X6" s="125"/>
      <c r="Y6" s="125"/>
      <c r="Z6" s="90">
        <v>10000</v>
      </c>
    </row>
    <row r="7" spans="1:26" s="90" customFormat="1">
      <c r="A7" s="99" t="s">
        <v>29</v>
      </c>
      <c r="B7" s="222">
        <v>290758752.59000003</v>
      </c>
      <c r="C7" s="222">
        <v>0</v>
      </c>
      <c r="D7" s="222">
        <v>7.2759576141834259E-8</v>
      </c>
      <c r="E7" s="222">
        <v>0</v>
      </c>
      <c r="F7" s="222">
        <v>0</v>
      </c>
      <c r="G7" s="222">
        <v>0</v>
      </c>
      <c r="H7" s="222">
        <v>0</v>
      </c>
      <c r="I7" s="222">
        <v>0</v>
      </c>
      <c r="J7" s="222">
        <v>0</v>
      </c>
      <c r="K7" s="222">
        <v>0</v>
      </c>
      <c r="L7" s="222">
        <v>0</v>
      </c>
      <c r="M7" s="222">
        <v>0</v>
      </c>
      <c r="N7" s="222">
        <v>12405355.130000001</v>
      </c>
      <c r="O7" s="222">
        <v>278353397.45999998</v>
      </c>
      <c r="P7" s="222">
        <v>0</v>
      </c>
      <c r="Q7" s="222">
        <v>241225661.62</v>
      </c>
      <c r="R7" s="222">
        <v>37127735.840000004</v>
      </c>
      <c r="S7" s="222">
        <v>0</v>
      </c>
      <c r="T7" s="222">
        <v>0</v>
      </c>
      <c r="U7" s="222">
        <v>0</v>
      </c>
      <c r="V7" s="222">
        <v>0</v>
      </c>
      <c r="W7" s="222">
        <v>0</v>
      </c>
      <c r="X7" s="125"/>
      <c r="Y7" s="125"/>
    </row>
    <row r="8" spans="1:26" s="90" customFormat="1">
      <c r="A8" s="99" t="s">
        <v>30</v>
      </c>
      <c r="B8" s="222">
        <v>10800302.83</v>
      </c>
      <c r="C8" s="222">
        <v>0</v>
      </c>
      <c r="D8" s="222">
        <v>0</v>
      </c>
      <c r="E8" s="222">
        <v>0</v>
      </c>
      <c r="F8" s="222">
        <v>10800302.83</v>
      </c>
      <c r="G8" s="222">
        <v>0</v>
      </c>
      <c r="H8" s="222">
        <v>0</v>
      </c>
      <c r="I8" s="222">
        <v>0</v>
      </c>
      <c r="J8" s="222">
        <v>0</v>
      </c>
      <c r="K8" s="222">
        <v>0</v>
      </c>
      <c r="L8" s="222">
        <v>0</v>
      </c>
      <c r="M8" s="222">
        <v>0</v>
      </c>
      <c r="N8" s="222">
        <v>0</v>
      </c>
      <c r="O8" s="222">
        <v>0</v>
      </c>
      <c r="P8" s="222">
        <v>0</v>
      </c>
      <c r="Q8" s="222">
        <v>0</v>
      </c>
      <c r="R8" s="222">
        <v>0</v>
      </c>
      <c r="S8" s="222">
        <v>0</v>
      </c>
      <c r="T8" s="222">
        <v>0</v>
      </c>
      <c r="U8" s="222">
        <v>0</v>
      </c>
      <c r="V8" s="222">
        <v>0</v>
      </c>
      <c r="W8" s="222">
        <v>0</v>
      </c>
      <c r="X8" s="125"/>
      <c r="Y8" s="125"/>
    </row>
    <row r="9" spans="1:26" s="89" customFormat="1">
      <c r="A9" s="98" t="s">
        <v>31</v>
      </c>
      <c r="B9" s="221">
        <v>134254615.16000003</v>
      </c>
      <c r="C9" s="221">
        <v>1340567.43</v>
      </c>
      <c r="D9" s="221">
        <v>-121742778.34999995</v>
      </c>
      <c r="E9" s="221">
        <v>254517272.43000001</v>
      </c>
      <c r="F9" s="221">
        <v>214295.72</v>
      </c>
      <c r="G9" s="221">
        <v>-76086.199999999968</v>
      </c>
      <c r="H9" s="221">
        <v>-2899778.22</v>
      </c>
      <c r="I9" s="221">
        <v>2675712.56</v>
      </c>
      <c r="J9" s="221">
        <v>19759.39</v>
      </c>
      <c r="K9" s="221">
        <v>0</v>
      </c>
      <c r="L9" s="221">
        <v>5681.34</v>
      </c>
      <c r="M9" s="221">
        <v>122538.73000000001</v>
      </c>
      <c r="N9" s="221">
        <v>0</v>
      </c>
      <c r="O9" s="221">
        <v>0</v>
      </c>
      <c r="P9" s="221">
        <v>0</v>
      </c>
      <c r="Q9" s="221">
        <v>0</v>
      </c>
      <c r="R9" s="221">
        <v>0</v>
      </c>
      <c r="S9" s="221">
        <v>0</v>
      </c>
      <c r="T9" s="221">
        <v>1344.13</v>
      </c>
      <c r="U9" s="221">
        <v>1344.13</v>
      </c>
      <c r="V9" s="221">
        <v>0</v>
      </c>
      <c r="W9" s="221">
        <v>0</v>
      </c>
      <c r="X9" s="124"/>
      <c r="Y9" s="124"/>
    </row>
    <row r="10" spans="1:26" s="89" customFormat="1">
      <c r="A10" s="98" t="s">
        <v>32</v>
      </c>
      <c r="B10" s="221">
        <v>-19777631.140000001</v>
      </c>
      <c r="C10" s="221">
        <v>0</v>
      </c>
      <c r="D10" s="221">
        <v>182549.64000001564</v>
      </c>
      <c r="E10" s="221">
        <v>91800</v>
      </c>
      <c r="F10" s="221">
        <v>-140515111.28</v>
      </c>
      <c r="G10" s="221">
        <v>120463130.49999999</v>
      </c>
      <c r="H10" s="221">
        <v>117467264.68000001</v>
      </c>
      <c r="I10" s="221">
        <v>-1412982.04</v>
      </c>
      <c r="J10" s="221">
        <v>5193717.790000001</v>
      </c>
      <c r="K10" s="221">
        <v>0</v>
      </c>
      <c r="L10" s="221">
        <v>0</v>
      </c>
      <c r="M10" s="221">
        <v>-784869.92999999993</v>
      </c>
      <c r="N10" s="221">
        <v>0</v>
      </c>
      <c r="O10" s="221">
        <v>0</v>
      </c>
      <c r="P10" s="221">
        <v>0</v>
      </c>
      <c r="Q10" s="221">
        <v>0</v>
      </c>
      <c r="R10" s="221">
        <v>0</v>
      </c>
      <c r="S10" s="221">
        <v>0</v>
      </c>
      <c r="T10" s="221">
        <v>0</v>
      </c>
      <c r="U10" s="221">
        <v>0</v>
      </c>
      <c r="V10" s="221">
        <v>0</v>
      </c>
      <c r="W10" s="221">
        <v>0</v>
      </c>
      <c r="X10" s="124"/>
      <c r="Y10" s="124"/>
    </row>
    <row r="11" spans="1:26" s="89" customFormat="1">
      <c r="A11" s="98" t="s">
        <v>33</v>
      </c>
      <c r="B11" s="221">
        <v>0</v>
      </c>
      <c r="C11" s="221">
        <v>0</v>
      </c>
      <c r="D11" s="221">
        <v>0</v>
      </c>
      <c r="E11" s="221">
        <v>0</v>
      </c>
      <c r="F11" s="221">
        <v>0</v>
      </c>
      <c r="G11" s="221">
        <v>0</v>
      </c>
      <c r="H11" s="221">
        <v>0</v>
      </c>
      <c r="I11" s="221">
        <v>0</v>
      </c>
      <c r="J11" s="221">
        <v>0</v>
      </c>
      <c r="K11" s="221">
        <v>0</v>
      </c>
      <c r="L11" s="221">
        <v>0</v>
      </c>
      <c r="M11" s="221">
        <v>0</v>
      </c>
      <c r="N11" s="221">
        <v>0</v>
      </c>
      <c r="O11" s="221">
        <v>0</v>
      </c>
      <c r="P11" s="221">
        <v>0</v>
      </c>
      <c r="Q11" s="221">
        <v>0</v>
      </c>
      <c r="R11" s="221">
        <v>0</v>
      </c>
      <c r="S11" s="221">
        <v>0</v>
      </c>
      <c r="T11" s="221">
        <v>0</v>
      </c>
      <c r="U11" s="221">
        <v>0</v>
      </c>
      <c r="V11" s="221">
        <v>0</v>
      </c>
      <c r="W11" s="221">
        <v>0</v>
      </c>
      <c r="X11" s="124"/>
      <c r="Y11" s="124"/>
    </row>
    <row r="12" spans="1:26" s="89" customFormat="1">
      <c r="A12" s="98" t="s">
        <v>34</v>
      </c>
      <c r="B12" s="221">
        <v>-18267940.52</v>
      </c>
      <c r="C12" s="221">
        <v>0</v>
      </c>
      <c r="D12" s="221">
        <v>-72181.720000003232</v>
      </c>
      <c r="E12" s="221">
        <v>0</v>
      </c>
      <c r="F12" s="221">
        <v>0</v>
      </c>
      <c r="G12" s="221">
        <v>-18195758.799999997</v>
      </c>
      <c r="H12" s="221">
        <v>-30415146.52</v>
      </c>
      <c r="I12" s="221">
        <v>12858459.810000002</v>
      </c>
      <c r="J12" s="221">
        <v>-801845.26</v>
      </c>
      <c r="K12" s="221">
        <v>0</v>
      </c>
      <c r="L12" s="221">
        <v>0</v>
      </c>
      <c r="M12" s="221">
        <v>162773.17000000001</v>
      </c>
      <c r="N12" s="221">
        <v>0</v>
      </c>
      <c r="O12" s="221">
        <v>0</v>
      </c>
      <c r="P12" s="221">
        <v>0</v>
      </c>
      <c r="Q12" s="221">
        <v>0</v>
      </c>
      <c r="R12" s="221">
        <v>0</v>
      </c>
      <c r="S12" s="221">
        <v>0</v>
      </c>
      <c r="T12" s="221">
        <v>0</v>
      </c>
      <c r="U12" s="221">
        <v>0</v>
      </c>
      <c r="V12" s="221">
        <v>0</v>
      </c>
      <c r="W12" s="221">
        <v>0</v>
      </c>
      <c r="X12" s="124"/>
      <c r="Y12" s="124"/>
    </row>
    <row r="13" spans="1:26" s="89" customFormat="1">
      <c r="A13" s="98" t="s">
        <v>35</v>
      </c>
      <c r="B13" s="221">
        <v>274546.89999999991</v>
      </c>
      <c r="C13" s="221">
        <v>0</v>
      </c>
      <c r="D13" s="221">
        <v>-30799.419999999955</v>
      </c>
      <c r="E13" s="221">
        <v>305346.31999999989</v>
      </c>
      <c r="F13" s="221">
        <v>0</v>
      </c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221">
        <v>0</v>
      </c>
      <c r="M13" s="221">
        <v>0</v>
      </c>
      <c r="N13" s="221">
        <v>0</v>
      </c>
      <c r="O13" s="221">
        <v>0</v>
      </c>
      <c r="P13" s="221">
        <v>0</v>
      </c>
      <c r="Q13" s="221">
        <v>0</v>
      </c>
      <c r="R13" s="221">
        <v>0</v>
      </c>
      <c r="S13" s="221">
        <v>0</v>
      </c>
      <c r="T13" s="221">
        <v>0</v>
      </c>
      <c r="U13" s="221">
        <v>0</v>
      </c>
      <c r="V13" s="221">
        <v>0</v>
      </c>
      <c r="W13" s="221">
        <v>0</v>
      </c>
      <c r="X13" s="124"/>
      <c r="Y13" s="124"/>
    </row>
    <row r="14" spans="1:26" s="89" customFormat="1">
      <c r="A14" s="98" t="s">
        <v>36</v>
      </c>
      <c r="B14" s="221">
        <v>624134.96</v>
      </c>
      <c r="C14" s="221">
        <v>0</v>
      </c>
      <c r="D14" s="221">
        <v>0</v>
      </c>
      <c r="E14" s="221">
        <v>624134.96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221">
        <v>0</v>
      </c>
      <c r="S14" s="221">
        <v>0</v>
      </c>
      <c r="T14" s="221">
        <v>0</v>
      </c>
      <c r="U14" s="221">
        <v>0</v>
      </c>
      <c r="V14" s="221">
        <v>0</v>
      </c>
      <c r="W14" s="221">
        <v>0</v>
      </c>
      <c r="X14" s="124"/>
      <c r="Y14" s="124"/>
    </row>
    <row r="15" spans="1:26" s="89" customFormat="1">
      <c r="A15" s="100" t="s">
        <v>37</v>
      </c>
      <c r="B15" s="223">
        <v>339849253.89000005</v>
      </c>
      <c r="C15" s="223">
        <v>11294258.600000001</v>
      </c>
      <c r="D15" s="223">
        <v>37080302.669999972</v>
      </c>
      <c r="E15" s="223">
        <v>171261729.07000005</v>
      </c>
      <c r="F15" s="223">
        <v>3595179.86</v>
      </c>
      <c r="G15" s="223">
        <v>18555358.379999999</v>
      </c>
      <c r="H15" s="223">
        <v>7945920.9100000001</v>
      </c>
      <c r="I15" s="223">
        <v>3384828.16</v>
      </c>
      <c r="J15" s="223">
        <v>2076550.5800000003</v>
      </c>
      <c r="K15" s="223">
        <v>0</v>
      </c>
      <c r="L15" s="223">
        <v>2521651.15</v>
      </c>
      <c r="M15" s="223">
        <v>2626407.58</v>
      </c>
      <c r="N15" s="223">
        <v>4827078.91</v>
      </c>
      <c r="O15" s="223">
        <v>85981193.909999996</v>
      </c>
      <c r="P15" s="223">
        <v>850461.39</v>
      </c>
      <c r="Q15" s="223">
        <v>67698126.260000005</v>
      </c>
      <c r="R15" s="223">
        <v>15856696.23</v>
      </c>
      <c r="S15" s="223">
        <v>1575910.03</v>
      </c>
      <c r="T15" s="223">
        <v>7254152.4900000002</v>
      </c>
      <c r="U15" s="223">
        <v>1874190.4</v>
      </c>
      <c r="V15" s="223">
        <v>355249.44</v>
      </c>
      <c r="W15" s="223">
        <v>5024712.6500000004</v>
      </c>
      <c r="X15" s="127">
        <v>0</v>
      </c>
      <c r="Y15" s="127">
        <v>0</v>
      </c>
    </row>
    <row r="16" spans="1:26" s="90" customFormat="1">
      <c r="A16" s="101" t="s">
        <v>38</v>
      </c>
      <c r="B16" s="224">
        <v>39092700.550000004</v>
      </c>
      <c r="C16" s="224">
        <v>-353.83</v>
      </c>
      <c r="D16" s="224">
        <v>-125354.47999999857</v>
      </c>
      <c r="E16" s="224">
        <v>20431217.130000003</v>
      </c>
      <c r="F16" s="224">
        <v>614317.52</v>
      </c>
      <c r="G16" s="224">
        <v>3764379.98</v>
      </c>
      <c r="H16" s="224">
        <v>3144814.32</v>
      </c>
      <c r="I16" s="224">
        <v>484894.12</v>
      </c>
      <c r="J16" s="224">
        <v>171780.96</v>
      </c>
      <c r="K16" s="224">
        <v>0</v>
      </c>
      <c r="L16" s="224">
        <v>-0.33</v>
      </c>
      <c r="M16" s="224">
        <v>-37109.089999999997</v>
      </c>
      <c r="N16" s="224">
        <v>432133.97000000003</v>
      </c>
      <c r="O16" s="224">
        <v>13977904.76</v>
      </c>
      <c r="P16" s="224">
        <v>0</v>
      </c>
      <c r="Q16" s="224">
        <v>12018089.720000001</v>
      </c>
      <c r="R16" s="224">
        <v>1959839.47</v>
      </c>
      <c r="S16" s="224">
        <v>-24.43</v>
      </c>
      <c r="T16" s="224">
        <v>-1544.5</v>
      </c>
      <c r="U16" s="224">
        <v>0</v>
      </c>
      <c r="V16" s="224">
        <v>0</v>
      </c>
      <c r="W16" s="224">
        <v>-1544.5</v>
      </c>
      <c r="X16" s="126"/>
      <c r="Y16" s="126"/>
    </row>
    <row r="17" spans="1:25" s="90" customFormat="1">
      <c r="A17" s="101" t="s">
        <v>39</v>
      </c>
      <c r="B17" s="224">
        <v>298371395.80000007</v>
      </c>
      <c r="C17" s="224">
        <v>11294612.43</v>
      </c>
      <c r="D17" s="224">
        <v>36939684.149999969</v>
      </c>
      <c r="E17" s="224">
        <v>148711327.40000007</v>
      </c>
      <c r="F17" s="224">
        <v>2980862.34</v>
      </c>
      <c r="G17" s="224">
        <v>14790978.399999999</v>
      </c>
      <c r="H17" s="224">
        <v>4801106.59</v>
      </c>
      <c r="I17" s="224">
        <v>2899934.04</v>
      </c>
      <c r="J17" s="224">
        <v>1904769.62</v>
      </c>
      <c r="K17" s="224">
        <v>0</v>
      </c>
      <c r="L17" s="224">
        <v>2521651.48</v>
      </c>
      <c r="M17" s="224">
        <v>2663516.6700000004</v>
      </c>
      <c r="N17" s="224">
        <v>4394944.9400000004</v>
      </c>
      <c r="O17" s="224">
        <v>72003289.150000006</v>
      </c>
      <c r="P17" s="224">
        <v>850461.39</v>
      </c>
      <c r="Q17" s="224">
        <v>55680036.539999999</v>
      </c>
      <c r="R17" s="224">
        <v>13896856.76</v>
      </c>
      <c r="S17" s="224">
        <v>1575934.46</v>
      </c>
      <c r="T17" s="224">
        <v>7255696.9900000002</v>
      </c>
      <c r="U17" s="224">
        <v>1874190.4</v>
      </c>
      <c r="V17" s="224">
        <v>355249.44</v>
      </c>
      <c r="W17" s="224">
        <v>5026257.1500000004</v>
      </c>
      <c r="X17" s="126"/>
      <c r="Y17" s="126"/>
    </row>
    <row r="18" spans="1:25" s="90" customFormat="1">
      <c r="A18" s="101" t="s">
        <v>40</v>
      </c>
      <c r="B18" s="224">
        <v>265973</v>
      </c>
      <c r="C18" s="224">
        <v>0</v>
      </c>
      <c r="D18" s="224">
        <v>265973</v>
      </c>
      <c r="E18" s="224">
        <v>0</v>
      </c>
      <c r="F18" s="224">
        <v>0</v>
      </c>
      <c r="G18" s="224">
        <v>0</v>
      </c>
      <c r="H18" s="224">
        <v>0</v>
      </c>
      <c r="I18" s="224">
        <v>0</v>
      </c>
      <c r="J18" s="224">
        <v>0</v>
      </c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126"/>
      <c r="Y18" s="126"/>
    </row>
    <row r="19" spans="1:25" s="90" customFormat="1">
      <c r="A19" s="101" t="s">
        <v>41</v>
      </c>
      <c r="B19" s="224">
        <v>2119184.54</v>
      </c>
      <c r="C19" s="224">
        <v>0</v>
      </c>
      <c r="D19" s="224">
        <v>0</v>
      </c>
      <c r="E19" s="232">
        <v>2119184.54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126"/>
      <c r="Y19" s="126"/>
    </row>
    <row r="20" spans="1:25" s="89" customFormat="1">
      <c r="A20" s="100" t="s">
        <v>42</v>
      </c>
      <c r="B20" s="223">
        <v>355759184.90999997</v>
      </c>
      <c r="C20" s="223">
        <v>-9953691.1699999999</v>
      </c>
      <c r="D20" s="223">
        <v>-161040424.21999988</v>
      </c>
      <c r="E20" s="233">
        <v>383194452.54000008</v>
      </c>
      <c r="F20" s="223">
        <v>-133009182.80000001</v>
      </c>
      <c r="G20" s="223">
        <v>83633058.989999995</v>
      </c>
      <c r="H20" s="223">
        <v>75956611.750000015</v>
      </c>
      <c r="I20" s="223">
        <v>10736362.170000002</v>
      </c>
      <c r="J20" s="223">
        <v>2330605.34</v>
      </c>
      <c r="K20" s="223">
        <v>0</v>
      </c>
      <c r="L20" s="223">
        <v>-2517869.81</v>
      </c>
      <c r="M20" s="223">
        <v>-2872650.46</v>
      </c>
      <c r="N20" s="223">
        <v>7578276.2199999997</v>
      </c>
      <c r="O20" s="223">
        <v>192609703.54999998</v>
      </c>
      <c r="P20" s="223">
        <v>-850461.39</v>
      </c>
      <c r="Q20" s="223">
        <v>173765035.36000001</v>
      </c>
      <c r="R20" s="223">
        <v>21271039.610000007</v>
      </c>
      <c r="S20" s="223">
        <v>-1575910.03</v>
      </c>
      <c r="T20" s="223">
        <v>-7253008.2000000002</v>
      </c>
      <c r="U20" s="223">
        <v>-1872846.27</v>
      </c>
      <c r="V20" s="223">
        <v>-355249.44</v>
      </c>
      <c r="W20" s="223">
        <v>-5024912.49</v>
      </c>
      <c r="X20" s="127">
        <v>0</v>
      </c>
      <c r="Y20" s="127">
        <v>0</v>
      </c>
    </row>
    <row r="21" spans="1:25" s="90" customFormat="1">
      <c r="A21" s="101" t="s">
        <v>43</v>
      </c>
      <c r="B21" s="224">
        <v>252911.1</v>
      </c>
      <c r="C21" s="224">
        <v>0</v>
      </c>
      <c r="D21" s="224">
        <v>157957.13</v>
      </c>
      <c r="E21" s="231">
        <v>94953.97</v>
      </c>
      <c r="F21" s="224">
        <v>0</v>
      </c>
      <c r="G21" s="224">
        <v>0</v>
      </c>
      <c r="H21" s="224">
        <v>0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126"/>
      <c r="Y21" s="126"/>
    </row>
    <row r="22" spans="1:25" s="90" customFormat="1">
      <c r="A22" s="101" t="s">
        <v>44</v>
      </c>
      <c r="B22" s="224">
        <v>329375.23</v>
      </c>
      <c r="C22" s="224">
        <v>0</v>
      </c>
      <c r="D22" s="224">
        <v>58416.349999999955</v>
      </c>
      <c r="E22" s="231">
        <v>265983.71000000002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24">
        <v>1338.74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3636.43</v>
      </c>
      <c r="U22" s="224">
        <v>0</v>
      </c>
      <c r="V22" s="224">
        <v>0</v>
      </c>
      <c r="W22" s="224">
        <v>3636.43</v>
      </c>
      <c r="X22" s="126"/>
      <c r="Y22" s="126"/>
    </row>
    <row r="23" spans="1:25" s="89" customFormat="1">
      <c r="A23" s="100" t="s">
        <v>45</v>
      </c>
      <c r="B23" s="223">
        <v>355682720.77999997</v>
      </c>
      <c r="C23" s="223">
        <v>-9953691.1699999999</v>
      </c>
      <c r="D23" s="223">
        <v>-160940883.43999988</v>
      </c>
      <c r="E23" s="233">
        <v>383023422.80000007</v>
      </c>
      <c r="F23" s="223">
        <v>-133009182.80000001</v>
      </c>
      <c r="G23" s="223">
        <v>83633058.989999995</v>
      </c>
      <c r="H23" s="223">
        <v>75956611.750000015</v>
      </c>
      <c r="I23" s="223">
        <v>10736362.170000002</v>
      </c>
      <c r="J23" s="223">
        <v>2330605.34</v>
      </c>
      <c r="K23" s="223">
        <v>0</v>
      </c>
      <c r="L23" s="223">
        <v>-2517869.81</v>
      </c>
      <c r="M23" s="223">
        <v>-2872650.46</v>
      </c>
      <c r="N23" s="223">
        <v>7576937.4800000004</v>
      </c>
      <c r="O23" s="223">
        <v>192609703.54999998</v>
      </c>
      <c r="P23" s="223">
        <v>-850461.39</v>
      </c>
      <c r="Q23" s="223">
        <v>173765035.36000001</v>
      </c>
      <c r="R23" s="223">
        <v>21271039.610000007</v>
      </c>
      <c r="S23" s="223">
        <v>-1575910.03</v>
      </c>
      <c r="T23" s="223">
        <v>-7256644.6300000008</v>
      </c>
      <c r="U23" s="223">
        <v>-1872846.27</v>
      </c>
      <c r="V23" s="223">
        <v>-355249.44</v>
      </c>
      <c r="W23" s="223">
        <v>-5028548.9200000009</v>
      </c>
      <c r="X23" s="127">
        <v>0</v>
      </c>
      <c r="Y23" s="127">
        <v>0</v>
      </c>
    </row>
    <row r="24" spans="1:25" s="90" customFormat="1">
      <c r="A24" s="101" t="s">
        <v>46</v>
      </c>
      <c r="B24" s="224">
        <v>42358155.189999998</v>
      </c>
      <c r="C24" s="224">
        <v>0</v>
      </c>
      <c r="D24" s="224">
        <v>42358155.189999998</v>
      </c>
      <c r="E24" s="231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126"/>
      <c r="Y24" s="126"/>
    </row>
    <row r="25" spans="1:25" s="89" customFormat="1">
      <c r="A25" s="100" t="s">
        <v>47</v>
      </c>
      <c r="B25" s="223">
        <v>313324565.58999997</v>
      </c>
      <c r="C25" s="223">
        <v>-9953691.1699999999</v>
      </c>
      <c r="D25" s="223">
        <v>-203299038.62999988</v>
      </c>
      <c r="E25" s="233">
        <v>383023422.80000007</v>
      </c>
      <c r="F25" s="223">
        <v>-133009182.80000001</v>
      </c>
      <c r="G25" s="223">
        <v>83633058.989999995</v>
      </c>
      <c r="H25" s="223">
        <v>75956611.750000015</v>
      </c>
      <c r="I25" s="223">
        <v>10736362.170000002</v>
      </c>
      <c r="J25" s="223">
        <v>2330605.34</v>
      </c>
      <c r="K25" s="223">
        <v>0</v>
      </c>
      <c r="L25" s="223">
        <v>-2517869.81</v>
      </c>
      <c r="M25" s="223">
        <v>-2872650.46</v>
      </c>
      <c r="N25" s="223">
        <v>7576937.4800000004</v>
      </c>
      <c r="O25" s="223">
        <v>192609703.54999998</v>
      </c>
      <c r="P25" s="223">
        <v>-850461.39</v>
      </c>
      <c r="Q25" s="223">
        <v>173765035.36000001</v>
      </c>
      <c r="R25" s="223">
        <v>21271039.610000007</v>
      </c>
      <c r="S25" s="223">
        <v>-1575910.03</v>
      </c>
      <c r="T25" s="223">
        <v>-7256644.6300000008</v>
      </c>
      <c r="U25" s="223">
        <v>-1872846.27</v>
      </c>
      <c r="V25" s="223">
        <v>-355249.44</v>
      </c>
      <c r="W25" s="223">
        <v>-5028548.9200000009</v>
      </c>
      <c r="X25" s="127">
        <v>0</v>
      </c>
      <c r="Y25" s="127">
        <v>0</v>
      </c>
    </row>
    <row r="26" spans="1:25" s="89" customFormat="1">
      <c r="A26" s="102" t="s">
        <v>48</v>
      </c>
      <c r="B26" s="225">
        <v>-106754888.54000001</v>
      </c>
      <c r="C26" s="225">
        <v>0</v>
      </c>
      <c r="D26" s="225">
        <v>0</v>
      </c>
      <c r="E26" s="234">
        <v>-802283.12</v>
      </c>
      <c r="F26" s="225">
        <v>-74924368.510000005</v>
      </c>
      <c r="G26" s="225">
        <v>-31028236.91</v>
      </c>
      <c r="H26" s="225">
        <v>-4944570.37</v>
      </c>
      <c r="I26" s="225">
        <v>-23437638.41</v>
      </c>
      <c r="J26" s="225">
        <v>0</v>
      </c>
      <c r="K26" s="225">
        <v>0</v>
      </c>
      <c r="L26" s="225">
        <v>0</v>
      </c>
      <c r="M26" s="225">
        <v>-2646028.13</v>
      </c>
      <c r="N26" s="225">
        <v>0</v>
      </c>
      <c r="O26" s="225">
        <v>0</v>
      </c>
      <c r="P26" s="225">
        <v>0</v>
      </c>
      <c r="Q26" s="225">
        <v>0</v>
      </c>
      <c r="R26" s="225">
        <v>0</v>
      </c>
      <c r="S26" s="225">
        <v>0</v>
      </c>
      <c r="T26" s="225">
        <v>0</v>
      </c>
      <c r="U26" s="225">
        <v>0</v>
      </c>
      <c r="V26" s="225">
        <v>0</v>
      </c>
      <c r="W26" s="225">
        <v>0</v>
      </c>
      <c r="X26" s="128"/>
      <c r="Y26" s="128"/>
    </row>
    <row r="27" spans="1:25" s="89" customFormat="1">
      <c r="A27" s="103" t="s">
        <v>49</v>
      </c>
      <c r="B27" s="226">
        <v>206569677.04999995</v>
      </c>
      <c r="C27" s="226">
        <v>-9953691.1699999999</v>
      </c>
      <c r="D27" s="226">
        <v>-203299038.62999988</v>
      </c>
      <c r="E27" s="235">
        <v>382221139.68000007</v>
      </c>
      <c r="F27" s="226">
        <v>-207933551.31000003</v>
      </c>
      <c r="G27" s="226">
        <v>52604822.079999991</v>
      </c>
      <c r="H27" s="226">
        <v>71012041.38000001</v>
      </c>
      <c r="I27" s="226">
        <v>-12701276.239999996</v>
      </c>
      <c r="J27" s="226">
        <v>2330605.34</v>
      </c>
      <c r="K27" s="226">
        <v>0</v>
      </c>
      <c r="L27" s="226">
        <v>-2517869.81</v>
      </c>
      <c r="M27" s="226">
        <v>-5518678.5899999999</v>
      </c>
      <c r="N27" s="226">
        <v>7576937.4800000004</v>
      </c>
      <c r="O27" s="226">
        <v>192609703.54999998</v>
      </c>
      <c r="P27" s="226">
        <v>-850461.39</v>
      </c>
      <c r="Q27" s="226">
        <v>173765035.36000001</v>
      </c>
      <c r="R27" s="226">
        <v>21271039.610000007</v>
      </c>
      <c r="S27" s="226">
        <v>-1575910.03</v>
      </c>
      <c r="T27" s="226">
        <v>-7256644.6300000008</v>
      </c>
      <c r="U27" s="226">
        <v>-1872846.27</v>
      </c>
      <c r="V27" s="226">
        <v>-355249.44</v>
      </c>
      <c r="W27" s="226">
        <v>-5028548.9200000009</v>
      </c>
      <c r="X27" s="129">
        <v>0</v>
      </c>
      <c r="Y27" s="129">
        <v>0</v>
      </c>
    </row>
    <row r="28" spans="1:25" s="89" customFormat="1">
      <c r="B28" s="130"/>
      <c r="C28" s="130"/>
      <c r="D28" s="130"/>
      <c r="E28" s="130"/>
      <c r="F28" s="130"/>
      <c r="G28" s="130"/>
      <c r="H28" s="130">
        <v>3882140.97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</row>
    <row r="29" spans="1:25" s="91" customFormat="1" ht="12">
      <c r="A29" s="91" t="s">
        <v>50</v>
      </c>
      <c r="B29" s="131">
        <f>B23-SUM(C23:G23)-N23-O23-T23</f>
        <v>-1.73225998878479E-7</v>
      </c>
      <c r="C29" s="131"/>
      <c r="D29" s="132"/>
      <c r="E29" s="132"/>
      <c r="F29" s="132"/>
      <c r="G29" s="132">
        <f>G26/0.75</f>
        <v>-41370982.546666667</v>
      </c>
      <c r="H29" s="132">
        <f>H26/0.75</f>
        <v>-6592760.4933333332</v>
      </c>
      <c r="I29" s="132">
        <f t="shared" ref="I29:M29" si="0">I26/0.75</f>
        <v>-31250184.546666667</v>
      </c>
      <c r="J29" s="132">
        <f t="shared" si="0"/>
        <v>0</v>
      </c>
      <c r="K29" s="132">
        <f t="shared" si="0"/>
        <v>0</v>
      </c>
      <c r="L29" s="132">
        <f t="shared" si="0"/>
        <v>0</v>
      </c>
      <c r="M29" s="132">
        <f t="shared" si="0"/>
        <v>-3528037.5066666664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</row>
    <row r="30" spans="1:25" s="89" customFormat="1">
      <c r="A30" s="91"/>
      <c r="B30" s="132">
        <f>B26/0.75</f>
        <v>-142339851.38666669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</row>
    <row r="31" spans="1:25" s="89" customFormat="1">
      <c r="A31" s="104" t="s">
        <v>51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</row>
    <row r="32" spans="1:25" s="89" customFormat="1" ht="14.25" customHeight="1">
      <c r="A32" s="65" t="s">
        <v>3</v>
      </c>
      <c r="B32" s="65" t="str">
        <f>B3</f>
        <v>合计</v>
      </c>
      <c r="C32" s="65" t="str">
        <f t="shared" ref="C32:Y32" si="1">C3</f>
        <v>其他</v>
      </c>
      <c r="D32" s="65" t="str">
        <f t="shared" si="1"/>
        <v>总部中后台</v>
      </c>
      <c r="E32" s="65" t="str">
        <f t="shared" si="1"/>
        <v>经纪业务部</v>
      </c>
      <c r="F32" s="65" t="str">
        <f t="shared" si="1"/>
        <v>资产管理部</v>
      </c>
      <c r="G32" s="65" t="str">
        <f t="shared" si="1"/>
        <v>深分公司合计</v>
      </c>
      <c r="H32" s="76" t="str">
        <f t="shared" si="1"/>
        <v>固定收益部</v>
      </c>
      <c r="I32" s="76" t="str">
        <f t="shared" si="1"/>
        <v>证券投资部</v>
      </c>
      <c r="J32" s="76" t="str">
        <f t="shared" si="1"/>
        <v>金融衍生品投资部</v>
      </c>
      <c r="K32" s="76" t="str">
        <f t="shared" si="1"/>
        <v>风险管理部</v>
      </c>
      <c r="L32" s="76" t="str">
        <f t="shared" si="1"/>
        <v>深圳管理部</v>
      </c>
      <c r="M32" s="76" t="str">
        <f t="shared" si="1"/>
        <v>金融工程部</v>
      </c>
      <c r="N32" s="65" t="str">
        <f t="shared" si="1"/>
        <v>中小企业融资部</v>
      </c>
      <c r="O32" s="65" t="str">
        <f t="shared" si="1"/>
        <v>投资银行合计</v>
      </c>
      <c r="P32" s="76" t="str">
        <f t="shared" si="1"/>
        <v>财务顾问部</v>
      </c>
      <c r="Q32" s="76" t="str">
        <f t="shared" si="1"/>
        <v>债券融资部</v>
      </c>
      <c r="R32" s="76" t="str">
        <f>R3</f>
        <v>股权融资部</v>
      </c>
      <c r="S32" s="76" t="str">
        <f t="shared" si="1"/>
        <v>投资银行总部</v>
      </c>
      <c r="T32" s="65" t="str">
        <f t="shared" si="1"/>
        <v>浙江分公司小计</v>
      </c>
      <c r="U32" s="76" t="str">
        <f t="shared" si="1"/>
        <v>浙分总部</v>
      </c>
      <c r="V32" s="76" t="str">
        <f t="shared" si="1"/>
        <v>综合业务部</v>
      </c>
      <c r="W32" s="76" t="str">
        <f t="shared" si="1"/>
        <v>网络金融部</v>
      </c>
      <c r="X32" s="65">
        <f t="shared" si="1"/>
        <v>0</v>
      </c>
      <c r="Y32" s="65">
        <f t="shared" si="1"/>
        <v>0</v>
      </c>
    </row>
    <row r="33" spans="1:25" s="92" customFormat="1">
      <c r="A33" s="105" t="s">
        <v>26</v>
      </c>
      <c r="B33" s="134">
        <f>B34+B38+B39+B41+B42+B43</f>
        <v>-142339851.43625572</v>
      </c>
      <c r="C33" s="134">
        <f t="shared" ref="C33:Y33" si="2">C34+C38+C39+C41+C42+C43</f>
        <v>-25715965.748301886</v>
      </c>
      <c r="D33" s="134">
        <f t="shared" si="2"/>
        <v>-3910962.795555545</v>
      </c>
      <c r="E33" s="134">
        <f t="shared" si="2"/>
        <v>19064853.183333334</v>
      </c>
      <c r="F33" s="134">
        <f t="shared" si="2"/>
        <v>-99378522.060000017</v>
      </c>
      <c r="G33" s="134">
        <f t="shared" si="2"/>
        <v>-33960899.311287165</v>
      </c>
      <c r="H33" s="134">
        <f t="shared" ref="H33:N33" si="3">H34+H38+H39+H41+H42+H43</f>
        <v>8277454.7200000035</v>
      </c>
      <c r="I33" s="134">
        <f t="shared" si="3"/>
        <v>-42112807.571698129</v>
      </c>
      <c r="J33" s="134">
        <f t="shared" si="3"/>
        <v>-49998.020000000004</v>
      </c>
      <c r="K33" s="134">
        <f t="shared" si="3"/>
        <v>0</v>
      </c>
      <c r="L33" s="134">
        <f t="shared" si="3"/>
        <v>0</v>
      </c>
      <c r="M33" s="134">
        <f t="shared" si="3"/>
        <v>-75548.439589041285</v>
      </c>
      <c r="N33" s="134">
        <f t="shared" si="3"/>
        <v>-1957306.5</v>
      </c>
      <c r="O33" s="134">
        <f t="shared" si="2"/>
        <v>3021027.2555555552</v>
      </c>
      <c r="P33" s="134">
        <f>P34+P38+P39+P41+P42+P43</f>
        <v>0</v>
      </c>
      <c r="Q33" s="134">
        <f>Q34+Q38+Q39+Q41+Q42+Q43</f>
        <v>0</v>
      </c>
      <c r="R33" s="134">
        <f>R34+R38+R39+R41+R42+R43</f>
        <v>715471.7</v>
      </c>
      <c r="S33" s="134">
        <f>S34+S38+S39+S41+S42+S43</f>
        <v>2305555.5555555555</v>
      </c>
      <c r="T33" s="134">
        <f t="shared" si="2"/>
        <v>497924.54</v>
      </c>
      <c r="U33" s="134">
        <f t="shared" si="2"/>
        <v>0</v>
      </c>
      <c r="V33" s="134">
        <f t="shared" si="2"/>
        <v>497924.54</v>
      </c>
      <c r="W33" s="134">
        <f t="shared" si="2"/>
        <v>0</v>
      </c>
      <c r="X33" s="134">
        <f t="shared" si="2"/>
        <v>0</v>
      </c>
      <c r="Y33" s="134">
        <f t="shared" si="2"/>
        <v>0</v>
      </c>
    </row>
    <row r="34" spans="1:25" s="92" customFormat="1">
      <c r="A34" s="106" t="s">
        <v>27</v>
      </c>
      <c r="B34" s="135">
        <f>SUM(C34:G34)+N34+O34+T34</f>
        <v>0</v>
      </c>
      <c r="C34" s="135">
        <f>SUM(C35:C37)</f>
        <v>-4482101.45</v>
      </c>
      <c r="D34" s="135">
        <f t="shared" ref="D34:I34" si="4">SUM(D35:D37)</f>
        <v>0</v>
      </c>
      <c r="E34" s="135">
        <f t="shared" si="4"/>
        <v>4626011.71</v>
      </c>
      <c r="F34" s="135">
        <f t="shared" si="4"/>
        <v>0</v>
      </c>
      <c r="G34" s="135">
        <f>SUM(H34:M34)</f>
        <v>600000</v>
      </c>
      <c r="H34" s="135">
        <f t="shared" si="4"/>
        <v>0</v>
      </c>
      <c r="I34" s="135">
        <f t="shared" si="4"/>
        <v>600000</v>
      </c>
      <c r="J34" s="135">
        <f>SUM(J35:J37)</f>
        <v>0</v>
      </c>
      <c r="K34" s="135">
        <f>SUM(K35:K37)</f>
        <v>0</v>
      </c>
      <c r="L34" s="135">
        <f>SUM(L35:L37)</f>
        <v>0</v>
      </c>
      <c r="M34" s="135">
        <f>SUM(M35:M37)</f>
        <v>0</v>
      </c>
      <c r="N34" s="135">
        <f>SUM(N35:N37)</f>
        <v>-1957306.5</v>
      </c>
      <c r="O34" s="135">
        <f>SUM(P34:S34)</f>
        <v>715471.7</v>
      </c>
      <c r="P34" s="135">
        <f>SUM(P35:P37)</f>
        <v>0</v>
      </c>
      <c r="Q34" s="135">
        <f>SUM(Q35:Q37)</f>
        <v>0</v>
      </c>
      <c r="R34" s="135">
        <f>SUM(R35:R37)</f>
        <v>715471.7</v>
      </c>
      <c r="S34" s="135">
        <f>SUM(S35:S37)</f>
        <v>0</v>
      </c>
      <c r="T34" s="135">
        <f>SUM(U34:W34)</f>
        <v>497924.54</v>
      </c>
      <c r="U34" s="135">
        <f>SUM(U35:U37)</f>
        <v>0</v>
      </c>
      <c r="V34" s="135">
        <f>SUM(V35:V37)</f>
        <v>497924.54</v>
      </c>
      <c r="W34" s="135">
        <f>SUM(W35:W37)</f>
        <v>0</v>
      </c>
      <c r="X34" s="135">
        <f>SUM(X35:X37)</f>
        <v>0</v>
      </c>
      <c r="Y34" s="135"/>
    </row>
    <row r="35" spans="1:25" s="150" customFormat="1">
      <c r="A35" s="107" t="s">
        <v>28</v>
      </c>
      <c r="B35" s="138">
        <f t="shared" ref="B35:B53" si="5">SUM(C35:G35)+N35+O35+T35</f>
        <v>0</v>
      </c>
      <c r="C35" s="138">
        <f>SUMIFS(考核调整事项表!$C:$C,考核调整事项表!$B:$B,累计利润调整表!$A35,考核调整事项表!$D:$D,C$3)+SUMIFS(考核调整事项表!$E:$E,考核调整事项表!$B:$B,累计利润调整表!$A35,考核调整事项表!$F:$F,C$3)</f>
        <v>-824350.51</v>
      </c>
      <c r="D35" s="138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38">
        <f>SUMIFS(考核调整事项表!$C:$C,考核调整事项表!$B:$B,累计利润调整表!$A35,考核调整事项表!$D:$D,E$3)+SUMIFS(考核调整事项表!$E:$E,考核调整事项表!$B:$B,累计利润调整表!$A35,考核调整事项表!$F:$F,E$3)</f>
        <v>824350.51</v>
      </c>
      <c r="F35" s="138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38">
        <f t="shared" ref="G35:G53" si="6">SUM(H35:M35)</f>
        <v>0</v>
      </c>
      <c r="H35" s="138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38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38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38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38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38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38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38">
        <f t="shared" ref="O35:O53" si="7">SUM(P35:S35)</f>
        <v>0</v>
      </c>
      <c r="P35" s="138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38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38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38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38">
        <f t="shared" ref="T35:T51" si="8">SUM(U35:W35)</f>
        <v>0</v>
      </c>
      <c r="U35" s="138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38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38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36"/>
      <c r="Y35" s="136"/>
    </row>
    <row r="36" spans="1:25" s="150" customFormat="1">
      <c r="A36" s="107" t="s">
        <v>29</v>
      </c>
      <c r="B36" s="138">
        <f t="shared" si="5"/>
        <v>0</v>
      </c>
      <c r="C36" s="138">
        <f>SUMIFS(考核调整事项表!$C:$C,考核调整事项表!$B:$B,累计利润调整表!$A36,考核调整事项表!$D:$D,C$3)+SUMIFS(考核调整事项表!$E:$E,考核调整事项表!$B:$B,累计利润调整表!$A36,考核调整事项表!$F:$F,C$3)</f>
        <v>-3657750.94</v>
      </c>
      <c r="D36" s="138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38">
        <f>SUMIFS(考核调整事项表!$C:$C,考核调整事项表!$B:$B,累计利润调整表!$A36,考核调整事项表!$D:$D,E$3)+SUMIFS(考核调整事项表!$E:$E,考核调整事项表!$B:$B,累计利润调整表!$A36,考核调整事项表!$F:$F,E$3)</f>
        <v>3801661.2</v>
      </c>
      <c r="F36" s="138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38">
        <f t="shared" si="6"/>
        <v>600000</v>
      </c>
      <c r="H36" s="138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38">
        <f>SUMIFS(考核调整事项表!$C:$C,考核调整事项表!$B:$B,累计利润调整表!$A36,考核调整事项表!$D:$D,I$3)+SUMIFS(考核调整事项表!$E:$E,考核调整事项表!$B:$B,累计利润调整表!$A36,考核调整事项表!$F:$F,I$3)</f>
        <v>600000</v>
      </c>
      <c r="J36" s="138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38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38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38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38">
        <f>SUMIFS(考核调整事项表!$C:$C,考核调整事项表!$B:$B,累计利润调整表!$A36,考核调整事项表!$D:$D,N$3)+SUMIFS(考核调整事项表!$E:$E,考核调整事项表!$B:$B,累计利润调整表!$A36,考核调整事项表!$F:$F,N$3)</f>
        <v>-1957306.5</v>
      </c>
      <c r="O36" s="138">
        <f t="shared" si="7"/>
        <v>715471.7</v>
      </c>
      <c r="P36" s="138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38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38">
        <f>SUMIFS(考核调整事项表!$C:$C,考核调整事项表!$B:$B,累计利润调整表!$A36,考核调整事项表!$D:$D,R$3)+SUMIFS(考核调整事项表!$E:$E,考核调整事项表!$B:$B,累计利润调整表!$A36,考核调整事项表!$F:$F,R$3)</f>
        <v>715471.7</v>
      </c>
      <c r="S36" s="138">
        <f>SUMIFS(考核调整事项表!$C:$C,考核调整事项表!$B:$B,累计利润调整表!$A36,考核调整事项表!$D:$D,S$3)+SUMIFS(考核调整事项表!$E:$E,考核调整事项表!$B:$B,累计利润调整表!$A36,考核调整事项表!$F:$F,S$3)</f>
        <v>0</v>
      </c>
      <c r="T36" s="138">
        <f t="shared" si="8"/>
        <v>497924.54</v>
      </c>
      <c r="U36" s="138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38">
        <f>SUMIFS(考核调整事项表!$C:$C,考核调整事项表!$B:$B,累计利润调整表!$A36,考核调整事项表!$D:$D,V$3)+SUMIFS(考核调整事项表!$E:$E,考核调整事项表!$B:$B,累计利润调整表!$A36,考核调整事项表!$F:$F,V$3)</f>
        <v>497924.54</v>
      </c>
      <c r="W36" s="138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36"/>
      <c r="Y36" s="136"/>
    </row>
    <row r="37" spans="1:25" s="150" customFormat="1">
      <c r="A37" s="107" t="s">
        <v>30</v>
      </c>
      <c r="B37" s="138">
        <f t="shared" si="5"/>
        <v>0</v>
      </c>
      <c r="C37" s="138">
        <f>SUMIFS(考核调整事项表!$C:$C,考核调整事项表!$B:$B,累计利润调整表!$A37,考核调整事项表!$D:$D,C$3)+SUMIFS(考核调整事项表!$E:$E,考核调整事项表!$B:$B,累计利润调整表!$A37,考核调整事项表!$F:$F,C$3)</f>
        <v>0</v>
      </c>
      <c r="D37" s="138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38">
        <f>SUMIFS(考核调整事项表!$C:$C,考核调整事项表!$B:$B,累计利润调整表!$A37,考核调整事项表!$D:$D,E$3)+SUMIFS(考核调整事项表!$E:$E,考核调整事项表!$B:$B,累计利润调整表!$A37,考核调整事项表!$F:$F,E$3)</f>
        <v>0</v>
      </c>
      <c r="F37" s="138">
        <f>SUMIFS(考核调整事项表!$C:$C,考核调整事项表!$B:$B,累计利润调整表!$A37,考核调整事项表!$D:$D,F$3)+SUMIFS(考核调整事项表!$E:$E,考核调整事项表!$B:$B,累计利润调整表!$A37,考核调整事项表!$F:$F,F$3)</f>
        <v>0</v>
      </c>
      <c r="G37" s="138">
        <f t="shared" si="6"/>
        <v>0</v>
      </c>
      <c r="H37" s="138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38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38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38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38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38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38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38">
        <f t="shared" si="7"/>
        <v>0</v>
      </c>
      <c r="P37" s="138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38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38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38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38">
        <f t="shared" si="8"/>
        <v>0</v>
      </c>
      <c r="U37" s="138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38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38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36"/>
      <c r="Y37" s="136"/>
    </row>
    <row r="38" spans="1:25" s="92" customFormat="1">
      <c r="A38" s="106" t="s">
        <v>31</v>
      </c>
      <c r="B38" s="135">
        <f>SUM(C38:G38)+N38+O38+T38</f>
        <v>-1.3969838619232178E-9</v>
      </c>
      <c r="C38" s="135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35">
        <f>SUMIFS(考核调整事项表!$C:$C,考核调整事项表!$B:$B,累计利润调整表!$A38,考核调整事项表!$D:$D,D$3)+SUMIFS(考核调整事项表!$E:$E,考核调整事项表!$B:$B,累计利润调整表!$A38,考核调整事项表!$F:$F,D$3)</f>
        <v>-14753055.645555558</v>
      </c>
      <c r="E38" s="135">
        <f>SUMIFS(考核调整事项表!$C:$C,考核调整事项表!$B:$B,累计利润调整表!$A38,考核调整事项表!$D:$D,E$3)+SUMIFS(考核调整事项表!$E:$E,考核调整事项表!$B:$B,累计利润调整表!$A38,考核调整事项表!$F:$F,E$3)</f>
        <v>14963272.120000001</v>
      </c>
      <c r="F38" s="135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35">
        <f t="shared" si="6"/>
        <v>-2515772.0300000003</v>
      </c>
      <c r="H38" s="135">
        <f>SUMIFS(考核调整事项表!$C:$C,考核调整事项表!$B:$B,累计利润调整表!$A38,考核调整事项表!$D:$D,H$3)+SUMIFS(考核调整事项表!$E:$E,考核调整事项表!$B:$B,累计利润调整表!$A38,考核调整事项表!$F:$F,H$3)</f>
        <v>119865.45999999999</v>
      </c>
      <c r="I38" s="135">
        <f>SUMIFS(考核调整事项表!$C:$C,考核调整事项表!$B:$B,累计利润调整表!$A38,考核调整事项表!$D:$D,I$3)+SUMIFS(考核调整事项表!$E:$E,考核调整事项表!$B:$B,累计利润调整表!$A38,考核调整事项表!$F:$F,I$3)</f>
        <v>-2046969.3600000003</v>
      </c>
      <c r="J38" s="135">
        <f>SUMIFS(考核调整事项表!$C:$C,考核调整事项表!$B:$B,累计利润调整表!$A38,考核调整事项表!$D:$D,J$3)+SUMIFS(考核调整事项表!$E:$E,考核调整事项表!$B:$B,累计利润调整表!$A38,考核调整事项表!$F:$F,J$3)</f>
        <v>-51780.82</v>
      </c>
      <c r="K38" s="135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35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35">
        <f>SUMIFS(考核调整事项表!$C:$C,考核调整事项表!$B:$B,累计利润调整表!$A38,考核调整事项表!$D:$D,M$3)+SUMIFS(考核调整事项表!$E:$E,考核调整事项表!$B:$B,累计利润调整表!$A38,考核调整事项表!$F:$F,M$3)</f>
        <v>-536887.31000000006</v>
      </c>
      <c r="N38" s="135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35">
        <f t="shared" si="7"/>
        <v>2305555.5555555555</v>
      </c>
      <c r="P38" s="135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35">
        <f>SUMIFS(考核调整事项表!$C:$C,考核调整事项表!$B:$B,累计利润调整表!$A38,考核调整事项表!$D:$D,Q$3)+SUMIFS(考核调整事项表!$E:$E,考核调整事项表!$B:$B,累计利润调整表!$A38,考核调整事项表!$F:$F,Q$3)</f>
        <v>0</v>
      </c>
      <c r="R38" s="135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35">
        <f>SUMIFS(考核调整事项表!$C:$C,考核调整事项表!$B:$B,累计利润调整表!$A38,考核调整事项表!$D:$D,S$3)+SUMIFS(考核调整事项表!$E:$E,考核调整事项表!$B:$B,累计利润调整表!$A38,考核调整事项表!$F:$F,S$3)</f>
        <v>2305555.5555555555</v>
      </c>
      <c r="T38" s="135">
        <f t="shared" si="8"/>
        <v>0</v>
      </c>
      <c r="U38" s="135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35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35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35"/>
      <c r="Y38" s="135"/>
    </row>
    <row r="39" spans="1:25" s="92" customFormat="1">
      <c r="A39" s="106" t="s">
        <v>32</v>
      </c>
      <c r="B39" s="135">
        <f t="shared" si="5"/>
        <v>0</v>
      </c>
      <c r="C39" s="135">
        <f>SUMIFS(考核调整事项表!$C:$C,考核调整事项表!$B:$B,累计利润调整表!$A39,考核调整事项表!$D:$D,C$3)+SUMIFS(考核调整事项表!$E:$E,考核调整事项表!$B:$B,累计利润调整表!$A39,考核调整事项表!$F:$F,C$3)</f>
        <v>-2692555.2283018865</v>
      </c>
      <c r="D39" s="135">
        <f>SUMIFS(考核调整事项表!$C:$C,考核调整事项表!$B:$B,累计利润调整表!$A39,考核调整事项表!$D:$D,D$3)+SUMIFS(考核调整事项表!$E:$E,考核调整事项表!$B:$B,累计利润调整表!$A39,考核调整事项表!$F:$F,D$3)</f>
        <v>10842092.850000013</v>
      </c>
      <c r="E39" s="135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36">
        <f>SUMIFS(考核调整事项表!$C:$C,考核调整事项表!$B:$B,累计利润调整表!$A39,考核调整事项表!$D:$D,F$3)+SUMIFS(考核调整事项表!$E:$E,考核调整事项表!$B:$B,累计利润调整表!$A39,考核调整事项表!$F:$F,F$3)</f>
        <v>262937.05</v>
      </c>
      <c r="G39" s="135">
        <f t="shared" si="6"/>
        <v>-8412474.6716981251</v>
      </c>
      <c r="H39" s="135">
        <f>SUMIFS(考核调整事项表!$C:$C,考核调整事项表!$B:$B,累计利润调整表!$A39,考核调整事项表!$D:$D,H$3)+SUMIFS(考核调整事项表!$E:$E,考核调整事项表!$B:$B,累计利润调整表!$A39,考核调整事项表!$F:$F,H$3)</f>
        <v>-2785873.8499999996</v>
      </c>
      <c r="I39" s="135">
        <f>SUMIFS(考核调整事项表!$C:$C,考核调整事项表!$B:$B,累计利润调整表!$A39,考核调整事项表!$D:$D,I$3)+SUMIFS(考核调整事项表!$E:$E,考核调整事项表!$B:$B,累计利润调整表!$A39,考核调整事项表!$F:$F,I$3)</f>
        <v>-5625045.2616981249</v>
      </c>
      <c r="J39" s="135">
        <f>SUMIFS(考核调整事项表!$C:$C,考核调整事项表!$B:$B,累计利润调整表!$A39,考核调整事项表!$D:$D,J$3)+SUMIFS(考核调整事项表!$E:$E,考核调整事项表!$B:$B,累计利润调整表!$A39,考核调整事项表!$F:$F,J$3)</f>
        <v>0</v>
      </c>
      <c r="K39" s="135">
        <f>SUMIFS(考核调整事项表!$C:$C,考核调整事项表!$B:$B,累计利润调整表!$A39,考核调整事项表!$D:$D,K$3)+SUMIFS(考核调整事项表!$E:$E,考核调整事项表!$B:$B,累计利润调整表!$A39,考核调整事项表!$F:$F,K$3)</f>
        <v>0</v>
      </c>
      <c r="L39" s="135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35">
        <f>SUMIFS(考核调整事项表!$C:$C,考核调整事项表!$B:$B,累计利润调整表!$A39,考核调整事项表!$D:$D,M$3)+SUMIFS(考核调整事项表!$E:$E,考核调整事项表!$B:$B,累计利润调整表!$A39,考核调整事项表!$F:$F,M$3)</f>
        <v>-1555.56</v>
      </c>
      <c r="N39" s="135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35">
        <f t="shared" si="7"/>
        <v>0</v>
      </c>
      <c r="P39" s="135">
        <f>SUMIFS(考核调整事项表!$C:$C,考核调整事项表!$B:$B,累计利润调整表!$A39,考核调整事项表!$D:$D,P$3)+SUMIFS(考核调整事项表!$E:$E,考核调整事项表!$B:$B,累计利润调整表!$A39,考核调整事项表!$F:$F,P$3)</f>
        <v>0</v>
      </c>
      <c r="Q39" s="135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35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35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35">
        <f t="shared" si="8"/>
        <v>0</v>
      </c>
      <c r="U39" s="135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35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35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35"/>
      <c r="Y39" s="135"/>
    </row>
    <row r="40" spans="1:25" s="92" customFormat="1">
      <c r="A40" s="106" t="s">
        <v>33</v>
      </c>
      <c r="B40" s="135"/>
      <c r="C40" s="135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35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35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35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35"/>
      <c r="H40" s="135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35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35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35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35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35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35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35">
        <f t="shared" si="7"/>
        <v>0</v>
      </c>
      <c r="P40" s="135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35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35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35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35"/>
      <c r="U40" s="135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35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35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35"/>
      <c r="Y40" s="135"/>
    </row>
    <row r="41" spans="1:25" s="92" customFormat="1">
      <c r="A41" s="106" t="s">
        <v>34</v>
      </c>
      <c r="B41" s="135">
        <f>SUM(C41:G41)+N41+O41+T41</f>
        <v>-142339851.43625572</v>
      </c>
      <c r="C41" s="135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-17996028.890000001</v>
      </c>
      <c r="D41" s="135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35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-1069710.8266666667</v>
      </c>
      <c r="F41" s="135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-99641459.110000014</v>
      </c>
      <c r="G41" s="135">
        <f>SUM(H41:M41)</f>
        <v>-23632652.60958904</v>
      </c>
      <c r="H41" s="135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10943463.110000003</v>
      </c>
      <c r="I41" s="135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-35040792.950000003</v>
      </c>
      <c r="J41" s="135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1782.7999999999993</v>
      </c>
      <c r="K41" s="135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0</v>
      </c>
      <c r="L41" s="135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0</v>
      </c>
      <c r="M41" s="135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462894.43041095883</v>
      </c>
      <c r="N41" s="135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0</v>
      </c>
      <c r="O41" s="135">
        <f t="shared" si="7"/>
        <v>0</v>
      </c>
      <c r="P41" s="135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0</v>
      </c>
      <c r="Q41" s="135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35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35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35">
        <f t="shared" si="8"/>
        <v>0</v>
      </c>
      <c r="U41" s="135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35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35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35">
        <f>SUMIFS(考核调整事项表!$C:$C,考核调整事项表!$B:$B,累计利润调整表!$A41,考核调整事项表!$D:$D,X$3)+SUMIFS(考核调整事项表!$E:$E,考核调整事项表!$B:$B,累计利润调整表!$A41,考核调整事项表!$F:$F,X$3)+X58</f>
        <v>0</v>
      </c>
      <c r="Y41" s="135"/>
    </row>
    <row r="42" spans="1:25" s="92" customFormat="1">
      <c r="A42" s="106" t="s">
        <v>35</v>
      </c>
      <c r="B42" s="135">
        <f t="shared" si="5"/>
        <v>0</v>
      </c>
      <c r="C42" s="135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35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35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35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35">
        <f t="shared" si="6"/>
        <v>0</v>
      </c>
      <c r="H42" s="135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35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35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35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35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35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35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35">
        <f t="shared" si="7"/>
        <v>0</v>
      </c>
      <c r="P42" s="135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35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35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35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35">
        <f t="shared" si="8"/>
        <v>0</v>
      </c>
      <c r="U42" s="135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35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35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35"/>
      <c r="Y42" s="135"/>
    </row>
    <row r="43" spans="1:25" s="92" customFormat="1">
      <c r="A43" s="106" t="s">
        <v>36</v>
      </c>
      <c r="B43" s="135">
        <f t="shared" si="5"/>
        <v>0</v>
      </c>
      <c r="C43" s="135">
        <f>SUMIFS(考核调整事项表!$C:$C,考核调整事项表!$B:$B,累计利润调整表!$A43,考核调整事项表!$D:$D,C$3)+SUMIFS(考核调整事项表!$E:$E,考核调整事项表!$B:$B,累计利润调整表!$A43,考核调整事项表!$F:$F,C$3)</f>
        <v>-545280.18000000005</v>
      </c>
      <c r="D43" s="135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35">
        <f>SUMIFS(考核调整事项表!$C:$C,考核调整事项表!$B:$B,累计利润调整表!$A43,考核调整事项表!$D:$D,E$3)+SUMIFS(考核调整事项表!$E:$E,考核调整事项表!$B:$B,累计利润调整表!$A43,考核调整事项表!$F:$F,E$3)</f>
        <v>545280.18000000005</v>
      </c>
      <c r="F43" s="135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35">
        <f t="shared" si="6"/>
        <v>0</v>
      </c>
      <c r="H43" s="135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35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35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35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35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35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35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35">
        <f t="shared" si="7"/>
        <v>0</v>
      </c>
      <c r="P43" s="135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35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35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35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35">
        <f t="shared" si="8"/>
        <v>0</v>
      </c>
      <c r="U43" s="135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35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35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35"/>
      <c r="Y43" s="135"/>
    </row>
    <row r="44" spans="1:25" s="92" customFormat="1">
      <c r="A44" s="108" t="s">
        <v>37</v>
      </c>
      <c r="B44" s="137">
        <f>SUM(B45:B48)</f>
        <v>1.6789272194728255E-9</v>
      </c>
      <c r="C44" s="137">
        <f t="shared" ref="C44:Y44" si="9">SUM(C45:C48)</f>
        <v>-5457610.1433333308</v>
      </c>
      <c r="D44" s="137">
        <f t="shared" si="9"/>
        <v>557321.88000000012</v>
      </c>
      <c r="E44" s="137">
        <f t="shared" si="9"/>
        <v>5202011.713333332</v>
      </c>
      <c r="F44" s="137">
        <f t="shared" si="9"/>
        <v>2629.37</v>
      </c>
      <c r="G44" s="137">
        <f t="shared" si="9"/>
        <v>-244772.90000000002</v>
      </c>
      <c r="H44" s="137">
        <f t="shared" ref="H44:N44" si="10">SUM(H45:H48)</f>
        <v>99376.51999999996</v>
      </c>
      <c r="I44" s="137">
        <f t="shared" si="10"/>
        <v>-356768.57</v>
      </c>
      <c r="J44" s="137">
        <f t="shared" si="10"/>
        <v>26.499999999999986</v>
      </c>
      <c r="K44" s="137">
        <f t="shared" si="10"/>
        <v>0</v>
      </c>
      <c r="L44" s="137">
        <f t="shared" si="10"/>
        <v>-19750</v>
      </c>
      <c r="M44" s="137">
        <f t="shared" si="10"/>
        <v>32342.650000000009</v>
      </c>
      <c r="N44" s="137">
        <f t="shared" si="10"/>
        <v>-106696.70999999999</v>
      </c>
      <c r="O44" s="137">
        <f t="shared" si="9"/>
        <v>121395.28</v>
      </c>
      <c r="P44" s="137">
        <f>SUM(P45:P48)</f>
        <v>-14700</v>
      </c>
      <c r="Q44" s="137">
        <f>SUM(Q45:Q48)</f>
        <v>-29400</v>
      </c>
      <c r="R44" s="137">
        <f>SUM(R45:R48)</f>
        <v>28479.72</v>
      </c>
      <c r="S44" s="137">
        <f>SUM(S45:S48)</f>
        <v>137015.56</v>
      </c>
      <c r="T44" s="137">
        <f t="shared" si="9"/>
        <v>-74278.490000000005</v>
      </c>
      <c r="U44" s="137">
        <f t="shared" si="9"/>
        <v>-69524</v>
      </c>
      <c r="V44" s="137">
        <f t="shared" si="9"/>
        <v>14835.51</v>
      </c>
      <c r="W44" s="137">
        <f t="shared" si="9"/>
        <v>-19590</v>
      </c>
      <c r="X44" s="137">
        <f t="shared" si="9"/>
        <v>0</v>
      </c>
      <c r="Y44" s="137">
        <f t="shared" si="9"/>
        <v>0</v>
      </c>
    </row>
    <row r="45" spans="1:25" s="150" customFormat="1">
      <c r="A45" s="109" t="s">
        <v>178</v>
      </c>
      <c r="B45" s="138">
        <f t="shared" si="5"/>
        <v>2.0008883439004421E-11</v>
      </c>
      <c r="C45" s="138">
        <f>SUMIFS(考核调整事项表!$C:$C,考核调整事项表!$B:$B,累计利润调整表!$A45,考核调整事项表!$D:$D,C$3)+SUMIFS(考核调整事项表!$E:$E,考核调整事项表!$B:$B,累计利润调整表!$A45,考核调整事项表!$F:$F,C$3)</f>
        <v>-231926.74999999997</v>
      </c>
      <c r="D45" s="138">
        <f>SUMIFS(考核调整事项表!$C:$C,考核调整事项表!$B:$B,累计利润调整表!$A45,考核调整事项表!$D:$D,D$3)+SUMIFS(考核调整事项表!$E:$E,考核调整事项表!$B:$B,累计利润调整表!$A45,考核调整事项表!$F:$F,D$3)</f>
        <v>-253446.69</v>
      </c>
      <c r="E45" s="138">
        <f>SUMIFS(考核调整事项表!$C:$C,考核调整事项表!$B:$B,累计利润调整表!$A45,考核调整事项表!$D:$D,E$3)+SUMIFS(考核调整事项表!$E:$E,考核调整事项表!$B:$B,累计利润调整表!$A45,考核调整事项表!$F:$F,E$3)</f>
        <v>691304.54999999993</v>
      </c>
      <c r="F45" s="138">
        <f>SUMIFS(考核调整事项表!$C:$C,考核调整事项表!$B:$B,累计利润调整表!$A45,考核调整事项表!$D:$D,F$3)+SUMIFS(考核调整事项表!$E:$E,考核调整事项表!$B:$B,累计利润调整表!$A45,考核调整事项表!$F:$F,F$3)</f>
        <v>0</v>
      </c>
      <c r="G45" s="138">
        <f t="shared" si="6"/>
        <v>-278648.73</v>
      </c>
      <c r="H45" s="138">
        <f>SUMIFS(考核调整事项表!$C:$C,考核调整事项表!$B:$B,累计利润调整表!$A45,考核调整事项表!$D:$D,H$3)+SUMIFS(考核调整事项表!$E:$E,考核调整事项表!$B:$B,累计利润调整表!$A45,考核调整事项表!$F:$F,H$3)</f>
        <v>-77782.13</v>
      </c>
      <c r="I45" s="138">
        <f>SUMIFS(考核调整事项表!$C:$C,考核调整事项表!$B:$B,累计利润调整表!$A45,考核调整事项表!$D:$D,I$3)+SUMIFS(考核调整事项表!$E:$E,考核调整事项表!$B:$B,累计利润调整表!$A45,考核调整事项表!$F:$F,I$3)</f>
        <v>-239627.87</v>
      </c>
      <c r="J45" s="138">
        <f>SUMIFS(考核调整事项表!$C:$C,考核调整事项表!$B:$B,累计利润调整表!$A45,考核调整事项表!$D:$D,J$3)+SUMIFS(考核调整事项表!$E:$E,考核调整事项表!$B:$B,累计利润调整表!$A45,考核调整事项表!$F:$F,J$3)</f>
        <v>8.67</v>
      </c>
      <c r="K45" s="138">
        <f>SUMIFS(考核调整事项表!$C:$C,考核调整事项表!$B:$B,累计利润调整表!$A45,考核调整事项表!$D:$D,K$3)+SUMIFS(考核调整事项表!$E:$E,考核调整事项表!$B:$B,累计利润调整表!$A45,考核调整事项表!$F:$F,K$3)</f>
        <v>0</v>
      </c>
      <c r="L45" s="138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38">
        <f>SUMIFS(考核调整事项表!$C:$C,考核调整事项表!$B:$B,累计利润调整表!$A45,考核调整事项表!$D:$D,M$3)+SUMIFS(考核调整事项表!$E:$E,考核调整事项表!$B:$B,累计利润调整表!$A45,考核调整事项表!$F:$F,M$3)</f>
        <v>38752.600000000006</v>
      </c>
      <c r="N45" s="138">
        <f>SUMIFS(考核调整事项表!$C:$C,考核调整事项表!$B:$B,累计利润调整表!$A45,考核调整事项表!$D:$D,N$3)+SUMIFS(考核调整事项表!$E:$E,考核调整事项表!$B:$B,累计利润调整表!$A45,考核调整事项表!$F:$F,N$3)</f>
        <v>-87123.639999999985</v>
      </c>
      <c r="O45" s="138">
        <f t="shared" si="7"/>
        <v>149985</v>
      </c>
      <c r="P45" s="138">
        <f>SUMIFS(考核调整事项表!$C:$C,考核调整事项表!$B:$B,累计利润调整表!$A45,考核调整事项表!$D:$D,P$3)+SUMIFS(考核调整事项表!$E:$E,考核调整事项表!$B:$B,累计利润调整表!$A45,考核调整事项表!$F:$F,P$3)</f>
        <v>0</v>
      </c>
      <c r="Q45" s="138">
        <f>SUMIFS(考核调整事项表!$C:$C,考核调整事项表!$B:$B,累计利润调整表!$A45,考核调整事项表!$D:$D,Q$3)+SUMIFS(考核调整事项表!$E:$E,考核调整事项表!$B:$B,累计利润调整表!$A45,考核调整事项表!$F:$F,Q$3)</f>
        <v>0</v>
      </c>
      <c r="R45" s="138">
        <f>SUMIFS(考核调整事项表!$C:$C,考核调整事项表!$B:$B,累计利润调整表!$A45,考核调整事项表!$D:$D,R$3)+SUMIFS(考核调整事项表!$E:$E,考核调整事项表!$B:$B,累计利润调整表!$A45,考核调整事项表!$F:$F,R$3)</f>
        <v>36025</v>
      </c>
      <c r="S45" s="138">
        <f>SUMIFS(考核调整事项表!$C:$C,考核调整事项表!$B:$B,累计利润调整表!$A45,考核调整事项表!$D:$D,S$3)+SUMIFS(考核调整事项表!$E:$E,考核调整事项表!$B:$B,累计利润调整表!$A45,考核调整事项表!$F:$F,S$3)</f>
        <v>113960</v>
      </c>
      <c r="T45" s="138">
        <f t="shared" si="8"/>
        <v>9856.26</v>
      </c>
      <c r="U45" s="138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38">
        <f>SUMIFS(考核调整事项表!$C:$C,考核调整事项表!$B:$B,累计利润调整表!$A45,考核调整事项表!$D:$D,V$3)+SUMIFS(考核调整事项表!$E:$E,考核调整事项表!$B:$B,累计利润调整表!$A45,考核调整事项表!$F:$F,V$3)</f>
        <v>9856.26</v>
      </c>
      <c r="W45" s="138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38"/>
      <c r="Y45" s="138"/>
    </row>
    <row r="46" spans="1:25" s="150" customFormat="1">
      <c r="A46" s="109" t="s">
        <v>179</v>
      </c>
      <c r="B46" s="138">
        <f t="shared" si="5"/>
        <v>1.6589183360338211E-9</v>
      </c>
      <c r="C46" s="138">
        <f>SUMIFS(考核调整事项表!$C:$C,考核调整事项表!$B:$B,累计利润调整表!$A46,考核调整事项表!$D:$D,C$3)+SUMIFS(考核调整事项表!$E:$E,考核调整事项表!$B:$B,累计利润调整表!$A46,考核调整事项表!$F:$F,C$3)</f>
        <v>-5225683.3933333308</v>
      </c>
      <c r="D46" s="138">
        <f>SUMIFS(考核调整事项表!$C:$C,考核调整事项表!$B:$B,累计利润调整表!$A46,考核调整事项表!$D:$D,D$3)+SUMIFS(考核调整事项表!$E:$E,考核调整事项表!$B:$B,累计利润调整表!$A46,考核调整事项表!$F:$F,D$3)</f>
        <v>810768.57000000007</v>
      </c>
      <c r="E46" s="138">
        <f>SUMIFS(考核调整事项表!$C:$C,考核调整事项表!$B:$B,累计利润调整表!$A46,考核调整事项表!$D:$D,E$3)+SUMIFS(考核调整事项表!$E:$E,考核调整事项表!$B:$B,累计利润调整表!$A46,考核调整事项表!$F:$F,E$3)</f>
        <v>4510707.1633333322</v>
      </c>
      <c r="F46" s="138">
        <f>SUMIFS(考核调整事项表!$C:$C,考核调整事项表!$B:$B,累计利润调整表!$A46,考核调整事项表!$D:$D,F$3)+SUMIFS(考核调整事项表!$E:$E,考核调整事项表!$B:$B,累计利润调整表!$A46,考核调整事项表!$F:$F,F$3)</f>
        <v>2629.37</v>
      </c>
      <c r="G46" s="138">
        <f t="shared" si="6"/>
        <v>33875.829999999958</v>
      </c>
      <c r="H46" s="138">
        <f>SUMIFS(考核调整事项表!$C:$C,考核调整事项表!$B:$B,累计利润调整表!$A46,考核调整事项表!$D:$D,H$3)+SUMIFS(考核调整事项表!$E:$E,考核调整事项表!$B:$B,累计利润调整表!$A46,考核调整事项表!$F:$F,H$3)</f>
        <v>177158.64999999997</v>
      </c>
      <c r="I46" s="138">
        <f>SUMIFS(考核调整事项表!$C:$C,考核调整事项表!$B:$B,累计利润调整表!$A46,考核调整事项表!$D:$D,I$3)+SUMIFS(考核调整事项表!$E:$E,考核调整事项表!$B:$B,累计利润调整表!$A46,考核调整事项表!$F:$F,I$3)</f>
        <v>-117140.70000000001</v>
      </c>
      <c r="J46" s="138">
        <f>SUMIFS(考核调整事项表!$C:$C,考核调整事项表!$B:$B,累计利润调整表!$A46,考核调整事项表!$D:$D,J$3)+SUMIFS(考核调整事项表!$E:$E,考核调整事项表!$B:$B,累计利润调整表!$A46,考核调整事项表!$F:$F,J$3)</f>
        <v>17.829999999999984</v>
      </c>
      <c r="K46" s="138">
        <f>SUMIFS(考核调整事项表!$C:$C,考核调整事项表!$B:$B,累计利润调整表!$A46,考核调整事项表!$D:$D,K$3)+SUMIFS(考核调整事项表!$E:$E,考核调整事项表!$B:$B,累计利润调整表!$A46,考核调整事项表!$F:$F,K$3)</f>
        <v>0</v>
      </c>
      <c r="L46" s="138">
        <f>SUMIFS(考核调整事项表!$C:$C,考核调整事项表!$B:$B,累计利润调整表!$A46,考核调整事项表!$D:$D,L$3)+SUMIFS(考核调整事项表!$E:$E,考核调整事项表!$B:$B,累计利润调整表!$A46,考核调整事项表!$F:$F,L$3)</f>
        <v>-19750</v>
      </c>
      <c r="M46" s="138">
        <f>SUMIFS(考核调整事项表!$C:$C,考核调整事项表!$B:$B,累计利润调整表!$A46,考核调整事项表!$D:$D,M$3)+SUMIFS(考核调整事项表!$E:$E,考核调整事项表!$B:$B,累计利润调整表!$A46,考核调整事项表!$F:$F,M$3)</f>
        <v>-6409.9499999999971</v>
      </c>
      <c r="N46" s="138">
        <f>SUMIFS(考核调整事项表!$C:$C,考核调整事项表!$B:$B,累计利润调整表!$A46,考核调整事项表!$D:$D,N$3)+SUMIFS(考核调整事项表!$E:$E,考核调整事项表!$B:$B,累计利润调整表!$A46,考核调整事项表!$F:$F,N$3)</f>
        <v>-19573.07</v>
      </c>
      <c r="O46" s="138">
        <f t="shared" si="7"/>
        <v>-28589.719999999998</v>
      </c>
      <c r="P46" s="138">
        <f>SUMIFS(考核调整事项表!$C:$C,考核调整事项表!$B:$B,累计利润调整表!$A46,考核调整事项表!$D:$D,P$3)+SUMIFS(考核调整事项表!$E:$E,考核调整事项表!$B:$B,累计利润调整表!$A46,考核调整事项表!$F:$F,P$3)</f>
        <v>-14700</v>
      </c>
      <c r="Q46" s="138">
        <f>SUMIFS(考核调整事项表!$C:$C,考核调整事项表!$B:$B,累计利润调整表!$A46,考核调整事项表!$D:$D,Q$3)+SUMIFS(考核调整事项表!$E:$E,考核调整事项表!$B:$B,累计利润调整表!$A46,考核调整事项表!$F:$F,Q$3)</f>
        <v>-29400</v>
      </c>
      <c r="R46" s="138">
        <f>SUMIFS(考核调整事项表!$C:$C,考核调整事项表!$B:$B,累计利润调整表!$A46,考核调整事项表!$D:$D,R$3)+SUMIFS(考核调整事项表!$E:$E,考核调整事项表!$B:$B,累计利润调整表!$A46,考核调整事项表!$F:$F,R$3)</f>
        <v>-7545.28</v>
      </c>
      <c r="S46" s="138">
        <f>SUMIFS(考核调整事项表!$C:$C,考核调整事项表!$B:$B,累计利润调整表!$A46,考核调整事项表!$D:$D,S$3)+SUMIFS(考核调整事项表!$E:$E,考核调整事项表!$B:$B,累计利润调整表!$A46,考核调整事项表!$F:$F,S$3)</f>
        <v>23055.56</v>
      </c>
      <c r="T46" s="138">
        <f t="shared" si="8"/>
        <v>-84134.75</v>
      </c>
      <c r="U46" s="138">
        <f>SUMIFS(考核调整事项表!$C:$C,考核调整事项表!$B:$B,累计利润调整表!$A46,考核调整事项表!$D:$D,U$3)+SUMIFS(考核调整事项表!$E:$E,考核调整事项表!$B:$B,累计利润调整表!$A46,考核调整事项表!$F:$F,U$3)</f>
        <v>-69524</v>
      </c>
      <c r="V46" s="138">
        <f>SUMIFS(考核调整事项表!$C:$C,考核调整事项表!$B:$B,累计利润调整表!$A46,考核调整事项表!$D:$D,V$3)+SUMIFS(考核调整事项表!$E:$E,考核调整事项表!$B:$B,累计利润调整表!$A46,考核调整事项表!$F:$F,V$3)</f>
        <v>4979.25</v>
      </c>
      <c r="W46" s="138">
        <f>SUMIFS(考核调整事项表!$C:$C,考核调整事项表!$B:$B,累计利润调整表!$A46,考核调整事项表!$D:$D,W$3)+SUMIFS(考核调整事项表!$E:$E,考核调整事项表!$B:$B,累计利润调整表!$A46,考核调整事项表!$F:$F,W$3)</f>
        <v>-19590</v>
      </c>
      <c r="X46" s="138"/>
      <c r="Y46" s="138"/>
    </row>
    <row r="47" spans="1:25" s="150" customFormat="1">
      <c r="A47" s="109" t="s">
        <v>180</v>
      </c>
      <c r="B47" s="138">
        <f t="shared" si="5"/>
        <v>0</v>
      </c>
      <c r="C47" s="138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38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38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38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38">
        <f t="shared" si="6"/>
        <v>0</v>
      </c>
      <c r="H47" s="138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38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38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38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38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38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38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38">
        <f t="shared" si="7"/>
        <v>0</v>
      </c>
      <c r="P47" s="138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38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38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38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38">
        <f t="shared" si="8"/>
        <v>0</v>
      </c>
      <c r="U47" s="138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38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38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38"/>
      <c r="Y47" s="138"/>
    </row>
    <row r="48" spans="1:25" s="150" customFormat="1">
      <c r="A48" s="109" t="s">
        <v>181</v>
      </c>
      <c r="B48" s="138">
        <f t="shared" si="5"/>
        <v>0</v>
      </c>
      <c r="C48" s="138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38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38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38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38">
        <f t="shared" si="6"/>
        <v>0</v>
      </c>
      <c r="H48" s="138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38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38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38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38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38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38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38">
        <f t="shared" si="7"/>
        <v>0</v>
      </c>
      <c r="P48" s="138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38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38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38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38">
        <f t="shared" si="8"/>
        <v>0</v>
      </c>
      <c r="U48" s="138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38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38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38"/>
      <c r="Y48" s="138"/>
    </row>
    <row r="49" spans="1:25" s="92" customFormat="1">
      <c r="A49" s="108" t="s">
        <v>42</v>
      </c>
      <c r="B49" s="137">
        <f t="shared" ref="B49:Y49" si="11">B33-B44</f>
        <v>-142339851.43625572</v>
      </c>
      <c r="C49" s="137">
        <f t="shared" si="11"/>
        <v>-20258355.604968555</v>
      </c>
      <c r="D49" s="137">
        <f t="shared" si="11"/>
        <v>-4468284.6755555449</v>
      </c>
      <c r="E49" s="137">
        <f t="shared" si="11"/>
        <v>13862841.470000003</v>
      </c>
      <c r="F49" s="137">
        <f t="shared" si="11"/>
        <v>-99381151.430000022</v>
      </c>
      <c r="G49" s="137">
        <f t="shared" si="11"/>
        <v>-33716126.411287166</v>
      </c>
      <c r="H49" s="137">
        <f t="shared" ref="H49:N49" si="12">H33-H44</f>
        <v>8178078.2000000039</v>
      </c>
      <c r="I49" s="137">
        <f t="shared" si="12"/>
        <v>-41756039.001698129</v>
      </c>
      <c r="J49" s="137">
        <f t="shared" si="12"/>
        <v>-50024.520000000004</v>
      </c>
      <c r="K49" s="137">
        <f t="shared" si="12"/>
        <v>0</v>
      </c>
      <c r="L49" s="137">
        <f t="shared" si="12"/>
        <v>19750</v>
      </c>
      <c r="M49" s="137">
        <f t="shared" si="12"/>
        <v>-107891.08958904129</v>
      </c>
      <c r="N49" s="137">
        <f t="shared" si="12"/>
        <v>-1850609.79</v>
      </c>
      <c r="O49" s="137">
        <f t="shared" si="11"/>
        <v>2899631.9755555554</v>
      </c>
      <c r="P49" s="137">
        <f>P33-P44</f>
        <v>14700</v>
      </c>
      <c r="Q49" s="137">
        <f>Q33-Q44</f>
        <v>29400</v>
      </c>
      <c r="R49" s="137">
        <f>R33-R44</f>
        <v>686991.98</v>
      </c>
      <c r="S49" s="137">
        <f>S33-S44</f>
        <v>2168539.9955555554</v>
      </c>
      <c r="T49" s="137">
        <f t="shared" si="11"/>
        <v>572203.03</v>
      </c>
      <c r="U49" s="137">
        <f t="shared" si="11"/>
        <v>69524</v>
      </c>
      <c r="V49" s="137">
        <f t="shared" si="11"/>
        <v>483089.02999999997</v>
      </c>
      <c r="W49" s="137">
        <f t="shared" si="11"/>
        <v>19590</v>
      </c>
      <c r="X49" s="137">
        <f t="shared" si="11"/>
        <v>0</v>
      </c>
      <c r="Y49" s="137">
        <f t="shared" si="11"/>
        <v>0</v>
      </c>
    </row>
    <row r="50" spans="1:25" s="92" customFormat="1">
      <c r="A50" s="109" t="s">
        <v>43</v>
      </c>
      <c r="B50" s="135">
        <f>SUM(C50:G50)+N50+O50+T50</f>
        <v>0</v>
      </c>
      <c r="C50" s="135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35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35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35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35">
        <f t="shared" si="6"/>
        <v>0</v>
      </c>
      <c r="H50" s="135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35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35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35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35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35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35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35">
        <f t="shared" si="7"/>
        <v>0</v>
      </c>
      <c r="P50" s="135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35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35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35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35">
        <f t="shared" si="8"/>
        <v>0</v>
      </c>
      <c r="U50" s="135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35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35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38"/>
      <c r="Y50" s="138"/>
    </row>
    <row r="51" spans="1:25" s="92" customFormat="1">
      <c r="A51" s="109" t="s">
        <v>44</v>
      </c>
      <c r="B51" s="135">
        <f t="shared" si="5"/>
        <v>0</v>
      </c>
      <c r="C51" s="135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35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35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35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35">
        <f t="shared" si="6"/>
        <v>0</v>
      </c>
      <c r="H51" s="135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35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35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35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35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35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35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35">
        <f t="shared" si="7"/>
        <v>0</v>
      </c>
      <c r="P51" s="135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35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35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35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35">
        <f t="shared" si="8"/>
        <v>0</v>
      </c>
      <c r="U51" s="135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35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35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38"/>
      <c r="Y51" s="138"/>
    </row>
    <row r="52" spans="1:25" s="92" customFormat="1">
      <c r="A52" s="108" t="s">
        <v>45</v>
      </c>
      <c r="B52" s="137">
        <f t="shared" ref="B52:Y52" si="13">B49+B50-B51</f>
        <v>-142339851.43625572</v>
      </c>
      <c r="C52" s="137">
        <f t="shared" si="13"/>
        <v>-20258355.604968555</v>
      </c>
      <c r="D52" s="137">
        <f t="shared" si="13"/>
        <v>-4468284.6755555449</v>
      </c>
      <c r="E52" s="137">
        <f t="shared" si="13"/>
        <v>13862841.470000003</v>
      </c>
      <c r="F52" s="137">
        <f t="shared" si="13"/>
        <v>-99381151.430000022</v>
      </c>
      <c r="G52" s="137">
        <f t="shared" si="13"/>
        <v>-33716126.411287166</v>
      </c>
      <c r="H52" s="137">
        <f t="shared" si="13"/>
        <v>8178078.2000000039</v>
      </c>
      <c r="I52" s="137">
        <f t="shared" si="13"/>
        <v>-41756039.001698129</v>
      </c>
      <c r="J52" s="137">
        <f t="shared" si="13"/>
        <v>-50024.520000000004</v>
      </c>
      <c r="K52" s="137">
        <f t="shared" si="13"/>
        <v>0</v>
      </c>
      <c r="L52" s="137">
        <f t="shared" si="13"/>
        <v>19750</v>
      </c>
      <c r="M52" s="137">
        <f t="shared" si="13"/>
        <v>-107891.08958904129</v>
      </c>
      <c r="N52" s="137">
        <f t="shared" si="13"/>
        <v>-1850609.79</v>
      </c>
      <c r="O52" s="137">
        <f t="shared" si="13"/>
        <v>2899631.9755555554</v>
      </c>
      <c r="P52" s="137">
        <f t="shared" si="13"/>
        <v>14700</v>
      </c>
      <c r="Q52" s="137">
        <f t="shared" si="13"/>
        <v>29400</v>
      </c>
      <c r="R52" s="137">
        <f t="shared" si="13"/>
        <v>686991.98</v>
      </c>
      <c r="S52" s="137">
        <f t="shared" si="13"/>
        <v>2168539.9955555554</v>
      </c>
      <c r="T52" s="137">
        <f t="shared" si="13"/>
        <v>572203.03</v>
      </c>
      <c r="U52" s="137">
        <f t="shared" si="13"/>
        <v>69524</v>
      </c>
      <c r="V52" s="137">
        <f t="shared" si="13"/>
        <v>483089.02999999997</v>
      </c>
      <c r="W52" s="137">
        <f t="shared" si="13"/>
        <v>19590</v>
      </c>
      <c r="X52" s="137">
        <f t="shared" si="13"/>
        <v>0</v>
      </c>
      <c r="Y52" s="137">
        <f t="shared" si="13"/>
        <v>0</v>
      </c>
    </row>
    <row r="53" spans="1:25" s="150" customFormat="1">
      <c r="A53" s="109" t="s">
        <v>182</v>
      </c>
      <c r="B53" s="138">
        <f t="shared" si="5"/>
        <v>-35584962.846666671</v>
      </c>
      <c r="C53" s="138">
        <f>SUMIFS(考核调整事项表!$C:$C,考核调整事项表!$B:$B,累计利润调整表!$A53,考核调整事项表!$D:$D,C$3)+SUMIFS(考核调整事项表!$E:$E,考核调整事项表!$B:$B,累计利润调整表!$A53,考核调整事项表!$F:$F,C$3)</f>
        <v>-35584962.846666671</v>
      </c>
      <c r="D53" s="138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38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38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38">
        <f t="shared" si="6"/>
        <v>0</v>
      </c>
      <c r="H53" s="138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38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38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38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38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38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38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38">
        <f t="shared" si="7"/>
        <v>0</v>
      </c>
      <c r="P53" s="138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38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38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38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38">
        <f>SUM(U53:W53)</f>
        <v>0</v>
      </c>
      <c r="U53" s="138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38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38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38"/>
      <c r="Y53" s="138"/>
    </row>
    <row r="54" spans="1:25" s="92" customFormat="1">
      <c r="A54" s="108" t="s">
        <v>47</v>
      </c>
      <c r="B54" s="137">
        <f>B52-B53</f>
        <v>-106754888.58958906</v>
      </c>
      <c r="C54" s="137">
        <f t="shared" ref="C54:Y54" si="14">C52-C53</f>
        <v>15326607.241698116</v>
      </c>
      <c r="D54" s="137">
        <f t="shared" si="14"/>
        <v>-4468284.6755555449</v>
      </c>
      <c r="E54" s="137">
        <f t="shared" si="14"/>
        <v>13862841.470000003</v>
      </c>
      <c r="F54" s="137">
        <f t="shared" si="14"/>
        <v>-99381151.430000022</v>
      </c>
      <c r="G54" s="137">
        <f t="shared" si="14"/>
        <v>-33716126.411287166</v>
      </c>
      <c r="H54" s="137">
        <f t="shared" ref="H54:N54" si="15">H52-H53</f>
        <v>8178078.2000000039</v>
      </c>
      <c r="I54" s="137">
        <f t="shared" si="15"/>
        <v>-41756039.001698129</v>
      </c>
      <c r="J54" s="137">
        <f t="shared" si="15"/>
        <v>-50024.520000000004</v>
      </c>
      <c r="K54" s="137">
        <f t="shared" si="15"/>
        <v>0</v>
      </c>
      <c r="L54" s="137">
        <f t="shared" si="15"/>
        <v>19750</v>
      </c>
      <c r="M54" s="137">
        <f t="shared" si="15"/>
        <v>-107891.08958904129</v>
      </c>
      <c r="N54" s="137">
        <f t="shared" si="15"/>
        <v>-1850609.79</v>
      </c>
      <c r="O54" s="137">
        <f t="shared" si="14"/>
        <v>2899631.9755555554</v>
      </c>
      <c r="P54" s="137">
        <f>P52-P53</f>
        <v>14700</v>
      </c>
      <c r="Q54" s="137">
        <f>Q52-Q53</f>
        <v>29400</v>
      </c>
      <c r="R54" s="137">
        <f>R52-R53</f>
        <v>686991.98</v>
      </c>
      <c r="S54" s="137">
        <f>S52-S53</f>
        <v>2168539.9955555554</v>
      </c>
      <c r="T54" s="137">
        <f t="shared" si="14"/>
        <v>572203.03</v>
      </c>
      <c r="U54" s="137">
        <f t="shared" si="14"/>
        <v>69524</v>
      </c>
      <c r="V54" s="137">
        <f t="shared" si="14"/>
        <v>483089.02999999997</v>
      </c>
      <c r="W54" s="137">
        <f t="shared" si="14"/>
        <v>19590</v>
      </c>
      <c r="X54" s="137">
        <f t="shared" si="14"/>
        <v>0</v>
      </c>
      <c r="Y54" s="137">
        <f t="shared" si="14"/>
        <v>0</v>
      </c>
    </row>
    <row r="55" spans="1:25" s="150" customFormat="1">
      <c r="A55" s="143" t="s">
        <v>48</v>
      </c>
      <c r="B55" s="138">
        <f>-B26</f>
        <v>106754888.54000001</v>
      </c>
      <c r="C55" s="138">
        <f t="shared" ref="C55:X55" si="16">-C26</f>
        <v>0</v>
      </c>
      <c r="D55" s="138">
        <f t="shared" si="16"/>
        <v>0</v>
      </c>
      <c r="E55" s="138">
        <f t="shared" si="16"/>
        <v>802283.12</v>
      </c>
      <c r="F55" s="138">
        <f>-F26</f>
        <v>74924368.510000005</v>
      </c>
      <c r="G55" s="138">
        <f t="shared" si="16"/>
        <v>31028236.91</v>
      </c>
      <c r="H55" s="138">
        <f t="shared" si="16"/>
        <v>4944570.37</v>
      </c>
      <c r="I55" s="138">
        <f t="shared" si="16"/>
        <v>23437638.41</v>
      </c>
      <c r="J55" s="138">
        <f t="shared" si="16"/>
        <v>0</v>
      </c>
      <c r="K55" s="138">
        <f t="shared" si="16"/>
        <v>0</v>
      </c>
      <c r="L55" s="138">
        <f t="shared" si="16"/>
        <v>0</v>
      </c>
      <c r="M55" s="138">
        <f>-M26</f>
        <v>2646028.13</v>
      </c>
      <c r="N55" s="138">
        <f t="shared" si="16"/>
        <v>0</v>
      </c>
      <c r="O55" s="138">
        <f t="shared" si="16"/>
        <v>0</v>
      </c>
      <c r="P55" s="138">
        <f t="shared" si="16"/>
        <v>0</v>
      </c>
      <c r="Q55" s="138">
        <f t="shared" si="16"/>
        <v>0</v>
      </c>
      <c r="R55" s="138">
        <f t="shared" si="16"/>
        <v>0</v>
      </c>
      <c r="S55" s="138">
        <f t="shared" si="16"/>
        <v>0</v>
      </c>
      <c r="T55" s="138">
        <f t="shared" si="16"/>
        <v>0</v>
      </c>
      <c r="U55" s="138">
        <f t="shared" si="16"/>
        <v>0</v>
      </c>
      <c r="V55" s="138">
        <f t="shared" si="16"/>
        <v>0</v>
      </c>
      <c r="W55" s="138">
        <f t="shared" si="16"/>
        <v>0</v>
      </c>
      <c r="X55" s="138">
        <f t="shared" si="16"/>
        <v>0</v>
      </c>
      <c r="Y55" s="151">
        <f>-Y26</f>
        <v>0</v>
      </c>
    </row>
    <row r="56" spans="1:25" s="92" customFormat="1">
      <c r="A56" s="111" t="s">
        <v>49</v>
      </c>
      <c r="B56" s="139">
        <f>B54+B55</f>
        <v>-4.9589052796363831E-2</v>
      </c>
      <c r="C56" s="139">
        <f t="shared" ref="C56:Y56" si="17">C54+C55</f>
        <v>15326607.241698116</v>
      </c>
      <c r="D56" s="139">
        <f t="shared" si="17"/>
        <v>-4468284.6755555449</v>
      </c>
      <c r="E56" s="139">
        <f t="shared" si="17"/>
        <v>14665124.590000002</v>
      </c>
      <c r="F56" s="139">
        <f t="shared" si="17"/>
        <v>-24456782.920000017</v>
      </c>
      <c r="G56" s="139">
        <f t="shared" si="17"/>
        <v>-2687889.501287166</v>
      </c>
      <c r="H56" s="139">
        <f t="shared" ref="H56:N56" si="18">H54+H55</f>
        <v>13122648.570000004</v>
      </c>
      <c r="I56" s="139">
        <f t="shared" si="18"/>
        <v>-18318400.591698129</v>
      </c>
      <c r="J56" s="139">
        <f t="shared" si="18"/>
        <v>-50024.520000000004</v>
      </c>
      <c r="K56" s="139">
        <f t="shared" si="18"/>
        <v>0</v>
      </c>
      <c r="L56" s="139">
        <f t="shared" si="18"/>
        <v>19750</v>
      </c>
      <c r="M56" s="139">
        <f t="shared" si="18"/>
        <v>2538137.0404109587</v>
      </c>
      <c r="N56" s="139">
        <f t="shared" si="18"/>
        <v>-1850609.79</v>
      </c>
      <c r="O56" s="139">
        <f t="shared" si="17"/>
        <v>2899631.9755555554</v>
      </c>
      <c r="P56" s="139">
        <f>P54+P55</f>
        <v>14700</v>
      </c>
      <c r="Q56" s="139">
        <f>Q54+Q55</f>
        <v>29400</v>
      </c>
      <c r="R56" s="139">
        <f>R54+R55</f>
        <v>686991.98</v>
      </c>
      <c r="S56" s="139">
        <f>S54+S55</f>
        <v>2168539.9955555554</v>
      </c>
      <c r="T56" s="139">
        <f t="shared" si="17"/>
        <v>572203.03</v>
      </c>
      <c r="U56" s="139">
        <f t="shared" si="17"/>
        <v>69524</v>
      </c>
      <c r="V56" s="139">
        <f t="shared" si="17"/>
        <v>483089.02999999997</v>
      </c>
      <c r="W56" s="139">
        <f t="shared" si="17"/>
        <v>19590</v>
      </c>
      <c r="X56" s="139">
        <f t="shared" si="17"/>
        <v>0</v>
      </c>
      <c r="Y56" s="139">
        <f t="shared" si="17"/>
        <v>0</v>
      </c>
    </row>
    <row r="57" spans="1:25" s="89" customFormat="1">
      <c r="A57" s="90" t="s">
        <v>50</v>
      </c>
      <c r="B57" s="131">
        <f>B58-B41</f>
        <v>4.9589037895202637E-2</v>
      </c>
    </row>
    <row r="58" spans="1:25" s="89" customFormat="1">
      <c r="A58" s="100" t="s">
        <v>48</v>
      </c>
      <c r="B58" s="100">
        <f>B26/0.75</f>
        <v>-142339851.38666669</v>
      </c>
      <c r="C58" s="100">
        <f>C26/0.75</f>
        <v>0</v>
      </c>
      <c r="D58" s="100">
        <f>D26/0.75</f>
        <v>0</v>
      </c>
      <c r="E58" s="148">
        <f t="shared" ref="E58:Y58" si="19">E26/0.75</f>
        <v>-1069710.8266666667</v>
      </c>
      <c r="F58" s="100">
        <f>F26/0.75</f>
        <v>-99899158.013333336</v>
      </c>
      <c r="G58" s="100">
        <f t="shared" si="19"/>
        <v>-41370982.546666667</v>
      </c>
      <c r="H58" s="100">
        <f t="shared" si="19"/>
        <v>-6592760.4933333332</v>
      </c>
      <c r="I58" s="100">
        <f t="shared" si="19"/>
        <v>-31250184.546666667</v>
      </c>
      <c r="J58" s="100">
        <f t="shared" si="19"/>
        <v>0</v>
      </c>
      <c r="K58" s="100">
        <f t="shared" si="19"/>
        <v>0</v>
      </c>
      <c r="L58" s="100">
        <f t="shared" si="19"/>
        <v>0</v>
      </c>
      <c r="M58" s="100">
        <f t="shared" si="19"/>
        <v>-3528037.5066666664</v>
      </c>
      <c r="N58" s="100">
        <f t="shared" si="19"/>
        <v>0</v>
      </c>
      <c r="O58" s="100">
        <f t="shared" si="19"/>
        <v>0</v>
      </c>
      <c r="P58" s="100">
        <f t="shared" si="19"/>
        <v>0</v>
      </c>
      <c r="Q58" s="100">
        <f t="shared" si="19"/>
        <v>0</v>
      </c>
      <c r="R58" s="100">
        <f t="shared" si="19"/>
        <v>0</v>
      </c>
      <c r="S58" s="100">
        <f t="shared" si="19"/>
        <v>0</v>
      </c>
      <c r="T58" s="100">
        <f t="shared" si="19"/>
        <v>0</v>
      </c>
      <c r="U58" s="100">
        <f t="shared" si="19"/>
        <v>0</v>
      </c>
      <c r="V58" s="100">
        <f t="shared" si="19"/>
        <v>0</v>
      </c>
      <c r="W58" s="100">
        <f t="shared" si="19"/>
        <v>0</v>
      </c>
      <c r="X58" s="100">
        <f t="shared" si="19"/>
        <v>0</v>
      </c>
      <c r="Y58" s="100">
        <f t="shared" si="19"/>
        <v>0</v>
      </c>
    </row>
    <row r="59" spans="1:25" s="89" customFormat="1">
      <c r="A59" s="100" t="s">
        <v>52</v>
      </c>
      <c r="B59" s="100">
        <f>SUM(C59:G59)+N59+O59+T59</f>
        <v>140204597.81999999</v>
      </c>
      <c r="C59" s="100">
        <f>SUMIFS(考核调整事项表!$C:$C,考核调整事项表!$B:$B,累计利润调整表!$A$59,考核调整事项表!$D:$D,累计利润调整表!C$3)</f>
        <v>0</v>
      </c>
      <c r="D59" s="100">
        <f>SUMIFS(考核调整事项表!$C:$C,考核调整事项表!$B:$B,累计利润调整表!$A$59,考核调整事项表!$D:$D,累计利润调整表!D$3)</f>
        <v>0</v>
      </c>
      <c r="E59" s="100">
        <f>SUMIFS(考核调整事项表!$C:$C,考核调整事项表!$B:$B,累计利润调整表!$A$59,考核调整事项表!$D:$D,累计利润调整表!E$3)</f>
        <v>140204597.81999999</v>
      </c>
      <c r="F59" s="100">
        <f>SUMIFS(考核调整事项表!$C:$C,考核调整事项表!$B:$B,累计利润调整表!$A$59,考核调整事项表!$D:$D,累计利润调整表!F$3)</f>
        <v>0</v>
      </c>
      <c r="G59" s="100">
        <f>SUM(H59:M59)</f>
        <v>0</v>
      </c>
      <c r="H59" s="100">
        <f>SUMIFS(考核调整事项表!$C:$C,考核调整事项表!$B:$B,累计利润调整表!$A$59,考核调整事项表!$D:$D,累计利润调整表!H$3)</f>
        <v>0</v>
      </c>
      <c r="I59" s="100">
        <f>SUMIFS(考核调整事项表!$C:$C,考核调整事项表!$B:$B,累计利润调整表!$A$59,考核调整事项表!$D:$D,累计利润调整表!I$3)</f>
        <v>0</v>
      </c>
      <c r="J59" s="100">
        <f>SUMIFS(考核调整事项表!$C:$C,考核调整事项表!$B:$B,累计利润调整表!$A$59,考核调整事项表!$D:$D,累计利润调整表!J$3)</f>
        <v>0</v>
      </c>
      <c r="K59" s="100">
        <f>SUMIFS(考核调整事项表!$C:$C,考核调整事项表!$B:$B,累计利润调整表!$A$59,考核调整事项表!$D:$D,累计利润调整表!K$3)</f>
        <v>0</v>
      </c>
      <c r="L59" s="100">
        <f>SUMIFS(考核调整事项表!$C:$C,考核调整事项表!$B:$B,累计利润调整表!$A$59,考核调整事项表!$D:$D,累计利润调整表!L$3)</f>
        <v>0</v>
      </c>
      <c r="M59" s="100">
        <f>SUMIFS(考核调整事项表!$C:$C,考核调整事项表!$B:$B,累计利润调整表!$A$59,考核调整事项表!$D:$D,累计利润调整表!M$3)</f>
        <v>0</v>
      </c>
      <c r="N59" s="100">
        <f>SUMIFS(考核调整事项表!$C:$C,考核调整事项表!$B:$B,累计利润调整表!$A$59,考核调整事项表!$D:$D,累计利润调整表!N$3)</f>
        <v>0</v>
      </c>
      <c r="O59" s="100">
        <f>SUM(P59:S59)</f>
        <v>0</v>
      </c>
      <c r="P59" s="100">
        <f>SUMIFS(考核调整事项表!$C:$C,考核调整事项表!$B:$B,累计利润调整表!$A$59,考核调整事项表!$D:$D,累计利润调整表!P$3)</f>
        <v>0</v>
      </c>
      <c r="Q59" s="100">
        <f>SUMIFS(考核调整事项表!$C:$C,考核调整事项表!$B:$B,累计利润调整表!$A$59,考核调整事项表!$D:$D,累计利润调整表!Q$3)</f>
        <v>0</v>
      </c>
      <c r="R59" s="100">
        <f>SUMIFS(考核调整事项表!$C:$C,考核调整事项表!$B:$B,累计利润调整表!$A$59,考核调整事项表!$D:$D,累计利润调整表!R$3)</f>
        <v>0</v>
      </c>
      <c r="S59" s="100">
        <f>SUMIFS(考核调整事项表!$C:$C,考核调整事项表!$B:$B,累计利润调整表!$A$59,考核调整事项表!$D:$D,累计利润调整表!S$3)</f>
        <v>0</v>
      </c>
      <c r="T59" s="100">
        <f>SUM(U59:W59)</f>
        <v>0</v>
      </c>
      <c r="U59" s="100">
        <f>SUMIFS(考核调整事项表!$C:$C,考核调整事项表!$B:$B,累计利润调整表!$A$59,考核调整事项表!$D:$D,累计利润调整表!U$3)</f>
        <v>0</v>
      </c>
      <c r="V59" s="100">
        <f>SUMIFS(考核调整事项表!$C:$C,考核调整事项表!$B:$B,累计利润调整表!$A$59,考核调整事项表!$D:$D,累计利润调整表!V$3)</f>
        <v>0</v>
      </c>
      <c r="W59" s="100">
        <f>SUMIFS(考核调整事项表!$C:$C,考核调整事项表!$B:$B,累计利润调整表!$A$59,考核调整事项表!$D:$D,累计利润调整表!W$3)</f>
        <v>0</v>
      </c>
      <c r="X59" s="100"/>
      <c r="Y59" s="100"/>
    </row>
    <row r="60" spans="1:25" s="91" customFormat="1" ht="12">
      <c r="A60" s="112"/>
      <c r="B60" s="112" t="s">
        <v>53</v>
      </c>
    </row>
    <row r="61" spans="1:25" s="89" customFormat="1"/>
    <row r="62" spans="1:25" s="89" customFormat="1">
      <c r="A62" s="104" t="s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</row>
    <row r="63" spans="1:25" s="89" customFormat="1" ht="14.25" customHeight="1">
      <c r="A63" s="65" t="s">
        <v>3</v>
      </c>
      <c r="B63" s="65" t="str">
        <f>B3</f>
        <v>合计</v>
      </c>
      <c r="C63" s="65" t="str">
        <f t="shared" ref="C63:Y63" si="20">C3</f>
        <v>其他</v>
      </c>
      <c r="D63" s="65" t="str">
        <f t="shared" si="20"/>
        <v>总部中后台</v>
      </c>
      <c r="E63" s="65" t="str">
        <f t="shared" si="20"/>
        <v>经纪业务部</v>
      </c>
      <c r="F63" s="65" t="str">
        <f t="shared" si="20"/>
        <v>资产管理部</v>
      </c>
      <c r="G63" s="65" t="str">
        <f t="shared" si="20"/>
        <v>深分公司合计</v>
      </c>
      <c r="H63" s="76" t="str">
        <f t="shared" si="20"/>
        <v>固定收益部</v>
      </c>
      <c r="I63" s="76" t="str">
        <f t="shared" si="20"/>
        <v>证券投资部</v>
      </c>
      <c r="J63" s="76" t="str">
        <f t="shared" si="20"/>
        <v>金融衍生品投资部</v>
      </c>
      <c r="K63" s="76" t="str">
        <f t="shared" si="20"/>
        <v>风险管理部</v>
      </c>
      <c r="L63" s="76" t="str">
        <f t="shared" si="20"/>
        <v>深圳管理部</v>
      </c>
      <c r="M63" s="76" t="str">
        <f t="shared" si="20"/>
        <v>金融工程部</v>
      </c>
      <c r="N63" s="65" t="str">
        <f t="shared" si="20"/>
        <v>中小企业融资部</v>
      </c>
      <c r="O63" s="65" t="str">
        <f t="shared" si="20"/>
        <v>投资银行合计</v>
      </c>
      <c r="P63" s="76" t="str">
        <f t="shared" si="20"/>
        <v>财务顾问部</v>
      </c>
      <c r="Q63" s="76" t="str">
        <f t="shared" si="20"/>
        <v>债券融资部</v>
      </c>
      <c r="R63" s="76" t="str">
        <f t="shared" si="20"/>
        <v>股权融资部</v>
      </c>
      <c r="S63" s="76" t="str">
        <f t="shared" si="20"/>
        <v>投资银行总部</v>
      </c>
      <c r="T63" s="65" t="str">
        <f t="shared" si="20"/>
        <v>浙江分公司小计</v>
      </c>
      <c r="U63" s="76" t="str">
        <f t="shared" si="20"/>
        <v>浙分总部</v>
      </c>
      <c r="V63" s="76" t="str">
        <f t="shared" si="20"/>
        <v>综合业务部</v>
      </c>
      <c r="W63" s="76" t="str">
        <f t="shared" si="20"/>
        <v>网络金融部</v>
      </c>
      <c r="X63" s="65">
        <f t="shared" si="20"/>
        <v>0</v>
      </c>
      <c r="Y63" s="65">
        <f t="shared" si="20"/>
        <v>0</v>
      </c>
    </row>
    <row r="64" spans="1:25" s="149" customFormat="1">
      <c r="A64" s="105" t="s">
        <v>26</v>
      </c>
      <c r="B64" s="105">
        <f t="shared" ref="B64:Y64" si="21">B4+B33</f>
        <v>553268587.36374426</v>
      </c>
      <c r="C64" s="105">
        <f t="shared" si="21"/>
        <v>-24375398.318301886</v>
      </c>
      <c r="D64" s="105">
        <f t="shared" si="21"/>
        <v>-127871084.34555545</v>
      </c>
      <c r="E64" s="105">
        <f t="shared" si="21"/>
        <v>573521034.79333341</v>
      </c>
      <c r="F64" s="105">
        <f>F4+F33</f>
        <v>-228792525.00000003</v>
      </c>
      <c r="G64" s="105">
        <f t="shared" si="21"/>
        <v>68227518.058712825</v>
      </c>
      <c r="H64" s="105">
        <f t="shared" si="21"/>
        <v>92179987.38000001</v>
      </c>
      <c r="I64" s="105">
        <f>I4+I33</f>
        <v>-27991617.241698127</v>
      </c>
      <c r="J64" s="105">
        <f t="shared" si="21"/>
        <v>4357157.9000000004</v>
      </c>
      <c r="K64" s="105">
        <f t="shared" si="21"/>
        <v>0</v>
      </c>
      <c r="L64" s="105">
        <f t="shared" si="21"/>
        <v>3781.34</v>
      </c>
      <c r="M64" s="105">
        <f t="shared" si="21"/>
        <v>-321791.31958904129</v>
      </c>
      <c r="N64" s="105">
        <f t="shared" si="21"/>
        <v>10448048.630000001</v>
      </c>
      <c r="O64" s="105">
        <f t="shared" si="21"/>
        <v>281611924.71555555</v>
      </c>
      <c r="P64" s="105">
        <f t="shared" si="21"/>
        <v>0</v>
      </c>
      <c r="Q64" s="105">
        <f t="shared" si="21"/>
        <v>241463161.62</v>
      </c>
      <c r="R64" s="105">
        <f t="shared" si="21"/>
        <v>37843207.540000007</v>
      </c>
      <c r="S64" s="105">
        <f t="shared" si="21"/>
        <v>2305555.5555555555</v>
      </c>
      <c r="T64" s="105">
        <f t="shared" si="21"/>
        <v>499068.82999999996</v>
      </c>
      <c r="U64" s="105">
        <f t="shared" si="21"/>
        <v>1344.13</v>
      </c>
      <c r="V64" s="105">
        <f t="shared" si="21"/>
        <v>497924.54</v>
      </c>
      <c r="W64" s="105">
        <f t="shared" si="21"/>
        <v>-199.84000000000003</v>
      </c>
      <c r="X64" s="105">
        <f t="shared" si="21"/>
        <v>0</v>
      </c>
      <c r="Y64" s="105">
        <f t="shared" si="21"/>
        <v>0</v>
      </c>
    </row>
    <row r="65" spans="1:25" s="92" customFormat="1">
      <c r="A65" s="106" t="s">
        <v>27</v>
      </c>
      <c r="B65" s="109">
        <f t="shared" ref="B65:Y65" si="22">B5+B34</f>
        <v>598500713.44000006</v>
      </c>
      <c r="C65" s="109">
        <f t="shared" si="22"/>
        <v>-4482101.45</v>
      </c>
      <c r="D65" s="109">
        <f t="shared" si="22"/>
        <v>-2296911.699999969</v>
      </c>
      <c r="E65" s="109">
        <f t="shared" si="22"/>
        <v>303543639.61000001</v>
      </c>
      <c r="F65" s="109">
        <f t="shared" si="22"/>
        <v>10886812.619999999</v>
      </c>
      <c r="G65" s="109">
        <f t="shared" si="22"/>
        <v>597131.87</v>
      </c>
      <c r="H65" s="140">
        <f t="shared" si="22"/>
        <v>-249807.28</v>
      </c>
      <c r="I65" s="109">
        <f t="shared" si="22"/>
        <v>600000</v>
      </c>
      <c r="J65" s="109">
        <f t="shared" si="22"/>
        <v>-4476</v>
      </c>
      <c r="K65" s="109">
        <f t="shared" si="22"/>
        <v>0</v>
      </c>
      <c r="L65" s="109">
        <f t="shared" si="22"/>
        <v>-1900</v>
      </c>
      <c r="M65" s="109">
        <f t="shared" si="22"/>
        <v>253315.15</v>
      </c>
      <c r="N65" s="109">
        <f t="shared" si="22"/>
        <v>10448048.630000001</v>
      </c>
      <c r="O65" s="109">
        <f t="shared" si="22"/>
        <v>279306369.15999997</v>
      </c>
      <c r="P65" s="109">
        <f t="shared" si="22"/>
        <v>0</v>
      </c>
      <c r="Q65" s="109">
        <f t="shared" si="22"/>
        <v>241463161.62</v>
      </c>
      <c r="R65" s="109">
        <f t="shared" si="22"/>
        <v>37843207.540000007</v>
      </c>
      <c r="S65" s="109">
        <f t="shared" si="22"/>
        <v>0</v>
      </c>
      <c r="T65" s="109">
        <f t="shared" si="22"/>
        <v>497724.69999999995</v>
      </c>
      <c r="U65" s="109">
        <f t="shared" si="22"/>
        <v>0</v>
      </c>
      <c r="V65" s="109">
        <f t="shared" si="22"/>
        <v>497924.54</v>
      </c>
      <c r="W65" s="109">
        <f t="shared" si="22"/>
        <v>-199.84000000000003</v>
      </c>
      <c r="X65" s="109">
        <f t="shared" si="22"/>
        <v>0</v>
      </c>
      <c r="Y65" s="109">
        <f t="shared" si="22"/>
        <v>0</v>
      </c>
    </row>
    <row r="66" spans="1:25" s="92" customFormat="1">
      <c r="A66" s="107" t="s">
        <v>28</v>
      </c>
      <c r="B66" s="107">
        <f t="shared" ref="B66:Y66" si="23">B6+B35</f>
        <v>295350582.44</v>
      </c>
      <c r="C66" s="107">
        <f t="shared" si="23"/>
        <v>-824350.51</v>
      </c>
      <c r="D66" s="107">
        <f t="shared" si="23"/>
        <v>-2079531.7799999795</v>
      </c>
      <c r="E66" s="107">
        <f t="shared" si="23"/>
        <v>297918865.78999996</v>
      </c>
      <c r="F66" s="107">
        <f t="shared" si="23"/>
        <v>86759.79</v>
      </c>
      <c r="G66" s="107">
        <f t="shared" si="23"/>
        <v>248839.15</v>
      </c>
      <c r="H66" s="141">
        <f t="shared" si="23"/>
        <v>0</v>
      </c>
      <c r="I66" s="107">
        <f t="shared" si="23"/>
        <v>0</v>
      </c>
      <c r="J66" s="107">
        <f t="shared" si="23"/>
        <v>-4476</v>
      </c>
      <c r="K66" s="107">
        <f t="shared" si="23"/>
        <v>0</v>
      </c>
      <c r="L66" s="107">
        <f t="shared" si="23"/>
        <v>0</v>
      </c>
      <c r="M66" s="107">
        <f t="shared" si="23"/>
        <v>253315.15</v>
      </c>
      <c r="N66" s="107">
        <f t="shared" si="23"/>
        <v>0</v>
      </c>
      <c r="O66" s="107">
        <f t="shared" si="23"/>
        <v>0</v>
      </c>
      <c r="P66" s="107">
        <f t="shared" si="23"/>
        <v>0</v>
      </c>
      <c r="Q66" s="107">
        <f t="shared" si="23"/>
        <v>0</v>
      </c>
      <c r="R66" s="107">
        <f t="shared" si="23"/>
        <v>0</v>
      </c>
      <c r="S66" s="107">
        <f t="shared" si="23"/>
        <v>0</v>
      </c>
      <c r="T66" s="107">
        <f t="shared" si="23"/>
        <v>0</v>
      </c>
      <c r="U66" s="107">
        <f t="shared" si="23"/>
        <v>0</v>
      </c>
      <c r="V66" s="107">
        <f t="shared" si="23"/>
        <v>0</v>
      </c>
      <c r="W66" s="107">
        <f t="shared" si="23"/>
        <v>0</v>
      </c>
      <c r="X66" s="107">
        <f t="shared" si="23"/>
        <v>0</v>
      </c>
      <c r="Y66" s="107">
        <f t="shared" si="23"/>
        <v>0</v>
      </c>
    </row>
    <row r="67" spans="1:25" s="92" customFormat="1">
      <c r="A67" s="107" t="s">
        <v>29</v>
      </c>
      <c r="B67" s="107">
        <f t="shared" ref="B67:Y67" si="24">B7+B36</f>
        <v>290758752.59000003</v>
      </c>
      <c r="C67" s="107">
        <f t="shared" si="24"/>
        <v>-3657750.94</v>
      </c>
      <c r="D67" s="107">
        <f t="shared" si="24"/>
        <v>7.2759576141834259E-8</v>
      </c>
      <c r="E67" s="107">
        <f t="shared" si="24"/>
        <v>3801661.2</v>
      </c>
      <c r="F67" s="107">
        <f t="shared" si="24"/>
        <v>0</v>
      </c>
      <c r="G67" s="107">
        <f t="shared" si="24"/>
        <v>600000</v>
      </c>
      <c r="H67" s="141">
        <f t="shared" si="24"/>
        <v>0</v>
      </c>
      <c r="I67" s="107">
        <f t="shared" si="24"/>
        <v>600000</v>
      </c>
      <c r="J67" s="107">
        <f t="shared" si="24"/>
        <v>0</v>
      </c>
      <c r="K67" s="107">
        <f t="shared" si="24"/>
        <v>0</v>
      </c>
      <c r="L67" s="107">
        <f t="shared" si="24"/>
        <v>0</v>
      </c>
      <c r="M67" s="107">
        <f t="shared" si="24"/>
        <v>0</v>
      </c>
      <c r="N67" s="107">
        <f t="shared" si="24"/>
        <v>10448048.630000001</v>
      </c>
      <c r="O67" s="107">
        <f t="shared" si="24"/>
        <v>279068869.15999997</v>
      </c>
      <c r="P67" s="107">
        <f t="shared" si="24"/>
        <v>0</v>
      </c>
      <c r="Q67" s="107">
        <f t="shared" si="24"/>
        <v>241225661.62</v>
      </c>
      <c r="R67" s="107">
        <f t="shared" si="24"/>
        <v>37843207.540000007</v>
      </c>
      <c r="S67" s="107">
        <f t="shared" si="24"/>
        <v>0</v>
      </c>
      <c r="T67" s="107">
        <f t="shared" si="24"/>
        <v>497924.54</v>
      </c>
      <c r="U67" s="107">
        <f t="shared" si="24"/>
        <v>0</v>
      </c>
      <c r="V67" s="107">
        <f t="shared" si="24"/>
        <v>497924.54</v>
      </c>
      <c r="W67" s="107">
        <f t="shared" si="24"/>
        <v>0</v>
      </c>
      <c r="X67" s="107">
        <f t="shared" si="24"/>
        <v>0</v>
      </c>
      <c r="Y67" s="107">
        <f t="shared" si="24"/>
        <v>0</v>
      </c>
    </row>
    <row r="68" spans="1:25" s="92" customFormat="1">
      <c r="A68" s="107" t="s">
        <v>30</v>
      </c>
      <c r="B68" s="107">
        <f t="shared" ref="B68:Y68" si="25">B8+B37</f>
        <v>10800302.83</v>
      </c>
      <c r="C68" s="107">
        <f t="shared" si="25"/>
        <v>0</v>
      </c>
      <c r="D68" s="107">
        <f t="shared" si="25"/>
        <v>0</v>
      </c>
      <c r="E68" s="107">
        <f t="shared" si="25"/>
        <v>0</v>
      </c>
      <c r="F68" s="107">
        <f t="shared" si="25"/>
        <v>10800302.83</v>
      </c>
      <c r="G68" s="107">
        <f t="shared" si="25"/>
        <v>0</v>
      </c>
      <c r="H68" s="141">
        <f t="shared" si="25"/>
        <v>0</v>
      </c>
      <c r="I68" s="107">
        <f t="shared" si="25"/>
        <v>0</v>
      </c>
      <c r="J68" s="107">
        <f t="shared" si="25"/>
        <v>0</v>
      </c>
      <c r="K68" s="107">
        <f t="shared" si="25"/>
        <v>0</v>
      </c>
      <c r="L68" s="107">
        <f t="shared" si="25"/>
        <v>0</v>
      </c>
      <c r="M68" s="107">
        <f t="shared" si="25"/>
        <v>0</v>
      </c>
      <c r="N68" s="107">
        <f t="shared" si="25"/>
        <v>0</v>
      </c>
      <c r="O68" s="107">
        <f t="shared" si="25"/>
        <v>0</v>
      </c>
      <c r="P68" s="107">
        <f t="shared" si="25"/>
        <v>0</v>
      </c>
      <c r="Q68" s="107">
        <f t="shared" si="25"/>
        <v>0</v>
      </c>
      <c r="R68" s="107">
        <f t="shared" si="25"/>
        <v>0</v>
      </c>
      <c r="S68" s="107">
        <f t="shared" si="25"/>
        <v>0</v>
      </c>
      <c r="T68" s="107">
        <f t="shared" si="25"/>
        <v>0</v>
      </c>
      <c r="U68" s="107">
        <f t="shared" si="25"/>
        <v>0</v>
      </c>
      <c r="V68" s="107">
        <f t="shared" si="25"/>
        <v>0</v>
      </c>
      <c r="W68" s="107">
        <f t="shared" si="25"/>
        <v>0</v>
      </c>
      <c r="X68" s="107">
        <f t="shared" si="25"/>
        <v>0</v>
      </c>
      <c r="Y68" s="107">
        <f t="shared" si="25"/>
        <v>0</v>
      </c>
    </row>
    <row r="69" spans="1:25" s="149" customFormat="1">
      <c r="A69" s="106" t="s">
        <v>183</v>
      </c>
      <c r="B69" s="106">
        <f t="shared" ref="B69:Y69" si="26">B9+B38</f>
        <v>134254615.16000003</v>
      </c>
      <c r="C69" s="106">
        <f t="shared" si="26"/>
        <v>1340567.43</v>
      </c>
      <c r="D69" s="106">
        <f t="shared" si="26"/>
        <v>-136495833.99555552</v>
      </c>
      <c r="E69" s="106">
        <f t="shared" si="26"/>
        <v>269480544.55000001</v>
      </c>
      <c r="F69" s="106">
        <f t="shared" si="26"/>
        <v>214295.72</v>
      </c>
      <c r="G69" s="106">
        <f t="shared" si="26"/>
        <v>-2591858.2300000004</v>
      </c>
      <c r="H69" s="152">
        <f t="shared" si="26"/>
        <v>-2779912.7600000002</v>
      </c>
      <c r="I69" s="106">
        <f t="shared" si="26"/>
        <v>628743.19999999972</v>
      </c>
      <c r="J69" s="106">
        <f t="shared" si="26"/>
        <v>-32021.43</v>
      </c>
      <c r="K69" s="106">
        <f t="shared" si="26"/>
        <v>0</v>
      </c>
      <c r="L69" s="106">
        <f t="shared" si="26"/>
        <v>5681.34</v>
      </c>
      <c r="M69" s="106">
        <f t="shared" si="26"/>
        <v>-414348.58000000007</v>
      </c>
      <c r="N69" s="106">
        <f t="shared" si="26"/>
        <v>0</v>
      </c>
      <c r="O69" s="106">
        <f t="shared" si="26"/>
        <v>2305555.5555555555</v>
      </c>
      <c r="P69" s="106">
        <f t="shared" si="26"/>
        <v>0</v>
      </c>
      <c r="Q69" s="106">
        <f t="shared" si="26"/>
        <v>0</v>
      </c>
      <c r="R69" s="106">
        <f t="shared" si="26"/>
        <v>0</v>
      </c>
      <c r="S69" s="106">
        <f t="shared" si="26"/>
        <v>2305555.5555555555</v>
      </c>
      <c r="T69" s="106">
        <f t="shared" si="26"/>
        <v>1344.13</v>
      </c>
      <c r="U69" s="106">
        <f t="shared" si="26"/>
        <v>1344.13</v>
      </c>
      <c r="V69" s="106">
        <f t="shared" si="26"/>
        <v>0</v>
      </c>
      <c r="W69" s="106">
        <f t="shared" si="26"/>
        <v>0</v>
      </c>
      <c r="X69" s="106">
        <f t="shared" si="26"/>
        <v>0</v>
      </c>
      <c r="Y69" s="106">
        <f t="shared" si="26"/>
        <v>0</v>
      </c>
    </row>
    <row r="70" spans="1:25" s="149" customFormat="1">
      <c r="A70" s="106" t="s">
        <v>32</v>
      </c>
      <c r="B70" s="106">
        <f t="shared" ref="B70:Y70" si="27">B10+B39</f>
        <v>-19777631.140000001</v>
      </c>
      <c r="C70" s="106">
        <f t="shared" si="27"/>
        <v>-2692555.2283018865</v>
      </c>
      <c r="D70" s="106">
        <f t="shared" si="27"/>
        <v>11024642.490000028</v>
      </c>
      <c r="E70" s="106">
        <f t="shared" si="27"/>
        <v>91800</v>
      </c>
      <c r="F70" s="106">
        <f t="shared" si="27"/>
        <v>-140252174.22999999</v>
      </c>
      <c r="G70" s="106">
        <f t="shared" si="27"/>
        <v>112050655.82830186</v>
      </c>
      <c r="H70" s="152">
        <f t="shared" si="27"/>
        <v>114681390.83000001</v>
      </c>
      <c r="I70" s="106">
        <f t="shared" si="27"/>
        <v>-7038027.301698125</v>
      </c>
      <c r="J70" s="106">
        <f t="shared" si="27"/>
        <v>5193717.790000001</v>
      </c>
      <c r="K70" s="106">
        <f t="shared" si="27"/>
        <v>0</v>
      </c>
      <c r="L70" s="106">
        <f t="shared" si="27"/>
        <v>0</v>
      </c>
      <c r="M70" s="106">
        <f t="shared" si="27"/>
        <v>-786425.49</v>
      </c>
      <c r="N70" s="106">
        <f t="shared" si="27"/>
        <v>0</v>
      </c>
      <c r="O70" s="106">
        <f t="shared" si="27"/>
        <v>0</v>
      </c>
      <c r="P70" s="106">
        <f t="shared" si="27"/>
        <v>0</v>
      </c>
      <c r="Q70" s="106">
        <f t="shared" si="27"/>
        <v>0</v>
      </c>
      <c r="R70" s="106">
        <f t="shared" si="27"/>
        <v>0</v>
      </c>
      <c r="S70" s="106">
        <f t="shared" si="27"/>
        <v>0</v>
      </c>
      <c r="T70" s="106">
        <f t="shared" si="27"/>
        <v>0</v>
      </c>
      <c r="U70" s="106">
        <f t="shared" si="27"/>
        <v>0</v>
      </c>
      <c r="V70" s="106">
        <f t="shared" si="27"/>
        <v>0</v>
      </c>
      <c r="W70" s="106">
        <f t="shared" si="27"/>
        <v>0</v>
      </c>
      <c r="X70" s="106">
        <f t="shared" si="27"/>
        <v>0</v>
      </c>
      <c r="Y70" s="106">
        <f t="shared" si="27"/>
        <v>0</v>
      </c>
    </row>
    <row r="71" spans="1:25" s="149" customFormat="1" ht="16.5" customHeight="1">
      <c r="A71" s="106" t="s">
        <v>184</v>
      </c>
      <c r="B71" s="106"/>
      <c r="C71" s="106"/>
      <c r="D71" s="106"/>
      <c r="E71" s="106"/>
      <c r="F71" s="106"/>
      <c r="G71" s="106"/>
      <c r="H71" s="152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s="149" customFormat="1">
      <c r="A72" s="106" t="s">
        <v>34</v>
      </c>
      <c r="B72" s="106">
        <f t="shared" ref="B72:Y72" si="28">B12+B41</f>
        <v>-160607791.95625573</v>
      </c>
      <c r="C72" s="106">
        <f t="shared" si="28"/>
        <v>-17996028.890000001</v>
      </c>
      <c r="D72" s="106">
        <f t="shared" si="28"/>
        <v>-72181.720000003232</v>
      </c>
      <c r="E72" s="106">
        <f t="shared" si="28"/>
        <v>-1069710.8266666667</v>
      </c>
      <c r="F72" s="106">
        <f t="shared" si="28"/>
        <v>-99641459.110000014</v>
      </c>
      <c r="G72" s="106">
        <f t="shared" si="28"/>
        <v>-41828411.409589037</v>
      </c>
      <c r="H72" s="152">
        <f>H12+H41</f>
        <v>-19471683.409999996</v>
      </c>
      <c r="I72" s="106">
        <f>I12+I41</f>
        <v>-22182333.140000001</v>
      </c>
      <c r="J72" s="106">
        <f t="shared" si="28"/>
        <v>-800062.46</v>
      </c>
      <c r="K72" s="106">
        <f t="shared" si="28"/>
        <v>0</v>
      </c>
      <c r="L72" s="106">
        <f t="shared" si="28"/>
        <v>0</v>
      </c>
      <c r="M72" s="106">
        <f t="shared" si="28"/>
        <v>625667.60041095887</v>
      </c>
      <c r="N72" s="106">
        <f t="shared" si="28"/>
        <v>0</v>
      </c>
      <c r="O72" s="106">
        <f t="shared" si="28"/>
        <v>0</v>
      </c>
      <c r="P72" s="106">
        <f t="shared" si="28"/>
        <v>0</v>
      </c>
      <c r="Q72" s="106">
        <f t="shared" si="28"/>
        <v>0</v>
      </c>
      <c r="R72" s="106">
        <f t="shared" si="28"/>
        <v>0</v>
      </c>
      <c r="S72" s="106">
        <f t="shared" si="28"/>
        <v>0</v>
      </c>
      <c r="T72" s="106">
        <f t="shared" si="28"/>
        <v>0</v>
      </c>
      <c r="U72" s="106">
        <f t="shared" si="28"/>
        <v>0</v>
      </c>
      <c r="V72" s="106">
        <f t="shared" si="28"/>
        <v>0</v>
      </c>
      <c r="W72" s="106">
        <f t="shared" si="28"/>
        <v>0</v>
      </c>
      <c r="X72" s="106">
        <f t="shared" si="28"/>
        <v>0</v>
      </c>
      <c r="Y72" s="106">
        <f t="shared" si="28"/>
        <v>0</v>
      </c>
    </row>
    <row r="73" spans="1:25" s="149" customFormat="1">
      <c r="A73" s="106" t="s">
        <v>185</v>
      </c>
      <c r="B73" s="106">
        <f t="shared" ref="B73:Y73" si="29">B13+B42</f>
        <v>274546.89999999991</v>
      </c>
      <c r="C73" s="106">
        <f t="shared" si="29"/>
        <v>0</v>
      </c>
      <c r="D73" s="106">
        <f t="shared" si="29"/>
        <v>-30799.419999999955</v>
      </c>
      <c r="E73" s="106">
        <f t="shared" si="29"/>
        <v>305346.31999999989</v>
      </c>
      <c r="F73" s="106">
        <f t="shared" si="29"/>
        <v>0</v>
      </c>
      <c r="G73" s="106">
        <f t="shared" si="29"/>
        <v>0</v>
      </c>
      <c r="H73" s="106">
        <f t="shared" si="29"/>
        <v>0</v>
      </c>
      <c r="I73" s="106">
        <f t="shared" si="29"/>
        <v>0</v>
      </c>
      <c r="J73" s="106">
        <f t="shared" si="29"/>
        <v>0</v>
      </c>
      <c r="K73" s="106">
        <f t="shared" si="29"/>
        <v>0</v>
      </c>
      <c r="L73" s="106">
        <f t="shared" si="29"/>
        <v>0</v>
      </c>
      <c r="M73" s="106">
        <f t="shared" si="29"/>
        <v>0</v>
      </c>
      <c r="N73" s="106">
        <f t="shared" si="29"/>
        <v>0</v>
      </c>
      <c r="O73" s="106">
        <f t="shared" si="29"/>
        <v>0</v>
      </c>
      <c r="P73" s="106">
        <f t="shared" si="29"/>
        <v>0</v>
      </c>
      <c r="Q73" s="106">
        <f t="shared" si="29"/>
        <v>0</v>
      </c>
      <c r="R73" s="106">
        <f t="shared" si="29"/>
        <v>0</v>
      </c>
      <c r="S73" s="106">
        <f t="shared" si="29"/>
        <v>0</v>
      </c>
      <c r="T73" s="106">
        <f t="shared" si="29"/>
        <v>0</v>
      </c>
      <c r="U73" s="106">
        <f t="shared" si="29"/>
        <v>0</v>
      </c>
      <c r="V73" s="106">
        <f t="shared" si="29"/>
        <v>0</v>
      </c>
      <c r="W73" s="106">
        <f t="shared" si="29"/>
        <v>0</v>
      </c>
      <c r="X73" s="106">
        <f t="shared" si="29"/>
        <v>0</v>
      </c>
      <c r="Y73" s="106">
        <f t="shared" si="29"/>
        <v>0</v>
      </c>
    </row>
    <row r="74" spans="1:25" s="149" customFormat="1">
      <c r="A74" s="106" t="s">
        <v>186</v>
      </c>
      <c r="B74" s="106">
        <f t="shared" ref="B74:Y74" si="30">B14+B43</f>
        <v>624134.96</v>
      </c>
      <c r="C74" s="106">
        <f t="shared" si="30"/>
        <v>-545280.18000000005</v>
      </c>
      <c r="D74" s="106">
        <f t="shared" si="30"/>
        <v>0</v>
      </c>
      <c r="E74" s="106">
        <f t="shared" si="30"/>
        <v>1169415.1400000001</v>
      </c>
      <c r="F74" s="106">
        <f t="shared" si="30"/>
        <v>0</v>
      </c>
      <c r="G74" s="106">
        <f t="shared" si="30"/>
        <v>0</v>
      </c>
      <c r="H74" s="106">
        <f t="shared" si="30"/>
        <v>0</v>
      </c>
      <c r="I74" s="106">
        <f t="shared" si="30"/>
        <v>0</v>
      </c>
      <c r="J74" s="106">
        <f t="shared" si="30"/>
        <v>0</v>
      </c>
      <c r="K74" s="106">
        <f t="shared" si="30"/>
        <v>0</v>
      </c>
      <c r="L74" s="106">
        <f t="shared" si="30"/>
        <v>0</v>
      </c>
      <c r="M74" s="106">
        <f t="shared" si="30"/>
        <v>0</v>
      </c>
      <c r="N74" s="106">
        <f t="shared" si="30"/>
        <v>0</v>
      </c>
      <c r="O74" s="106">
        <f t="shared" si="30"/>
        <v>0</v>
      </c>
      <c r="P74" s="106">
        <f t="shared" si="30"/>
        <v>0</v>
      </c>
      <c r="Q74" s="106">
        <f t="shared" si="30"/>
        <v>0</v>
      </c>
      <c r="R74" s="106">
        <f t="shared" si="30"/>
        <v>0</v>
      </c>
      <c r="S74" s="106">
        <f t="shared" si="30"/>
        <v>0</v>
      </c>
      <c r="T74" s="106">
        <f t="shared" si="30"/>
        <v>0</v>
      </c>
      <c r="U74" s="106">
        <f t="shared" si="30"/>
        <v>0</v>
      </c>
      <c r="V74" s="106">
        <f t="shared" si="30"/>
        <v>0</v>
      </c>
      <c r="W74" s="106">
        <f t="shared" si="30"/>
        <v>0</v>
      </c>
      <c r="X74" s="106">
        <f t="shared" si="30"/>
        <v>0</v>
      </c>
      <c r="Y74" s="106">
        <f t="shared" si="30"/>
        <v>0</v>
      </c>
    </row>
    <row r="75" spans="1:25" s="92" customFormat="1">
      <c r="A75" s="108" t="s">
        <v>37</v>
      </c>
      <c r="B75" s="142">
        <f t="shared" ref="B75:Y75" si="31">B15+B44</f>
        <v>339849253.89000005</v>
      </c>
      <c r="C75" s="142">
        <f t="shared" si="31"/>
        <v>5836648.4566666707</v>
      </c>
      <c r="D75" s="142">
        <f t="shared" si="31"/>
        <v>37637624.549999975</v>
      </c>
      <c r="E75" s="142">
        <f t="shared" si="31"/>
        <v>176463740.78333339</v>
      </c>
      <c r="F75" s="142">
        <f t="shared" si="31"/>
        <v>3597809.23</v>
      </c>
      <c r="G75" s="142">
        <f t="shared" si="31"/>
        <v>18310585.48</v>
      </c>
      <c r="H75" s="142">
        <f t="shared" si="31"/>
        <v>8045297.4299999997</v>
      </c>
      <c r="I75" s="142">
        <f t="shared" si="31"/>
        <v>3028059.5900000003</v>
      </c>
      <c r="J75" s="142">
        <f t="shared" si="31"/>
        <v>2076577.0800000003</v>
      </c>
      <c r="K75" s="142">
        <f t="shared" si="31"/>
        <v>0</v>
      </c>
      <c r="L75" s="142">
        <f t="shared" si="31"/>
        <v>2501901.15</v>
      </c>
      <c r="M75" s="142">
        <f t="shared" si="31"/>
        <v>2658750.23</v>
      </c>
      <c r="N75" s="142">
        <f t="shared" si="31"/>
        <v>4720382.2</v>
      </c>
      <c r="O75" s="142">
        <f t="shared" si="31"/>
        <v>86102589.189999998</v>
      </c>
      <c r="P75" s="142">
        <f t="shared" si="31"/>
        <v>835761.39</v>
      </c>
      <c r="Q75" s="142">
        <f t="shared" si="31"/>
        <v>67668726.260000005</v>
      </c>
      <c r="R75" s="142">
        <f t="shared" si="31"/>
        <v>15885175.950000001</v>
      </c>
      <c r="S75" s="142">
        <f t="shared" si="31"/>
        <v>1712925.59</v>
      </c>
      <c r="T75" s="142">
        <f t="shared" si="31"/>
        <v>7179874</v>
      </c>
      <c r="U75" s="142">
        <f t="shared" si="31"/>
        <v>1804666.4</v>
      </c>
      <c r="V75" s="142">
        <f t="shared" si="31"/>
        <v>370084.95</v>
      </c>
      <c r="W75" s="142">
        <f t="shared" si="31"/>
        <v>5005122.6500000004</v>
      </c>
      <c r="X75" s="142">
        <f t="shared" si="31"/>
        <v>0</v>
      </c>
      <c r="Y75" s="142">
        <f t="shared" si="31"/>
        <v>0</v>
      </c>
    </row>
    <row r="76" spans="1:25" s="92" customFormat="1">
      <c r="A76" s="109" t="s">
        <v>38</v>
      </c>
      <c r="B76" s="109">
        <f t="shared" ref="B76:Y76" si="32">B16+B45</f>
        <v>39092700.550000004</v>
      </c>
      <c r="C76" s="109">
        <f t="shared" si="32"/>
        <v>-232280.57999999996</v>
      </c>
      <c r="D76" s="109">
        <f t="shared" si="32"/>
        <v>-378801.16999999859</v>
      </c>
      <c r="E76" s="109">
        <f t="shared" si="32"/>
        <v>21122521.680000003</v>
      </c>
      <c r="F76" s="109">
        <f t="shared" si="32"/>
        <v>614317.52</v>
      </c>
      <c r="G76" s="109">
        <f t="shared" si="32"/>
        <v>3485731.25</v>
      </c>
      <c r="H76" s="109">
        <f t="shared" si="32"/>
        <v>3067032.19</v>
      </c>
      <c r="I76" s="109">
        <f t="shared" si="32"/>
        <v>245266.25</v>
      </c>
      <c r="J76" s="109">
        <f t="shared" si="32"/>
        <v>171789.63</v>
      </c>
      <c r="K76" s="109">
        <f t="shared" si="32"/>
        <v>0</v>
      </c>
      <c r="L76" s="109">
        <f t="shared" si="32"/>
        <v>-0.33</v>
      </c>
      <c r="M76" s="109">
        <f t="shared" si="32"/>
        <v>1643.5100000000093</v>
      </c>
      <c r="N76" s="109">
        <f t="shared" si="32"/>
        <v>345010.33000000007</v>
      </c>
      <c r="O76" s="109">
        <f t="shared" si="32"/>
        <v>14127889.76</v>
      </c>
      <c r="P76" s="109">
        <f t="shared" si="32"/>
        <v>0</v>
      </c>
      <c r="Q76" s="109">
        <f t="shared" si="32"/>
        <v>12018089.720000001</v>
      </c>
      <c r="R76" s="109">
        <f t="shared" si="32"/>
        <v>1995864.47</v>
      </c>
      <c r="S76" s="109">
        <f t="shared" si="32"/>
        <v>113935.57</v>
      </c>
      <c r="T76" s="109">
        <f t="shared" si="32"/>
        <v>8311.76</v>
      </c>
      <c r="U76" s="109">
        <f t="shared" si="32"/>
        <v>0</v>
      </c>
      <c r="V76" s="109">
        <f t="shared" si="32"/>
        <v>9856.26</v>
      </c>
      <c r="W76" s="109">
        <f t="shared" si="32"/>
        <v>-1544.5</v>
      </c>
      <c r="X76" s="109">
        <f t="shared" si="32"/>
        <v>0</v>
      </c>
      <c r="Y76" s="109">
        <f t="shared" si="32"/>
        <v>0</v>
      </c>
    </row>
    <row r="77" spans="1:25" s="92" customFormat="1">
      <c r="A77" s="109" t="s">
        <v>39</v>
      </c>
      <c r="B77" s="109">
        <f t="shared" ref="B77:Y77" si="33">B17+B46</f>
        <v>298371395.80000007</v>
      </c>
      <c r="C77" s="109">
        <f t="shared" si="33"/>
        <v>6068929.036666669</v>
      </c>
      <c r="D77" s="109">
        <f t="shared" si="33"/>
        <v>37750452.719999969</v>
      </c>
      <c r="E77" s="109">
        <f t="shared" si="33"/>
        <v>153222034.56333339</v>
      </c>
      <c r="F77" s="109">
        <f t="shared" si="33"/>
        <v>2983491.71</v>
      </c>
      <c r="G77" s="109">
        <f t="shared" si="33"/>
        <v>14824854.229999999</v>
      </c>
      <c r="H77" s="109">
        <f t="shared" si="33"/>
        <v>4978265.24</v>
      </c>
      <c r="I77" s="109">
        <f t="shared" si="33"/>
        <v>2782793.34</v>
      </c>
      <c r="J77" s="109">
        <f t="shared" si="33"/>
        <v>1904787.4500000002</v>
      </c>
      <c r="K77" s="109">
        <f t="shared" si="33"/>
        <v>0</v>
      </c>
      <c r="L77" s="109">
        <f t="shared" si="33"/>
        <v>2501901.48</v>
      </c>
      <c r="M77" s="109">
        <f t="shared" si="33"/>
        <v>2657106.7200000002</v>
      </c>
      <c r="N77" s="109">
        <f t="shared" si="33"/>
        <v>4375371.87</v>
      </c>
      <c r="O77" s="109">
        <f t="shared" si="33"/>
        <v>71974699.430000007</v>
      </c>
      <c r="P77" s="109">
        <f t="shared" si="33"/>
        <v>835761.39</v>
      </c>
      <c r="Q77" s="109">
        <f t="shared" si="33"/>
        <v>55650636.539999999</v>
      </c>
      <c r="R77" s="109">
        <f t="shared" si="33"/>
        <v>13889311.48</v>
      </c>
      <c r="S77" s="109">
        <f t="shared" si="33"/>
        <v>1598990.02</v>
      </c>
      <c r="T77" s="109">
        <f t="shared" si="33"/>
        <v>7171562.2400000002</v>
      </c>
      <c r="U77" s="109">
        <f t="shared" si="33"/>
        <v>1804666.4</v>
      </c>
      <c r="V77" s="109">
        <f t="shared" si="33"/>
        <v>360228.69</v>
      </c>
      <c r="W77" s="109">
        <f t="shared" si="33"/>
        <v>5006667.1500000004</v>
      </c>
      <c r="X77" s="109">
        <f t="shared" si="33"/>
        <v>0</v>
      </c>
      <c r="Y77" s="109">
        <f t="shared" si="33"/>
        <v>0</v>
      </c>
    </row>
    <row r="78" spans="1:25" s="92" customFormat="1">
      <c r="A78" s="109" t="s">
        <v>40</v>
      </c>
      <c r="B78" s="109">
        <f t="shared" ref="B78:Y78" si="34">B18+B47</f>
        <v>265973</v>
      </c>
      <c r="C78" s="109">
        <f t="shared" si="34"/>
        <v>0</v>
      </c>
      <c r="D78" s="109">
        <f t="shared" si="34"/>
        <v>265973</v>
      </c>
      <c r="E78" s="109">
        <f t="shared" si="34"/>
        <v>0</v>
      </c>
      <c r="F78" s="109">
        <f t="shared" si="34"/>
        <v>0</v>
      </c>
      <c r="G78" s="109">
        <f t="shared" si="34"/>
        <v>0</v>
      </c>
      <c r="H78" s="109">
        <f t="shared" si="34"/>
        <v>0</v>
      </c>
      <c r="I78" s="109">
        <f t="shared" si="34"/>
        <v>0</v>
      </c>
      <c r="J78" s="109">
        <f t="shared" si="34"/>
        <v>0</v>
      </c>
      <c r="K78" s="109">
        <f t="shared" si="34"/>
        <v>0</v>
      </c>
      <c r="L78" s="109">
        <f t="shared" si="34"/>
        <v>0</v>
      </c>
      <c r="M78" s="109">
        <f t="shared" si="34"/>
        <v>0</v>
      </c>
      <c r="N78" s="109">
        <f t="shared" si="34"/>
        <v>0</v>
      </c>
      <c r="O78" s="109">
        <f t="shared" si="34"/>
        <v>0</v>
      </c>
      <c r="P78" s="109">
        <f t="shared" si="34"/>
        <v>0</v>
      </c>
      <c r="Q78" s="109">
        <f t="shared" si="34"/>
        <v>0</v>
      </c>
      <c r="R78" s="109">
        <f t="shared" si="34"/>
        <v>0</v>
      </c>
      <c r="S78" s="109">
        <f t="shared" si="34"/>
        <v>0</v>
      </c>
      <c r="T78" s="109">
        <f t="shared" si="34"/>
        <v>0</v>
      </c>
      <c r="U78" s="109">
        <f t="shared" si="34"/>
        <v>0</v>
      </c>
      <c r="V78" s="109">
        <f t="shared" si="34"/>
        <v>0</v>
      </c>
      <c r="W78" s="109">
        <f t="shared" si="34"/>
        <v>0</v>
      </c>
      <c r="X78" s="109">
        <f t="shared" si="34"/>
        <v>0</v>
      </c>
      <c r="Y78" s="109">
        <f t="shared" si="34"/>
        <v>0</v>
      </c>
    </row>
    <row r="79" spans="1:25" s="92" customFormat="1">
      <c r="A79" s="109" t="s">
        <v>41</v>
      </c>
      <c r="B79" s="109">
        <f t="shared" ref="B79:Y79" si="35">B19+B48</f>
        <v>2119184.54</v>
      </c>
      <c r="C79" s="109">
        <f t="shared" si="35"/>
        <v>0</v>
      </c>
      <c r="D79" s="109">
        <f t="shared" si="35"/>
        <v>0</v>
      </c>
      <c r="E79" s="109">
        <f t="shared" si="35"/>
        <v>2119184.54</v>
      </c>
      <c r="F79" s="109">
        <f t="shared" si="35"/>
        <v>0</v>
      </c>
      <c r="G79" s="109">
        <f t="shared" si="35"/>
        <v>0</v>
      </c>
      <c r="H79" s="109">
        <f t="shared" si="35"/>
        <v>0</v>
      </c>
      <c r="I79" s="109">
        <f t="shared" si="35"/>
        <v>0</v>
      </c>
      <c r="J79" s="109">
        <f t="shared" si="35"/>
        <v>0</v>
      </c>
      <c r="K79" s="109">
        <f t="shared" si="35"/>
        <v>0</v>
      </c>
      <c r="L79" s="109">
        <f t="shared" si="35"/>
        <v>0</v>
      </c>
      <c r="M79" s="109">
        <f t="shared" si="35"/>
        <v>0</v>
      </c>
      <c r="N79" s="109">
        <f t="shared" si="35"/>
        <v>0</v>
      </c>
      <c r="O79" s="109">
        <f t="shared" si="35"/>
        <v>0</v>
      </c>
      <c r="P79" s="109">
        <f t="shared" si="35"/>
        <v>0</v>
      </c>
      <c r="Q79" s="109">
        <f t="shared" si="35"/>
        <v>0</v>
      </c>
      <c r="R79" s="109">
        <f t="shared" si="35"/>
        <v>0</v>
      </c>
      <c r="S79" s="109">
        <f t="shared" si="35"/>
        <v>0</v>
      </c>
      <c r="T79" s="109">
        <f t="shared" si="35"/>
        <v>0</v>
      </c>
      <c r="U79" s="109">
        <f t="shared" si="35"/>
        <v>0</v>
      </c>
      <c r="V79" s="109">
        <f t="shared" si="35"/>
        <v>0</v>
      </c>
      <c r="W79" s="109">
        <f t="shared" si="35"/>
        <v>0</v>
      </c>
      <c r="X79" s="109">
        <f t="shared" si="35"/>
        <v>0</v>
      </c>
      <c r="Y79" s="109">
        <f t="shared" si="35"/>
        <v>0</v>
      </c>
    </row>
    <row r="80" spans="1:25" s="92" customFormat="1">
      <c r="A80" s="108" t="s">
        <v>42</v>
      </c>
      <c r="B80" s="142">
        <f t="shared" ref="B80:Y80" si="36">B20+B49</f>
        <v>213419333.47374424</v>
      </c>
      <c r="C80" s="142">
        <f t="shared" si="36"/>
        <v>-30212046.774968557</v>
      </c>
      <c r="D80" s="142">
        <f t="shared" si="36"/>
        <v>-165508708.89555544</v>
      </c>
      <c r="E80" s="142">
        <f t="shared" si="36"/>
        <v>397057294.01000011</v>
      </c>
      <c r="F80" s="142">
        <f t="shared" si="36"/>
        <v>-232390334.23000002</v>
      </c>
      <c r="G80" s="142">
        <f t="shared" si="36"/>
        <v>49916932.578712828</v>
      </c>
      <c r="H80" s="142">
        <f t="shared" si="36"/>
        <v>84134689.950000018</v>
      </c>
      <c r="I80" s="142">
        <f t="shared" si="36"/>
        <v>-31019676.831698127</v>
      </c>
      <c r="J80" s="142">
        <f t="shared" si="36"/>
        <v>2280580.8199999998</v>
      </c>
      <c r="K80" s="142">
        <f t="shared" si="36"/>
        <v>0</v>
      </c>
      <c r="L80" s="142">
        <f t="shared" si="36"/>
        <v>-2498119.81</v>
      </c>
      <c r="M80" s="142">
        <f t="shared" si="36"/>
        <v>-2980541.5495890412</v>
      </c>
      <c r="N80" s="142">
        <f t="shared" si="36"/>
        <v>5727666.4299999997</v>
      </c>
      <c r="O80" s="142">
        <f t="shared" si="36"/>
        <v>195509335.52555555</v>
      </c>
      <c r="P80" s="142">
        <f t="shared" si="36"/>
        <v>-835761.39</v>
      </c>
      <c r="Q80" s="142">
        <f t="shared" si="36"/>
        <v>173794435.36000001</v>
      </c>
      <c r="R80" s="142">
        <f t="shared" si="36"/>
        <v>21958031.590000007</v>
      </c>
      <c r="S80" s="142">
        <f t="shared" si="36"/>
        <v>592629.96555555542</v>
      </c>
      <c r="T80" s="142">
        <f t="shared" si="36"/>
        <v>-6680805.1699999999</v>
      </c>
      <c r="U80" s="142">
        <f t="shared" si="36"/>
        <v>-1803322.27</v>
      </c>
      <c r="V80" s="142">
        <f t="shared" si="36"/>
        <v>127839.58999999997</v>
      </c>
      <c r="W80" s="142">
        <f t="shared" si="36"/>
        <v>-5005322.49</v>
      </c>
      <c r="X80" s="142">
        <f t="shared" si="36"/>
        <v>0</v>
      </c>
      <c r="Y80" s="142">
        <f t="shared" si="36"/>
        <v>0</v>
      </c>
    </row>
    <row r="81" spans="1:25" s="92" customFormat="1">
      <c r="A81" s="109" t="s">
        <v>43</v>
      </c>
      <c r="B81" s="109">
        <f t="shared" ref="B81:Y81" si="37">B21+B50</f>
        <v>252911.1</v>
      </c>
      <c r="C81" s="109">
        <f t="shared" si="37"/>
        <v>0</v>
      </c>
      <c r="D81" s="109">
        <f t="shared" si="37"/>
        <v>157957.13</v>
      </c>
      <c r="E81" s="109">
        <f t="shared" si="37"/>
        <v>94953.97</v>
      </c>
      <c r="F81" s="109">
        <f t="shared" si="37"/>
        <v>0</v>
      </c>
      <c r="G81" s="109">
        <f t="shared" si="37"/>
        <v>0</v>
      </c>
      <c r="H81" s="109">
        <f t="shared" si="37"/>
        <v>0</v>
      </c>
      <c r="I81" s="109">
        <f t="shared" si="37"/>
        <v>0</v>
      </c>
      <c r="J81" s="109">
        <f t="shared" si="37"/>
        <v>0</v>
      </c>
      <c r="K81" s="109">
        <f t="shared" si="37"/>
        <v>0</v>
      </c>
      <c r="L81" s="109">
        <f t="shared" si="37"/>
        <v>0</v>
      </c>
      <c r="M81" s="109">
        <f t="shared" si="37"/>
        <v>0</v>
      </c>
      <c r="N81" s="109">
        <f t="shared" si="37"/>
        <v>0</v>
      </c>
      <c r="O81" s="109">
        <f t="shared" si="37"/>
        <v>0</v>
      </c>
      <c r="P81" s="109">
        <f t="shared" si="37"/>
        <v>0</v>
      </c>
      <c r="Q81" s="109">
        <f t="shared" si="37"/>
        <v>0</v>
      </c>
      <c r="R81" s="109">
        <f t="shared" si="37"/>
        <v>0</v>
      </c>
      <c r="S81" s="109">
        <f t="shared" si="37"/>
        <v>0</v>
      </c>
      <c r="T81" s="109">
        <f t="shared" si="37"/>
        <v>0</v>
      </c>
      <c r="U81" s="109">
        <f t="shared" si="37"/>
        <v>0</v>
      </c>
      <c r="V81" s="109">
        <f t="shared" si="37"/>
        <v>0</v>
      </c>
      <c r="W81" s="109">
        <f t="shared" si="37"/>
        <v>0</v>
      </c>
      <c r="X81" s="109">
        <f t="shared" si="37"/>
        <v>0</v>
      </c>
      <c r="Y81" s="109">
        <f t="shared" si="37"/>
        <v>0</v>
      </c>
    </row>
    <row r="82" spans="1:25" s="92" customFormat="1">
      <c r="A82" s="109" t="s">
        <v>44</v>
      </c>
      <c r="B82" s="109">
        <f t="shared" ref="B82:Y82" si="38">B22+B51</f>
        <v>329375.23</v>
      </c>
      <c r="C82" s="109">
        <f t="shared" si="38"/>
        <v>0</v>
      </c>
      <c r="D82" s="109">
        <f t="shared" si="38"/>
        <v>58416.349999999955</v>
      </c>
      <c r="E82" s="109">
        <f t="shared" si="38"/>
        <v>265983.71000000002</v>
      </c>
      <c r="F82" s="109">
        <f t="shared" si="38"/>
        <v>0</v>
      </c>
      <c r="G82" s="109">
        <f t="shared" si="38"/>
        <v>0</v>
      </c>
      <c r="H82" s="109">
        <f t="shared" si="38"/>
        <v>0</v>
      </c>
      <c r="I82" s="109">
        <f t="shared" si="38"/>
        <v>0</v>
      </c>
      <c r="J82" s="109">
        <f t="shared" si="38"/>
        <v>0</v>
      </c>
      <c r="K82" s="109">
        <f t="shared" si="38"/>
        <v>0</v>
      </c>
      <c r="L82" s="109">
        <f t="shared" si="38"/>
        <v>0</v>
      </c>
      <c r="M82" s="109">
        <f t="shared" si="38"/>
        <v>0</v>
      </c>
      <c r="N82" s="109">
        <f t="shared" si="38"/>
        <v>1338.74</v>
      </c>
      <c r="O82" s="109">
        <f t="shared" si="38"/>
        <v>0</v>
      </c>
      <c r="P82" s="109">
        <f t="shared" si="38"/>
        <v>0</v>
      </c>
      <c r="Q82" s="109">
        <f t="shared" si="38"/>
        <v>0</v>
      </c>
      <c r="R82" s="109">
        <f t="shared" si="38"/>
        <v>0</v>
      </c>
      <c r="S82" s="109">
        <f t="shared" si="38"/>
        <v>0</v>
      </c>
      <c r="T82" s="109">
        <f t="shared" si="38"/>
        <v>3636.43</v>
      </c>
      <c r="U82" s="109">
        <f t="shared" si="38"/>
        <v>0</v>
      </c>
      <c r="V82" s="109">
        <f t="shared" si="38"/>
        <v>0</v>
      </c>
      <c r="W82" s="109">
        <f t="shared" si="38"/>
        <v>3636.43</v>
      </c>
      <c r="X82" s="109">
        <f t="shared" si="38"/>
        <v>0</v>
      </c>
      <c r="Y82" s="109">
        <f t="shared" si="38"/>
        <v>0</v>
      </c>
    </row>
    <row r="83" spans="1:25" s="92" customFormat="1">
      <c r="A83" s="108" t="s">
        <v>45</v>
      </c>
      <c r="B83" s="142">
        <f t="shared" ref="B83:Y83" si="39">B23+B52</f>
        <v>213342869.34374425</v>
      </c>
      <c r="C83" s="142">
        <f t="shared" si="39"/>
        <v>-30212046.774968557</v>
      </c>
      <c r="D83" s="142">
        <f t="shared" si="39"/>
        <v>-165409168.11555544</v>
      </c>
      <c r="E83" s="142">
        <f t="shared" si="39"/>
        <v>396886264.2700001</v>
      </c>
      <c r="F83" s="142">
        <f t="shared" si="39"/>
        <v>-232390334.23000002</v>
      </c>
      <c r="G83" s="142">
        <f t="shared" si="39"/>
        <v>49916932.578712828</v>
      </c>
      <c r="H83" s="142">
        <f t="shared" si="39"/>
        <v>84134689.950000018</v>
      </c>
      <c r="I83" s="142">
        <f t="shared" si="39"/>
        <v>-31019676.831698127</v>
      </c>
      <c r="J83" s="142">
        <f t="shared" si="39"/>
        <v>2280580.8199999998</v>
      </c>
      <c r="K83" s="142">
        <f t="shared" si="39"/>
        <v>0</v>
      </c>
      <c r="L83" s="142">
        <f t="shared" si="39"/>
        <v>-2498119.81</v>
      </c>
      <c r="M83" s="142">
        <f t="shared" si="39"/>
        <v>-2980541.5495890412</v>
      </c>
      <c r="N83" s="142">
        <f t="shared" si="39"/>
        <v>5726327.6900000004</v>
      </c>
      <c r="O83" s="142">
        <f t="shared" si="39"/>
        <v>195509335.52555555</v>
      </c>
      <c r="P83" s="142">
        <f t="shared" si="39"/>
        <v>-835761.39</v>
      </c>
      <c r="Q83" s="142">
        <f t="shared" si="39"/>
        <v>173794435.36000001</v>
      </c>
      <c r="R83" s="142">
        <f t="shared" si="39"/>
        <v>21958031.590000007</v>
      </c>
      <c r="S83" s="142">
        <f t="shared" si="39"/>
        <v>592629.96555555542</v>
      </c>
      <c r="T83" s="142">
        <f t="shared" si="39"/>
        <v>-6684441.6000000006</v>
      </c>
      <c r="U83" s="142">
        <f t="shared" si="39"/>
        <v>-1803322.27</v>
      </c>
      <c r="V83" s="142">
        <f t="shared" si="39"/>
        <v>127839.58999999997</v>
      </c>
      <c r="W83" s="142">
        <f t="shared" si="39"/>
        <v>-5008958.9200000009</v>
      </c>
      <c r="X83" s="142">
        <f t="shared" si="39"/>
        <v>0</v>
      </c>
      <c r="Y83" s="142">
        <f t="shared" si="39"/>
        <v>0</v>
      </c>
    </row>
    <row r="84" spans="1:25" s="92" customFormat="1">
      <c r="A84" s="109" t="s">
        <v>46</v>
      </c>
      <c r="B84" s="109">
        <f t="shared" ref="B84:Y84" si="40">B24+B53</f>
        <v>6773192.3433333263</v>
      </c>
      <c r="C84" s="109">
        <f>C24+C53</f>
        <v>-35584962.846666671</v>
      </c>
      <c r="D84" s="109">
        <f t="shared" si="40"/>
        <v>42358155.189999998</v>
      </c>
      <c r="E84" s="109">
        <f t="shared" si="40"/>
        <v>0</v>
      </c>
      <c r="F84" s="109">
        <f t="shared" si="40"/>
        <v>0</v>
      </c>
      <c r="G84" s="109">
        <f t="shared" si="40"/>
        <v>0</v>
      </c>
      <c r="H84" s="109">
        <f t="shared" si="40"/>
        <v>0</v>
      </c>
      <c r="I84" s="109">
        <f t="shared" si="40"/>
        <v>0</v>
      </c>
      <c r="J84" s="109">
        <f t="shared" si="40"/>
        <v>0</v>
      </c>
      <c r="K84" s="109">
        <f t="shared" si="40"/>
        <v>0</v>
      </c>
      <c r="L84" s="109">
        <f t="shared" si="40"/>
        <v>0</v>
      </c>
      <c r="M84" s="109">
        <f t="shared" si="40"/>
        <v>0</v>
      </c>
      <c r="N84" s="109">
        <f t="shared" si="40"/>
        <v>0</v>
      </c>
      <c r="O84" s="109">
        <f t="shared" si="40"/>
        <v>0</v>
      </c>
      <c r="P84" s="109">
        <f t="shared" si="40"/>
        <v>0</v>
      </c>
      <c r="Q84" s="109">
        <f t="shared" si="40"/>
        <v>0</v>
      </c>
      <c r="R84" s="109">
        <f t="shared" si="40"/>
        <v>0</v>
      </c>
      <c r="S84" s="109">
        <f t="shared" si="40"/>
        <v>0</v>
      </c>
      <c r="T84" s="109">
        <f t="shared" si="40"/>
        <v>0</v>
      </c>
      <c r="U84" s="109">
        <f t="shared" si="40"/>
        <v>0</v>
      </c>
      <c r="V84" s="109">
        <f t="shared" si="40"/>
        <v>0</v>
      </c>
      <c r="W84" s="109">
        <f t="shared" si="40"/>
        <v>0</v>
      </c>
      <c r="X84" s="109">
        <f t="shared" si="40"/>
        <v>0</v>
      </c>
      <c r="Y84" s="109">
        <f t="shared" si="40"/>
        <v>0</v>
      </c>
    </row>
    <row r="85" spans="1:25" s="92" customFormat="1">
      <c r="A85" s="108" t="s">
        <v>47</v>
      </c>
      <c r="B85" s="142">
        <f t="shared" ref="B85:Y85" si="41">B25+B54</f>
        <v>206569677.00041091</v>
      </c>
      <c r="C85" s="142">
        <f t="shared" si="41"/>
        <v>5372916.0716981161</v>
      </c>
      <c r="D85" s="142">
        <f t="shared" si="41"/>
        <v>-207767323.30555543</v>
      </c>
      <c r="E85" s="142">
        <f t="shared" si="41"/>
        <v>396886264.2700001</v>
      </c>
      <c r="F85" s="142">
        <f t="shared" si="41"/>
        <v>-232390334.23000002</v>
      </c>
      <c r="G85" s="142">
        <f t="shared" si="41"/>
        <v>49916932.578712828</v>
      </c>
      <c r="H85" s="142">
        <f t="shared" si="41"/>
        <v>84134689.950000018</v>
      </c>
      <c r="I85" s="142">
        <f t="shared" si="41"/>
        <v>-31019676.831698127</v>
      </c>
      <c r="J85" s="142">
        <f t="shared" si="41"/>
        <v>2280580.8199999998</v>
      </c>
      <c r="K85" s="142">
        <f t="shared" si="41"/>
        <v>0</v>
      </c>
      <c r="L85" s="142">
        <f t="shared" si="41"/>
        <v>-2498119.81</v>
      </c>
      <c r="M85" s="142">
        <f t="shared" si="41"/>
        <v>-2980541.5495890412</v>
      </c>
      <c r="N85" s="142">
        <f t="shared" si="41"/>
        <v>5726327.6900000004</v>
      </c>
      <c r="O85" s="142">
        <f t="shared" si="41"/>
        <v>195509335.52555555</v>
      </c>
      <c r="P85" s="142">
        <f t="shared" si="41"/>
        <v>-835761.39</v>
      </c>
      <c r="Q85" s="142">
        <f t="shared" si="41"/>
        <v>173794435.36000001</v>
      </c>
      <c r="R85" s="142">
        <f t="shared" si="41"/>
        <v>21958031.590000007</v>
      </c>
      <c r="S85" s="142">
        <f t="shared" si="41"/>
        <v>592629.96555555542</v>
      </c>
      <c r="T85" s="142">
        <f t="shared" si="41"/>
        <v>-6684441.6000000006</v>
      </c>
      <c r="U85" s="142">
        <f t="shared" si="41"/>
        <v>-1803322.27</v>
      </c>
      <c r="V85" s="142">
        <f t="shared" si="41"/>
        <v>127839.58999999997</v>
      </c>
      <c r="W85" s="142">
        <f t="shared" si="41"/>
        <v>-5008958.9200000009</v>
      </c>
      <c r="X85" s="142">
        <f t="shared" si="41"/>
        <v>0</v>
      </c>
      <c r="Y85" s="142">
        <f t="shared" si="41"/>
        <v>0</v>
      </c>
    </row>
    <row r="86" spans="1:25" s="92" customFormat="1">
      <c r="A86" s="110" t="s">
        <v>48</v>
      </c>
      <c r="B86" s="143">
        <f t="shared" ref="B86:Y86" si="42">B26+B55</f>
        <v>0</v>
      </c>
      <c r="C86" s="143">
        <f t="shared" si="42"/>
        <v>0</v>
      </c>
      <c r="D86" s="143">
        <f t="shared" si="42"/>
        <v>0</v>
      </c>
      <c r="E86" s="143">
        <f t="shared" si="42"/>
        <v>0</v>
      </c>
      <c r="F86" s="143">
        <f t="shared" si="42"/>
        <v>0</v>
      </c>
      <c r="G86" s="143">
        <f t="shared" si="42"/>
        <v>0</v>
      </c>
      <c r="H86" s="143">
        <f t="shared" si="42"/>
        <v>0</v>
      </c>
      <c r="I86" s="143">
        <f t="shared" si="42"/>
        <v>0</v>
      </c>
      <c r="J86" s="143">
        <f t="shared" si="42"/>
        <v>0</v>
      </c>
      <c r="K86" s="143">
        <f t="shared" si="42"/>
        <v>0</v>
      </c>
      <c r="L86" s="143">
        <f t="shared" si="42"/>
        <v>0</v>
      </c>
      <c r="M86" s="143">
        <f t="shared" si="42"/>
        <v>0</v>
      </c>
      <c r="N86" s="143">
        <f t="shared" si="42"/>
        <v>0</v>
      </c>
      <c r="O86" s="143">
        <f t="shared" si="42"/>
        <v>0</v>
      </c>
      <c r="P86" s="143">
        <f t="shared" si="42"/>
        <v>0</v>
      </c>
      <c r="Q86" s="143">
        <f t="shared" si="42"/>
        <v>0</v>
      </c>
      <c r="R86" s="143">
        <f t="shared" si="42"/>
        <v>0</v>
      </c>
      <c r="S86" s="143">
        <f t="shared" si="42"/>
        <v>0</v>
      </c>
      <c r="T86" s="143">
        <f t="shared" si="42"/>
        <v>0</v>
      </c>
      <c r="U86" s="143">
        <f t="shared" si="42"/>
        <v>0</v>
      </c>
      <c r="V86" s="143">
        <f t="shared" si="42"/>
        <v>0</v>
      </c>
      <c r="W86" s="143">
        <f t="shared" si="42"/>
        <v>0</v>
      </c>
      <c r="X86" s="143">
        <f t="shared" si="42"/>
        <v>0</v>
      </c>
      <c r="Y86" s="143">
        <f t="shared" si="42"/>
        <v>0</v>
      </c>
    </row>
    <row r="87" spans="1:25" s="92" customFormat="1" ht="15" customHeight="1">
      <c r="A87" s="111" t="s">
        <v>49</v>
      </c>
      <c r="B87" s="144">
        <f t="shared" ref="B87:Y87" si="43">B27+B56</f>
        <v>206569677.00041091</v>
      </c>
      <c r="C87" s="144">
        <f t="shared" si="43"/>
        <v>5372916.0716981161</v>
      </c>
      <c r="D87" s="144">
        <f t="shared" si="43"/>
        <v>-207767323.30555543</v>
      </c>
      <c r="E87" s="144">
        <f t="shared" si="43"/>
        <v>396886264.27000004</v>
      </c>
      <c r="F87" s="144">
        <f t="shared" si="43"/>
        <v>-232390334.23000005</v>
      </c>
      <c r="G87" s="144">
        <f t="shared" si="43"/>
        <v>49916932.578712821</v>
      </c>
      <c r="H87" s="144">
        <f t="shared" si="43"/>
        <v>84134689.950000018</v>
      </c>
      <c r="I87" s="144">
        <f t="shared" si="43"/>
        <v>-31019676.831698127</v>
      </c>
      <c r="J87" s="144">
        <f t="shared" si="43"/>
        <v>2280580.8199999998</v>
      </c>
      <c r="K87" s="144">
        <f t="shared" si="43"/>
        <v>0</v>
      </c>
      <c r="L87" s="144">
        <f t="shared" si="43"/>
        <v>-2498119.81</v>
      </c>
      <c r="M87" s="144">
        <f t="shared" si="43"/>
        <v>-2980541.5495890412</v>
      </c>
      <c r="N87" s="144">
        <f t="shared" si="43"/>
        <v>5726327.6900000004</v>
      </c>
      <c r="O87" s="144">
        <f t="shared" si="43"/>
        <v>195509335.52555555</v>
      </c>
      <c r="P87" s="144">
        <f t="shared" si="43"/>
        <v>-835761.39</v>
      </c>
      <c r="Q87" s="144">
        <f t="shared" si="43"/>
        <v>173794435.36000001</v>
      </c>
      <c r="R87" s="144">
        <f t="shared" si="43"/>
        <v>21958031.590000007</v>
      </c>
      <c r="S87" s="144">
        <f t="shared" si="43"/>
        <v>592629.96555555542</v>
      </c>
      <c r="T87" s="144">
        <f t="shared" si="43"/>
        <v>-6684441.6000000006</v>
      </c>
      <c r="U87" s="144">
        <f t="shared" si="43"/>
        <v>-1803322.27</v>
      </c>
      <c r="V87" s="144">
        <f t="shared" si="43"/>
        <v>127839.58999999997</v>
      </c>
      <c r="W87" s="144">
        <f t="shared" si="43"/>
        <v>-5008958.9200000009</v>
      </c>
      <c r="X87" s="144">
        <f t="shared" si="43"/>
        <v>0</v>
      </c>
      <c r="Y87" s="144">
        <f t="shared" si="43"/>
        <v>0</v>
      </c>
    </row>
    <row r="88" spans="1:25" s="89" customFormat="1"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</row>
    <row r="89" spans="1:25" s="89" customFormat="1">
      <c r="A89" s="100" t="s">
        <v>52</v>
      </c>
      <c r="B89" s="145">
        <f t="shared" ref="B89:M89" si="44">B59</f>
        <v>140204597.81999999</v>
      </c>
      <c r="C89" s="145">
        <f t="shared" si="44"/>
        <v>0</v>
      </c>
      <c r="D89" s="145">
        <f t="shared" si="44"/>
        <v>0</v>
      </c>
      <c r="E89" s="145">
        <f t="shared" si="44"/>
        <v>140204597.81999999</v>
      </c>
      <c r="F89" s="145">
        <f t="shared" si="44"/>
        <v>0</v>
      </c>
      <c r="G89" s="145">
        <f t="shared" si="44"/>
        <v>0</v>
      </c>
      <c r="H89" s="145">
        <f t="shared" si="44"/>
        <v>0</v>
      </c>
      <c r="I89" s="145">
        <f t="shared" si="44"/>
        <v>0</v>
      </c>
      <c r="J89" s="145">
        <f t="shared" si="44"/>
        <v>0</v>
      </c>
      <c r="K89" s="145">
        <f t="shared" si="44"/>
        <v>0</v>
      </c>
      <c r="L89" s="145">
        <f t="shared" si="44"/>
        <v>0</v>
      </c>
      <c r="M89" s="145">
        <f t="shared" si="44"/>
        <v>0</v>
      </c>
      <c r="N89" s="145">
        <f t="shared" ref="N89:Y89" si="45">N59</f>
        <v>0</v>
      </c>
      <c r="O89" s="145">
        <f t="shared" si="45"/>
        <v>0</v>
      </c>
      <c r="P89" s="145">
        <f t="shared" si="45"/>
        <v>0</v>
      </c>
      <c r="Q89" s="145">
        <f t="shared" si="45"/>
        <v>0</v>
      </c>
      <c r="R89" s="145">
        <f t="shared" si="45"/>
        <v>0</v>
      </c>
      <c r="S89" s="145">
        <f t="shared" si="45"/>
        <v>0</v>
      </c>
      <c r="T89" s="145">
        <f t="shared" si="45"/>
        <v>0</v>
      </c>
      <c r="U89" s="145">
        <f t="shared" si="45"/>
        <v>0</v>
      </c>
      <c r="V89" s="145">
        <f t="shared" si="45"/>
        <v>0</v>
      </c>
      <c r="W89" s="145">
        <f t="shared" si="45"/>
        <v>0</v>
      </c>
      <c r="X89" s="145">
        <f t="shared" si="45"/>
        <v>0</v>
      </c>
      <c r="Y89" s="145">
        <f t="shared" si="45"/>
        <v>0</v>
      </c>
    </row>
    <row r="90" spans="1:25" s="89" customFormat="1">
      <c r="A90" s="103" t="s">
        <v>55</v>
      </c>
      <c r="B90" s="146"/>
      <c r="C90" s="146">
        <f>C87-C89</f>
        <v>5372916.0716981161</v>
      </c>
      <c r="D90" s="146">
        <f t="shared" ref="D90:Y90" si="46">D87-D89</f>
        <v>-207767323.30555543</v>
      </c>
      <c r="E90" s="146">
        <f>E87-E89</f>
        <v>256681666.45000005</v>
      </c>
      <c r="F90" s="146">
        <f t="shared" si="46"/>
        <v>-232390334.23000005</v>
      </c>
      <c r="G90" s="146">
        <f t="shared" si="46"/>
        <v>49916932.578712821</v>
      </c>
      <c r="H90" s="146">
        <f t="shared" si="46"/>
        <v>84134689.950000018</v>
      </c>
      <c r="I90" s="146">
        <f t="shared" si="46"/>
        <v>-31019676.831698127</v>
      </c>
      <c r="J90" s="146">
        <f t="shared" si="46"/>
        <v>2280580.8199999998</v>
      </c>
      <c r="K90" s="146">
        <f t="shared" si="46"/>
        <v>0</v>
      </c>
      <c r="L90" s="146">
        <f t="shared" si="46"/>
        <v>-2498119.81</v>
      </c>
      <c r="M90" s="146">
        <f t="shared" si="46"/>
        <v>-2980541.5495890412</v>
      </c>
      <c r="N90" s="146">
        <f t="shared" si="46"/>
        <v>5726327.6900000004</v>
      </c>
      <c r="O90" s="146">
        <f t="shared" si="46"/>
        <v>195509335.52555555</v>
      </c>
      <c r="P90" s="146">
        <f t="shared" si="46"/>
        <v>-835761.39</v>
      </c>
      <c r="Q90" s="146">
        <f t="shared" si="46"/>
        <v>173794435.36000001</v>
      </c>
      <c r="R90" s="146">
        <f t="shared" si="46"/>
        <v>21958031.590000007</v>
      </c>
      <c r="S90" s="146">
        <f t="shared" si="46"/>
        <v>592629.96555555542</v>
      </c>
      <c r="T90" s="146">
        <f t="shared" si="46"/>
        <v>-6684441.6000000006</v>
      </c>
      <c r="U90" s="146">
        <f t="shared" si="46"/>
        <v>-1803322.27</v>
      </c>
      <c r="V90" s="146">
        <f t="shared" si="46"/>
        <v>127839.58999999997</v>
      </c>
      <c r="W90" s="146">
        <f t="shared" si="46"/>
        <v>-5008958.9200000009</v>
      </c>
      <c r="X90" s="146">
        <f t="shared" si="46"/>
        <v>0</v>
      </c>
      <c r="Y90" s="146">
        <f t="shared" si="46"/>
        <v>0</v>
      </c>
    </row>
    <row r="91" spans="1:25"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3" spans="1:25">
      <c r="H93" s="115"/>
      <c r="I93" s="115"/>
      <c r="J93" s="115"/>
      <c r="K93" s="115"/>
      <c r="L93" s="115"/>
      <c r="M93" s="115"/>
    </row>
    <row r="94" spans="1:25">
      <c r="H94" s="115"/>
      <c r="I94" s="115"/>
      <c r="J94" s="115"/>
      <c r="K94" s="115"/>
      <c r="L94" s="115"/>
      <c r="M94" s="115"/>
    </row>
    <row r="96" spans="1:25">
      <c r="H96" s="116"/>
      <c r="I96" s="116"/>
    </row>
    <row r="98" spans="9:9">
      <c r="I98" s="116"/>
    </row>
  </sheetData>
  <mergeCells count="1">
    <mergeCell ref="A1:Y1"/>
  </mergeCells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"/>
  <sheetViews>
    <sheetView workbookViewId="0">
      <pane xSplit="3" ySplit="4" topLeftCell="D122" activePane="bottomRight" state="frozen"/>
      <selection pane="topRight"/>
      <selection pane="bottomLeft"/>
      <selection pane="bottomRight" activeCell="V108" sqref="V108:W156"/>
    </sheetView>
  </sheetViews>
  <sheetFormatPr defaultColWidth="9" defaultRowHeight="13.5"/>
  <cols>
    <col min="1" max="1" width="6" style="58" customWidth="1"/>
    <col min="2" max="2" width="17.375" style="58" customWidth="1"/>
    <col min="3" max="3" width="18" style="58" customWidth="1"/>
    <col min="4" max="5" width="13" style="58" customWidth="1"/>
    <col min="6" max="6" width="15" style="58" customWidth="1"/>
    <col min="7" max="10" width="13" style="58" customWidth="1"/>
    <col min="11" max="11" width="14.5" style="58" customWidth="1"/>
    <col min="12" max="13" width="13" style="58" customWidth="1"/>
    <col min="14" max="19" width="13" style="59" customWidth="1"/>
    <col min="20" max="24" width="13" style="58" customWidth="1"/>
    <col min="25" max="25" width="9" style="58"/>
    <col min="26" max="26" width="9.5" style="58" bestFit="1" customWidth="1"/>
    <col min="27" max="16384" width="9" style="58"/>
  </cols>
  <sheetData>
    <row r="1" spans="1:26" s="55" customFormat="1" ht="21" customHeight="1">
      <c r="A1" s="267" t="s">
        <v>56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</row>
    <row r="2" spans="1:26">
      <c r="A2" s="60"/>
      <c r="B2" s="61" t="s">
        <v>57</v>
      </c>
      <c r="C2" s="62" t="s">
        <v>2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75"/>
      <c r="O2" s="75"/>
      <c r="P2" s="75"/>
      <c r="Q2" s="75"/>
      <c r="R2" s="75"/>
      <c r="S2" s="75"/>
      <c r="T2" s="60"/>
      <c r="U2" s="60"/>
      <c r="V2" s="60"/>
      <c r="W2" s="60"/>
      <c r="X2" s="60"/>
    </row>
    <row r="3" spans="1:26">
      <c r="A3" s="63" t="s">
        <v>58</v>
      </c>
      <c r="B3" s="64" t="s">
        <v>59</v>
      </c>
      <c r="C3" s="65" t="str">
        <f>累计利润调整表!B3</f>
        <v>合计</v>
      </c>
      <c r="D3" s="65" t="str">
        <f>累计利润调整表!C3</f>
        <v>其他</v>
      </c>
      <c r="E3" s="65" t="str">
        <f>累计利润调整表!D3</f>
        <v>总部中后台</v>
      </c>
      <c r="F3" s="65" t="str">
        <f>累计利润调整表!E3</f>
        <v>经纪业务部</v>
      </c>
      <c r="G3" s="65" t="str">
        <f>累计利润调整表!F3</f>
        <v>资产管理部</v>
      </c>
      <c r="H3" s="65" t="str">
        <f>累计利润调整表!G3</f>
        <v>深分公司合计</v>
      </c>
      <c r="I3" s="76" t="str">
        <f>累计利润调整表!H3</f>
        <v>固定收益部</v>
      </c>
      <c r="J3" s="76" t="str">
        <f>累计利润调整表!I3</f>
        <v>证券投资部</v>
      </c>
      <c r="K3" s="76" t="str">
        <f>累计利润调整表!J3</f>
        <v>金融衍生品投资部</v>
      </c>
      <c r="L3" s="76" t="str">
        <f>累计利润调整表!K3</f>
        <v>风险管理部</v>
      </c>
      <c r="M3" s="76" t="str">
        <f>累计利润调整表!L3</f>
        <v>深圳管理部</v>
      </c>
      <c r="N3" s="76" t="str">
        <f>累计利润调整表!M3</f>
        <v>金融工程部</v>
      </c>
      <c r="O3" s="65" t="str">
        <f>累计利润调整表!N3</f>
        <v>中小企业融资部</v>
      </c>
      <c r="P3" s="65" t="str">
        <f>累计利润调整表!O3</f>
        <v>投资银行合计</v>
      </c>
      <c r="Q3" s="76" t="str">
        <f>累计利润调整表!P3</f>
        <v>财务顾问部</v>
      </c>
      <c r="R3" s="76" t="str">
        <f>累计利润调整表!Q3</f>
        <v>债券融资部</v>
      </c>
      <c r="S3" s="76" t="str">
        <f>累计利润调整表!R3</f>
        <v>股权融资部</v>
      </c>
      <c r="T3" s="76" t="str">
        <f>累计利润调整表!S3</f>
        <v>投资银行总部</v>
      </c>
      <c r="U3" s="65" t="str">
        <f>累计利润调整表!T3</f>
        <v>浙江分公司小计</v>
      </c>
      <c r="V3" s="76" t="str">
        <f>累计利润调整表!U3</f>
        <v>浙分总部</v>
      </c>
      <c r="W3" s="76" t="str">
        <f>累计利润调整表!V3</f>
        <v>综合业务部</v>
      </c>
      <c r="X3" s="76" t="str">
        <f>累计利润调整表!W3</f>
        <v>网络金融部</v>
      </c>
      <c r="Y3" s="65">
        <f>累计利润调整表!X3</f>
        <v>0</v>
      </c>
      <c r="Z3" s="65">
        <f>累计利润调整表!Y3</f>
        <v>0</v>
      </c>
    </row>
    <row r="4" spans="1:26">
      <c r="A4" s="268" t="s">
        <v>60</v>
      </c>
      <c r="B4" s="66" t="s">
        <v>61</v>
      </c>
      <c r="C4" s="238">
        <v>81174753.970000014</v>
      </c>
      <c r="D4" s="238">
        <v>222880</v>
      </c>
      <c r="E4" s="238">
        <v>20711440.220000003</v>
      </c>
      <c r="F4" s="238">
        <v>38308652.680000022</v>
      </c>
      <c r="G4" s="238">
        <v>2388646.4700000002</v>
      </c>
      <c r="H4" s="238">
        <v>6281614.7199999997</v>
      </c>
      <c r="I4" s="238">
        <v>1817423.4199999997</v>
      </c>
      <c r="J4" s="238">
        <v>1597602.62</v>
      </c>
      <c r="K4" s="238">
        <v>850127.02</v>
      </c>
      <c r="L4" s="238">
        <v>0</v>
      </c>
      <c r="M4" s="238">
        <v>744092.15</v>
      </c>
      <c r="N4" s="238">
        <v>1272369.51</v>
      </c>
      <c r="O4" s="238">
        <v>2549219.5299999998</v>
      </c>
      <c r="P4" s="238">
        <v>7404624.9199999999</v>
      </c>
      <c r="Q4" s="238">
        <v>287541.51</v>
      </c>
      <c r="R4" s="238">
        <v>1936806.39</v>
      </c>
      <c r="S4" s="238">
        <v>4234983.25</v>
      </c>
      <c r="T4" s="238">
        <v>945293.77</v>
      </c>
      <c r="U4" s="238">
        <v>3307675.4300000006</v>
      </c>
      <c r="V4" s="238">
        <v>849215.36</v>
      </c>
      <c r="W4" s="238">
        <v>209337.28</v>
      </c>
      <c r="X4" s="238">
        <v>2249122.79</v>
      </c>
    </row>
    <row r="5" spans="1:26">
      <c r="A5" s="268"/>
      <c r="B5" s="66" t="s">
        <v>62</v>
      </c>
      <c r="C5" s="238">
        <v>810756.00999999989</v>
      </c>
      <c r="D5" s="238">
        <v>10960</v>
      </c>
      <c r="E5" s="238">
        <v>132575</v>
      </c>
      <c r="F5" s="238">
        <v>607774.67999999982</v>
      </c>
      <c r="G5" s="238">
        <v>17175</v>
      </c>
      <c r="H5" s="238">
        <v>26645.33</v>
      </c>
      <c r="I5" s="238">
        <v>8350</v>
      </c>
      <c r="J5" s="238">
        <v>9470.33</v>
      </c>
      <c r="K5" s="238">
        <v>1600</v>
      </c>
      <c r="L5" s="238">
        <v>0</v>
      </c>
      <c r="M5" s="238">
        <v>2250</v>
      </c>
      <c r="N5" s="238">
        <v>4975</v>
      </c>
      <c r="O5" s="238">
        <v>284</v>
      </c>
      <c r="P5" s="238">
        <v>15342.000000000002</v>
      </c>
      <c r="Q5" s="238">
        <v>175.00000000000003</v>
      </c>
      <c r="R5" s="238">
        <v>10802</v>
      </c>
      <c r="S5" s="238">
        <v>0</v>
      </c>
      <c r="T5" s="238">
        <v>4365</v>
      </c>
      <c r="U5" s="238">
        <v>0</v>
      </c>
      <c r="V5" s="238">
        <v>0</v>
      </c>
      <c r="W5" s="238">
        <v>0</v>
      </c>
      <c r="X5" s="238">
        <v>0</v>
      </c>
    </row>
    <row r="6" spans="1:26">
      <c r="A6" s="268"/>
      <c r="B6" s="66" t="s">
        <v>63</v>
      </c>
      <c r="C6" s="238">
        <v>3306008.8199999994</v>
      </c>
      <c r="D6" s="238">
        <v>4660</v>
      </c>
      <c r="E6" s="238">
        <v>703380.51000000013</v>
      </c>
      <c r="F6" s="238">
        <v>1159300.4399999997</v>
      </c>
      <c r="G6" s="238">
        <v>49182.499999999993</v>
      </c>
      <c r="H6" s="238">
        <v>126861.89</v>
      </c>
      <c r="I6" s="238">
        <v>37295.660000000003</v>
      </c>
      <c r="J6" s="238">
        <v>32698.429999999997</v>
      </c>
      <c r="K6" s="238">
        <v>17405.740000000002</v>
      </c>
      <c r="L6" s="239">
        <v>0</v>
      </c>
      <c r="M6" s="238">
        <v>10950.65</v>
      </c>
      <c r="N6" s="238">
        <v>28511.41</v>
      </c>
      <c r="O6" s="238">
        <v>50720.38</v>
      </c>
      <c r="P6" s="238">
        <v>1149593.6100000001</v>
      </c>
      <c r="Q6" s="238">
        <v>6000.42</v>
      </c>
      <c r="R6" s="238">
        <v>921071.91999999993</v>
      </c>
      <c r="S6" s="238">
        <v>204555.67</v>
      </c>
      <c r="T6" s="238">
        <v>17965.599999999999</v>
      </c>
      <c r="U6" s="238">
        <v>62309.490000000005</v>
      </c>
      <c r="V6" s="238">
        <v>17190.32</v>
      </c>
      <c r="W6" s="238">
        <v>4337.96</v>
      </c>
      <c r="X6" s="238">
        <v>40781.210000000006</v>
      </c>
    </row>
    <row r="7" spans="1:26">
      <c r="A7" s="268"/>
      <c r="B7" s="66" t="s">
        <v>64</v>
      </c>
      <c r="C7" s="238">
        <v>19908752.349999998</v>
      </c>
      <c r="D7" s="238">
        <v>-183240.42</v>
      </c>
      <c r="E7" s="238">
        <v>3787989.24</v>
      </c>
      <c r="F7" s="238">
        <v>11471959</v>
      </c>
      <c r="G7" s="238">
        <v>599887.76</v>
      </c>
      <c r="H7" s="238">
        <v>1554850.4</v>
      </c>
      <c r="I7" s="238">
        <v>441511.01000000007</v>
      </c>
      <c r="J7" s="238">
        <v>422342.31</v>
      </c>
      <c r="K7" s="238">
        <v>227328.2</v>
      </c>
      <c r="L7" s="238">
        <v>0</v>
      </c>
      <c r="M7" s="238">
        <v>129551.42</v>
      </c>
      <c r="N7" s="238">
        <v>334117.46000000002</v>
      </c>
      <c r="O7" s="238">
        <v>639243.16</v>
      </c>
      <c r="P7" s="238">
        <v>1054686.98</v>
      </c>
      <c r="Q7" s="238">
        <v>62264.89</v>
      </c>
      <c r="R7" s="238">
        <v>471220.53</v>
      </c>
      <c r="S7" s="238">
        <v>379672.20000000007</v>
      </c>
      <c r="T7" s="238">
        <v>141529.35999999999</v>
      </c>
      <c r="U7" s="238">
        <v>983376.23</v>
      </c>
      <c r="V7" s="238">
        <v>157079.6</v>
      </c>
      <c r="W7" s="238">
        <v>70788.009999999995</v>
      </c>
      <c r="X7" s="238">
        <v>755508.62</v>
      </c>
    </row>
    <row r="8" spans="1:26">
      <c r="A8" s="268"/>
      <c r="B8" s="66" t="s">
        <v>65</v>
      </c>
      <c r="C8" s="238">
        <v>0</v>
      </c>
      <c r="D8" s="238">
        <v>0</v>
      </c>
      <c r="E8" s="238">
        <v>0</v>
      </c>
      <c r="F8" s="238">
        <v>0</v>
      </c>
      <c r="G8" s="238">
        <v>0</v>
      </c>
      <c r="H8" s="238">
        <v>0</v>
      </c>
      <c r="I8" s="238">
        <v>0</v>
      </c>
      <c r="J8" s="238">
        <v>0</v>
      </c>
      <c r="K8" s="238">
        <v>0</v>
      </c>
      <c r="L8" s="238">
        <v>0</v>
      </c>
      <c r="M8" s="238">
        <v>0</v>
      </c>
      <c r="N8" s="238">
        <v>0</v>
      </c>
      <c r="O8" s="238">
        <v>0</v>
      </c>
      <c r="P8" s="238">
        <v>0</v>
      </c>
      <c r="Q8" s="238">
        <v>0</v>
      </c>
      <c r="R8" s="238">
        <v>0</v>
      </c>
      <c r="S8" s="238">
        <v>0</v>
      </c>
      <c r="T8" s="238">
        <v>0</v>
      </c>
      <c r="U8" s="238">
        <v>0</v>
      </c>
      <c r="V8" s="238">
        <v>0</v>
      </c>
      <c r="W8" s="238">
        <v>0</v>
      </c>
      <c r="X8" s="238">
        <v>0</v>
      </c>
    </row>
    <row r="9" spans="1:26">
      <c r="A9" s="268"/>
      <c r="B9" s="66" t="s">
        <v>66</v>
      </c>
      <c r="C9" s="238">
        <v>214117.16000000003</v>
      </c>
      <c r="D9" s="238">
        <v>0</v>
      </c>
      <c r="E9" s="238">
        <v>-1211.4000000000001</v>
      </c>
      <c r="F9" s="238">
        <v>180163.96000000005</v>
      </c>
      <c r="G9" s="238">
        <v>-1211.4000000000001</v>
      </c>
      <c r="H9" s="238">
        <v>4038</v>
      </c>
      <c r="I9" s="238">
        <v>0</v>
      </c>
      <c r="J9" s="238">
        <v>0</v>
      </c>
      <c r="K9" s="238">
        <v>4038</v>
      </c>
      <c r="L9" s="238">
        <v>0</v>
      </c>
      <c r="M9" s="238">
        <v>0</v>
      </c>
      <c r="N9" s="238">
        <v>0</v>
      </c>
      <c r="O9" s="238">
        <v>0</v>
      </c>
      <c r="P9" s="238">
        <v>0</v>
      </c>
      <c r="Q9" s="238">
        <v>0</v>
      </c>
      <c r="R9" s="238">
        <v>0</v>
      </c>
      <c r="S9" s="238">
        <v>0</v>
      </c>
      <c r="T9" s="238">
        <v>0</v>
      </c>
      <c r="U9" s="238">
        <v>32338</v>
      </c>
      <c r="V9" s="238">
        <v>0</v>
      </c>
      <c r="W9" s="238">
        <v>0</v>
      </c>
      <c r="X9" s="238">
        <v>32338</v>
      </c>
    </row>
    <row r="10" spans="1:26">
      <c r="A10" s="268"/>
      <c r="B10" s="66" t="s">
        <v>67</v>
      </c>
      <c r="C10" s="238">
        <v>1700880.0000000002</v>
      </c>
      <c r="D10" s="238">
        <v>2520</v>
      </c>
      <c r="E10" s="238">
        <v>452100</v>
      </c>
      <c r="F10" s="238">
        <v>670100</v>
      </c>
      <c r="G10" s="238">
        <v>70480</v>
      </c>
      <c r="H10" s="238">
        <v>148540</v>
      </c>
      <c r="I10" s="238">
        <v>47360</v>
      </c>
      <c r="J10" s="238">
        <v>37320</v>
      </c>
      <c r="K10" s="238">
        <v>20160</v>
      </c>
      <c r="L10" s="238">
        <v>0</v>
      </c>
      <c r="M10" s="238">
        <v>12660</v>
      </c>
      <c r="N10" s="238">
        <v>31040</v>
      </c>
      <c r="O10" s="238">
        <v>94860</v>
      </c>
      <c r="P10" s="238">
        <v>162979.99999999997</v>
      </c>
      <c r="Q10" s="238">
        <v>12480</v>
      </c>
      <c r="R10" s="238">
        <v>73420</v>
      </c>
      <c r="S10" s="238">
        <v>54300</v>
      </c>
      <c r="T10" s="238">
        <v>22780</v>
      </c>
      <c r="U10" s="238">
        <v>99300</v>
      </c>
      <c r="V10" s="238">
        <v>15400</v>
      </c>
      <c r="W10" s="238">
        <v>7560</v>
      </c>
      <c r="X10" s="238">
        <v>76340</v>
      </c>
    </row>
    <row r="11" spans="1:26">
      <c r="A11" s="268"/>
      <c r="B11" s="66" t="s">
        <v>68</v>
      </c>
      <c r="C11" s="238">
        <v>476595.97000000015</v>
      </c>
      <c r="D11" s="238">
        <v>0</v>
      </c>
      <c r="E11" s="238">
        <v>197434.04</v>
      </c>
      <c r="F11" s="238">
        <v>188751.83000000005</v>
      </c>
      <c r="G11" s="238">
        <v>12000</v>
      </c>
      <c r="H11" s="238">
        <v>43324.100000000006</v>
      </c>
      <c r="I11" s="238">
        <v>1270</v>
      </c>
      <c r="J11" s="238">
        <v>13739.04</v>
      </c>
      <c r="K11" s="238">
        <v>9166</v>
      </c>
      <c r="L11" s="238">
        <v>0</v>
      </c>
      <c r="M11" s="238">
        <v>13539.060000000001</v>
      </c>
      <c r="N11" s="238">
        <v>5610.0000000000009</v>
      </c>
      <c r="O11" s="238">
        <v>8000</v>
      </c>
      <c r="P11" s="238">
        <v>9990</v>
      </c>
      <c r="Q11" s="238">
        <v>0</v>
      </c>
      <c r="R11" s="238">
        <v>1600</v>
      </c>
      <c r="S11" s="238">
        <v>0</v>
      </c>
      <c r="T11" s="238">
        <v>8390</v>
      </c>
      <c r="U11" s="238">
        <v>17096</v>
      </c>
      <c r="V11" s="238">
        <v>12290.000000000002</v>
      </c>
      <c r="W11" s="238">
        <v>4806</v>
      </c>
      <c r="X11" s="238">
        <v>0</v>
      </c>
    </row>
    <row r="12" spans="1:26">
      <c r="A12" s="268"/>
      <c r="B12" s="66" t="s">
        <v>69</v>
      </c>
      <c r="C12" s="238">
        <v>0</v>
      </c>
      <c r="D12" s="238">
        <v>0</v>
      </c>
      <c r="E12" s="238">
        <v>0</v>
      </c>
      <c r="F12" s="238">
        <v>0</v>
      </c>
      <c r="G12" s="238">
        <v>0</v>
      </c>
      <c r="H12" s="238">
        <v>0</v>
      </c>
      <c r="I12" s="238">
        <v>0</v>
      </c>
      <c r="J12" s="238">
        <v>0</v>
      </c>
      <c r="K12" s="238">
        <v>0</v>
      </c>
      <c r="L12" s="240">
        <v>0</v>
      </c>
      <c r="M12" s="238">
        <v>0</v>
      </c>
      <c r="N12" s="238">
        <v>0</v>
      </c>
      <c r="O12" s="238">
        <v>0</v>
      </c>
      <c r="P12" s="238">
        <v>0</v>
      </c>
      <c r="Q12" s="238">
        <v>0</v>
      </c>
      <c r="R12" s="238">
        <v>0</v>
      </c>
      <c r="S12" s="238">
        <v>0</v>
      </c>
      <c r="T12" s="238">
        <v>0</v>
      </c>
      <c r="U12" s="238">
        <v>0</v>
      </c>
      <c r="V12" s="238">
        <v>0</v>
      </c>
      <c r="W12" s="238">
        <v>0</v>
      </c>
      <c r="X12" s="238">
        <v>0</v>
      </c>
    </row>
    <row r="13" spans="1:26">
      <c r="A13" s="268"/>
      <c r="B13" s="66" t="s">
        <v>70</v>
      </c>
      <c r="C13" s="241">
        <v>107591864.28000003</v>
      </c>
      <c r="D13" s="241">
        <v>57779.579999999987</v>
      </c>
      <c r="E13" s="241">
        <v>25983707.610000007</v>
      </c>
      <c r="F13" s="241">
        <v>52586702.590000026</v>
      </c>
      <c r="G13" s="241">
        <v>3136160.33</v>
      </c>
      <c r="H13" s="241">
        <v>8185874.4400000013</v>
      </c>
      <c r="I13" s="241">
        <v>2353210.09</v>
      </c>
      <c r="J13" s="241">
        <v>2113172.7300000004</v>
      </c>
      <c r="K13" s="241">
        <v>1129824.9600000002</v>
      </c>
      <c r="L13" s="241">
        <v>0</v>
      </c>
      <c r="M13" s="241">
        <v>913043.28</v>
      </c>
      <c r="N13" s="241">
        <v>1676623.3800000004</v>
      </c>
      <c r="O13" s="241">
        <v>3342327.0699999994</v>
      </c>
      <c r="P13" s="241">
        <v>9797217.5100000016</v>
      </c>
      <c r="Q13" s="241">
        <v>368461.81999999989</v>
      </c>
      <c r="R13" s="241">
        <v>3414920.84</v>
      </c>
      <c r="S13" s="241">
        <v>4873511.12</v>
      </c>
      <c r="T13" s="241">
        <v>1140323.73</v>
      </c>
      <c r="U13" s="241">
        <v>4502095.1500000004</v>
      </c>
      <c r="V13" s="241">
        <v>1051175.28</v>
      </c>
      <c r="W13" s="241">
        <v>296829.25</v>
      </c>
      <c r="X13" s="241">
        <v>3154090.62</v>
      </c>
      <c r="Z13" s="58">
        <v>10000</v>
      </c>
    </row>
    <row r="14" spans="1:26">
      <c r="A14" s="269" t="s">
        <v>71</v>
      </c>
      <c r="B14" s="69" t="s">
        <v>72</v>
      </c>
      <c r="C14" s="238">
        <v>30903061.190000001</v>
      </c>
      <c r="D14" s="238">
        <v>0</v>
      </c>
      <c r="E14" s="238">
        <v>0</v>
      </c>
      <c r="F14" s="238">
        <v>19189317.180000003</v>
      </c>
      <c r="G14" s="238">
        <v>0</v>
      </c>
      <c r="H14" s="238">
        <v>127484.49</v>
      </c>
      <c r="I14" s="238">
        <v>0</v>
      </c>
      <c r="J14" s="238">
        <v>0</v>
      </c>
      <c r="K14" s="238">
        <v>5324</v>
      </c>
      <c r="L14" s="239">
        <v>0</v>
      </c>
      <c r="M14" s="238">
        <v>0</v>
      </c>
      <c r="N14" s="238">
        <v>122160.49</v>
      </c>
      <c r="O14" s="238">
        <v>0</v>
      </c>
      <c r="P14" s="238">
        <v>11491060</v>
      </c>
      <c r="Q14" s="238">
        <v>0</v>
      </c>
      <c r="R14" s="238">
        <v>9586060</v>
      </c>
      <c r="S14" s="238">
        <v>1905000</v>
      </c>
      <c r="T14" s="238">
        <v>0</v>
      </c>
      <c r="U14" s="238">
        <v>95199.52</v>
      </c>
      <c r="V14" s="238">
        <v>0</v>
      </c>
      <c r="W14" s="238">
        <v>0</v>
      </c>
      <c r="X14" s="238">
        <v>95199.52</v>
      </c>
    </row>
    <row r="15" spans="1:26">
      <c r="A15" s="269"/>
      <c r="B15" s="69" t="s">
        <v>73</v>
      </c>
      <c r="C15" s="238">
        <v>71693744.370000005</v>
      </c>
      <c r="D15" s="238">
        <v>0</v>
      </c>
      <c r="E15" s="238">
        <v>0</v>
      </c>
      <c r="F15" s="238">
        <v>31870036.48</v>
      </c>
      <c r="G15" s="238">
        <v>0</v>
      </c>
      <c r="H15" s="238">
        <v>0</v>
      </c>
      <c r="I15" s="238">
        <v>0</v>
      </c>
      <c r="J15" s="238">
        <v>0</v>
      </c>
      <c r="K15" s="238">
        <v>0</v>
      </c>
      <c r="L15" s="239">
        <v>0</v>
      </c>
      <c r="M15" s="238">
        <v>0</v>
      </c>
      <c r="N15" s="238">
        <v>0</v>
      </c>
      <c r="O15" s="238">
        <v>15400</v>
      </c>
      <c r="P15" s="238">
        <v>39808307.890000001</v>
      </c>
      <c r="Q15" s="238">
        <v>0</v>
      </c>
      <c r="R15" s="238">
        <v>34874807.890000001</v>
      </c>
      <c r="S15" s="238">
        <v>4933500</v>
      </c>
      <c r="T15" s="238">
        <v>0</v>
      </c>
      <c r="U15" s="238">
        <v>0</v>
      </c>
      <c r="V15" s="238">
        <v>0</v>
      </c>
      <c r="W15" s="238">
        <v>0</v>
      </c>
      <c r="X15" s="238">
        <v>0</v>
      </c>
    </row>
    <row r="16" spans="1:26">
      <c r="A16" s="269"/>
      <c r="B16" s="69" t="s">
        <v>74</v>
      </c>
      <c r="C16" s="238">
        <v>6932472.5300000003</v>
      </c>
      <c r="D16" s="238">
        <v>-1068142.8799999999</v>
      </c>
      <c r="E16" s="238">
        <v>0</v>
      </c>
      <c r="F16" s="238">
        <v>5436298.79</v>
      </c>
      <c r="G16" s="238">
        <v>-1295563.2</v>
      </c>
      <c r="H16" s="238">
        <v>970105.02</v>
      </c>
      <c r="I16" s="238">
        <v>790343.6</v>
      </c>
      <c r="J16" s="238">
        <v>139107.62</v>
      </c>
      <c r="K16" s="238">
        <v>43200.160000000011</v>
      </c>
      <c r="L16" s="239">
        <v>0</v>
      </c>
      <c r="M16" s="238">
        <v>5.84</v>
      </c>
      <c r="N16" s="238">
        <v>-2552.1999999999998</v>
      </c>
      <c r="O16" s="238">
        <v>121054.78</v>
      </c>
      <c r="P16" s="238">
        <v>2768709.23</v>
      </c>
      <c r="Q16" s="238">
        <v>0</v>
      </c>
      <c r="R16" s="238">
        <v>2398585.31</v>
      </c>
      <c r="S16" s="238">
        <v>370123.92</v>
      </c>
      <c r="T16" s="238">
        <v>0</v>
      </c>
      <c r="U16" s="238">
        <v>10.790000000000001</v>
      </c>
      <c r="V16" s="238">
        <v>12.68</v>
      </c>
      <c r="W16" s="238">
        <v>0</v>
      </c>
      <c r="X16" s="238">
        <v>-1.89</v>
      </c>
    </row>
    <row r="17" spans="1:24">
      <c r="A17" s="269"/>
      <c r="B17" s="69" t="s">
        <v>75</v>
      </c>
      <c r="C17" s="238">
        <v>506650</v>
      </c>
      <c r="D17" s="238">
        <v>0</v>
      </c>
      <c r="E17" s="238">
        <v>0</v>
      </c>
      <c r="F17" s="238">
        <v>0</v>
      </c>
      <c r="G17" s="238">
        <v>0</v>
      </c>
      <c r="H17" s="238">
        <v>506650</v>
      </c>
      <c r="I17" s="238">
        <v>498650</v>
      </c>
      <c r="J17" s="238">
        <v>0</v>
      </c>
      <c r="K17" s="238">
        <v>0</v>
      </c>
      <c r="L17" s="239">
        <v>0</v>
      </c>
      <c r="M17" s="238">
        <v>8000</v>
      </c>
      <c r="N17" s="238">
        <v>0</v>
      </c>
      <c r="O17" s="238">
        <v>0</v>
      </c>
      <c r="P17" s="238">
        <v>0</v>
      </c>
      <c r="Q17" s="238">
        <v>0</v>
      </c>
      <c r="R17" s="238">
        <v>0</v>
      </c>
      <c r="S17" s="238">
        <v>0</v>
      </c>
      <c r="T17" s="238">
        <v>0</v>
      </c>
      <c r="U17" s="238">
        <v>0</v>
      </c>
      <c r="V17" s="238">
        <v>0</v>
      </c>
      <c r="W17" s="238">
        <v>0</v>
      </c>
      <c r="X17" s="238">
        <v>0</v>
      </c>
    </row>
    <row r="18" spans="1:24">
      <c r="A18" s="269"/>
      <c r="B18" s="69" t="s">
        <v>70</v>
      </c>
      <c r="C18" s="241">
        <v>110035928.09000002</v>
      </c>
      <c r="D18" s="241">
        <v>-1068142.8799999999</v>
      </c>
      <c r="E18" s="241">
        <v>0</v>
      </c>
      <c r="F18" s="241">
        <v>56495652.449999996</v>
      </c>
      <c r="G18" s="241">
        <v>-1295563.2</v>
      </c>
      <c r="H18" s="241">
        <v>1604239.5099999998</v>
      </c>
      <c r="I18" s="241">
        <v>1288993.6000000001</v>
      </c>
      <c r="J18" s="241">
        <v>139107.62</v>
      </c>
      <c r="K18" s="241">
        <v>48524.160000000011</v>
      </c>
      <c r="L18" s="241">
        <v>0</v>
      </c>
      <c r="M18" s="241">
        <v>8005.8400000000011</v>
      </c>
      <c r="N18" s="241">
        <v>119608.29000000001</v>
      </c>
      <c r="O18" s="241">
        <v>136454.78</v>
      </c>
      <c r="P18" s="241">
        <v>54068077.120000005</v>
      </c>
      <c r="Q18" s="241">
        <v>0</v>
      </c>
      <c r="R18" s="241">
        <v>46859453.199999996</v>
      </c>
      <c r="S18" s="241">
        <v>7208623.9199999999</v>
      </c>
      <c r="T18" s="241">
        <v>0</v>
      </c>
      <c r="U18" s="241">
        <v>95210.310000000012</v>
      </c>
      <c r="V18" s="241">
        <v>12.68</v>
      </c>
      <c r="W18" s="241">
        <v>0</v>
      </c>
      <c r="X18" s="241">
        <v>95197.62999999999</v>
      </c>
    </row>
    <row r="19" spans="1:24">
      <c r="A19" s="270" t="s">
        <v>76</v>
      </c>
      <c r="B19" s="69" t="s">
        <v>77</v>
      </c>
      <c r="C19" s="238">
        <v>17026487.52</v>
      </c>
      <c r="D19" s="238">
        <v>410820</v>
      </c>
      <c r="E19" s="238">
        <v>1843579.9299999997</v>
      </c>
      <c r="F19" s="238">
        <v>6741174.79</v>
      </c>
      <c r="G19" s="238">
        <v>727320.75</v>
      </c>
      <c r="H19" s="238">
        <v>825899.21000000008</v>
      </c>
      <c r="I19" s="238">
        <v>172283.1</v>
      </c>
      <c r="J19" s="238">
        <v>203587.8</v>
      </c>
      <c r="K19" s="238">
        <v>157123.91</v>
      </c>
      <c r="L19" s="242">
        <v>0</v>
      </c>
      <c r="M19" s="238">
        <v>121127.95</v>
      </c>
      <c r="N19" s="238">
        <v>171776.45</v>
      </c>
      <c r="O19" s="238">
        <v>394463.56</v>
      </c>
      <c r="P19" s="238">
        <v>5504609.2299999995</v>
      </c>
      <c r="Q19" s="238">
        <v>329565.79999999993</v>
      </c>
      <c r="R19" s="238">
        <v>3926762.73</v>
      </c>
      <c r="S19" s="238">
        <v>1169585.3</v>
      </c>
      <c r="T19" s="238">
        <v>78695.399999999994</v>
      </c>
      <c r="U19" s="238">
        <v>578620.05000000005</v>
      </c>
      <c r="V19" s="238">
        <v>263246.52</v>
      </c>
      <c r="W19" s="238">
        <v>18181</v>
      </c>
      <c r="X19" s="238">
        <v>297192.53000000003</v>
      </c>
    </row>
    <row r="20" spans="1:24">
      <c r="A20" s="270"/>
      <c r="B20" s="69" t="s">
        <v>78</v>
      </c>
      <c r="C20" s="238">
        <v>4686893.59</v>
      </c>
      <c r="D20" s="238">
        <v>0</v>
      </c>
      <c r="E20" s="238">
        <v>559423.34000000008</v>
      </c>
      <c r="F20" s="238">
        <v>1181050.6899999997</v>
      </c>
      <c r="G20" s="238">
        <v>149896.26</v>
      </c>
      <c r="H20" s="238">
        <v>582001.52</v>
      </c>
      <c r="I20" s="238">
        <v>208973.72</v>
      </c>
      <c r="J20" s="238">
        <v>176943.06</v>
      </c>
      <c r="K20" s="238">
        <v>68494.97</v>
      </c>
      <c r="L20" s="242">
        <v>0</v>
      </c>
      <c r="M20" s="238">
        <v>20798.5</v>
      </c>
      <c r="N20" s="238">
        <v>106791.27000000002</v>
      </c>
      <c r="O20" s="238">
        <v>379325.22</v>
      </c>
      <c r="P20" s="238">
        <v>1631479.7100000002</v>
      </c>
      <c r="Q20" s="238">
        <v>41885.550000000003</v>
      </c>
      <c r="R20" s="238">
        <v>1144809.31</v>
      </c>
      <c r="S20" s="238">
        <v>374566.55</v>
      </c>
      <c r="T20" s="238">
        <v>70218.3</v>
      </c>
      <c r="U20" s="238">
        <v>203716.85</v>
      </c>
      <c r="V20" s="238">
        <v>43100.32</v>
      </c>
      <c r="W20" s="238">
        <v>33835.160000000003</v>
      </c>
      <c r="X20" s="238">
        <v>126781.37</v>
      </c>
    </row>
    <row r="21" spans="1:24">
      <c r="A21" s="270"/>
      <c r="B21" s="69" t="s">
        <v>79</v>
      </c>
      <c r="C21" s="238">
        <v>1782978.3100000003</v>
      </c>
      <c r="D21" s="238">
        <v>0</v>
      </c>
      <c r="E21" s="238">
        <v>490248.36</v>
      </c>
      <c r="F21" s="238">
        <v>1165327.3000000003</v>
      </c>
      <c r="G21" s="238">
        <v>13226.6</v>
      </c>
      <c r="H21" s="238">
        <v>40871.359999999993</v>
      </c>
      <c r="I21" s="238">
        <v>13226.6</v>
      </c>
      <c r="J21" s="238">
        <v>13226.6</v>
      </c>
      <c r="K21" s="238">
        <v>13226.6</v>
      </c>
      <c r="L21" s="242">
        <v>0</v>
      </c>
      <c r="M21" s="238">
        <v>-12035.04</v>
      </c>
      <c r="N21" s="238">
        <v>13226.6</v>
      </c>
      <c r="O21" s="238">
        <v>0</v>
      </c>
      <c r="P21" s="238">
        <v>40719.49</v>
      </c>
      <c r="Q21" s="238">
        <v>7638.74</v>
      </c>
      <c r="R21" s="238">
        <v>9449.7199999999993</v>
      </c>
      <c r="S21" s="238">
        <v>9449.7099999999991</v>
      </c>
      <c r="T21" s="238">
        <v>14181.32</v>
      </c>
      <c r="U21" s="238">
        <v>32585.199999999997</v>
      </c>
      <c r="V21" s="238">
        <v>16292.51</v>
      </c>
      <c r="W21" s="238">
        <v>0</v>
      </c>
      <c r="X21" s="238">
        <v>16292.69</v>
      </c>
    </row>
    <row r="22" spans="1:24">
      <c r="A22" s="270"/>
      <c r="B22" s="69" t="s">
        <v>80</v>
      </c>
      <c r="C22" s="238">
        <v>1358715.6899999997</v>
      </c>
      <c r="D22" s="238">
        <v>74000</v>
      </c>
      <c r="E22" s="238">
        <v>255832.27000000002</v>
      </c>
      <c r="F22" s="238">
        <v>745212.21999999986</v>
      </c>
      <c r="G22" s="238">
        <v>6933</v>
      </c>
      <c r="H22" s="238">
        <v>185725.31000000003</v>
      </c>
      <c r="I22" s="238">
        <v>57766.470000000008</v>
      </c>
      <c r="J22" s="238">
        <v>20009.62</v>
      </c>
      <c r="K22" s="238">
        <v>15975.330000000002</v>
      </c>
      <c r="L22" s="242">
        <v>0</v>
      </c>
      <c r="M22" s="238">
        <v>60851.15</v>
      </c>
      <c r="N22" s="238">
        <v>31122.74</v>
      </c>
      <c r="O22" s="238">
        <v>17786.939999999999</v>
      </c>
      <c r="P22" s="238">
        <v>18517.990000000002</v>
      </c>
      <c r="Q22" s="238">
        <v>1425.16</v>
      </c>
      <c r="R22" s="238">
        <v>5992</v>
      </c>
      <c r="S22" s="238">
        <v>6434.83</v>
      </c>
      <c r="T22" s="238">
        <v>4666</v>
      </c>
      <c r="U22" s="238">
        <v>54707.96</v>
      </c>
      <c r="V22" s="238">
        <v>10506.73</v>
      </c>
      <c r="W22" s="238">
        <v>1820.12</v>
      </c>
      <c r="X22" s="238">
        <v>42381.11</v>
      </c>
    </row>
    <row r="23" spans="1:24">
      <c r="A23" s="270"/>
      <c r="B23" s="69" t="s">
        <v>81</v>
      </c>
      <c r="C23" s="238">
        <v>874659.45000000007</v>
      </c>
      <c r="D23" s="238">
        <v>0</v>
      </c>
      <c r="E23" s="238">
        <v>164124.87</v>
      </c>
      <c r="F23" s="238">
        <v>551473.1</v>
      </c>
      <c r="G23" s="238">
        <v>3873.5000000000005</v>
      </c>
      <c r="H23" s="238">
        <v>78055.149999999994</v>
      </c>
      <c r="I23" s="238">
        <v>12622</v>
      </c>
      <c r="J23" s="238">
        <v>13375</v>
      </c>
      <c r="K23" s="238">
        <v>15385.030000000002</v>
      </c>
      <c r="L23" s="242">
        <v>0</v>
      </c>
      <c r="M23" s="238">
        <v>27681.52</v>
      </c>
      <c r="N23" s="238">
        <v>8991.6</v>
      </c>
      <c r="O23" s="238">
        <v>7922.1</v>
      </c>
      <c r="P23" s="238">
        <v>21231.98</v>
      </c>
      <c r="Q23" s="238">
        <v>991.88</v>
      </c>
      <c r="R23" s="238">
        <v>6136.0999999999995</v>
      </c>
      <c r="S23" s="238">
        <v>4241</v>
      </c>
      <c r="T23" s="238">
        <v>9863</v>
      </c>
      <c r="U23" s="238">
        <v>47978.75</v>
      </c>
      <c r="V23" s="238">
        <v>21798.450000000004</v>
      </c>
      <c r="W23" s="238">
        <v>576.84</v>
      </c>
      <c r="X23" s="238">
        <v>25603.46</v>
      </c>
    </row>
    <row r="24" spans="1:24">
      <c r="A24" s="270"/>
      <c r="B24" s="69" t="s">
        <v>82</v>
      </c>
      <c r="C24" s="238">
        <v>493473.22</v>
      </c>
      <c r="D24" s="238">
        <v>0</v>
      </c>
      <c r="E24" s="238">
        <v>65798.69</v>
      </c>
      <c r="F24" s="238">
        <v>394446.63</v>
      </c>
      <c r="G24" s="238">
        <v>4535</v>
      </c>
      <c r="H24" s="238">
        <v>13100.9</v>
      </c>
      <c r="I24" s="238">
        <v>16314.3</v>
      </c>
      <c r="J24" s="238">
        <v>2545.8000000000002</v>
      </c>
      <c r="K24" s="238">
        <v>0</v>
      </c>
      <c r="L24" s="242">
        <v>0</v>
      </c>
      <c r="M24" s="238">
        <v>-8591.7000000000007</v>
      </c>
      <c r="N24" s="238">
        <v>2832.5</v>
      </c>
      <c r="O24" s="238">
        <v>4788</v>
      </c>
      <c r="P24" s="238">
        <v>8249</v>
      </c>
      <c r="Q24" s="238">
        <v>440</v>
      </c>
      <c r="R24" s="238">
        <v>3150</v>
      </c>
      <c r="S24" s="238">
        <v>1509</v>
      </c>
      <c r="T24" s="238">
        <v>3150</v>
      </c>
      <c r="U24" s="238">
        <v>2555</v>
      </c>
      <c r="V24" s="238">
        <v>2460</v>
      </c>
      <c r="W24" s="238">
        <v>0</v>
      </c>
      <c r="X24" s="238">
        <v>95</v>
      </c>
    </row>
    <row r="25" spans="1:24">
      <c r="A25" s="270"/>
      <c r="B25" s="66" t="s">
        <v>83</v>
      </c>
      <c r="C25" s="238">
        <v>2761880.5199999996</v>
      </c>
      <c r="D25" s="238">
        <v>2509816.9900000002</v>
      </c>
      <c r="E25" s="238">
        <v>12000</v>
      </c>
      <c r="F25" s="238">
        <v>237499.53000000003</v>
      </c>
      <c r="G25" s="238">
        <v>0</v>
      </c>
      <c r="H25" s="238">
        <v>0</v>
      </c>
      <c r="I25" s="238">
        <v>0</v>
      </c>
      <c r="J25" s="238">
        <v>0</v>
      </c>
      <c r="K25" s="238">
        <v>0</v>
      </c>
      <c r="L25" s="238">
        <v>0</v>
      </c>
      <c r="M25" s="238">
        <v>0</v>
      </c>
      <c r="N25" s="238">
        <v>0</v>
      </c>
      <c r="O25" s="238">
        <v>60</v>
      </c>
      <c r="P25" s="238">
        <v>2000</v>
      </c>
      <c r="Q25" s="238">
        <v>0</v>
      </c>
      <c r="R25" s="238">
        <v>2000</v>
      </c>
      <c r="S25" s="238">
        <v>0</v>
      </c>
      <c r="T25" s="238">
        <v>0</v>
      </c>
      <c r="U25" s="238">
        <v>504</v>
      </c>
      <c r="V25" s="238">
        <v>0</v>
      </c>
      <c r="W25" s="238">
        <v>0</v>
      </c>
      <c r="X25" s="238">
        <v>504</v>
      </c>
    </row>
    <row r="26" spans="1:24">
      <c r="A26" s="270"/>
      <c r="B26" s="69" t="s">
        <v>84</v>
      </c>
      <c r="C26" s="238">
        <v>808321.58</v>
      </c>
      <c r="D26" s="238">
        <v>808321.58</v>
      </c>
      <c r="E26" s="238">
        <v>0</v>
      </c>
      <c r="F26" s="238">
        <v>0</v>
      </c>
      <c r="G26" s="238">
        <v>0</v>
      </c>
      <c r="H26" s="238">
        <v>0</v>
      </c>
      <c r="I26" s="238">
        <v>0</v>
      </c>
      <c r="J26" s="238">
        <v>0</v>
      </c>
      <c r="K26" s="238">
        <v>0</v>
      </c>
      <c r="L26" s="238">
        <v>0</v>
      </c>
      <c r="M26" s="238">
        <v>0</v>
      </c>
      <c r="N26" s="238">
        <v>0</v>
      </c>
      <c r="O26" s="238">
        <v>0</v>
      </c>
      <c r="P26" s="238">
        <v>0</v>
      </c>
      <c r="Q26" s="238">
        <v>0</v>
      </c>
      <c r="R26" s="238">
        <v>0</v>
      </c>
      <c r="S26" s="238">
        <v>0</v>
      </c>
      <c r="T26" s="238">
        <v>0</v>
      </c>
      <c r="U26" s="238">
        <v>0</v>
      </c>
      <c r="V26" s="238">
        <v>0</v>
      </c>
      <c r="W26" s="238">
        <v>0</v>
      </c>
      <c r="X26" s="238">
        <v>0</v>
      </c>
    </row>
    <row r="27" spans="1:24">
      <c r="A27" s="270"/>
      <c r="B27" s="69" t="s">
        <v>85</v>
      </c>
      <c r="C27" s="238">
        <v>6067869.2599999998</v>
      </c>
      <c r="D27" s="238">
        <v>47169.81</v>
      </c>
      <c r="E27" s="238">
        <v>111329.84000000001</v>
      </c>
      <c r="F27" s="238">
        <v>5909369.6100000003</v>
      </c>
      <c r="G27" s="238">
        <v>0</v>
      </c>
      <c r="H27" s="238">
        <v>0</v>
      </c>
      <c r="I27" s="238">
        <v>0</v>
      </c>
      <c r="J27" s="238">
        <v>0</v>
      </c>
      <c r="K27" s="238">
        <v>0</v>
      </c>
      <c r="L27" s="238">
        <v>0</v>
      </c>
      <c r="M27" s="238">
        <v>0</v>
      </c>
      <c r="N27" s="238">
        <v>0</v>
      </c>
      <c r="O27" s="238">
        <v>0</v>
      </c>
      <c r="P27" s="238">
        <v>0</v>
      </c>
      <c r="Q27" s="238">
        <v>0</v>
      </c>
      <c r="R27" s="238">
        <v>0</v>
      </c>
      <c r="S27" s="238">
        <v>0</v>
      </c>
      <c r="T27" s="238">
        <v>0</v>
      </c>
      <c r="U27" s="238">
        <v>0</v>
      </c>
      <c r="V27" s="238">
        <v>0</v>
      </c>
      <c r="W27" s="238">
        <v>0</v>
      </c>
      <c r="X27" s="238">
        <v>0</v>
      </c>
    </row>
    <row r="28" spans="1:24">
      <c r="A28" s="270"/>
      <c r="B28" s="69" t="s">
        <v>86</v>
      </c>
      <c r="C28" s="238">
        <v>2409582.899999999</v>
      </c>
      <c r="D28" s="238">
        <v>0</v>
      </c>
      <c r="E28" s="238">
        <v>0</v>
      </c>
      <c r="F28" s="238">
        <v>2102617.5199999991</v>
      </c>
      <c r="G28" s="238">
        <v>0</v>
      </c>
      <c r="H28" s="238">
        <v>122164.38</v>
      </c>
      <c r="I28" s="238">
        <v>0</v>
      </c>
      <c r="J28" s="238">
        <v>0</v>
      </c>
      <c r="K28" s="238">
        <v>122164.38</v>
      </c>
      <c r="L28" s="238">
        <v>0</v>
      </c>
      <c r="M28" s="238">
        <v>0</v>
      </c>
      <c r="N28" s="238">
        <v>0</v>
      </c>
      <c r="O28" s="238">
        <v>0</v>
      </c>
      <c r="P28" s="238">
        <v>0</v>
      </c>
      <c r="Q28" s="238">
        <v>0</v>
      </c>
      <c r="R28" s="238">
        <v>0</v>
      </c>
      <c r="S28" s="238">
        <v>0</v>
      </c>
      <c r="T28" s="238">
        <v>0</v>
      </c>
      <c r="U28" s="238">
        <v>184801</v>
      </c>
      <c r="V28" s="238">
        <v>0</v>
      </c>
      <c r="W28" s="238">
        <v>0</v>
      </c>
      <c r="X28" s="238">
        <v>184801</v>
      </c>
    </row>
    <row r="29" spans="1:24">
      <c r="A29" s="270"/>
      <c r="B29" s="69" t="s">
        <v>87</v>
      </c>
      <c r="C29" s="238">
        <v>2124742.1800000002</v>
      </c>
      <c r="D29" s="238">
        <v>0</v>
      </c>
      <c r="E29" s="238">
        <v>229647.24</v>
      </c>
      <c r="F29" s="238">
        <v>661053</v>
      </c>
      <c r="G29" s="238">
        <v>76038</v>
      </c>
      <c r="H29" s="238">
        <v>742075.64</v>
      </c>
      <c r="I29" s="238">
        <v>434286.00000000006</v>
      </c>
      <c r="J29" s="238">
        <v>43127.000000000007</v>
      </c>
      <c r="K29" s="238">
        <v>25822</v>
      </c>
      <c r="L29" s="238">
        <v>0</v>
      </c>
      <c r="M29" s="238">
        <v>23264.999999999996</v>
      </c>
      <c r="N29" s="238">
        <v>215575.64</v>
      </c>
      <c r="O29" s="238">
        <v>22965</v>
      </c>
      <c r="P29" s="238">
        <v>69164</v>
      </c>
      <c r="Q29" s="238">
        <v>0</v>
      </c>
      <c r="R29" s="238">
        <v>24501</v>
      </c>
      <c r="S29" s="238">
        <v>24501</v>
      </c>
      <c r="T29" s="238">
        <v>20162</v>
      </c>
      <c r="U29" s="238">
        <v>323799.29999999993</v>
      </c>
      <c r="V29" s="238">
        <v>15822</v>
      </c>
      <c r="W29" s="238">
        <v>0</v>
      </c>
      <c r="X29" s="238">
        <v>307977.3</v>
      </c>
    </row>
    <row r="30" spans="1:24">
      <c r="A30" s="270"/>
      <c r="B30" s="69" t="s">
        <v>88</v>
      </c>
      <c r="C30" s="238">
        <v>885359.02</v>
      </c>
      <c r="D30" s="238">
        <v>0</v>
      </c>
      <c r="E30" s="238">
        <v>122588.33000000002</v>
      </c>
      <c r="F30" s="238">
        <v>698581.91</v>
      </c>
      <c r="G30" s="238">
        <v>6816.67</v>
      </c>
      <c r="H30" s="238">
        <v>35624.709999999992</v>
      </c>
      <c r="I30" s="238">
        <v>6816.67</v>
      </c>
      <c r="J30" s="238">
        <v>6816.67</v>
      </c>
      <c r="K30" s="238">
        <v>6816.67</v>
      </c>
      <c r="L30" s="238">
        <v>0</v>
      </c>
      <c r="M30" s="238">
        <v>6816.65</v>
      </c>
      <c r="N30" s="238">
        <v>8358.0499999999993</v>
      </c>
      <c r="O30" s="238">
        <v>0</v>
      </c>
      <c r="P30" s="238">
        <v>0</v>
      </c>
      <c r="Q30" s="238">
        <v>0</v>
      </c>
      <c r="R30" s="238">
        <v>0</v>
      </c>
      <c r="S30" s="238">
        <v>0</v>
      </c>
      <c r="T30" s="238">
        <v>0</v>
      </c>
      <c r="U30" s="238">
        <v>21747.400000000005</v>
      </c>
      <c r="V30" s="238">
        <v>10873.700000000003</v>
      </c>
      <c r="W30" s="238">
        <v>0</v>
      </c>
      <c r="X30" s="238">
        <v>10873.700000000003</v>
      </c>
    </row>
    <row r="31" spans="1:24">
      <c r="A31" s="270"/>
      <c r="B31" s="69" t="s">
        <v>89</v>
      </c>
      <c r="C31" s="238">
        <v>1267458.32</v>
      </c>
      <c r="D31" s="238">
        <v>0</v>
      </c>
      <c r="E31" s="238">
        <v>472012.7</v>
      </c>
      <c r="F31" s="238">
        <v>795445.62</v>
      </c>
      <c r="G31" s="238">
        <v>0</v>
      </c>
      <c r="H31" s="238">
        <v>0</v>
      </c>
      <c r="I31" s="238">
        <v>0</v>
      </c>
      <c r="J31" s="238">
        <v>0</v>
      </c>
      <c r="K31" s="238">
        <v>0</v>
      </c>
      <c r="L31" s="238">
        <v>0</v>
      </c>
      <c r="M31" s="238">
        <v>0</v>
      </c>
      <c r="N31" s="238">
        <v>0</v>
      </c>
      <c r="O31" s="238">
        <v>0</v>
      </c>
      <c r="P31" s="238">
        <v>0</v>
      </c>
      <c r="Q31" s="238">
        <v>0</v>
      </c>
      <c r="R31" s="238">
        <v>0</v>
      </c>
      <c r="S31" s="238">
        <v>0</v>
      </c>
      <c r="T31" s="238">
        <v>0</v>
      </c>
      <c r="U31" s="238">
        <v>0</v>
      </c>
      <c r="V31" s="238">
        <v>0</v>
      </c>
      <c r="W31" s="238">
        <v>0</v>
      </c>
      <c r="X31" s="238">
        <v>0</v>
      </c>
    </row>
    <row r="32" spans="1:24">
      <c r="A32" s="270"/>
      <c r="B32" s="69" t="s">
        <v>90</v>
      </c>
      <c r="C32" s="238">
        <v>492051.67000000004</v>
      </c>
      <c r="D32" s="238">
        <v>0</v>
      </c>
      <c r="E32" s="238">
        <v>80153.640000000014</v>
      </c>
      <c r="F32" s="238">
        <v>294682</v>
      </c>
      <c r="G32" s="238">
        <v>2737.3999999999996</v>
      </c>
      <c r="H32" s="238">
        <v>5658.1</v>
      </c>
      <c r="I32" s="238">
        <v>2943</v>
      </c>
      <c r="J32" s="238">
        <v>66</v>
      </c>
      <c r="K32" s="238">
        <v>1213</v>
      </c>
      <c r="L32" s="238">
        <v>0</v>
      </c>
      <c r="M32" s="238">
        <v>-401.9</v>
      </c>
      <c r="N32" s="238">
        <v>1838</v>
      </c>
      <c r="O32" s="238">
        <v>24720.5</v>
      </c>
      <c r="P32" s="238">
        <v>83482.940000000017</v>
      </c>
      <c r="Q32" s="238">
        <v>2960.8</v>
      </c>
      <c r="R32" s="238">
        <v>53564.44000000001</v>
      </c>
      <c r="S32" s="238">
        <v>26000.7</v>
      </c>
      <c r="T32" s="238">
        <v>956.99999999999989</v>
      </c>
      <c r="U32" s="238">
        <v>617.09</v>
      </c>
      <c r="V32" s="238">
        <v>0</v>
      </c>
      <c r="W32" s="238">
        <v>200</v>
      </c>
      <c r="X32" s="238">
        <v>417.09</v>
      </c>
    </row>
    <row r="33" spans="1:24">
      <c r="A33" s="270"/>
      <c r="B33" s="69" t="s">
        <v>91</v>
      </c>
      <c r="C33" s="238">
        <v>1040417.7800000003</v>
      </c>
      <c r="D33" s="238">
        <v>0</v>
      </c>
      <c r="E33" s="238">
        <v>369936.28</v>
      </c>
      <c r="F33" s="238">
        <v>488643.66000000021</v>
      </c>
      <c r="G33" s="238">
        <v>0</v>
      </c>
      <c r="H33" s="238">
        <v>79505.179999999993</v>
      </c>
      <c r="I33" s="238">
        <v>4798.3999999999996</v>
      </c>
      <c r="J33" s="238">
        <v>0</v>
      </c>
      <c r="K33" s="238">
        <v>1034</v>
      </c>
      <c r="L33" s="238">
        <v>0</v>
      </c>
      <c r="M33" s="238">
        <v>73672.78</v>
      </c>
      <c r="N33" s="238">
        <v>0</v>
      </c>
      <c r="O33" s="238">
        <v>0</v>
      </c>
      <c r="P33" s="238">
        <v>29083</v>
      </c>
      <c r="Q33" s="238">
        <v>0</v>
      </c>
      <c r="R33" s="238">
        <v>0</v>
      </c>
      <c r="S33" s="238">
        <v>661.00000000000011</v>
      </c>
      <c r="T33" s="238">
        <v>28422</v>
      </c>
      <c r="U33" s="238">
        <v>73249.66</v>
      </c>
      <c r="V33" s="238">
        <v>49249.66</v>
      </c>
      <c r="W33" s="238">
        <v>0</v>
      </c>
      <c r="X33" s="238">
        <v>24000</v>
      </c>
    </row>
    <row r="34" spans="1:24">
      <c r="A34" s="270"/>
      <c r="B34" s="69" t="s">
        <v>92</v>
      </c>
      <c r="C34" s="238">
        <v>67632.81</v>
      </c>
      <c r="D34" s="238">
        <v>0</v>
      </c>
      <c r="E34" s="238">
        <v>67632.81</v>
      </c>
      <c r="F34" s="238">
        <v>0</v>
      </c>
      <c r="G34" s="238">
        <v>0</v>
      </c>
      <c r="H34" s="238">
        <v>0</v>
      </c>
      <c r="I34" s="238">
        <v>0</v>
      </c>
      <c r="J34" s="238">
        <v>0</v>
      </c>
      <c r="K34" s="238">
        <v>0</v>
      </c>
      <c r="L34" s="238">
        <v>0</v>
      </c>
      <c r="M34" s="238">
        <v>0</v>
      </c>
      <c r="N34" s="238">
        <v>0</v>
      </c>
      <c r="O34" s="238">
        <v>0</v>
      </c>
      <c r="P34" s="238">
        <v>0</v>
      </c>
      <c r="Q34" s="238">
        <v>0</v>
      </c>
      <c r="R34" s="238">
        <v>0</v>
      </c>
      <c r="S34" s="238">
        <v>0</v>
      </c>
      <c r="T34" s="238">
        <v>0</v>
      </c>
      <c r="U34" s="238">
        <v>0</v>
      </c>
      <c r="V34" s="238">
        <v>0</v>
      </c>
      <c r="W34" s="238">
        <v>0</v>
      </c>
      <c r="X34" s="238">
        <v>0</v>
      </c>
    </row>
    <row r="35" spans="1:24">
      <c r="A35" s="270"/>
      <c r="B35" s="69" t="s">
        <v>93</v>
      </c>
      <c r="C35" s="238">
        <v>288302.90000000002</v>
      </c>
      <c r="D35" s="238">
        <v>0</v>
      </c>
      <c r="E35" s="238">
        <v>106318</v>
      </c>
      <c r="F35" s="238">
        <v>144174.9</v>
      </c>
      <c r="G35" s="238">
        <v>0</v>
      </c>
      <c r="H35" s="238">
        <v>-522</v>
      </c>
      <c r="I35" s="238">
        <v>0</v>
      </c>
      <c r="J35" s="238">
        <v>0</v>
      </c>
      <c r="K35" s="238">
        <v>0</v>
      </c>
      <c r="L35" s="238">
        <v>0</v>
      </c>
      <c r="M35" s="238">
        <v>-522</v>
      </c>
      <c r="N35" s="238">
        <v>0</v>
      </c>
      <c r="O35" s="238">
        <v>0</v>
      </c>
      <c r="P35" s="238">
        <v>38332</v>
      </c>
      <c r="Q35" s="238">
        <v>0</v>
      </c>
      <c r="R35" s="238">
        <v>1241</v>
      </c>
      <c r="S35" s="238">
        <v>1241</v>
      </c>
      <c r="T35" s="238">
        <v>35850</v>
      </c>
      <c r="U35" s="238">
        <v>0</v>
      </c>
      <c r="V35" s="238">
        <v>0</v>
      </c>
      <c r="W35" s="238">
        <v>0</v>
      </c>
      <c r="X35" s="238">
        <v>0</v>
      </c>
    </row>
    <row r="36" spans="1:24">
      <c r="A36" s="270"/>
      <c r="B36" s="69" t="s">
        <v>94</v>
      </c>
      <c r="C36" s="238">
        <v>110368.15000000002</v>
      </c>
      <c r="D36" s="238">
        <v>0</v>
      </c>
      <c r="E36" s="238">
        <v>26918.079999999998</v>
      </c>
      <c r="F36" s="238">
        <v>69455.010000000009</v>
      </c>
      <c r="G36" s="238">
        <v>3780</v>
      </c>
      <c r="H36" s="238">
        <v>6487.66</v>
      </c>
      <c r="I36" s="238">
        <v>440</v>
      </c>
      <c r="J36" s="238">
        <v>1487.9999999999998</v>
      </c>
      <c r="K36" s="238">
        <v>440</v>
      </c>
      <c r="L36" s="238">
        <v>0</v>
      </c>
      <c r="M36" s="238">
        <v>2651</v>
      </c>
      <c r="N36" s="238">
        <v>1468.6599999999999</v>
      </c>
      <c r="O36" s="238">
        <v>959.30000000000007</v>
      </c>
      <c r="P36" s="238">
        <v>2148</v>
      </c>
      <c r="Q36" s="238">
        <v>0</v>
      </c>
      <c r="R36" s="238">
        <v>540</v>
      </c>
      <c r="S36" s="238">
        <v>1608</v>
      </c>
      <c r="T36" s="238">
        <v>0</v>
      </c>
      <c r="U36" s="238">
        <v>620.09999999999991</v>
      </c>
      <c r="V36" s="238">
        <v>357.20000000000005</v>
      </c>
      <c r="W36" s="238">
        <v>0</v>
      </c>
      <c r="X36" s="238">
        <v>262.89999999999998</v>
      </c>
    </row>
    <row r="37" spans="1:24">
      <c r="A37" s="270"/>
      <c r="B37" s="69" t="s">
        <v>95</v>
      </c>
      <c r="C37" s="238">
        <v>367721.86000000004</v>
      </c>
      <c r="D37" s="238">
        <v>0</v>
      </c>
      <c r="E37" s="238">
        <v>28067.230000000003</v>
      </c>
      <c r="F37" s="238">
        <v>164031.65000000002</v>
      </c>
      <c r="G37" s="238">
        <v>206</v>
      </c>
      <c r="H37" s="238">
        <v>28594.999999999996</v>
      </c>
      <c r="I37" s="238">
        <v>5071.41</v>
      </c>
      <c r="J37" s="238">
        <v>2332.5300000000002</v>
      </c>
      <c r="K37" s="238">
        <v>13542.95</v>
      </c>
      <c r="L37" s="238">
        <v>0</v>
      </c>
      <c r="M37" s="238">
        <v>2460.8000000000002</v>
      </c>
      <c r="N37" s="238">
        <v>5187.3100000000004</v>
      </c>
      <c r="O37" s="238">
        <v>61238.5</v>
      </c>
      <c r="P37" s="238">
        <v>79254.2</v>
      </c>
      <c r="Q37" s="238">
        <v>14887.6</v>
      </c>
      <c r="R37" s="238">
        <v>32782.18</v>
      </c>
      <c r="S37" s="238">
        <v>18235.169999999998</v>
      </c>
      <c r="T37" s="238">
        <v>13349.25</v>
      </c>
      <c r="U37" s="238">
        <v>6329.28</v>
      </c>
      <c r="V37" s="238">
        <v>2176.54</v>
      </c>
      <c r="W37" s="238">
        <v>947.59000000000015</v>
      </c>
      <c r="X37" s="238">
        <v>3205.15</v>
      </c>
    </row>
    <row r="38" spans="1:24">
      <c r="A38" s="270"/>
      <c r="B38" s="69" t="s">
        <v>96</v>
      </c>
      <c r="C38" s="238">
        <v>1426347</v>
      </c>
      <c r="D38" s="238">
        <v>624000</v>
      </c>
      <c r="E38" s="238">
        <v>623217</v>
      </c>
      <c r="F38" s="238">
        <v>174130</v>
      </c>
      <c r="G38" s="238">
        <v>0</v>
      </c>
      <c r="H38" s="238">
        <v>0</v>
      </c>
      <c r="I38" s="238">
        <v>0</v>
      </c>
      <c r="J38" s="238">
        <v>0</v>
      </c>
      <c r="K38" s="238">
        <v>0</v>
      </c>
      <c r="L38" s="238">
        <v>0</v>
      </c>
      <c r="M38" s="238">
        <v>0</v>
      </c>
      <c r="N38" s="238">
        <v>0</v>
      </c>
      <c r="O38" s="238">
        <v>0</v>
      </c>
      <c r="P38" s="238">
        <v>0</v>
      </c>
      <c r="Q38" s="238">
        <v>0</v>
      </c>
      <c r="R38" s="238">
        <v>0</v>
      </c>
      <c r="S38" s="238">
        <v>0</v>
      </c>
      <c r="T38" s="238">
        <v>0</v>
      </c>
      <c r="U38" s="238">
        <v>5000</v>
      </c>
      <c r="V38" s="238">
        <v>5000</v>
      </c>
      <c r="W38" s="238">
        <v>0</v>
      </c>
      <c r="X38" s="238">
        <v>0</v>
      </c>
    </row>
    <row r="39" spans="1:24">
      <c r="A39" s="270"/>
      <c r="B39" s="69" t="s">
        <v>97</v>
      </c>
      <c r="C39" s="238">
        <v>454370.73</v>
      </c>
      <c r="D39" s="238">
        <v>218813.5</v>
      </c>
      <c r="E39" s="238">
        <v>0</v>
      </c>
      <c r="F39" s="238">
        <v>235542.22999999998</v>
      </c>
      <c r="G39" s="238">
        <v>0</v>
      </c>
      <c r="H39" s="238">
        <v>0</v>
      </c>
      <c r="I39" s="238">
        <v>0</v>
      </c>
      <c r="J39" s="238">
        <v>0</v>
      </c>
      <c r="K39" s="238">
        <v>0</v>
      </c>
      <c r="L39" s="238">
        <v>0</v>
      </c>
      <c r="M39" s="238">
        <v>0</v>
      </c>
      <c r="N39" s="238">
        <v>0</v>
      </c>
      <c r="O39" s="238">
        <v>0</v>
      </c>
      <c r="P39" s="238">
        <v>0</v>
      </c>
      <c r="Q39" s="238">
        <v>0</v>
      </c>
      <c r="R39" s="238">
        <v>0</v>
      </c>
      <c r="S39" s="238">
        <v>0</v>
      </c>
      <c r="T39" s="238">
        <v>0</v>
      </c>
      <c r="U39" s="238">
        <v>15</v>
      </c>
      <c r="V39" s="238">
        <v>15</v>
      </c>
      <c r="W39" s="238">
        <v>0</v>
      </c>
      <c r="X39" s="238">
        <v>0</v>
      </c>
    </row>
    <row r="40" spans="1:24">
      <c r="A40" s="270"/>
      <c r="B40" s="69" t="s">
        <v>98</v>
      </c>
      <c r="C40" s="238">
        <v>204301.88</v>
      </c>
      <c r="D40" s="238">
        <v>0</v>
      </c>
      <c r="E40" s="238">
        <v>156000</v>
      </c>
      <c r="F40" s="238">
        <v>0</v>
      </c>
      <c r="G40" s="238">
        <v>0</v>
      </c>
      <c r="H40" s="238">
        <v>0</v>
      </c>
      <c r="I40" s="238">
        <v>0</v>
      </c>
      <c r="J40" s="238">
        <v>0</v>
      </c>
      <c r="K40" s="238">
        <v>0</v>
      </c>
      <c r="L40" s="238">
        <v>0</v>
      </c>
      <c r="M40" s="238">
        <v>0</v>
      </c>
      <c r="N40" s="238">
        <v>0</v>
      </c>
      <c r="O40" s="238">
        <v>0</v>
      </c>
      <c r="P40" s="238">
        <v>48301.88</v>
      </c>
      <c r="Q40" s="238">
        <v>0</v>
      </c>
      <c r="R40" s="238">
        <v>29433.96</v>
      </c>
      <c r="S40" s="238">
        <v>18867.919999999998</v>
      </c>
      <c r="T40" s="238">
        <v>0</v>
      </c>
      <c r="U40" s="238">
        <v>0</v>
      </c>
      <c r="V40" s="238">
        <v>0</v>
      </c>
      <c r="W40" s="238">
        <v>0</v>
      </c>
      <c r="X40" s="238">
        <v>0</v>
      </c>
    </row>
    <row r="41" spans="1:24">
      <c r="A41" s="270"/>
      <c r="B41" s="69" t="s">
        <v>99</v>
      </c>
      <c r="C41" s="238">
        <v>0</v>
      </c>
      <c r="D41" s="238">
        <v>0</v>
      </c>
      <c r="E41" s="238">
        <v>0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8">
        <v>0</v>
      </c>
      <c r="N41" s="238">
        <v>0</v>
      </c>
      <c r="O41" s="238">
        <v>0</v>
      </c>
      <c r="P41" s="238">
        <v>0</v>
      </c>
      <c r="Q41" s="238">
        <v>0</v>
      </c>
      <c r="R41" s="238">
        <v>0</v>
      </c>
      <c r="S41" s="238">
        <v>0</v>
      </c>
      <c r="T41" s="238">
        <v>0</v>
      </c>
      <c r="U41" s="238">
        <v>0</v>
      </c>
      <c r="V41" s="238">
        <v>0</v>
      </c>
      <c r="W41" s="238">
        <v>0</v>
      </c>
      <c r="X41" s="238">
        <v>0</v>
      </c>
    </row>
    <row r="42" spans="1:24">
      <c r="A42" s="270"/>
      <c r="B42" s="69" t="s">
        <v>100</v>
      </c>
      <c r="C42" s="238">
        <v>31306.720000000001</v>
      </c>
      <c r="D42" s="238">
        <v>0</v>
      </c>
      <c r="E42" s="238">
        <v>23298</v>
      </c>
      <c r="F42" s="238">
        <v>-480</v>
      </c>
      <c r="G42" s="238">
        <v>8488.7199999999993</v>
      </c>
      <c r="H42" s="238">
        <v>0</v>
      </c>
      <c r="I42" s="238">
        <v>0</v>
      </c>
      <c r="J42" s="238">
        <v>0</v>
      </c>
      <c r="K42" s="238">
        <v>0</v>
      </c>
      <c r="L42" s="243">
        <v>0</v>
      </c>
      <c r="M42" s="238">
        <v>0</v>
      </c>
      <c r="N42" s="238">
        <v>0</v>
      </c>
      <c r="O42" s="238">
        <v>0</v>
      </c>
      <c r="P42" s="238">
        <v>0</v>
      </c>
      <c r="Q42" s="238">
        <v>0</v>
      </c>
      <c r="R42" s="238">
        <v>0</v>
      </c>
      <c r="S42" s="238">
        <v>0</v>
      </c>
      <c r="T42" s="238">
        <v>0</v>
      </c>
      <c r="U42" s="238">
        <v>0</v>
      </c>
      <c r="V42" s="238">
        <v>0</v>
      </c>
      <c r="W42" s="238">
        <v>0</v>
      </c>
      <c r="X42" s="238">
        <v>0</v>
      </c>
    </row>
    <row r="43" spans="1:24">
      <c r="A43" s="270"/>
      <c r="B43" s="69" t="s">
        <v>70</v>
      </c>
      <c r="C43" s="244">
        <v>47031243.059999987</v>
      </c>
      <c r="D43" s="244">
        <v>4692941.88</v>
      </c>
      <c r="E43" s="244">
        <v>5808126.6099999994</v>
      </c>
      <c r="F43" s="244">
        <v>22753431.369999997</v>
      </c>
      <c r="G43" s="244">
        <v>1003851.9000000001</v>
      </c>
      <c r="H43" s="244">
        <v>2745242.12</v>
      </c>
      <c r="I43" s="244">
        <v>935541.67</v>
      </c>
      <c r="J43" s="244">
        <v>483518.0799999999</v>
      </c>
      <c r="K43" s="244">
        <v>441238.83999999991</v>
      </c>
      <c r="L43" s="244">
        <v>0</v>
      </c>
      <c r="M43" s="244">
        <v>317774.70999999996</v>
      </c>
      <c r="N43" s="244">
        <v>567168.82000000018</v>
      </c>
      <c r="O43" s="244">
        <v>914229.12</v>
      </c>
      <c r="P43" s="244">
        <v>7576573.4200000009</v>
      </c>
      <c r="Q43" s="244">
        <v>399795.52999999997</v>
      </c>
      <c r="R43" s="244">
        <v>5240362.4400000004</v>
      </c>
      <c r="S43" s="244">
        <v>1656901.1800000004</v>
      </c>
      <c r="T43" s="244">
        <v>279514.27</v>
      </c>
      <c r="U43" s="244">
        <v>1536846.64</v>
      </c>
      <c r="V43" s="244">
        <v>440898.63000000006</v>
      </c>
      <c r="W43" s="244">
        <v>55560.71</v>
      </c>
      <c r="X43" s="244">
        <v>1040387.3000000002</v>
      </c>
    </row>
    <row r="44" spans="1:24">
      <c r="A44" s="270" t="s">
        <v>101</v>
      </c>
      <c r="B44" s="69" t="s">
        <v>102</v>
      </c>
      <c r="C44" s="238">
        <v>2727210.2600000012</v>
      </c>
      <c r="D44" s="238">
        <v>0</v>
      </c>
      <c r="E44" s="238">
        <v>2400</v>
      </c>
      <c r="F44" s="238">
        <v>2487983.9600000004</v>
      </c>
      <c r="G44" s="238">
        <v>0</v>
      </c>
      <c r="H44" s="238">
        <v>132636</v>
      </c>
      <c r="I44" s="238">
        <v>8000</v>
      </c>
      <c r="J44" s="238">
        <v>25000</v>
      </c>
      <c r="K44" s="238">
        <v>41636</v>
      </c>
      <c r="L44" s="238">
        <v>0</v>
      </c>
      <c r="M44" s="238">
        <v>0</v>
      </c>
      <c r="N44" s="238">
        <v>58000</v>
      </c>
      <c r="O44" s="238">
        <v>0</v>
      </c>
      <c r="P44" s="238">
        <v>0</v>
      </c>
      <c r="Q44" s="238">
        <v>0</v>
      </c>
      <c r="R44" s="238">
        <v>0</v>
      </c>
      <c r="S44" s="238">
        <v>0</v>
      </c>
      <c r="T44" s="238">
        <v>0</v>
      </c>
      <c r="U44" s="238">
        <v>104190.30000000002</v>
      </c>
      <c r="V44" s="238">
        <v>0</v>
      </c>
      <c r="W44" s="238">
        <v>0</v>
      </c>
      <c r="X44" s="238">
        <v>104190.30000000002</v>
      </c>
    </row>
    <row r="45" spans="1:24">
      <c r="A45" s="270"/>
      <c r="B45" s="69" t="s">
        <v>103</v>
      </c>
      <c r="C45" s="238">
        <v>1057279.01</v>
      </c>
      <c r="D45" s="238">
        <v>0</v>
      </c>
      <c r="E45" s="238">
        <v>529236.98</v>
      </c>
      <c r="F45" s="238">
        <v>217223.92000000004</v>
      </c>
      <c r="G45" s="238">
        <v>0</v>
      </c>
      <c r="H45" s="238">
        <v>302704.13999999996</v>
      </c>
      <c r="I45" s="238">
        <v>76360</v>
      </c>
      <c r="J45" s="238">
        <v>2303.4</v>
      </c>
      <c r="K45" s="238">
        <v>112020.37</v>
      </c>
      <c r="L45" s="238">
        <v>0</v>
      </c>
      <c r="M45" s="238">
        <v>0</v>
      </c>
      <c r="N45" s="238">
        <v>112020.37</v>
      </c>
      <c r="O45" s="238">
        <v>1933.97</v>
      </c>
      <c r="P45" s="238">
        <v>1600</v>
      </c>
      <c r="Q45" s="238">
        <v>0</v>
      </c>
      <c r="R45" s="238">
        <v>1600</v>
      </c>
      <c r="S45" s="238">
        <v>0</v>
      </c>
      <c r="T45" s="238">
        <v>0</v>
      </c>
      <c r="U45" s="238">
        <v>4580</v>
      </c>
      <c r="V45" s="238">
        <v>2580</v>
      </c>
      <c r="W45" s="238">
        <v>0</v>
      </c>
      <c r="X45" s="238">
        <v>2000</v>
      </c>
    </row>
    <row r="46" spans="1:24">
      <c r="A46" s="270"/>
      <c r="B46" s="69" t="s">
        <v>104</v>
      </c>
      <c r="C46" s="238">
        <v>16382724.790000003</v>
      </c>
      <c r="D46" s="238">
        <v>0</v>
      </c>
      <c r="E46" s="238">
        <v>2775213.81</v>
      </c>
      <c r="F46" s="238">
        <v>11210846.140000001</v>
      </c>
      <c r="G46" s="238">
        <v>110294.5</v>
      </c>
      <c r="H46" s="238">
        <v>1387243.39</v>
      </c>
      <c r="I46" s="238">
        <v>115094.5</v>
      </c>
      <c r="J46" s="238">
        <v>115089.5</v>
      </c>
      <c r="K46" s="238">
        <v>110294.5</v>
      </c>
      <c r="L46" s="238">
        <v>0</v>
      </c>
      <c r="M46" s="238">
        <v>938011.7699999999</v>
      </c>
      <c r="N46" s="238">
        <v>108753.12</v>
      </c>
      <c r="O46" s="238">
        <v>0</v>
      </c>
      <c r="P46" s="238">
        <v>353587.89999999997</v>
      </c>
      <c r="Q46" s="238">
        <v>43754</v>
      </c>
      <c r="R46" s="238">
        <v>108086.64</v>
      </c>
      <c r="S46" s="238">
        <v>100324.14</v>
      </c>
      <c r="T46" s="238">
        <v>101423.11999999998</v>
      </c>
      <c r="U46" s="238">
        <v>545539.05000000005</v>
      </c>
      <c r="V46" s="238">
        <v>271966.71999999997</v>
      </c>
      <c r="W46" s="238">
        <v>0</v>
      </c>
      <c r="X46" s="238">
        <v>273572.33</v>
      </c>
    </row>
    <row r="47" spans="1:24">
      <c r="A47" s="270"/>
      <c r="B47" s="69" t="s">
        <v>105</v>
      </c>
      <c r="C47" s="238">
        <v>7640927.2199999997</v>
      </c>
      <c r="D47" s="238">
        <v>5951184.6299999999</v>
      </c>
      <c r="E47" s="238">
        <v>0</v>
      </c>
      <c r="F47" s="238">
        <v>1262748.6000000001</v>
      </c>
      <c r="G47" s="238">
        <v>0</v>
      </c>
      <c r="H47" s="238">
        <v>324072.84999999992</v>
      </c>
      <c r="I47" s="238">
        <v>0</v>
      </c>
      <c r="J47" s="238">
        <v>0</v>
      </c>
      <c r="K47" s="238">
        <v>0</v>
      </c>
      <c r="L47" s="238">
        <v>0</v>
      </c>
      <c r="M47" s="238">
        <v>324072.84999999992</v>
      </c>
      <c r="N47" s="238">
        <v>0</v>
      </c>
      <c r="O47" s="238">
        <v>0</v>
      </c>
      <c r="P47" s="238">
        <v>0</v>
      </c>
      <c r="Q47" s="238">
        <v>0</v>
      </c>
      <c r="R47" s="238">
        <v>0</v>
      </c>
      <c r="S47" s="238">
        <v>0</v>
      </c>
      <c r="T47" s="238">
        <v>0</v>
      </c>
      <c r="U47" s="238">
        <v>102921.14000000001</v>
      </c>
      <c r="V47" s="238">
        <v>57402.3</v>
      </c>
      <c r="W47" s="238">
        <v>2859.48</v>
      </c>
      <c r="X47" s="238">
        <v>42659.360000000001</v>
      </c>
    </row>
    <row r="48" spans="1:24">
      <c r="A48" s="270"/>
      <c r="B48" s="69" t="s">
        <v>106</v>
      </c>
      <c r="C48" s="238">
        <v>2759245.6200000006</v>
      </c>
      <c r="D48" s="238">
        <v>2473018.94</v>
      </c>
      <c r="E48" s="238">
        <v>0</v>
      </c>
      <c r="F48" s="238">
        <v>16666.690000000002</v>
      </c>
      <c r="G48" s="238">
        <v>0</v>
      </c>
      <c r="H48" s="238">
        <v>0</v>
      </c>
      <c r="I48" s="238">
        <v>0</v>
      </c>
      <c r="J48" s="238">
        <v>0</v>
      </c>
      <c r="K48" s="238">
        <v>0</v>
      </c>
      <c r="L48" s="238">
        <v>0</v>
      </c>
      <c r="M48" s="238">
        <v>0</v>
      </c>
      <c r="N48" s="238">
        <v>0</v>
      </c>
      <c r="O48" s="238">
        <v>0</v>
      </c>
      <c r="P48" s="238">
        <v>0</v>
      </c>
      <c r="Q48" s="238">
        <v>0</v>
      </c>
      <c r="R48" s="238">
        <v>0</v>
      </c>
      <c r="S48" s="238">
        <v>0</v>
      </c>
      <c r="T48" s="238">
        <v>0</v>
      </c>
      <c r="U48" s="238">
        <v>269559.99</v>
      </c>
      <c r="V48" s="238">
        <v>0</v>
      </c>
      <c r="W48" s="238">
        <v>0</v>
      </c>
      <c r="X48" s="238">
        <v>269559.99</v>
      </c>
    </row>
    <row r="49" spans="1:26">
      <c r="A49" s="270"/>
      <c r="B49" s="69" t="s">
        <v>107</v>
      </c>
      <c r="C49" s="238">
        <v>3144973.4699999993</v>
      </c>
      <c r="D49" s="238">
        <v>992638.08</v>
      </c>
      <c r="E49" s="238">
        <v>36191.339999999997</v>
      </c>
      <c r="F49" s="238">
        <v>1680071.6800000002</v>
      </c>
      <c r="G49" s="238">
        <v>26118.810000000005</v>
      </c>
      <c r="H49" s="238">
        <v>108965.95000000001</v>
      </c>
      <c r="I49" s="238">
        <v>23906.73</v>
      </c>
      <c r="J49" s="238">
        <v>21742.71</v>
      </c>
      <c r="K49" s="238">
        <v>21230.79</v>
      </c>
      <c r="L49" s="238">
        <v>0</v>
      </c>
      <c r="M49" s="238">
        <v>20743.03</v>
      </c>
      <c r="N49" s="238">
        <v>21342.69</v>
      </c>
      <c r="O49" s="238">
        <v>0</v>
      </c>
      <c r="P49" s="238">
        <v>206233.19999999998</v>
      </c>
      <c r="Q49" s="238">
        <v>38450.04</v>
      </c>
      <c r="R49" s="238">
        <v>55613.42</v>
      </c>
      <c r="S49" s="238">
        <v>57496.4</v>
      </c>
      <c r="T49" s="238">
        <v>54673.339999999989</v>
      </c>
      <c r="U49" s="238">
        <v>94754.41</v>
      </c>
      <c r="V49" s="238">
        <v>50154.79</v>
      </c>
      <c r="W49" s="238">
        <v>0</v>
      </c>
      <c r="X49" s="238">
        <v>44599.62</v>
      </c>
    </row>
    <row r="50" spans="1:26">
      <c r="A50" s="270"/>
      <c r="B50" s="69" t="s">
        <v>108</v>
      </c>
      <c r="C50" s="238">
        <v>0</v>
      </c>
      <c r="D50" s="238">
        <v>0</v>
      </c>
      <c r="E50" s="238">
        <v>0</v>
      </c>
      <c r="F50" s="238">
        <v>0</v>
      </c>
      <c r="G50" s="238">
        <v>0</v>
      </c>
      <c r="H50" s="238">
        <v>0</v>
      </c>
      <c r="I50" s="238">
        <v>0</v>
      </c>
      <c r="J50" s="238">
        <v>0</v>
      </c>
      <c r="K50" s="238">
        <v>0</v>
      </c>
      <c r="L50" s="238">
        <v>0</v>
      </c>
      <c r="M50" s="238">
        <v>0</v>
      </c>
      <c r="N50" s="238">
        <v>0</v>
      </c>
      <c r="O50" s="238">
        <v>0</v>
      </c>
      <c r="P50" s="238">
        <v>0</v>
      </c>
      <c r="Q50" s="238">
        <v>0</v>
      </c>
      <c r="R50" s="238">
        <v>0</v>
      </c>
      <c r="S50" s="238">
        <v>0</v>
      </c>
      <c r="T50" s="238">
        <v>0</v>
      </c>
      <c r="U50" s="238">
        <v>0</v>
      </c>
      <c r="V50" s="238">
        <v>0</v>
      </c>
      <c r="W50" s="238">
        <v>0</v>
      </c>
      <c r="X50" s="238">
        <v>0</v>
      </c>
    </row>
    <row r="51" spans="1:26">
      <c r="A51" s="270"/>
      <c r="B51" s="69" t="s">
        <v>70</v>
      </c>
      <c r="C51" s="245">
        <v>33712360.370000005</v>
      </c>
      <c r="D51" s="245">
        <v>9416841.6500000004</v>
      </c>
      <c r="E51" s="245">
        <v>3343042.13</v>
      </c>
      <c r="F51" s="245">
        <v>16875540.990000002</v>
      </c>
      <c r="G51" s="245">
        <v>136413.31</v>
      </c>
      <c r="H51" s="245">
        <v>2255622.33</v>
      </c>
      <c r="I51" s="245">
        <v>223361.23</v>
      </c>
      <c r="J51" s="245">
        <v>164135.61000000002</v>
      </c>
      <c r="K51" s="245">
        <v>285181.66000000003</v>
      </c>
      <c r="L51" s="245">
        <v>0</v>
      </c>
      <c r="M51" s="245">
        <v>1282827.6499999999</v>
      </c>
      <c r="N51" s="245">
        <v>300116.17999999993</v>
      </c>
      <c r="O51" s="245">
        <v>1933.97</v>
      </c>
      <c r="P51" s="245">
        <v>561421.1</v>
      </c>
      <c r="Q51" s="245">
        <v>82204.040000000008</v>
      </c>
      <c r="R51" s="245">
        <v>165300.06</v>
      </c>
      <c r="S51" s="245">
        <v>157820.53999999998</v>
      </c>
      <c r="T51" s="245">
        <v>156096.46</v>
      </c>
      <c r="U51" s="245">
        <v>1121544.8899999999</v>
      </c>
      <c r="V51" s="245">
        <v>382103.81</v>
      </c>
      <c r="W51" s="245">
        <v>2859.48</v>
      </c>
      <c r="X51" s="245">
        <v>736581.6</v>
      </c>
    </row>
    <row r="52" spans="1:26">
      <c r="A52" s="72"/>
      <c r="B52" s="72" t="s">
        <v>4</v>
      </c>
      <c r="C52" s="246">
        <v>298371395.80000001</v>
      </c>
      <c r="D52" s="246">
        <v>13099420.23</v>
      </c>
      <c r="E52" s="246">
        <v>35134876.350000001</v>
      </c>
      <c r="F52" s="246">
        <v>148711327.40000004</v>
      </c>
      <c r="G52" s="246">
        <v>2980862.34</v>
      </c>
      <c r="H52" s="246">
        <v>14790978.400000004</v>
      </c>
      <c r="I52" s="246">
        <v>4801106.59</v>
      </c>
      <c r="J52" s="246">
        <v>2899934.0400000005</v>
      </c>
      <c r="K52" s="246">
        <v>1904769.62</v>
      </c>
      <c r="L52" s="246">
        <v>0</v>
      </c>
      <c r="M52" s="246">
        <v>2521651.48</v>
      </c>
      <c r="N52" s="246">
        <v>2663516.6700000004</v>
      </c>
      <c r="O52" s="246">
        <v>4394944.9399999995</v>
      </c>
      <c r="P52" s="246">
        <v>72003289.150000006</v>
      </c>
      <c r="Q52" s="246">
        <v>850461.38999999978</v>
      </c>
      <c r="R52" s="246">
        <v>55680036.539999999</v>
      </c>
      <c r="S52" s="246">
        <v>13896856.76</v>
      </c>
      <c r="T52" s="246">
        <v>1575934.46</v>
      </c>
      <c r="U52" s="246">
        <v>7255696.9900000012</v>
      </c>
      <c r="V52" s="246">
        <v>1874190.4</v>
      </c>
      <c r="W52" s="246">
        <v>355249.44</v>
      </c>
      <c r="X52" s="246">
        <v>5026257.1500000004</v>
      </c>
    </row>
    <row r="53" spans="1:26" s="56" customFormat="1" ht="14.25" customHeight="1">
      <c r="A53" s="73"/>
      <c r="B53" s="73"/>
      <c r="Y53" s="73"/>
    </row>
    <row r="54" spans="1:26">
      <c r="B54" s="74" t="s">
        <v>109</v>
      </c>
    </row>
    <row r="55" spans="1:26">
      <c r="A55" s="63" t="s">
        <v>58</v>
      </c>
      <c r="B55" s="64" t="s">
        <v>59</v>
      </c>
      <c r="C55" s="65" t="str">
        <f>累计利润调整表!B3</f>
        <v>合计</v>
      </c>
      <c r="D55" s="65" t="str">
        <f>累计利润调整表!C3</f>
        <v>其他</v>
      </c>
      <c r="E55" s="65" t="str">
        <f>累计利润调整表!D3</f>
        <v>总部中后台</v>
      </c>
      <c r="F55" s="65" t="str">
        <f>累计利润调整表!E3</f>
        <v>经纪业务部</v>
      </c>
      <c r="G55" s="65" t="str">
        <f>累计利润调整表!F3</f>
        <v>资产管理部</v>
      </c>
      <c r="H55" s="65" t="str">
        <f>累计利润调整表!G3</f>
        <v>深分公司合计</v>
      </c>
      <c r="I55" s="76" t="str">
        <f>累计利润调整表!H3</f>
        <v>固定收益部</v>
      </c>
      <c r="J55" s="76" t="str">
        <f>累计利润调整表!I3</f>
        <v>证券投资部</v>
      </c>
      <c r="K55" s="76" t="str">
        <f>累计利润调整表!J3</f>
        <v>金融衍生品投资部</v>
      </c>
      <c r="L55" s="76" t="str">
        <f>累计利润调整表!K3</f>
        <v>风险管理部</v>
      </c>
      <c r="M55" s="76" t="str">
        <f>累计利润调整表!L3</f>
        <v>深圳管理部</v>
      </c>
      <c r="N55" s="76" t="str">
        <f>累计利润调整表!M3</f>
        <v>金融工程部</v>
      </c>
      <c r="O55" s="65" t="str">
        <f>累计利润调整表!N3</f>
        <v>中小企业融资部</v>
      </c>
      <c r="P55" s="65" t="str">
        <f>累计利润调整表!O3</f>
        <v>投资银行合计</v>
      </c>
      <c r="Q55" s="76" t="str">
        <f>累计利润调整表!P3</f>
        <v>财务顾问部</v>
      </c>
      <c r="R55" s="76" t="str">
        <f>累计利润调整表!Q3</f>
        <v>债券融资部</v>
      </c>
      <c r="S55" s="76" t="str">
        <f>累计利润调整表!R3</f>
        <v>股权融资部</v>
      </c>
      <c r="T55" s="76" t="str">
        <f>累计利润调整表!S3</f>
        <v>投资银行总部</v>
      </c>
      <c r="U55" s="65" t="str">
        <f>累计利润调整表!T3</f>
        <v>浙江分公司小计</v>
      </c>
      <c r="V55" s="76" t="str">
        <f>累计利润调整表!U3</f>
        <v>浙分总部</v>
      </c>
      <c r="W55" s="76" t="str">
        <f>累计利润调整表!V3</f>
        <v>综合业务部</v>
      </c>
      <c r="X55" s="76" t="str">
        <f>累计利润调整表!W3</f>
        <v>网络金融部</v>
      </c>
      <c r="Y55" s="65">
        <f>累计利润调整表!X3</f>
        <v>0</v>
      </c>
      <c r="Z55" s="65"/>
    </row>
    <row r="56" spans="1:26">
      <c r="A56" s="264" t="s">
        <v>60</v>
      </c>
      <c r="B56" s="66" t="s">
        <v>61</v>
      </c>
      <c r="C56" s="67">
        <f>SUM(D56:H56)+O56+P56+U56</f>
        <v>0</v>
      </c>
      <c r="D56" s="67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67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67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67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67">
        <f>SUM(I56:N56)</f>
        <v>0</v>
      </c>
      <c r="I56" s="67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67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67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67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67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67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67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77">
        <f>SUM(Q56:T56)</f>
        <v>0</v>
      </c>
      <c r="Q56" s="67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67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67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67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67">
        <f>SUM(V56:Y56)</f>
        <v>0</v>
      </c>
      <c r="V56" s="67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67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67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67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6">
      <c r="A57" s="265"/>
      <c r="B57" s="66" t="s">
        <v>62</v>
      </c>
      <c r="C57" s="67">
        <f t="shared" ref="C57:C64" si="0">SUM(D57:H57)+O57+P57+U57</f>
        <v>0</v>
      </c>
      <c r="D57" s="67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67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67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67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67">
        <f t="shared" ref="H57:H64" si="1">SUM(I57:N57)</f>
        <v>0</v>
      </c>
      <c r="I57" s="67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67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67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67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67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67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67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77">
        <f t="shared" ref="P57:P64" si="2">SUM(Q57:T57)</f>
        <v>0</v>
      </c>
      <c r="Q57" s="67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67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67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67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67">
        <f t="shared" ref="U57:U64" si="3">SUM(V57:Y57)</f>
        <v>0</v>
      </c>
      <c r="V57" s="67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67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67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67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6">
      <c r="A58" s="265"/>
      <c r="B58" s="66" t="s">
        <v>63</v>
      </c>
      <c r="C58" s="67">
        <f t="shared" si="0"/>
        <v>0</v>
      </c>
      <c r="D58" s="67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67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67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67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67">
        <f t="shared" si="1"/>
        <v>0</v>
      </c>
      <c r="I58" s="67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67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67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67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67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67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67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77">
        <f t="shared" si="2"/>
        <v>0</v>
      </c>
      <c r="Q58" s="67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67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67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67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67">
        <f t="shared" si="3"/>
        <v>0</v>
      </c>
      <c r="V58" s="67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67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67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67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6">
      <c r="A59" s="265"/>
      <c r="B59" s="66" t="s">
        <v>64</v>
      </c>
      <c r="C59" s="67">
        <f t="shared" si="0"/>
        <v>0</v>
      </c>
      <c r="D59" s="67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67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67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67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67">
        <f t="shared" si="1"/>
        <v>0</v>
      </c>
      <c r="I59" s="67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67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67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67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67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67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67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77">
        <f t="shared" si="2"/>
        <v>0</v>
      </c>
      <c r="Q59" s="67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67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67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67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67">
        <f t="shared" si="3"/>
        <v>0</v>
      </c>
      <c r="V59" s="67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67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67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67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6">
      <c r="A60" s="265"/>
      <c r="B60" s="66" t="s">
        <v>65</v>
      </c>
      <c r="C60" s="67">
        <f t="shared" si="0"/>
        <v>0</v>
      </c>
      <c r="D60" s="67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67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67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67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67">
        <f t="shared" si="1"/>
        <v>0</v>
      </c>
      <c r="I60" s="67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67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67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67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67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67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67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77">
        <f t="shared" si="2"/>
        <v>0</v>
      </c>
      <c r="Q60" s="67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67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67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67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67">
        <f t="shared" si="3"/>
        <v>0</v>
      </c>
      <c r="V60" s="67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67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67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67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6">
      <c r="A61" s="265"/>
      <c r="B61" s="66" t="s">
        <v>66</v>
      </c>
      <c r="C61" s="67">
        <f t="shared" si="0"/>
        <v>0</v>
      </c>
      <c r="D61" s="67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67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67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67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67">
        <f t="shared" si="1"/>
        <v>0</v>
      </c>
      <c r="I61" s="67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67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67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67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67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67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67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77">
        <f t="shared" si="2"/>
        <v>0</v>
      </c>
      <c r="Q61" s="67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67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67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67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67">
        <f t="shared" si="3"/>
        <v>0</v>
      </c>
      <c r="V61" s="67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67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67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67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6">
      <c r="A62" s="265"/>
      <c r="B62" s="66" t="s">
        <v>67</v>
      </c>
      <c r="C62" s="67">
        <f t="shared" si="0"/>
        <v>0</v>
      </c>
      <c r="D62" s="67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67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67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67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67">
        <f t="shared" si="1"/>
        <v>0</v>
      </c>
      <c r="I62" s="67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67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67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67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67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67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67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77">
        <f t="shared" si="2"/>
        <v>0</v>
      </c>
      <c r="Q62" s="67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67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67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67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67">
        <f t="shared" si="3"/>
        <v>0</v>
      </c>
      <c r="V62" s="67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67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67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67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6">
      <c r="A63" s="265"/>
      <c r="B63" s="66" t="s">
        <v>68</v>
      </c>
      <c r="C63" s="67">
        <f t="shared" si="0"/>
        <v>0</v>
      </c>
      <c r="D63" s="67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67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67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67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67">
        <f t="shared" si="1"/>
        <v>0</v>
      </c>
      <c r="I63" s="67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67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67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67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67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67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67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77">
        <f t="shared" si="2"/>
        <v>0</v>
      </c>
      <c r="Q63" s="67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67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67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67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67">
        <f t="shared" si="3"/>
        <v>0</v>
      </c>
      <c r="V63" s="67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67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67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67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6">
      <c r="A64" s="265"/>
      <c r="B64" s="66" t="s">
        <v>69</v>
      </c>
      <c r="C64" s="67">
        <f t="shared" si="0"/>
        <v>0</v>
      </c>
      <c r="D64" s="67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67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67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67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67">
        <f t="shared" si="1"/>
        <v>0</v>
      </c>
      <c r="I64" s="67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67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67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67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67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67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67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77">
        <f t="shared" si="2"/>
        <v>0</v>
      </c>
      <c r="Q64" s="67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67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67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67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67">
        <f t="shared" si="3"/>
        <v>0</v>
      </c>
      <c r="V64" s="67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67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67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67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66"/>
      <c r="B65" s="66" t="s">
        <v>70</v>
      </c>
      <c r="C65" s="68">
        <f t="shared" ref="C65:Y65" si="4">SUM(C56:C64)</f>
        <v>0</v>
      </c>
      <c r="D65" s="68">
        <f t="shared" si="4"/>
        <v>0</v>
      </c>
      <c r="E65" s="68">
        <f t="shared" si="4"/>
        <v>0</v>
      </c>
      <c r="F65" s="68">
        <f t="shared" si="4"/>
        <v>0</v>
      </c>
      <c r="G65" s="68">
        <f t="shared" si="4"/>
        <v>0</v>
      </c>
      <c r="H65" s="68">
        <f t="shared" si="4"/>
        <v>0</v>
      </c>
      <c r="I65" s="68">
        <f t="shared" si="4"/>
        <v>0</v>
      </c>
      <c r="J65" s="68">
        <f t="shared" si="4"/>
        <v>0</v>
      </c>
      <c r="K65" s="68">
        <f t="shared" si="4"/>
        <v>0</v>
      </c>
      <c r="L65" s="68">
        <f t="shared" si="4"/>
        <v>0</v>
      </c>
      <c r="M65" s="68">
        <f t="shared" si="4"/>
        <v>0</v>
      </c>
      <c r="N65" s="68">
        <f t="shared" si="4"/>
        <v>0</v>
      </c>
      <c r="O65" s="68">
        <f t="shared" si="4"/>
        <v>0</v>
      </c>
      <c r="P65" s="71">
        <f t="shared" si="4"/>
        <v>0</v>
      </c>
      <c r="Q65" s="68">
        <f t="shared" si="4"/>
        <v>0</v>
      </c>
      <c r="R65" s="68">
        <f t="shared" si="4"/>
        <v>0</v>
      </c>
      <c r="S65" s="68">
        <f t="shared" si="4"/>
        <v>0</v>
      </c>
      <c r="T65" s="68">
        <f t="shared" si="4"/>
        <v>0</v>
      </c>
      <c r="U65" s="68">
        <f t="shared" si="4"/>
        <v>0</v>
      </c>
      <c r="V65" s="68">
        <f t="shared" si="4"/>
        <v>0</v>
      </c>
      <c r="W65" s="68">
        <f t="shared" si="4"/>
        <v>0</v>
      </c>
      <c r="X65" s="68">
        <f t="shared" si="4"/>
        <v>0</v>
      </c>
      <c r="Y65" s="68">
        <f t="shared" si="4"/>
        <v>0</v>
      </c>
    </row>
    <row r="66" spans="1:25">
      <c r="A66" s="258" t="s">
        <v>71</v>
      </c>
      <c r="B66" s="69" t="s">
        <v>72</v>
      </c>
      <c r="C66" s="67">
        <f>SUM(D66:H66)+O66+P66+U66</f>
        <v>0</v>
      </c>
      <c r="D66" s="67">
        <f>SUMIFS(考核调整事项表!$C:$C,考核调整事项表!$G:$G,累计考核费用!$B66,考核调整事项表!$D:$D,累计考核费用!D$3)+SUMIFS(考核调整事项表!$E:$E,考核调整事项表!$G:$G,累计考核费用!$B66,考核调整事项表!$F:$F,累计考核费用!D$3)</f>
        <v>0</v>
      </c>
      <c r="E66" s="67">
        <f>SUMIFS(考核调整事项表!$C:$C,考核调整事项表!$G:$G,累计考核费用!$B66,考核调整事项表!$D:$D,累计考核费用!E$3)+SUMIFS(考核调整事项表!$E:$E,考核调整事项表!$G:$G,累计考核费用!$B66,考核调整事项表!$F:$F,累计考核费用!E$3)</f>
        <v>0</v>
      </c>
      <c r="F66" s="67">
        <f>SUMIFS(考核调整事项表!$C:$C,考核调整事项表!$G:$G,累计考核费用!$B66,考核调整事项表!$D:$D,累计考核费用!F$3)+SUMIFS(考核调整事项表!$E:$E,考核调整事项表!$G:$G,累计考核费用!$B66,考核调整事项表!$F:$F,累计考核费用!F$3)</f>
        <v>0</v>
      </c>
      <c r="G66" s="67">
        <f>SUMIFS(考核调整事项表!$C:$C,考核调整事项表!$G:$G,累计考核费用!$B66,考核调整事项表!$D:$D,累计考核费用!G$3)+SUMIFS(考核调整事项表!$E:$E,考核调整事项表!$G:$G,累计考核费用!$B66,考核调整事项表!$F:$F,累计考核费用!G$3)</f>
        <v>0</v>
      </c>
      <c r="H66" s="67">
        <f>SUM(I66:N66)</f>
        <v>0</v>
      </c>
      <c r="I66" s="67">
        <f>SUMIFS(考核调整事项表!$C:$C,考核调整事项表!$G:$G,累计考核费用!$B66,考核调整事项表!$D:$D,累计考核费用!I$3)+SUMIFS(考核调整事项表!$E:$E,考核调整事项表!$G:$G,累计考核费用!$B66,考核调整事项表!$F:$F,累计考核费用!I$3)</f>
        <v>0</v>
      </c>
      <c r="J66" s="67">
        <f>SUMIFS(考核调整事项表!$C:$C,考核调整事项表!$G:$G,累计考核费用!$B66,考核调整事项表!$D:$D,累计考核费用!J$3)+SUMIFS(考核调整事项表!$E:$E,考核调整事项表!$G:$G,累计考核费用!$B66,考核调整事项表!$F:$F,累计考核费用!J$3)</f>
        <v>0</v>
      </c>
      <c r="K66" s="67">
        <f>SUMIFS(考核调整事项表!$C:$C,考核调整事项表!$G:$G,累计考核费用!$B66,考核调整事项表!$D:$D,累计考核费用!K$3)+SUMIFS(考核调整事项表!$E:$E,考核调整事项表!$G:$G,累计考核费用!$B66,考核调整事项表!$F:$F,累计考核费用!K$3)</f>
        <v>0</v>
      </c>
      <c r="L66" s="67">
        <f>SUMIFS(考核调整事项表!$C:$C,考核调整事项表!$G:$G,累计考核费用!$B66,考核调整事项表!$D:$D,累计考核费用!L$3)+SUMIFS(考核调整事项表!$E:$E,考核调整事项表!$G:$G,累计考核费用!$B66,考核调整事项表!$F:$F,累计考核费用!L$3)</f>
        <v>0</v>
      </c>
      <c r="M66" s="67">
        <f>SUMIFS(考核调整事项表!$C:$C,考核调整事项表!$G:$G,累计考核费用!$B66,考核调整事项表!$D:$D,累计考核费用!M$3)+SUMIFS(考核调整事项表!$E:$E,考核调整事项表!$G:$G,累计考核费用!$B66,考核调整事项表!$F:$F,累计考核费用!M$3)</f>
        <v>0</v>
      </c>
      <c r="N66" s="67">
        <f>SUMIFS(考核调整事项表!$C:$C,考核调整事项表!$G:$G,累计考核费用!$B66,考核调整事项表!$D:$D,累计考核费用!N$3)+SUMIFS(考核调整事项表!$E:$E,考核调整事项表!$G:$G,累计考核费用!$B66,考核调整事项表!$F:$F,累计考核费用!N$3)</f>
        <v>0</v>
      </c>
      <c r="O66" s="67">
        <f>SUMIFS(考核调整事项表!$C:$C,考核调整事项表!$G:$G,累计考核费用!$B66,考核调整事项表!$D:$D,累计考核费用!O$3)+SUMIFS(考核调整事项表!$E:$E,考核调整事项表!$G:$G,累计考核费用!$B66,考核调整事项表!$F:$F,累计考核费用!O$3)</f>
        <v>0</v>
      </c>
      <c r="P66" s="77">
        <f>SUM(Q66:T66)</f>
        <v>0</v>
      </c>
      <c r="Q66" s="67">
        <f>SUMIFS(考核调整事项表!$C:$C,考核调整事项表!$G:$G,累计考核费用!$B66,考核调整事项表!$D:$D,累计考核费用!Q$3)+SUMIFS(考核调整事项表!$E:$E,考核调整事项表!$G:$G,累计考核费用!$B66,考核调整事项表!$F:$F,累计考核费用!Q$3)</f>
        <v>0</v>
      </c>
      <c r="R66" s="67">
        <f>SUMIFS(考核调整事项表!$C:$C,考核调整事项表!$G:$G,累计考核费用!$B66,考核调整事项表!$D:$D,累计考核费用!R$3)+SUMIFS(考核调整事项表!$E:$E,考核调整事项表!$G:$G,累计考核费用!$B66,考核调整事项表!$F:$F,累计考核费用!R$3)</f>
        <v>0</v>
      </c>
      <c r="S66" s="67">
        <f>SUMIFS(考核调整事项表!$C:$C,考核调整事项表!$G:$G,累计考核费用!$B66,考核调整事项表!$D:$D,累计考核费用!S$3)+SUMIFS(考核调整事项表!$E:$E,考核调整事项表!$G:$G,累计考核费用!$B66,考核调整事项表!$F:$F,累计考核费用!S$3)</f>
        <v>0</v>
      </c>
      <c r="T66" s="67">
        <f>SUMIFS(考核调整事项表!$C:$C,考核调整事项表!$G:$G,累计考核费用!$B66,考核调整事项表!$D:$D,累计考核费用!T$3)+SUMIFS(考核调整事项表!$E:$E,考核调整事项表!$G:$G,累计考核费用!$B66,考核调整事项表!$F:$F,累计考核费用!T$3)</f>
        <v>0</v>
      </c>
      <c r="U66" s="67">
        <f>SUM(V66:Y66)</f>
        <v>0</v>
      </c>
      <c r="V66" s="67">
        <f>SUMIFS(考核调整事项表!$C:$C,考核调整事项表!$G:$G,累计考核费用!$B66,考核调整事项表!$D:$D,累计考核费用!V$3)+SUMIFS(考核调整事项表!$E:$E,考核调整事项表!$G:$G,累计考核费用!$B66,考核调整事项表!$F:$F,累计考核费用!V$3)</f>
        <v>0</v>
      </c>
      <c r="W66" s="67">
        <f>SUMIFS(考核调整事项表!$C:$C,考核调整事项表!$G:$G,累计考核费用!$B66,考核调整事项表!$D:$D,累计考核费用!W$3)+SUMIFS(考核调整事项表!$E:$E,考核调整事项表!$G:$G,累计考核费用!$B66,考核调整事项表!$F:$F,累计考核费用!W$3)</f>
        <v>0</v>
      </c>
      <c r="X66" s="67">
        <f>SUMIFS(考核调整事项表!$C:$C,考核调整事项表!$G:$G,累计考核费用!$B66,考核调整事项表!$D:$D,累计考核费用!X$3)+SUMIFS(考核调整事项表!$E:$E,考核调整事项表!$G:$G,累计考核费用!$B66,考核调整事项表!$F:$F,累计考核费用!X$3)</f>
        <v>0</v>
      </c>
      <c r="Y66" s="67">
        <f>SUMIFS(考核调整事项表!$C:$C,考核调整事项表!$G:$G,累计考核费用!$B66,考核调整事项表!$D:$D,累计考核费用!Y$3)+SUMIFS(考核调整事项表!$E:$E,考核调整事项表!$G:$G,累计考核费用!$B66,考核调整事项表!$F:$F,累计考核费用!Y$3)</f>
        <v>0</v>
      </c>
    </row>
    <row r="67" spans="1:25">
      <c r="A67" s="259"/>
      <c r="B67" s="69" t="s">
        <v>73</v>
      </c>
      <c r="C67" s="67">
        <f>SUM(D67:H67)+O67+P67+U67</f>
        <v>0</v>
      </c>
      <c r="D67" s="67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1.862645149230957E-9</v>
      </c>
      <c r="E67" s="67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67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-1.862645149230957E-9</v>
      </c>
      <c r="G67" s="67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67">
        <f>SUM(I67:N67)</f>
        <v>0</v>
      </c>
      <c r="I67" s="67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67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67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67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67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67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67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77">
        <f>SUM(Q67:T67)</f>
        <v>0</v>
      </c>
      <c r="Q67" s="67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67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67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67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67">
        <f>SUM(V67:Y67)</f>
        <v>0</v>
      </c>
      <c r="V67" s="67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67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67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67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59"/>
      <c r="B68" s="69" t="s">
        <v>74</v>
      </c>
      <c r="C68" s="67">
        <f>SUM(D68:H68)+O68+P68+U68</f>
        <v>0</v>
      </c>
      <c r="D68" s="67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-225683.06</v>
      </c>
      <c r="E68" s="67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-39627.430000000008</v>
      </c>
      <c r="F68" s="67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159315.33000000002</v>
      </c>
      <c r="G68" s="67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2629.37</v>
      </c>
      <c r="H68" s="67">
        <f>SUM(I68:N68)</f>
        <v>87749.329999999973</v>
      </c>
      <c r="I68" s="67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148702.14999999997</v>
      </c>
      <c r="J68" s="67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-87140.7</v>
      </c>
      <c r="K68" s="67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17.829999999999984</v>
      </c>
      <c r="L68" s="67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67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67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26170.050000000003</v>
      </c>
      <c r="O68" s="67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-19573.07</v>
      </c>
      <c r="P68" s="77">
        <f>SUM(Q68:T68)</f>
        <v>30210.280000000002</v>
      </c>
      <c r="Q68" s="67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67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67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7154.72</v>
      </c>
      <c r="T68" s="67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23055.56</v>
      </c>
      <c r="U68" s="67">
        <f>SUM(V68:Y68)</f>
        <v>4979.25</v>
      </c>
      <c r="V68" s="67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67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4979.25</v>
      </c>
      <c r="X68" s="67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67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59"/>
      <c r="B69" s="69" t="s">
        <v>75</v>
      </c>
      <c r="C69" s="67">
        <f>SUM(D69:H69)+O69+P69+U69</f>
        <v>0</v>
      </c>
      <c r="D69" s="67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0</v>
      </c>
      <c r="E69" s="67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0</v>
      </c>
      <c r="F69" s="67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0</v>
      </c>
      <c r="G69" s="67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0</v>
      </c>
      <c r="H69" s="67">
        <f>SUM(I69:N69)</f>
        <v>0</v>
      </c>
      <c r="I69" s="67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67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0</v>
      </c>
      <c r="K69" s="67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0</v>
      </c>
      <c r="L69" s="67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0</v>
      </c>
      <c r="M69" s="67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0</v>
      </c>
      <c r="N69" s="67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67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0</v>
      </c>
      <c r="P69" s="77">
        <f>SUM(Q69:T69)</f>
        <v>0</v>
      </c>
      <c r="Q69" s="67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0</v>
      </c>
      <c r="R69" s="67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0</v>
      </c>
      <c r="S69" s="67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67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0</v>
      </c>
      <c r="U69" s="67">
        <f>SUM(V69:Y69)</f>
        <v>0</v>
      </c>
      <c r="V69" s="67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67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67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67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60"/>
      <c r="B70" s="69" t="s">
        <v>70</v>
      </c>
      <c r="C70" s="68">
        <f t="shared" ref="C70:Y70" si="5">SUM(C66:C69)</f>
        <v>0</v>
      </c>
      <c r="D70" s="68">
        <f t="shared" si="5"/>
        <v>-225683.05999999814</v>
      </c>
      <c r="E70" s="68">
        <f t="shared" si="5"/>
        <v>-39627.430000000008</v>
      </c>
      <c r="F70" s="68">
        <f t="shared" si="5"/>
        <v>159315.32999999815</v>
      </c>
      <c r="G70" s="68">
        <f t="shared" si="5"/>
        <v>2629.37</v>
      </c>
      <c r="H70" s="68">
        <f t="shared" si="5"/>
        <v>87749.329999999973</v>
      </c>
      <c r="I70" s="68">
        <f t="shared" si="5"/>
        <v>148702.14999999997</v>
      </c>
      <c r="J70" s="68">
        <f t="shared" si="5"/>
        <v>-87140.7</v>
      </c>
      <c r="K70" s="68">
        <f t="shared" si="5"/>
        <v>17.829999999999984</v>
      </c>
      <c r="L70" s="68">
        <f t="shared" si="5"/>
        <v>0</v>
      </c>
      <c r="M70" s="68">
        <f t="shared" si="5"/>
        <v>0</v>
      </c>
      <c r="N70" s="68">
        <f t="shared" si="5"/>
        <v>26170.050000000003</v>
      </c>
      <c r="O70" s="68">
        <f t="shared" si="5"/>
        <v>-19573.07</v>
      </c>
      <c r="P70" s="71">
        <f t="shared" si="5"/>
        <v>30210.280000000002</v>
      </c>
      <c r="Q70" s="68">
        <f t="shared" si="5"/>
        <v>0</v>
      </c>
      <c r="R70" s="68">
        <f t="shared" si="5"/>
        <v>0</v>
      </c>
      <c r="S70" s="68">
        <f t="shared" si="5"/>
        <v>7154.72</v>
      </c>
      <c r="T70" s="68">
        <f t="shared" si="5"/>
        <v>23055.56</v>
      </c>
      <c r="U70" s="68">
        <f t="shared" si="5"/>
        <v>4979.25</v>
      </c>
      <c r="V70" s="68">
        <f t="shared" si="5"/>
        <v>0</v>
      </c>
      <c r="W70" s="68">
        <f t="shared" si="5"/>
        <v>4979.25</v>
      </c>
      <c r="X70" s="68">
        <f t="shared" si="5"/>
        <v>0</v>
      </c>
      <c r="Y70" s="68">
        <f t="shared" si="5"/>
        <v>0</v>
      </c>
    </row>
    <row r="71" spans="1:25">
      <c r="A71" s="261" t="s">
        <v>76</v>
      </c>
      <c r="B71" s="69" t="s">
        <v>77</v>
      </c>
      <c r="C71" s="67">
        <f>SUM(D71:H71)+O71+P71+U71</f>
        <v>0</v>
      </c>
      <c r="D71" s="67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67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850396</v>
      </c>
      <c r="F71" s="67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-625442</v>
      </c>
      <c r="G71" s="67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67">
        <f>SUM(I71:N71)</f>
        <v>-77040</v>
      </c>
      <c r="I71" s="67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5290</v>
      </c>
      <c r="J71" s="67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-30000</v>
      </c>
      <c r="K71" s="67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67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67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-19750</v>
      </c>
      <c r="N71" s="67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-32580</v>
      </c>
      <c r="O71" s="67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77">
        <f>SUM(Q71:T71)</f>
        <v>-58800</v>
      </c>
      <c r="Q71" s="67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-14700</v>
      </c>
      <c r="R71" s="67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-29400</v>
      </c>
      <c r="S71" s="67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-14700</v>
      </c>
      <c r="T71" s="67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67">
        <f>SUM(V71:Y71)</f>
        <v>-89114</v>
      </c>
      <c r="V71" s="67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-69524</v>
      </c>
      <c r="W71" s="67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67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-19590</v>
      </c>
      <c r="Y71" s="67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62"/>
      <c r="B72" s="69" t="s">
        <v>78</v>
      </c>
      <c r="C72" s="67">
        <f t="shared" ref="C72:C102" si="6">SUM(D72:H72)+O72+P72+U72</f>
        <v>0</v>
      </c>
      <c r="D72" s="67">
        <f>SUMIFS(考核调整事项表!$C:$C,考核调整事项表!$G:$G,累计考核费用!$B72,考核调整事项表!$D:$D,累计考核费用!D$3)+SUMIFS(考核调整事项表!$E:$E,考核调整事项表!$G:$G,累计考核费用!$B72,考核调整事项表!$F:$F,累计考核费用!D$3)</f>
        <v>0</v>
      </c>
      <c r="E72" s="67">
        <f>SUMIFS(考核调整事项表!$C:$C,考核调整事项表!$G:$G,累计考核费用!$B72,考核调整事项表!$D:$D,累计考核费用!E$3)+SUMIFS(考核调整事项表!$E:$E,考核调整事项表!$G:$G,累计考核费用!$B72,考核调整事项表!$F:$F,累计考核费用!E$3)</f>
        <v>0</v>
      </c>
      <c r="F72" s="67">
        <f>SUMIFS(考核调整事项表!$C:$C,考核调整事项表!$G:$G,累计考核费用!$B72,考核调整事项表!$D:$D,累计考核费用!F$3)+SUMIFS(考核调整事项表!$E:$E,考核调整事项表!$G:$G,累计考核费用!$B72,考核调整事项表!$F:$F,累计考核费用!F$3)</f>
        <v>-21462.5</v>
      </c>
      <c r="G72" s="67">
        <f>SUMIFS(考核调整事项表!$C:$C,考核调整事项表!$G:$G,累计考核费用!$B72,考核调整事项表!$D:$D,累计考核费用!G$3)+SUMIFS(考核调整事项表!$E:$E,考核调整事项表!$G:$G,累计考核费用!$B72,考核调整事项表!$F:$F,累计考核费用!G$3)</f>
        <v>0</v>
      </c>
      <c r="H72" s="67">
        <f t="shared" ref="H72:H102" si="7">SUM(I72:N72)</f>
        <v>21462.5</v>
      </c>
      <c r="I72" s="67">
        <f>SUMIFS(考核调整事项表!$C:$C,考核调整事项表!$G:$G,累计考核费用!$B72,考核调整事项表!$D:$D,累计考核费用!I$3)+SUMIFS(考核调整事项表!$E:$E,考核调整事项表!$G:$G,累计考核费用!$B72,考核调整事项表!$F:$F,累计考核费用!I$3)</f>
        <v>21462.5</v>
      </c>
      <c r="J72" s="67">
        <f>SUMIFS(考核调整事项表!$C:$C,考核调整事项表!$G:$G,累计考核费用!$B72,考核调整事项表!$D:$D,累计考核费用!J$3)+SUMIFS(考核调整事项表!$E:$E,考核调整事项表!$G:$G,累计考核费用!$B72,考核调整事项表!$F:$F,累计考核费用!J$3)</f>
        <v>0</v>
      </c>
      <c r="K72" s="67">
        <f>SUMIFS(考核调整事项表!$C:$C,考核调整事项表!$G:$G,累计考核费用!$B72,考核调整事项表!$D:$D,累计考核费用!K$3)+SUMIFS(考核调整事项表!$E:$E,考核调整事项表!$G:$G,累计考核费用!$B72,考核调整事项表!$F:$F,累计考核费用!K$3)</f>
        <v>0</v>
      </c>
      <c r="L72" s="67">
        <f>SUMIFS(考核调整事项表!$C:$C,考核调整事项表!$G:$G,累计考核费用!$B72,考核调整事项表!$D:$D,累计考核费用!L$3)+SUMIFS(考核调整事项表!$E:$E,考核调整事项表!$G:$G,累计考核费用!$B72,考核调整事项表!$F:$F,累计考核费用!L$3)</f>
        <v>0</v>
      </c>
      <c r="M72" s="67">
        <f>SUMIFS(考核调整事项表!$C:$C,考核调整事项表!$G:$G,累计考核费用!$B72,考核调整事项表!$D:$D,累计考核费用!M$3)+SUMIFS(考核调整事项表!$E:$E,考核调整事项表!$G:$G,累计考核费用!$B72,考核调整事项表!$F:$F,累计考核费用!M$3)</f>
        <v>0</v>
      </c>
      <c r="N72" s="67">
        <f>SUMIFS(考核调整事项表!$C:$C,考核调整事项表!$G:$G,累计考核费用!$B72,考核调整事项表!$D:$D,累计考核费用!N$3)+SUMIFS(考核调整事项表!$E:$E,考核调整事项表!$G:$G,累计考核费用!$B72,考核调整事项表!$F:$F,累计考核费用!N$3)</f>
        <v>0</v>
      </c>
      <c r="O72" s="67">
        <f>SUMIFS(考核调整事项表!$C:$C,考核调整事项表!$G:$G,累计考核费用!$B72,考核调整事项表!$D:$D,累计考核费用!O$3)+SUMIFS(考核调整事项表!$E:$E,考核调整事项表!$G:$G,累计考核费用!$B72,考核调整事项表!$F:$F,累计考核费用!O$3)</f>
        <v>0</v>
      </c>
      <c r="P72" s="77">
        <f t="shared" ref="P72:P102" si="8">SUM(Q72:T72)</f>
        <v>0</v>
      </c>
      <c r="Q72" s="67">
        <f>SUMIFS(考核调整事项表!$C:$C,考核调整事项表!$G:$G,累计考核费用!$B72,考核调整事项表!$D:$D,累计考核费用!Q$3)+SUMIFS(考核调整事项表!$E:$E,考核调整事项表!$G:$G,累计考核费用!$B72,考核调整事项表!$F:$F,累计考核费用!Q$3)</f>
        <v>0</v>
      </c>
      <c r="R72" s="67">
        <f>SUMIFS(考核调整事项表!$C:$C,考核调整事项表!$G:$G,累计考核费用!$B72,考核调整事项表!$D:$D,累计考核费用!R$3)+SUMIFS(考核调整事项表!$E:$E,考核调整事项表!$G:$G,累计考核费用!$B72,考核调整事项表!$F:$F,累计考核费用!R$3)</f>
        <v>0</v>
      </c>
      <c r="S72" s="67">
        <f>SUMIFS(考核调整事项表!$C:$C,考核调整事项表!$G:$G,累计考核费用!$B72,考核调整事项表!$D:$D,累计考核费用!S$3)+SUMIFS(考核调整事项表!$E:$E,考核调整事项表!$G:$G,累计考核费用!$B72,考核调整事项表!$F:$F,累计考核费用!S$3)</f>
        <v>0</v>
      </c>
      <c r="T72" s="67">
        <f>SUMIFS(考核调整事项表!$C:$C,考核调整事项表!$G:$G,累计考核费用!$B72,考核调整事项表!$D:$D,累计考核费用!T$3)+SUMIFS(考核调整事项表!$E:$E,考核调整事项表!$G:$G,累计考核费用!$B72,考核调整事项表!$F:$F,累计考核费用!T$3)</f>
        <v>0</v>
      </c>
      <c r="U72" s="67">
        <f t="shared" ref="U72:U102" si="9">SUM(V72:Y72)</f>
        <v>0</v>
      </c>
      <c r="V72" s="67">
        <f>SUMIFS(考核调整事项表!$C:$C,考核调整事项表!$G:$G,累计考核费用!$B72,考核调整事项表!$D:$D,累计考核费用!V$3)+SUMIFS(考核调整事项表!$E:$E,考核调整事项表!$G:$G,累计考核费用!$B72,考核调整事项表!$F:$F,累计考核费用!V$3)</f>
        <v>0</v>
      </c>
      <c r="W72" s="67">
        <f>SUMIFS(考核调整事项表!$C:$C,考核调整事项表!$G:$G,累计考核费用!$B72,考核调整事项表!$D:$D,累计考核费用!W$3)+SUMIFS(考核调整事项表!$E:$E,考核调整事项表!$G:$G,累计考核费用!$B72,考核调整事项表!$F:$F,累计考核费用!W$3)</f>
        <v>0</v>
      </c>
      <c r="X72" s="67">
        <f>SUMIFS(考核调整事项表!$C:$C,考核调整事项表!$G:$G,累计考核费用!$B72,考核调整事项表!$D:$D,累计考核费用!X$3)+SUMIFS(考核调整事项表!$E:$E,考核调整事项表!$G:$G,累计考核费用!$B72,考核调整事项表!$F:$F,累计考核费用!X$3)</f>
        <v>0</v>
      </c>
      <c r="Y72" s="67">
        <f>SUMIFS(考核调整事项表!$C:$C,考核调整事项表!$G:$G,累计考核费用!$B72,考核调整事项表!$D:$D,累计考核费用!Y$3)+SUMIFS(考核调整事项表!$E:$E,考核调整事项表!$G:$G,累计考核费用!$B72,考核调整事项表!$F:$F,累计考核费用!Y$3)</f>
        <v>0</v>
      </c>
    </row>
    <row r="73" spans="1:25">
      <c r="A73" s="262"/>
      <c r="B73" s="69" t="s">
        <v>79</v>
      </c>
      <c r="C73" s="67">
        <f t="shared" si="6"/>
        <v>0</v>
      </c>
      <c r="D73" s="67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67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0</v>
      </c>
      <c r="F73" s="67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0</v>
      </c>
      <c r="G73" s="67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67">
        <f t="shared" si="7"/>
        <v>0</v>
      </c>
      <c r="I73" s="67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67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67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67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67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67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67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77">
        <f t="shared" si="8"/>
        <v>0</v>
      </c>
      <c r="Q73" s="67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67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67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67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67">
        <f t="shared" si="9"/>
        <v>0</v>
      </c>
      <c r="V73" s="67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0</v>
      </c>
      <c r="W73" s="67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67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67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62"/>
      <c r="B74" s="69" t="s">
        <v>80</v>
      </c>
      <c r="C74" s="67">
        <f t="shared" si="6"/>
        <v>0</v>
      </c>
      <c r="D74" s="67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67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67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-377</v>
      </c>
      <c r="G74" s="67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67">
        <f t="shared" si="7"/>
        <v>377</v>
      </c>
      <c r="I74" s="67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377</v>
      </c>
      <c r="J74" s="67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67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67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67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67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67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77">
        <f t="shared" si="8"/>
        <v>0</v>
      </c>
      <c r="Q74" s="67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67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67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67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67">
        <f t="shared" si="9"/>
        <v>0</v>
      </c>
      <c r="V74" s="67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67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67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67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62"/>
      <c r="B75" s="69" t="s">
        <v>81</v>
      </c>
      <c r="C75" s="67">
        <f t="shared" si="6"/>
        <v>0</v>
      </c>
      <c r="D75" s="67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67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67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67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67">
        <f t="shared" si="7"/>
        <v>0</v>
      </c>
      <c r="I75" s="67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67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67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67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67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67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67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77">
        <f t="shared" si="8"/>
        <v>0</v>
      </c>
      <c r="Q75" s="67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67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67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67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67">
        <f t="shared" si="9"/>
        <v>0</v>
      </c>
      <c r="V75" s="67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67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67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67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62"/>
      <c r="B76" s="69" t="s">
        <v>82</v>
      </c>
      <c r="C76" s="67">
        <f t="shared" si="6"/>
        <v>0</v>
      </c>
      <c r="D76" s="67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67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67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67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67">
        <f t="shared" si="7"/>
        <v>0</v>
      </c>
      <c r="I76" s="67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67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67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67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67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67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67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77">
        <f t="shared" si="8"/>
        <v>0</v>
      </c>
      <c r="Q76" s="67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67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67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67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67">
        <f t="shared" si="9"/>
        <v>0</v>
      </c>
      <c r="V76" s="67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67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67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67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62"/>
      <c r="B77" s="66" t="s">
        <v>83</v>
      </c>
      <c r="C77" s="67">
        <f t="shared" si="6"/>
        <v>0</v>
      </c>
      <c r="D77" s="67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67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67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67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67">
        <f t="shared" si="7"/>
        <v>0</v>
      </c>
      <c r="I77" s="67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67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67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67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67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67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67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77">
        <f t="shared" si="8"/>
        <v>0</v>
      </c>
      <c r="Q77" s="67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67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67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67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67">
        <f t="shared" si="9"/>
        <v>0</v>
      </c>
      <c r="V77" s="67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67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67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67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62"/>
      <c r="B78" s="69" t="s">
        <v>84</v>
      </c>
      <c r="C78" s="67">
        <f t="shared" si="6"/>
        <v>0</v>
      </c>
      <c r="D78" s="67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67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67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67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67">
        <f t="shared" si="7"/>
        <v>0</v>
      </c>
      <c r="I78" s="67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67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67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67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67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67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67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77">
        <f t="shared" si="8"/>
        <v>0</v>
      </c>
      <c r="Q78" s="67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67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67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67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67">
        <f t="shared" si="9"/>
        <v>0</v>
      </c>
      <c r="V78" s="67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67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67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67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62"/>
      <c r="B79" s="69" t="s">
        <v>85</v>
      </c>
      <c r="C79" s="67">
        <f t="shared" si="6"/>
        <v>0</v>
      </c>
      <c r="D79" s="67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67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67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67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67">
        <f t="shared" si="7"/>
        <v>0</v>
      </c>
      <c r="I79" s="67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67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67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67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67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67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67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77">
        <f t="shared" si="8"/>
        <v>0</v>
      </c>
      <c r="Q79" s="67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67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67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67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67">
        <f t="shared" si="9"/>
        <v>0</v>
      </c>
      <c r="V79" s="67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67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67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67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62"/>
      <c r="B80" s="69" t="s">
        <v>86</v>
      </c>
      <c r="C80" s="67">
        <f t="shared" si="6"/>
        <v>0</v>
      </c>
      <c r="D80" s="67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67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67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67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67">
        <f t="shared" si="7"/>
        <v>0</v>
      </c>
      <c r="I80" s="67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67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67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67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67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67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67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77">
        <f t="shared" si="8"/>
        <v>0</v>
      </c>
      <c r="Q80" s="67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67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67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67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67">
        <f t="shared" si="9"/>
        <v>0</v>
      </c>
      <c r="V80" s="67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67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67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67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62"/>
      <c r="B81" s="69" t="s">
        <v>87</v>
      </c>
      <c r="C81" s="67">
        <f t="shared" si="6"/>
        <v>0</v>
      </c>
      <c r="D81" s="67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67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67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67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67">
        <f t="shared" si="7"/>
        <v>0</v>
      </c>
      <c r="I81" s="67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67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67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67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67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67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67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77">
        <f t="shared" si="8"/>
        <v>0</v>
      </c>
      <c r="Q81" s="67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67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67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67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67">
        <f t="shared" si="9"/>
        <v>0</v>
      </c>
      <c r="V81" s="67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67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67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67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62"/>
      <c r="B82" s="69" t="s">
        <v>88</v>
      </c>
      <c r="C82" s="67">
        <f t="shared" si="6"/>
        <v>0</v>
      </c>
      <c r="D82" s="67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67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67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67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67">
        <f t="shared" si="7"/>
        <v>0</v>
      </c>
      <c r="I82" s="67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67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67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67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67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67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67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77">
        <f t="shared" si="8"/>
        <v>0</v>
      </c>
      <c r="Q82" s="67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67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67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67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67">
        <f t="shared" si="9"/>
        <v>0</v>
      </c>
      <c r="V82" s="67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67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67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67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62"/>
      <c r="B83" s="69" t="s">
        <v>89</v>
      </c>
      <c r="C83" s="67">
        <f t="shared" si="6"/>
        <v>0</v>
      </c>
      <c r="D83" s="67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67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67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67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67">
        <f t="shared" si="7"/>
        <v>0</v>
      </c>
      <c r="I83" s="67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67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67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67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67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67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67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77">
        <f t="shared" si="8"/>
        <v>0</v>
      </c>
      <c r="Q83" s="67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67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67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67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67">
        <f t="shared" si="9"/>
        <v>0</v>
      </c>
      <c r="V83" s="67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67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67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67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62"/>
      <c r="B84" s="69" t="s">
        <v>90</v>
      </c>
      <c r="C84" s="67">
        <f t="shared" si="6"/>
        <v>0</v>
      </c>
      <c r="D84" s="67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67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67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-1261</v>
      </c>
      <c r="G84" s="67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67">
        <f t="shared" si="7"/>
        <v>1261</v>
      </c>
      <c r="I84" s="67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1261</v>
      </c>
      <c r="J84" s="67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67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67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67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67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67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77">
        <f t="shared" si="8"/>
        <v>0</v>
      </c>
      <c r="Q84" s="67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67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67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67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67">
        <f t="shared" si="9"/>
        <v>0</v>
      </c>
      <c r="V84" s="67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67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67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67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62"/>
      <c r="B85" s="69" t="s">
        <v>91</v>
      </c>
      <c r="C85" s="67">
        <f t="shared" si="6"/>
        <v>0</v>
      </c>
      <c r="D85" s="67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67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67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67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67">
        <f t="shared" si="7"/>
        <v>0</v>
      </c>
      <c r="I85" s="67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67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67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67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67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67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67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77">
        <f t="shared" si="8"/>
        <v>0</v>
      </c>
      <c r="Q85" s="67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67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67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67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67">
        <f t="shared" si="9"/>
        <v>0</v>
      </c>
      <c r="V85" s="67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67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67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67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62"/>
      <c r="B86" s="69" t="s">
        <v>92</v>
      </c>
      <c r="C86" s="67">
        <f t="shared" si="6"/>
        <v>0</v>
      </c>
      <c r="D86" s="67">
        <f>SUMIFS(考核调整事项表!$C:$C,考核调整事项表!$G:$G,累计考核费用!$B86,考核调整事项表!$D:$D,累计考核费用!D$3)+SUMIFS(考核调整事项表!$E:$E,考核调整事项表!$G:$G,累计考核费用!$B86,考核调整事项表!$F:$F,累计考核费用!D$3)</f>
        <v>0</v>
      </c>
      <c r="E86" s="67">
        <f>SUMIFS(考核调整事项表!$C:$C,考核调整事项表!$G:$G,累计考核费用!$B86,考核调整事项表!$D:$D,累计考核费用!E$3)+SUMIFS(考核调整事项表!$E:$E,考核调整事项表!$G:$G,累计考核费用!$B86,考核调整事项表!$F:$F,累计考核费用!E$3)</f>
        <v>0</v>
      </c>
      <c r="F86" s="67">
        <f>SUMIFS(考核调整事项表!$C:$C,考核调整事项表!$G:$G,累计考核费用!$B86,考核调整事项表!$D:$D,累计考核费用!F$3)+SUMIFS(考核调整事项表!$E:$E,考核调整事项表!$G:$G,累计考核费用!$B86,考核调整事项表!$F:$F,累计考核费用!F$3)</f>
        <v>0</v>
      </c>
      <c r="G86" s="67">
        <f>SUMIFS(考核调整事项表!$C:$C,考核调整事项表!$G:$G,累计考核费用!$B86,考核调整事项表!$D:$D,累计考核费用!G$3)+SUMIFS(考核调整事项表!$E:$E,考核调整事项表!$G:$G,累计考核费用!$B86,考核调整事项表!$F:$F,累计考核费用!G$3)</f>
        <v>0</v>
      </c>
      <c r="H86" s="67">
        <f t="shared" si="7"/>
        <v>0</v>
      </c>
      <c r="I86" s="67">
        <f>SUMIFS(考核调整事项表!$C:$C,考核调整事项表!$G:$G,累计考核费用!$B86,考核调整事项表!$D:$D,累计考核费用!I$3)+SUMIFS(考核调整事项表!$E:$E,考核调整事项表!$G:$G,累计考核费用!$B86,考核调整事项表!$F:$F,累计考核费用!I$3)</f>
        <v>0</v>
      </c>
      <c r="J86" s="67">
        <f>SUMIFS(考核调整事项表!$C:$C,考核调整事项表!$G:$G,累计考核费用!$B86,考核调整事项表!$D:$D,累计考核费用!J$3)+SUMIFS(考核调整事项表!$E:$E,考核调整事项表!$G:$G,累计考核费用!$B86,考核调整事项表!$F:$F,累计考核费用!J$3)</f>
        <v>0</v>
      </c>
      <c r="K86" s="67">
        <f>SUMIFS(考核调整事项表!$C:$C,考核调整事项表!$G:$G,累计考核费用!$B86,考核调整事项表!$D:$D,累计考核费用!K$3)+SUMIFS(考核调整事项表!$E:$E,考核调整事项表!$G:$G,累计考核费用!$B86,考核调整事项表!$F:$F,累计考核费用!K$3)</f>
        <v>0</v>
      </c>
      <c r="L86" s="67">
        <f>SUMIFS(考核调整事项表!$C:$C,考核调整事项表!$G:$G,累计考核费用!$B86,考核调整事项表!$D:$D,累计考核费用!L$3)+SUMIFS(考核调整事项表!$E:$E,考核调整事项表!$G:$G,累计考核费用!$B86,考核调整事项表!$F:$F,累计考核费用!L$3)</f>
        <v>0</v>
      </c>
      <c r="M86" s="67">
        <f>SUMIFS(考核调整事项表!$C:$C,考核调整事项表!$G:$G,累计考核费用!$B86,考核调整事项表!$D:$D,累计考核费用!M$3)+SUMIFS(考核调整事项表!$E:$E,考核调整事项表!$G:$G,累计考核费用!$B86,考核调整事项表!$F:$F,累计考核费用!M$3)</f>
        <v>0</v>
      </c>
      <c r="N86" s="67">
        <f>SUMIFS(考核调整事项表!$C:$C,考核调整事项表!$G:$G,累计考核费用!$B86,考核调整事项表!$D:$D,累计考核费用!N$3)+SUMIFS(考核调整事项表!$E:$E,考核调整事项表!$G:$G,累计考核费用!$B86,考核调整事项表!$F:$F,累计考核费用!N$3)</f>
        <v>0</v>
      </c>
      <c r="O86" s="67">
        <f>SUMIFS(考核调整事项表!$C:$C,考核调整事项表!$G:$G,累计考核费用!$B86,考核调整事项表!$D:$D,累计考核费用!O$3)+SUMIFS(考核调整事项表!$E:$E,考核调整事项表!$G:$G,累计考核费用!$B86,考核调整事项表!$F:$F,累计考核费用!O$3)</f>
        <v>0</v>
      </c>
      <c r="P86" s="77">
        <f t="shared" si="8"/>
        <v>0</v>
      </c>
      <c r="Q86" s="67">
        <f>SUMIFS(考核调整事项表!$C:$C,考核调整事项表!$G:$G,累计考核费用!$B86,考核调整事项表!$D:$D,累计考核费用!Q$3)+SUMIFS(考核调整事项表!$E:$E,考核调整事项表!$G:$G,累计考核费用!$B86,考核调整事项表!$F:$F,累计考核费用!Q$3)</f>
        <v>0</v>
      </c>
      <c r="R86" s="67">
        <f>SUMIFS(考核调整事项表!$C:$C,考核调整事项表!$G:$G,累计考核费用!$B86,考核调整事项表!$D:$D,累计考核费用!R$3)+SUMIFS(考核调整事项表!$E:$E,考核调整事项表!$G:$G,累计考核费用!$B86,考核调整事项表!$F:$F,累计考核费用!R$3)</f>
        <v>0</v>
      </c>
      <c r="S86" s="67">
        <f>SUMIFS(考核调整事项表!$C:$C,考核调整事项表!$G:$G,累计考核费用!$B86,考核调整事项表!$D:$D,累计考核费用!S$3)+SUMIFS(考核调整事项表!$E:$E,考核调整事项表!$G:$G,累计考核费用!$B86,考核调整事项表!$F:$F,累计考核费用!S$3)</f>
        <v>0</v>
      </c>
      <c r="T86" s="67">
        <f>SUMIFS(考核调整事项表!$C:$C,考核调整事项表!$G:$G,累计考核费用!$B86,考核调整事项表!$D:$D,累计考核费用!T$3)+SUMIFS(考核调整事项表!$E:$E,考核调整事项表!$G:$G,累计考核费用!$B86,考核调整事项表!$F:$F,累计考核费用!T$3)</f>
        <v>0</v>
      </c>
      <c r="U86" s="67">
        <f t="shared" si="9"/>
        <v>0</v>
      </c>
      <c r="V86" s="67">
        <f>SUMIFS(考核调整事项表!$C:$C,考核调整事项表!$G:$G,累计考核费用!$B86,考核调整事项表!$D:$D,累计考核费用!V$3)+SUMIFS(考核调整事项表!$E:$E,考核调整事项表!$G:$G,累计考核费用!$B86,考核调整事项表!$F:$F,累计考核费用!V$3)</f>
        <v>0</v>
      </c>
      <c r="W86" s="67">
        <f>SUMIFS(考核调整事项表!$C:$C,考核调整事项表!$G:$G,累计考核费用!$B86,考核调整事项表!$D:$D,累计考核费用!W$3)+SUMIFS(考核调整事项表!$E:$E,考核调整事项表!$G:$G,累计考核费用!$B86,考核调整事项表!$F:$F,累计考核费用!W$3)</f>
        <v>0</v>
      </c>
      <c r="X86" s="67">
        <f>SUMIFS(考核调整事项表!$C:$C,考核调整事项表!$G:$G,累计考核费用!$B86,考核调整事项表!$D:$D,累计考核费用!X$3)+SUMIFS(考核调整事项表!$E:$E,考核调整事项表!$G:$G,累计考核费用!$B86,考核调整事项表!$F:$F,累计考核费用!X$3)</f>
        <v>0</v>
      </c>
      <c r="Y86" s="67">
        <f>SUMIFS(考核调整事项表!$C:$C,考核调整事项表!$G:$G,累计考核费用!$B86,考核调整事项表!$D:$D,累计考核费用!Y$3)+SUMIFS(考核调整事项表!$E:$E,考核调整事项表!$G:$G,累计考核费用!$B86,考核调整事项表!$F:$F,累计考核费用!Y$3)</f>
        <v>0</v>
      </c>
    </row>
    <row r="87" spans="1:25">
      <c r="A87" s="262"/>
      <c r="B87" s="69" t="s">
        <v>93</v>
      </c>
      <c r="C87" s="67">
        <f t="shared" si="6"/>
        <v>0</v>
      </c>
      <c r="D87" s="67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67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67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67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67">
        <f t="shared" si="7"/>
        <v>0</v>
      </c>
      <c r="I87" s="67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67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67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67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67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67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67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77">
        <f t="shared" si="8"/>
        <v>0</v>
      </c>
      <c r="Q87" s="67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67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67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67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67">
        <f t="shared" si="9"/>
        <v>0</v>
      </c>
      <c r="V87" s="67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67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67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67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62"/>
      <c r="B88" s="69" t="s">
        <v>94</v>
      </c>
      <c r="C88" s="67">
        <f t="shared" si="6"/>
        <v>0</v>
      </c>
      <c r="D88" s="67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67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67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67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67">
        <f t="shared" si="7"/>
        <v>0</v>
      </c>
      <c r="I88" s="67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67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67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67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67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67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67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77">
        <f t="shared" si="8"/>
        <v>0</v>
      </c>
      <c r="Q88" s="67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67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67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67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67">
        <f t="shared" si="9"/>
        <v>0</v>
      </c>
      <c r="V88" s="67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67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67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67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62"/>
      <c r="B89" s="69" t="s">
        <v>95</v>
      </c>
      <c r="C89" s="67">
        <f t="shared" si="6"/>
        <v>0</v>
      </c>
      <c r="D89" s="67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67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67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-66</v>
      </c>
      <c r="G89" s="67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67">
        <f t="shared" si="7"/>
        <v>66</v>
      </c>
      <c r="I89" s="67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66</v>
      </c>
      <c r="J89" s="67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67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67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67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67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67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77">
        <f t="shared" si="8"/>
        <v>0</v>
      </c>
      <c r="Q89" s="67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67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67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67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67">
        <f t="shared" si="9"/>
        <v>0</v>
      </c>
      <c r="V89" s="67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67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67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67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62"/>
      <c r="B90" s="69" t="s">
        <v>96</v>
      </c>
      <c r="C90" s="67">
        <f t="shared" si="6"/>
        <v>0</v>
      </c>
      <c r="D90" s="67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67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67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67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67">
        <f t="shared" si="7"/>
        <v>0</v>
      </c>
      <c r="I90" s="67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67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67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67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67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67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67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77">
        <f t="shared" si="8"/>
        <v>0</v>
      </c>
      <c r="Q90" s="67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67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67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67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67">
        <f t="shared" si="9"/>
        <v>0</v>
      </c>
      <c r="V90" s="67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67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67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67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62"/>
      <c r="B91" s="69" t="s">
        <v>97</v>
      </c>
      <c r="C91" s="67">
        <f t="shared" si="6"/>
        <v>0</v>
      </c>
      <c r="D91" s="67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67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67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67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67">
        <f t="shared" si="7"/>
        <v>0</v>
      </c>
      <c r="I91" s="67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67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67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67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67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67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67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77">
        <f t="shared" si="8"/>
        <v>0</v>
      </c>
      <c r="Q91" s="67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67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67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67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67">
        <f t="shared" si="9"/>
        <v>0</v>
      </c>
      <c r="V91" s="67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67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67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67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62"/>
      <c r="B92" s="69" t="s">
        <v>98</v>
      </c>
      <c r="C92" s="67">
        <f t="shared" si="6"/>
        <v>0</v>
      </c>
      <c r="D92" s="67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67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67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67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67">
        <f t="shared" si="7"/>
        <v>0</v>
      </c>
      <c r="I92" s="67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67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67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67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67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67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67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77">
        <f t="shared" si="8"/>
        <v>0</v>
      </c>
      <c r="Q92" s="67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67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67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67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67">
        <f t="shared" si="9"/>
        <v>0</v>
      </c>
      <c r="V92" s="67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67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67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67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62"/>
      <c r="B93" s="69" t="s">
        <v>99</v>
      </c>
      <c r="C93" s="67">
        <f t="shared" si="6"/>
        <v>0</v>
      </c>
      <c r="D93" s="67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67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67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67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67">
        <f t="shared" si="7"/>
        <v>0</v>
      </c>
      <c r="I93" s="67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67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67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67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67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67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67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77">
        <f t="shared" si="8"/>
        <v>0</v>
      </c>
      <c r="Q93" s="67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67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67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67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67">
        <f t="shared" si="9"/>
        <v>0</v>
      </c>
      <c r="V93" s="67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67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67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67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62"/>
      <c r="B94" s="69" t="s">
        <v>100</v>
      </c>
      <c r="C94" s="67">
        <f t="shared" si="6"/>
        <v>0</v>
      </c>
      <c r="D94" s="67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67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67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67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67">
        <f t="shared" si="7"/>
        <v>0</v>
      </c>
      <c r="I94" s="67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67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67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67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67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67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67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77">
        <f t="shared" si="8"/>
        <v>0</v>
      </c>
      <c r="Q94" s="67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67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67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67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67">
        <f t="shared" si="9"/>
        <v>0</v>
      </c>
      <c r="V94" s="67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67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67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67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63"/>
      <c r="B95" s="69" t="s">
        <v>70</v>
      </c>
      <c r="C95" s="70">
        <f t="shared" ref="C95:Y95" si="10">SUM(C71:C94)</f>
        <v>0</v>
      </c>
      <c r="D95" s="70">
        <f t="shared" si="10"/>
        <v>0</v>
      </c>
      <c r="E95" s="70">
        <f t="shared" si="10"/>
        <v>850396</v>
      </c>
      <c r="F95" s="70">
        <f t="shared" si="10"/>
        <v>-648608.5</v>
      </c>
      <c r="G95" s="70">
        <f t="shared" si="10"/>
        <v>0</v>
      </c>
      <c r="H95" s="70">
        <f t="shared" si="10"/>
        <v>-53873.5</v>
      </c>
      <c r="I95" s="70">
        <f t="shared" si="10"/>
        <v>28456.5</v>
      </c>
      <c r="J95" s="70">
        <f t="shared" si="10"/>
        <v>-30000</v>
      </c>
      <c r="K95" s="70">
        <f t="shared" si="10"/>
        <v>0</v>
      </c>
      <c r="L95" s="70">
        <f t="shared" si="10"/>
        <v>0</v>
      </c>
      <c r="M95" s="70">
        <f t="shared" si="10"/>
        <v>-19750</v>
      </c>
      <c r="N95" s="70">
        <f t="shared" si="10"/>
        <v>-32580</v>
      </c>
      <c r="O95" s="70">
        <f t="shared" si="10"/>
        <v>0</v>
      </c>
      <c r="P95" s="78">
        <f t="shared" si="10"/>
        <v>-58800</v>
      </c>
      <c r="Q95" s="70">
        <f t="shared" si="10"/>
        <v>-14700</v>
      </c>
      <c r="R95" s="70">
        <f t="shared" si="10"/>
        <v>-29400</v>
      </c>
      <c r="S95" s="70">
        <f t="shared" si="10"/>
        <v>-14700</v>
      </c>
      <c r="T95" s="70">
        <f t="shared" si="10"/>
        <v>0</v>
      </c>
      <c r="U95" s="70">
        <f t="shared" si="10"/>
        <v>-89114</v>
      </c>
      <c r="V95" s="70">
        <f t="shared" si="10"/>
        <v>-69524</v>
      </c>
      <c r="W95" s="70">
        <f t="shared" si="10"/>
        <v>0</v>
      </c>
      <c r="X95" s="70">
        <f t="shared" si="10"/>
        <v>-19590</v>
      </c>
      <c r="Y95" s="70">
        <f t="shared" si="10"/>
        <v>0</v>
      </c>
    </row>
    <row r="96" spans="1:25">
      <c r="A96" s="261" t="s">
        <v>101</v>
      </c>
      <c r="B96" s="69" t="s">
        <v>102</v>
      </c>
      <c r="C96" s="67">
        <f t="shared" si="6"/>
        <v>0</v>
      </c>
      <c r="D96" s="67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67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67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67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67">
        <f t="shared" si="7"/>
        <v>0</v>
      </c>
      <c r="I96" s="67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67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67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67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67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67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67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77">
        <f t="shared" si="8"/>
        <v>0</v>
      </c>
      <c r="Q96" s="67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67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67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67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67">
        <f t="shared" si="9"/>
        <v>0</v>
      </c>
      <c r="V96" s="67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67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67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67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6">
      <c r="A97" s="262"/>
      <c r="B97" s="69" t="s">
        <v>103</v>
      </c>
      <c r="C97" s="67">
        <f t="shared" si="6"/>
        <v>0</v>
      </c>
      <c r="D97" s="67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67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67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67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67">
        <f t="shared" si="7"/>
        <v>0</v>
      </c>
      <c r="I97" s="67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67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67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67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67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67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67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77">
        <f t="shared" si="8"/>
        <v>0</v>
      </c>
      <c r="Q97" s="67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67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67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67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67">
        <f t="shared" si="9"/>
        <v>0</v>
      </c>
      <c r="V97" s="67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67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67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67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6">
      <c r="A98" s="262"/>
      <c r="B98" s="69" t="s">
        <v>104</v>
      </c>
      <c r="C98" s="67">
        <f t="shared" si="6"/>
        <v>0</v>
      </c>
      <c r="D98" s="67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67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67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67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67">
        <f t="shared" si="7"/>
        <v>0</v>
      </c>
      <c r="I98" s="67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67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67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67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67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67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67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77">
        <f t="shared" si="8"/>
        <v>0</v>
      </c>
      <c r="Q98" s="67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67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67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67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67">
        <f t="shared" si="9"/>
        <v>0</v>
      </c>
      <c r="V98" s="67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67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67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67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6">
      <c r="A99" s="262"/>
      <c r="B99" s="69" t="s">
        <v>105</v>
      </c>
      <c r="C99" s="67">
        <f t="shared" si="6"/>
        <v>0</v>
      </c>
      <c r="D99" s="67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-5000000.333333334</v>
      </c>
      <c r="E99" s="67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67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5000000.333333334</v>
      </c>
      <c r="G99" s="67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67">
        <f t="shared" si="7"/>
        <v>0</v>
      </c>
      <c r="I99" s="67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67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67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67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67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67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67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77">
        <f t="shared" si="8"/>
        <v>0</v>
      </c>
      <c r="Q99" s="67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67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67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67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67">
        <f t="shared" si="9"/>
        <v>0</v>
      </c>
      <c r="V99" s="67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67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67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67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6">
      <c r="A100" s="262"/>
      <c r="B100" s="69" t="s">
        <v>106</v>
      </c>
      <c r="C100" s="67">
        <f t="shared" si="6"/>
        <v>0</v>
      </c>
      <c r="D100" s="67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67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67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67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67">
        <f t="shared" si="7"/>
        <v>0</v>
      </c>
      <c r="I100" s="67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67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67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67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67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67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67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77">
        <f t="shared" si="8"/>
        <v>0</v>
      </c>
      <c r="Q100" s="67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67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67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67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67">
        <f t="shared" si="9"/>
        <v>0</v>
      </c>
      <c r="V100" s="67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67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67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67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6">
      <c r="A101" s="262"/>
      <c r="B101" s="69" t="s">
        <v>107</v>
      </c>
      <c r="C101" s="67">
        <f t="shared" si="6"/>
        <v>0</v>
      </c>
      <c r="D101" s="67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67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67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67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67">
        <f t="shared" si="7"/>
        <v>0</v>
      </c>
      <c r="I101" s="67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67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67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67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67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67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67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77">
        <f t="shared" si="8"/>
        <v>0</v>
      </c>
      <c r="Q101" s="67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67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67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67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67">
        <f t="shared" si="9"/>
        <v>0</v>
      </c>
      <c r="V101" s="67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67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67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67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6">
      <c r="A102" s="262"/>
      <c r="B102" s="69" t="s">
        <v>108</v>
      </c>
      <c r="C102" s="67">
        <f t="shared" si="6"/>
        <v>0</v>
      </c>
      <c r="D102" s="67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67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67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67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67">
        <f t="shared" si="7"/>
        <v>0</v>
      </c>
      <c r="I102" s="67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67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67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67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67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67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67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77">
        <f t="shared" si="8"/>
        <v>0</v>
      </c>
      <c r="Q102" s="67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67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67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67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67">
        <f t="shared" si="9"/>
        <v>0</v>
      </c>
      <c r="V102" s="67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67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67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67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6">
      <c r="A103" s="263"/>
      <c r="B103" s="69" t="s">
        <v>70</v>
      </c>
      <c r="C103" s="71">
        <f t="shared" ref="C103:Y103" si="11">SUM(C96:C102)</f>
        <v>0</v>
      </c>
      <c r="D103" s="71">
        <f t="shared" si="11"/>
        <v>-5000000.333333334</v>
      </c>
      <c r="E103" s="71">
        <f t="shared" si="11"/>
        <v>0</v>
      </c>
      <c r="F103" s="71">
        <f t="shared" si="11"/>
        <v>5000000.333333334</v>
      </c>
      <c r="G103" s="71">
        <f t="shared" si="11"/>
        <v>0</v>
      </c>
      <c r="H103" s="71">
        <f t="shared" si="11"/>
        <v>0</v>
      </c>
      <c r="I103" s="71">
        <f t="shared" si="11"/>
        <v>0</v>
      </c>
      <c r="J103" s="71">
        <f t="shared" si="11"/>
        <v>0</v>
      </c>
      <c r="K103" s="71">
        <f t="shared" si="11"/>
        <v>0</v>
      </c>
      <c r="L103" s="71">
        <f t="shared" si="11"/>
        <v>0</v>
      </c>
      <c r="M103" s="71">
        <f t="shared" si="11"/>
        <v>0</v>
      </c>
      <c r="N103" s="71">
        <f t="shared" si="11"/>
        <v>0</v>
      </c>
      <c r="O103" s="71">
        <f t="shared" si="11"/>
        <v>0</v>
      </c>
      <c r="P103" s="71">
        <f t="shared" si="11"/>
        <v>0</v>
      </c>
      <c r="Q103" s="71">
        <f t="shared" si="11"/>
        <v>0</v>
      </c>
      <c r="R103" s="71">
        <f t="shared" si="11"/>
        <v>0</v>
      </c>
      <c r="S103" s="71">
        <f t="shared" si="11"/>
        <v>0</v>
      </c>
      <c r="T103" s="71">
        <f t="shared" si="11"/>
        <v>0</v>
      </c>
      <c r="U103" s="71">
        <f t="shared" si="11"/>
        <v>0</v>
      </c>
      <c r="V103" s="71">
        <f t="shared" si="11"/>
        <v>0</v>
      </c>
      <c r="W103" s="71">
        <f t="shared" si="11"/>
        <v>0</v>
      </c>
      <c r="X103" s="71">
        <f t="shared" si="11"/>
        <v>0</v>
      </c>
      <c r="Y103" s="71">
        <f t="shared" si="11"/>
        <v>0</v>
      </c>
    </row>
    <row r="104" spans="1:26">
      <c r="A104" s="72"/>
      <c r="B104" s="72" t="s">
        <v>4</v>
      </c>
      <c r="C104" s="72">
        <f t="shared" ref="C104:Y104" si="12">C103+C95+C70+C65</f>
        <v>0</v>
      </c>
      <c r="D104" s="72">
        <f t="shared" si="12"/>
        <v>-5225683.3933333317</v>
      </c>
      <c r="E104" s="72">
        <f t="shared" si="12"/>
        <v>810768.57</v>
      </c>
      <c r="F104" s="72">
        <f t="shared" si="12"/>
        <v>4510707.1633333322</v>
      </c>
      <c r="G104" s="72">
        <f t="shared" si="12"/>
        <v>2629.37</v>
      </c>
      <c r="H104" s="72">
        <f t="shared" si="12"/>
        <v>33875.829999999973</v>
      </c>
      <c r="I104" s="72">
        <f t="shared" si="12"/>
        <v>177158.64999999997</v>
      </c>
      <c r="J104" s="72">
        <f t="shared" si="12"/>
        <v>-117140.7</v>
      </c>
      <c r="K104" s="72">
        <f t="shared" si="12"/>
        <v>17.829999999999984</v>
      </c>
      <c r="L104" s="72">
        <f t="shared" si="12"/>
        <v>0</v>
      </c>
      <c r="M104" s="72">
        <f t="shared" si="12"/>
        <v>-19750</v>
      </c>
      <c r="N104" s="72">
        <f t="shared" si="12"/>
        <v>-6409.9499999999971</v>
      </c>
      <c r="O104" s="72">
        <f t="shared" si="12"/>
        <v>-19573.07</v>
      </c>
      <c r="P104" s="79">
        <f t="shared" si="12"/>
        <v>-28589.719999999998</v>
      </c>
      <c r="Q104" s="72">
        <f t="shared" si="12"/>
        <v>-14700</v>
      </c>
      <c r="R104" s="72">
        <f t="shared" si="12"/>
        <v>-29400</v>
      </c>
      <c r="S104" s="72">
        <f t="shared" si="12"/>
        <v>-7545.28</v>
      </c>
      <c r="T104" s="72">
        <f t="shared" si="12"/>
        <v>23055.56</v>
      </c>
      <c r="U104" s="72">
        <f t="shared" si="12"/>
        <v>-84134.75</v>
      </c>
      <c r="V104" s="72">
        <f t="shared" si="12"/>
        <v>-69524</v>
      </c>
      <c r="W104" s="72">
        <f t="shared" si="12"/>
        <v>4979.25</v>
      </c>
      <c r="X104" s="72">
        <f t="shared" si="12"/>
        <v>-19590</v>
      </c>
      <c r="Y104" s="72">
        <f t="shared" si="12"/>
        <v>0</v>
      </c>
    </row>
    <row r="106" spans="1:26">
      <c r="B106" s="61" t="s">
        <v>110</v>
      </c>
    </row>
    <row r="107" spans="1:26">
      <c r="A107" s="63" t="s">
        <v>58</v>
      </c>
      <c r="B107" s="64" t="s">
        <v>59</v>
      </c>
      <c r="C107" s="65" t="str">
        <f>累计利润调整表!B3</f>
        <v>合计</v>
      </c>
      <c r="D107" s="65" t="str">
        <f>累计利润调整表!C3</f>
        <v>其他</v>
      </c>
      <c r="E107" s="65" t="str">
        <f>累计利润调整表!D3</f>
        <v>总部中后台</v>
      </c>
      <c r="F107" s="65" t="str">
        <f>累计利润调整表!E3</f>
        <v>经纪业务部</v>
      </c>
      <c r="G107" s="65" t="str">
        <f>累计利润调整表!F3</f>
        <v>资产管理部</v>
      </c>
      <c r="H107" s="65" t="str">
        <f>累计利润调整表!G3</f>
        <v>深分公司合计</v>
      </c>
      <c r="I107" s="76" t="str">
        <f>累计利润调整表!H3</f>
        <v>固定收益部</v>
      </c>
      <c r="J107" s="76" t="str">
        <f>累计利润调整表!I3</f>
        <v>证券投资部</v>
      </c>
      <c r="K107" s="76" t="str">
        <f>累计利润调整表!J3</f>
        <v>金融衍生品投资部</v>
      </c>
      <c r="L107" s="76" t="str">
        <f>累计利润调整表!K3</f>
        <v>风险管理部</v>
      </c>
      <c r="M107" s="76" t="str">
        <f>累计利润调整表!L3</f>
        <v>深圳管理部</v>
      </c>
      <c r="N107" s="76" t="str">
        <f>累计利润调整表!M3</f>
        <v>金融工程部</v>
      </c>
      <c r="O107" s="65" t="str">
        <f>累计利润调整表!N3</f>
        <v>中小企业融资部</v>
      </c>
      <c r="P107" s="65" t="str">
        <f>累计利润调整表!O3</f>
        <v>投资银行合计</v>
      </c>
      <c r="Q107" s="76" t="str">
        <f>累计利润调整表!P3</f>
        <v>财务顾问部</v>
      </c>
      <c r="R107" s="76" t="str">
        <f>累计利润调整表!Q3</f>
        <v>债券融资部</v>
      </c>
      <c r="S107" s="76" t="str">
        <f>累计利润调整表!R3</f>
        <v>股权融资部</v>
      </c>
      <c r="T107" s="76" t="str">
        <f>累计利润调整表!S3</f>
        <v>投资银行总部</v>
      </c>
      <c r="U107" s="65" t="str">
        <f>累计利润调整表!T3</f>
        <v>浙江分公司小计</v>
      </c>
      <c r="V107" s="76" t="str">
        <f>累计利润调整表!U3</f>
        <v>浙分总部</v>
      </c>
      <c r="W107" s="76" t="str">
        <f>累计利润调整表!V3</f>
        <v>综合业务部</v>
      </c>
      <c r="X107" s="76" t="str">
        <f>累计利润调整表!W3</f>
        <v>网络金融部</v>
      </c>
      <c r="Y107" s="65"/>
      <c r="Z107" s="65"/>
    </row>
    <row r="108" spans="1:26">
      <c r="A108" s="264" t="s">
        <v>60</v>
      </c>
      <c r="B108" s="66" t="s">
        <v>61</v>
      </c>
      <c r="C108" s="80">
        <f t="shared" ref="C108:C154" si="13">SUM(D108:H108)+O108+P108+U108</f>
        <v>81174753.970000029</v>
      </c>
      <c r="D108" s="80">
        <f t="shared" ref="D108:G116" si="14">D4+D56</f>
        <v>222880</v>
      </c>
      <c r="E108" s="80">
        <f t="shared" si="14"/>
        <v>20711440.220000003</v>
      </c>
      <c r="F108" s="80">
        <f t="shared" si="14"/>
        <v>38308652.680000022</v>
      </c>
      <c r="G108" s="80">
        <f t="shared" si="14"/>
        <v>2388646.4700000002</v>
      </c>
      <c r="H108" s="80">
        <f>SUM(I108:N108)</f>
        <v>6281614.7200000007</v>
      </c>
      <c r="I108" s="80">
        <f t="shared" ref="I108:O116" si="15">I4+I56</f>
        <v>1817423.4199999997</v>
      </c>
      <c r="J108" s="80">
        <f t="shared" si="15"/>
        <v>1597602.62</v>
      </c>
      <c r="K108" s="80">
        <f t="shared" si="15"/>
        <v>850127.02</v>
      </c>
      <c r="L108" s="80">
        <f t="shared" si="15"/>
        <v>0</v>
      </c>
      <c r="M108" s="80">
        <f t="shared" si="15"/>
        <v>744092.15</v>
      </c>
      <c r="N108" s="82">
        <f t="shared" si="15"/>
        <v>1272369.51</v>
      </c>
      <c r="O108" s="82">
        <f t="shared" si="15"/>
        <v>2549219.5299999998</v>
      </c>
      <c r="P108" s="82">
        <f>SUM(Q108:T108)</f>
        <v>7404624.9199999999</v>
      </c>
      <c r="Q108" s="82">
        <f t="shared" ref="Q108:T116" si="16">Q4+Q56</f>
        <v>287541.51</v>
      </c>
      <c r="R108" s="82">
        <f t="shared" si="16"/>
        <v>1936806.39</v>
      </c>
      <c r="S108" s="82">
        <f t="shared" si="16"/>
        <v>4234983.25</v>
      </c>
      <c r="T108" s="80">
        <f t="shared" si="16"/>
        <v>945293.77</v>
      </c>
      <c r="U108" s="80">
        <f>SUM(V108:Y108)</f>
        <v>3307675.4299999997</v>
      </c>
      <c r="V108" s="80">
        <f t="shared" ref="V108:X116" si="17">V4+V56</f>
        <v>849215.36</v>
      </c>
      <c r="W108" s="80">
        <f t="shared" si="17"/>
        <v>209337.28</v>
      </c>
      <c r="X108" s="80">
        <f t="shared" si="17"/>
        <v>2249122.79</v>
      </c>
    </row>
    <row r="109" spans="1:26">
      <c r="A109" s="265"/>
      <c r="B109" s="66" t="s">
        <v>62</v>
      </c>
      <c r="C109" s="80">
        <f t="shared" si="13"/>
        <v>810756.00999999978</v>
      </c>
      <c r="D109" s="80">
        <f t="shared" si="14"/>
        <v>10960</v>
      </c>
      <c r="E109" s="80">
        <f t="shared" si="14"/>
        <v>132575</v>
      </c>
      <c r="F109" s="80">
        <f t="shared" si="14"/>
        <v>607774.67999999982</v>
      </c>
      <c r="G109" s="80">
        <f t="shared" si="14"/>
        <v>17175</v>
      </c>
      <c r="H109" s="80">
        <f t="shared" ref="H109:H116" si="18">SUM(I109:N109)</f>
        <v>26645.33</v>
      </c>
      <c r="I109" s="80">
        <f t="shared" si="15"/>
        <v>8350</v>
      </c>
      <c r="J109" s="80">
        <f t="shared" si="15"/>
        <v>9470.33</v>
      </c>
      <c r="K109" s="80">
        <f t="shared" si="15"/>
        <v>1600</v>
      </c>
      <c r="L109" s="80">
        <f t="shared" si="15"/>
        <v>0</v>
      </c>
      <c r="M109" s="80">
        <f t="shared" si="15"/>
        <v>2250</v>
      </c>
      <c r="N109" s="82">
        <f t="shared" si="15"/>
        <v>4975</v>
      </c>
      <c r="O109" s="82">
        <f t="shared" si="15"/>
        <v>284</v>
      </c>
      <c r="P109" s="82">
        <f t="shared" ref="P109:P116" si="19">SUM(Q109:T109)</f>
        <v>15342</v>
      </c>
      <c r="Q109" s="82">
        <f t="shared" si="16"/>
        <v>175.00000000000003</v>
      </c>
      <c r="R109" s="82">
        <f t="shared" si="16"/>
        <v>10802</v>
      </c>
      <c r="S109" s="82">
        <f t="shared" si="16"/>
        <v>0</v>
      </c>
      <c r="T109" s="80">
        <f t="shared" si="16"/>
        <v>4365</v>
      </c>
      <c r="U109" s="80">
        <f t="shared" ref="U109:U116" si="20">SUM(V109:Y109)</f>
        <v>0</v>
      </c>
      <c r="V109" s="80">
        <f t="shared" si="17"/>
        <v>0</v>
      </c>
      <c r="W109" s="80">
        <f t="shared" si="17"/>
        <v>0</v>
      </c>
      <c r="X109" s="80">
        <f t="shared" si="17"/>
        <v>0</v>
      </c>
    </row>
    <row r="110" spans="1:26">
      <c r="A110" s="265"/>
      <c r="B110" s="66" t="s">
        <v>63</v>
      </c>
      <c r="C110" s="80">
        <f t="shared" si="13"/>
        <v>3306008.82</v>
      </c>
      <c r="D110" s="80">
        <f t="shared" si="14"/>
        <v>4660</v>
      </c>
      <c r="E110" s="80">
        <f t="shared" si="14"/>
        <v>703380.51000000013</v>
      </c>
      <c r="F110" s="80">
        <f t="shared" si="14"/>
        <v>1159300.4399999997</v>
      </c>
      <c r="G110" s="80">
        <f t="shared" si="14"/>
        <v>49182.499999999993</v>
      </c>
      <c r="H110" s="80">
        <f t="shared" si="18"/>
        <v>126861.89</v>
      </c>
      <c r="I110" s="80">
        <f t="shared" si="15"/>
        <v>37295.660000000003</v>
      </c>
      <c r="J110" s="80">
        <f t="shared" si="15"/>
        <v>32698.429999999997</v>
      </c>
      <c r="K110" s="80">
        <f t="shared" si="15"/>
        <v>17405.740000000002</v>
      </c>
      <c r="L110" s="80">
        <f t="shared" si="15"/>
        <v>0</v>
      </c>
      <c r="M110" s="80">
        <f t="shared" si="15"/>
        <v>10950.65</v>
      </c>
      <c r="N110" s="82">
        <f t="shared" si="15"/>
        <v>28511.41</v>
      </c>
      <c r="O110" s="82">
        <f t="shared" si="15"/>
        <v>50720.38</v>
      </c>
      <c r="P110" s="82">
        <f t="shared" si="19"/>
        <v>1149593.6100000001</v>
      </c>
      <c r="Q110" s="82">
        <f t="shared" si="16"/>
        <v>6000.42</v>
      </c>
      <c r="R110" s="82">
        <f t="shared" si="16"/>
        <v>921071.91999999993</v>
      </c>
      <c r="S110" s="82">
        <f t="shared" si="16"/>
        <v>204555.67</v>
      </c>
      <c r="T110" s="80">
        <f t="shared" si="16"/>
        <v>17965.599999999999</v>
      </c>
      <c r="U110" s="80">
        <f t="shared" si="20"/>
        <v>62309.490000000005</v>
      </c>
      <c r="V110" s="80">
        <f t="shared" si="17"/>
        <v>17190.32</v>
      </c>
      <c r="W110" s="80">
        <f t="shared" si="17"/>
        <v>4337.96</v>
      </c>
      <c r="X110" s="80">
        <f t="shared" si="17"/>
        <v>40781.210000000006</v>
      </c>
    </row>
    <row r="111" spans="1:26">
      <c r="A111" s="265"/>
      <c r="B111" s="66" t="s">
        <v>64</v>
      </c>
      <c r="C111" s="80">
        <f t="shared" si="13"/>
        <v>19908752.350000001</v>
      </c>
      <c r="D111" s="80">
        <f t="shared" si="14"/>
        <v>-183240.42</v>
      </c>
      <c r="E111" s="80">
        <f t="shared" si="14"/>
        <v>3787989.24</v>
      </c>
      <c r="F111" s="80">
        <f t="shared" si="14"/>
        <v>11471959</v>
      </c>
      <c r="G111" s="80">
        <f t="shared" si="14"/>
        <v>599887.76</v>
      </c>
      <c r="H111" s="80">
        <f t="shared" si="18"/>
        <v>1554850.4</v>
      </c>
      <c r="I111" s="80">
        <f t="shared" si="15"/>
        <v>441511.01000000007</v>
      </c>
      <c r="J111" s="80">
        <f t="shared" si="15"/>
        <v>422342.31</v>
      </c>
      <c r="K111" s="80">
        <f t="shared" si="15"/>
        <v>227328.2</v>
      </c>
      <c r="L111" s="80">
        <f t="shared" si="15"/>
        <v>0</v>
      </c>
      <c r="M111" s="80">
        <f t="shared" si="15"/>
        <v>129551.42</v>
      </c>
      <c r="N111" s="82">
        <f t="shared" si="15"/>
        <v>334117.46000000002</v>
      </c>
      <c r="O111" s="82">
        <f t="shared" si="15"/>
        <v>639243.16</v>
      </c>
      <c r="P111" s="82">
        <f t="shared" si="19"/>
        <v>1054686.98</v>
      </c>
      <c r="Q111" s="82">
        <f t="shared" si="16"/>
        <v>62264.89</v>
      </c>
      <c r="R111" s="82">
        <f t="shared" si="16"/>
        <v>471220.53</v>
      </c>
      <c r="S111" s="82">
        <f t="shared" si="16"/>
        <v>379672.20000000007</v>
      </c>
      <c r="T111" s="80">
        <f t="shared" si="16"/>
        <v>141529.35999999999</v>
      </c>
      <c r="U111" s="80">
        <f t="shared" si="20"/>
        <v>983376.23</v>
      </c>
      <c r="V111" s="80">
        <f t="shared" si="17"/>
        <v>157079.6</v>
      </c>
      <c r="W111" s="80">
        <f t="shared" si="17"/>
        <v>70788.009999999995</v>
      </c>
      <c r="X111" s="80">
        <f t="shared" si="17"/>
        <v>755508.62</v>
      </c>
    </row>
    <row r="112" spans="1:26">
      <c r="A112" s="265"/>
      <c r="B112" s="66" t="s">
        <v>65</v>
      </c>
      <c r="C112" s="80">
        <f t="shared" si="13"/>
        <v>0</v>
      </c>
      <c r="D112" s="80">
        <f t="shared" si="14"/>
        <v>0</v>
      </c>
      <c r="E112" s="80">
        <f t="shared" si="14"/>
        <v>0</v>
      </c>
      <c r="F112" s="80">
        <f t="shared" si="14"/>
        <v>0</v>
      </c>
      <c r="G112" s="80">
        <f t="shared" si="14"/>
        <v>0</v>
      </c>
      <c r="H112" s="80">
        <f t="shared" si="18"/>
        <v>0</v>
      </c>
      <c r="I112" s="80">
        <f t="shared" si="15"/>
        <v>0</v>
      </c>
      <c r="J112" s="80">
        <f t="shared" si="15"/>
        <v>0</v>
      </c>
      <c r="K112" s="80">
        <f t="shared" si="15"/>
        <v>0</v>
      </c>
      <c r="L112" s="80">
        <f t="shared" si="15"/>
        <v>0</v>
      </c>
      <c r="M112" s="80">
        <f t="shared" si="15"/>
        <v>0</v>
      </c>
      <c r="N112" s="82">
        <f t="shared" si="15"/>
        <v>0</v>
      </c>
      <c r="O112" s="82">
        <f t="shared" si="15"/>
        <v>0</v>
      </c>
      <c r="P112" s="82">
        <f t="shared" si="19"/>
        <v>0</v>
      </c>
      <c r="Q112" s="82">
        <f t="shared" si="16"/>
        <v>0</v>
      </c>
      <c r="R112" s="82">
        <f t="shared" si="16"/>
        <v>0</v>
      </c>
      <c r="S112" s="82">
        <f t="shared" si="16"/>
        <v>0</v>
      </c>
      <c r="T112" s="80">
        <f t="shared" si="16"/>
        <v>0</v>
      </c>
      <c r="U112" s="80">
        <f t="shared" si="20"/>
        <v>0</v>
      </c>
      <c r="V112" s="80">
        <f t="shared" si="17"/>
        <v>0</v>
      </c>
      <c r="W112" s="80">
        <f t="shared" si="17"/>
        <v>0</v>
      </c>
      <c r="X112" s="80">
        <f t="shared" si="17"/>
        <v>0</v>
      </c>
    </row>
    <row r="113" spans="1:24">
      <c r="A113" s="265"/>
      <c r="B113" s="66" t="s">
        <v>66</v>
      </c>
      <c r="C113" s="80">
        <f t="shared" si="13"/>
        <v>214117.16000000006</v>
      </c>
      <c r="D113" s="80">
        <f t="shared" si="14"/>
        <v>0</v>
      </c>
      <c r="E113" s="80">
        <f t="shared" si="14"/>
        <v>-1211.4000000000001</v>
      </c>
      <c r="F113" s="80">
        <f t="shared" si="14"/>
        <v>180163.96000000005</v>
      </c>
      <c r="G113" s="80">
        <f t="shared" si="14"/>
        <v>-1211.4000000000001</v>
      </c>
      <c r="H113" s="80">
        <f t="shared" si="18"/>
        <v>4038</v>
      </c>
      <c r="I113" s="80">
        <f t="shared" si="15"/>
        <v>0</v>
      </c>
      <c r="J113" s="80">
        <f t="shared" si="15"/>
        <v>0</v>
      </c>
      <c r="K113" s="80">
        <f t="shared" si="15"/>
        <v>4038</v>
      </c>
      <c r="L113" s="80">
        <f t="shared" si="15"/>
        <v>0</v>
      </c>
      <c r="M113" s="80">
        <f t="shared" si="15"/>
        <v>0</v>
      </c>
      <c r="N113" s="82">
        <f t="shared" si="15"/>
        <v>0</v>
      </c>
      <c r="O113" s="82">
        <f t="shared" si="15"/>
        <v>0</v>
      </c>
      <c r="P113" s="82">
        <f t="shared" si="19"/>
        <v>0</v>
      </c>
      <c r="Q113" s="82">
        <f t="shared" si="16"/>
        <v>0</v>
      </c>
      <c r="R113" s="82">
        <f t="shared" si="16"/>
        <v>0</v>
      </c>
      <c r="S113" s="82">
        <f t="shared" si="16"/>
        <v>0</v>
      </c>
      <c r="T113" s="80">
        <f t="shared" si="16"/>
        <v>0</v>
      </c>
      <c r="U113" s="80">
        <f t="shared" si="20"/>
        <v>32338</v>
      </c>
      <c r="V113" s="80">
        <f t="shared" si="17"/>
        <v>0</v>
      </c>
      <c r="W113" s="80">
        <f t="shared" si="17"/>
        <v>0</v>
      </c>
      <c r="X113" s="80">
        <f t="shared" si="17"/>
        <v>32338</v>
      </c>
    </row>
    <row r="114" spans="1:24">
      <c r="A114" s="265"/>
      <c r="B114" s="66" t="s">
        <v>67</v>
      </c>
      <c r="C114" s="80">
        <f t="shared" si="13"/>
        <v>1700880</v>
      </c>
      <c r="D114" s="80">
        <f t="shared" si="14"/>
        <v>2520</v>
      </c>
      <c r="E114" s="80">
        <f t="shared" si="14"/>
        <v>452100</v>
      </c>
      <c r="F114" s="80">
        <f t="shared" si="14"/>
        <v>670100</v>
      </c>
      <c r="G114" s="80">
        <f t="shared" si="14"/>
        <v>70480</v>
      </c>
      <c r="H114" s="80">
        <f t="shared" si="18"/>
        <v>148540</v>
      </c>
      <c r="I114" s="80">
        <f t="shared" si="15"/>
        <v>47360</v>
      </c>
      <c r="J114" s="80">
        <f t="shared" si="15"/>
        <v>37320</v>
      </c>
      <c r="K114" s="80">
        <f t="shared" si="15"/>
        <v>20160</v>
      </c>
      <c r="L114" s="80">
        <f t="shared" si="15"/>
        <v>0</v>
      </c>
      <c r="M114" s="80">
        <f t="shared" si="15"/>
        <v>12660</v>
      </c>
      <c r="N114" s="82">
        <f t="shared" si="15"/>
        <v>31040</v>
      </c>
      <c r="O114" s="82">
        <f t="shared" si="15"/>
        <v>94860</v>
      </c>
      <c r="P114" s="82">
        <f t="shared" si="19"/>
        <v>162980</v>
      </c>
      <c r="Q114" s="82">
        <f t="shared" si="16"/>
        <v>12480</v>
      </c>
      <c r="R114" s="82">
        <f t="shared" si="16"/>
        <v>73420</v>
      </c>
      <c r="S114" s="82">
        <f t="shared" si="16"/>
        <v>54300</v>
      </c>
      <c r="T114" s="80">
        <f t="shared" si="16"/>
        <v>22780</v>
      </c>
      <c r="U114" s="80">
        <f t="shared" si="20"/>
        <v>99300</v>
      </c>
      <c r="V114" s="80">
        <f t="shared" si="17"/>
        <v>15400</v>
      </c>
      <c r="W114" s="80">
        <f t="shared" si="17"/>
        <v>7560</v>
      </c>
      <c r="X114" s="80">
        <f t="shared" si="17"/>
        <v>76340</v>
      </c>
    </row>
    <row r="115" spans="1:24">
      <c r="A115" s="265"/>
      <c r="B115" s="66" t="s">
        <v>68</v>
      </c>
      <c r="C115" s="80">
        <f t="shared" si="13"/>
        <v>476595.97000000009</v>
      </c>
      <c r="D115" s="80">
        <f t="shared" si="14"/>
        <v>0</v>
      </c>
      <c r="E115" s="80">
        <f t="shared" si="14"/>
        <v>197434.04</v>
      </c>
      <c r="F115" s="80">
        <f t="shared" si="14"/>
        <v>188751.83000000005</v>
      </c>
      <c r="G115" s="80">
        <f t="shared" si="14"/>
        <v>12000</v>
      </c>
      <c r="H115" s="80">
        <f t="shared" si="18"/>
        <v>43324.100000000006</v>
      </c>
      <c r="I115" s="80">
        <f t="shared" si="15"/>
        <v>1270</v>
      </c>
      <c r="J115" s="80">
        <f t="shared" si="15"/>
        <v>13739.04</v>
      </c>
      <c r="K115" s="80">
        <f t="shared" si="15"/>
        <v>9166</v>
      </c>
      <c r="L115" s="80">
        <f t="shared" si="15"/>
        <v>0</v>
      </c>
      <c r="M115" s="80">
        <f t="shared" si="15"/>
        <v>13539.060000000001</v>
      </c>
      <c r="N115" s="82">
        <f t="shared" si="15"/>
        <v>5610.0000000000009</v>
      </c>
      <c r="O115" s="82">
        <f t="shared" si="15"/>
        <v>8000</v>
      </c>
      <c r="P115" s="82">
        <f t="shared" si="19"/>
        <v>9990</v>
      </c>
      <c r="Q115" s="82">
        <f t="shared" si="16"/>
        <v>0</v>
      </c>
      <c r="R115" s="82">
        <f t="shared" si="16"/>
        <v>1600</v>
      </c>
      <c r="S115" s="82">
        <f t="shared" si="16"/>
        <v>0</v>
      </c>
      <c r="T115" s="80">
        <f t="shared" si="16"/>
        <v>8390</v>
      </c>
      <c r="U115" s="80">
        <f t="shared" si="20"/>
        <v>17096</v>
      </c>
      <c r="V115" s="80">
        <f t="shared" si="17"/>
        <v>12290.000000000002</v>
      </c>
      <c r="W115" s="80">
        <f t="shared" si="17"/>
        <v>4806</v>
      </c>
      <c r="X115" s="80">
        <f t="shared" si="17"/>
        <v>0</v>
      </c>
    </row>
    <row r="116" spans="1:24">
      <c r="A116" s="265"/>
      <c r="B116" s="66" t="s">
        <v>69</v>
      </c>
      <c r="C116" s="80">
        <f t="shared" si="13"/>
        <v>0</v>
      </c>
      <c r="D116" s="80">
        <f t="shared" si="14"/>
        <v>0</v>
      </c>
      <c r="E116" s="80">
        <f t="shared" si="14"/>
        <v>0</v>
      </c>
      <c r="F116" s="80">
        <f t="shared" si="14"/>
        <v>0</v>
      </c>
      <c r="G116" s="80">
        <f t="shared" si="14"/>
        <v>0</v>
      </c>
      <c r="H116" s="80">
        <f t="shared" si="18"/>
        <v>0</v>
      </c>
      <c r="I116" s="80">
        <f t="shared" si="15"/>
        <v>0</v>
      </c>
      <c r="J116" s="80">
        <f t="shared" si="15"/>
        <v>0</v>
      </c>
      <c r="K116" s="80">
        <f t="shared" si="15"/>
        <v>0</v>
      </c>
      <c r="L116" s="80">
        <f t="shared" si="15"/>
        <v>0</v>
      </c>
      <c r="M116" s="80">
        <f t="shared" si="15"/>
        <v>0</v>
      </c>
      <c r="N116" s="82">
        <f t="shared" si="15"/>
        <v>0</v>
      </c>
      <c r="O116" s="82">
        <f t="shared" si="15"/>
        <v>0</v>
      </c>
      <c r="P116" s="82">
        <f t="shared" si="19"/>
        <v>0</v>
      </c>
      <c r="Q116" s="82">
        <f t="shared" si="16"/>
        <v>0</v>
      </c>
      <c r="R116" s="82">
        <f t="shared" si="16"/>
        <v>0</v>
      </c>
      <c r="S116" s="82">
        <f t="shared" si="16"/>
        <v>0</v>
      </c>
      <c r="T116" s="80">
        <f t="shared" si="16"/>
        <v>0</v>
      </c>
      <c r="U116" s="80">
        <f t="shared" si="20"/>
        <v>0</v>
      </c>
      <c r="V116" s="80">
        <f t="shared" si="17"/>
        <v>0</v>
      </c>
      <c r="W116" s="80">
        <f t="shared" si="17"/>
        <v>0</v>
      </c>
      <c r="X116" s="80">
        <f t="shared" si="17"/>
        <v>0</v>
      </c>
    </row>
    <row r="117" spans="1:24">
      <c r="A117" s="266"/>
      <c r="B117" s="66" t="s">
        <v>70</v>
      </c>
      <c r="C117" s="81">
        <f>SUM(C108:C116)</f>
        <v>107591864.28000003</v>
      </c>
      <c r="D117" s="81">
        <f>SUM(D108:D116)</f>
        <v>57779.579999999987</v>
      </c>
      <c r="E117" s="81">
        <f t="shared" ref="E117:X117" si="21">SUM(E108:E116)</f>
        <v>25983707.610000007</v>
      </c>
      <c r="F117" s="81">
        <f t="shared" si="21"/>
        <v>52586702.590000018</v>
      </c>
      <c r="G117" s="81">
        <f t="shared" si="21"/>
        <v>3136160.3300000005</v>
      </c>
      <c r="H117" s="81">
        <f t="shared" si="21"/>
        <v>8185874.4399999995</v>
      </c>
      <c r="I117" s="81">
        <f t="shared" si="21"/>
        <v>2353210.09</v>
      </c>
      <c r="J117" s="81">
        <f t="shared" si="21"/>
        <v>2113172.7300000004</v>
      </c>
      <c r="K117" s="81">
        <f t="shared" si="21"/>
        <v>1129824.96</v>
      </c>
      <c r="L117" s="81">
        <f t="shared" si="21"/>
        <v>0</v>
      </c>
      <c r="M117" s="81">
        <f t="shared" si="21"/>
        <v>913043.28000000014</v>
      </c>
      <c r="N117" s="83">
        <f t="shared" si="21"/>
        <v>1676623.38</v>
      </c>
      <c r="O117" s="83">
        <f t="shared" si="21"/>
        <v>3342327.07</v>
      </c>
      <c r="P117" s="83">
        <f t="shared" si="21"/>
        <v>9797217.5099999998</v>
      </c>
      <c r="Q117" s="83">
        <f t="shared" si="21"/>
        <v>368461.82</v>
      </c>
      <c r="R117" s="83">
        <f t="shared" si="21"/>
        <v>3414920.84</v>
      </c>
      <c r="S117" s="83">
        <f t="shared" si="21"/>
        <v>4873511.12</v>
      </c>
      <c r="T117" s="81">
        <f t="shared" si="21"/>
        <v>1140323.73</v>
      </c>
      <c r="U117" s="81">
        <f t="shared" si="21"/>
        <v>4502095.1500000004</v>
      </c>
      <c r="V117" s="81">
        <f t="shared" si="21"/>
        <v>1051175.28</v>
      </c>
      <c r="W117" s="81">
        <f t="shared" si="21"/>
        <v>296829.25</v>
      </c>
      <c r="X117" s="81">
        <f t="shared" si="21"/>
        <v>3154090.62</v>
      </c>
    </row>
    <row r="118" spans="1:24">
      <c r="A118" s="258" t="s">
        <v>71</v>
      </c>
      <c r="B118" s="69" t="s">
        <v>72</v>
      </c>
      <c r="C118" s="80">
        <f t="shared" si="13"/>
        <v>30903061.190000001</v>
      </c>
      <c r="D118" s="80">
        <f t="shared" ref="D118:G121" si="22">D14+D66</f>
        <v>0</v>
      </c>
      <c r="E118" s="80">
        <f t="shared" si="22"/>
        <v>0</v>
      </c>
      <c r="F118" s="80">
        <f t="shared" si="22"/>
        <v>19189317.180000003</v>
      </c>
      <c r="G118" s="80">
        <f t="shared" si="22"/>
        <v>0</v>
      </c>
      <c r="H118" s="80">
        <f>SUM(I118:N118)</f>
        <v>127484.49</v>
      </c>
      <c r="I118" s="80">
        <f t="shared" ref="I118:O121" si="23">I14+I66</f>
        <v>0</v>
      </c>
      <c r="J118" s="80">
        <f t="shared" si="23"/>
        <v>0</v>
      </c>
      <c r="K118" s="80">
        <f t="shared" si="23"/>
        <v>5324</v>
      </c>
      <c r="L118" s="80">
        <f t="shared" si="23"/>
        <v>0</v>
      </c>
      <c r="M118" s="80">
        <f t="shared" si="23"/>
        <v>0</v>
      </c>
      <c r="N118" s="82">
        <f t="shared" si="23"/>
        <v>122160.49</v>
      </c>
      <c r="O118" s="82">
        <f t="shared" si="23"/>
        <v>0</v>
      </c>
      <c r="P118" s="82">
        <f>SUM(Q118:T118)</f>
        <v>11491060</v>
      </c>
      <c r="Q118" s="82">
        <f t="shared" ref="Q118:T121" si="24">Q14+Q66</f>
        <v>0</v>
      </c>
      <c r="R118" s="82">
        <f t="shared" si="24"/>
        <v>9586060</v>
      </c>
      <c r="S118" s="82">
        <f t="shared" si="24"/>
        <v>1905000</v>
      </c>
      <c r="T118" s="80">
        <f t="shared" si="24"/>
        <v>0</v>
      </c>
      <c r="U118" s="80">
        <f>SUM(V118:Y118)</f>
        <v>95199.52</v>
      </c>
      <c r="V118" s="80">
        <f t="shared" ref="V118:X121" si="25">V14+V66</f>
        <v>0</v>
      </c>
      <c r="W118" s="80">
        <f t="shared" si="25"/>
        <v>0</v>
      </c>
      <c r="X118" s="80">
        <f t="shared" si="25"/>
        <v>95199.52</v>
      </c>
    </row>
    <row r="119" spans="1:24">
      <c r="A119" s="259"/>
      <c r="B119" s="69" t="s">
        <v>73</v>
      </c>
      <c r="C119" s="80">
        <f t="shared" si="13"/>
        <v>71693744.370000005</v>
      </c>
      <c r="D119" s="80">
        <f t="shared" si="22"/>
        <v>1.862645149230957E-9</v>
      </c>
      <c r="E119" s="80">
        <f t="shared" si="22"/>
        <v>0</v>
      </c>
      <c r="F119" s="80">
        <f t="shared" si="22"/>
        <v>31870036.479999997</v>
      </c>
      <c r="G119" s="80">
        <f t="shared" si="22"/>
        <v>0</v>
      </c>
      <c r="H119" s="80">
        <f>SUM(I119:N119)</f>
        <v>0</v>
      </c>
      <c r="I119" s="80">
        <f t="shared" si="23"/>
        <v>0</v>
      </c>
      <c r="J119" s="80">
        <f t="shared" si="23"/>
        <v>0</v>
      </c>
      <c r="K119" s="80">
        <f t="shared" si="23"/>
        <v>0</v>
      </c>
      <c r="L119" s="80">
        <f t="shared" si="23"/>
        <v>0</v>
      </c>
      <c r="M119" s="80">
        <f t="shared" si="23"/>
        <v>0</v>
      </c>
      <c r="N119" s="82">
        <f t="shared" si="23"/>
        <v>0</v>
      </c>
      <c r="O119" s="82">
        <f t="shared" si="23"/>
        <v>15400</v>
      </c>
      <c r="P119" s="82">
        <f>SUM(Q119:T119)</f>
        <v>39808307.890000001</v>
      </c>
      <c r="Q119" s="82">
        <f t="shared" si="24"/>
        <v>0</v>
      </c>
      <c r="R119" s="82">
        <f t="shared" si="24"/>
        <v>34874807.890000001</v>
      </c>
      <c r="S119" s="82">
        <f t="shared" si="24"/>
        <v>4933500</v>
      </c>
      <c r="T119" s="80">
        <f t="shared" si="24"/>
        <v>0</v>
      </c>
      <c r="U119" s="80">
        <f>SUM(V119:Y119)</f>
        <v>0</v>
      </c>
      <c r="V119" s="80">
        <f t="shared" si="25"/>
        <v>0</v>
      </c>
      <c r="W119" s="80">
        <f t="shared" si="25"/>
        <v>0</v>
      </c>
      <c r="X119" s="80">
        <f t="shared" si="25"/>
        <v>0</v>
      </c>
    </row>
    <row r="120" spans="1:24">
      <c r="A120" s="259"/>
      <c r="B120" s="69" t="s">
        <v>74</v>
      </c>
      <c r="C120" s="80">
        <f t="shared" si="13"/>
        <v>6932472.5300000003</v>
      </c>
      <c r="D120" s="80">
        <f t="shared" si="22"/>
        <v>-1293825.94</v>
      </c>
      <c r="E120" s="80">
        <f t="shared" si="22"/>
        <v>-39627.430000000008</v>
      </c>
      <c r="F120" s="80">
        <f t="shared" si="22"/>
        <v>5595614.1200000001</v>
      </c>
      <c r="G120" s="80">
        <f t="shared" si="22"/>
        <v>-1292933.8299999998</v>
      </c>
      <c r="H120" s="80">
        <f>SUM(I120:N120)</f>
        <v>1057854.3500000001</v>
      </c>
      <c r="I120" s="80">
        <f t="shared" si="23"/>
        <v>939045.75</v>
      </c>
      <c r="J120" s="80">
        <f>J16+J68</f>
        <v>51966.92</v>
      </c>
      <c r="K120" s="80">
        <f t="shared" si="23"/>
        <v>43217.990000000013</v>
      </c>
      <c r="L120" s="80">
        <f t="shared" si="23"/>
        <v>0</v>
      </c>
      <c r="M120" s="80">
        <f t="shared" si="23"/>
        <v>5.84</v>
      </c>
      <c r="N120" s="82">
        <f>N16+N68</f>
        <v>23617.850000000002</v>
      </c>
      <c r="O120" s="82">
        <f t="shared" si="23"/>
        <v>101481.70999999999</v>
      </c>
      <c r="P120" s="82">
        <f>SUM(Q120:T120)</f>
        <v>2798919.5100000002</v>
      </c>
      <c r="Q120" s="82">
        <f t="shared" si="24"/>
        <v>0</v>
      </c>
      <c r="R120" s="82">
        <f t="shared" si="24"/>
        <v>2398585.31</v>
      </c>
      <c r="S120" s="82">
        <f t="shared" si="24"/>
        <v>377278.63999999996</v>
      </c>
      <c r="T120" s="80">
        <f t="shared" si="24"/>
        <v>23055.56</v>
      </c>
      <c r="U120" s="80">
        <f>SUM(V120:Y120)</f>
        <v>4990.04</v>
      </c>
      <c r="V120" s="80">
        <f t="shared" si="25"/>
        <v>12.68</v>
      </c>
      <c r="W120" s="80">
        <f t="shared" si="25"/>
        <v>4979.25</v>
      </c>
      <c r="X120" s="80">
        <f t="shared" si="25"/>
        <v>-1.89</v>
      </c>
    </row>
    <row r="121" spans="1:24">
      <c r="A121" s="259"/>
      <c r="B121" s="69" t="s">
        <v>75</v>
      </c>
      <c r="C121" s="80">
        <f t="shared" si="13"/>
        <v>506650</v>
      </c>
      <c r="D121" s="80">
        <f t="shared" si="22"/>
        <v>0</v>
      </c>
      <c r="E121" s="80">
        <f t="shared" si="22"/>
        <v>0</v>
      </c>
      <c r="F121" s="80">
        <f t="shared" si="22"/>
        <v>0</v>
      </c>
      <c r="G121" s="80">
        <f t="shared" si="22"/>
        <v>0</v>
      </c>
      <c r="H121" s="80">
        <f>SUM(I121:N121)</f>
        <v>506650</v>
      </c>
      <c r="I121" s="80">
        <f t="shared" si="23"/>
        <v>498650</v>
      </c>
      <c r="J121" s="80">
        <f t="shared" si="23"/>
        <v>0</v>
      </c>
      <c r="K121" s="80">
        <f t="shared" si="23"/>
        <v>0</v>
      </c>
      <c r="L121" s="80">
        <f t="shared" si="23"/>
        <v>0</v>
      </c>
      <c r="M121" s="80">
        <f t="shared" si="23"/>
        <v>8000</v>
      </c>
      <c r="N121" s="82">
        <f t="shared" si="23"/>
        <v>0</v>
      </c>
      <c r="O121" s="82">
        <f t="shared" si="23"/>
        <v>0</v>
      </c>
      <c r="P121" s="82">
        <f>SUM(Q121:T121)</f>
        <v>0</v>
      </c>
      <c r="Q121" s="82">
        <f t="shared" si="24"/>
        <v>0</v>
      </c>
      <c r="R121" s="82">
        <f t="shared" si="24"/>
        <v>0</v>
      </c>
      <c r="S121" s="82">
        <f t="shared" si="24"/>
        <v>0</v>
      </c>
      <c r="T121" s="80">
        <f t="shared" si="24"/>
        <v>0</v>
      </c>
      <c r="U121" s="80">
        <f>SUM(V121:Y121)</f>
        <v>0</v>
      </c>
      <c r="V121" s="80">
        <f t="shared" si="25"/>
        <v>0</v>
      </c>
      <c r="W121" s="80">
        <f t="shared" si="25"/>
        <v>0</v>
      </c>
      <c r="X121" s="80">
        <f t="shared" si="25"/>
        <v>0</v>
      </c>
    </row>
    <row r="122" spans="1:24">
      <c r="A122" s="260"/>
      <c r="B122" s="69" t="s">
        <v>70</v>
      </c>
      <c r="C122" s="81">
        <f>SUM(C118:C121)</f>
        <v>110035928.09</v>
      </c>
      <c r="D122" s="81">
        <f>SUM(D118:D121)</f>
        <v>-1293825.9399999981</v>
      </c>
      <c r="E122" s="81">
        <f t="shared" ref="E122:X122" si="26">SUM(E118:E121)</f>
        <v>-39627.430000000008</v>
      </c>
      <c r="F122" s="81">
        <f t="shared" si="26"/>
        <v>56654967.779999994</v>
      </c>
      <c r="G122" s="81">
        <f t="shared" si="26"/>
        <v>-1292933.8299999998</v>
      </c>
      <c r="H122" s="81">
        <f t="shared" si="26"/>
        <v>1691988.84</v>
      </c>
      <c r="I122" s="81">
        <f t="shared" si="26"/>
        <v>1437695.75</v>
      </c>
      <c r="J122" s="81">
        <f t="shared" si="26"/>
        <v>51966.92</v>
      </c>
      <c r="K122" s="81">
        <f t="shared" si="26"/>
        <v>48541.990000000013</v>
      </c>
      <c r="L122" s="81">
        <f t="shared" si="26"/>
        <v>0</v>
      </c>
      <c r="M122" s="81">
        <f t="shared" si="26"/>
        <v>8005.84</v>
      </c>
      <c r="N122" s="83">
        <f t="shared" si="26"/>
        <v>145778.34</v>
      </c>
      <c r="O122" s="83">
        <f t="shared" si="26"/>
        <v>116881.70999999999</v>
      </c>
      <c r="P122" s="83">
        <f t="shared" si="26"/>
        <v>54098287.399999999</v>
      </c>
      <c r="Q122" s="83">
        <f t="shared" si="26"/>
        <v>0</v>
      </c>
      <c r="R122" s="83">
        <f t="shared" si="26"/>
        <v>46859453.200000003</v>
      </c>
      <c r="S122" s="83">
        <f t="shared" si="26"/>
        <v>7215778.6399999997</v>
      </c>
      <c r="T122" s="81">
        <f t="shared" si="26"/>
        <v>23055.56</v>
      </c>
      <c r="U122" s="81">
        <f t="shared" si="26"/>
        <v>100189.56</v>
      </c>
      <c r="V122" s="81">
        <f t="shared" si="26"/>
        <v>12.68</v>
      </c>
      <c r="W122" s="81">
        <f t="shared" si="26"/>
        <v>4979.25</v>
      </c>
      <c r="X122" s="81">
        <f t="shared" si="26"/>
        <v>95197.63</v>
      </c>
    </row>
    <row r="123" spans="1:24">
      <c r="A123" s="261" t="s">
        <v>76</v>
      </c>
      <c r="B123" s="69" t="s">
        <v>77</v>
      </c>
      <c r="C123" s="80">
        <f t="shared" si="13"/>
        <v>17026487.52</v>
      </c>
      <c r="D123" s="80">
        <f t="shared" ref="D123:G138" si="27">D19+D71</f>
        <v>410820</v>
      </c>
      <c r="E123" s="80">
        <f t="shared" si="27"/>
        <v>2693975.9299999997</v>
      </c>
      <c r="F123" s="80">
        <f t="shared" si="27"/>
        <v>6115732.79</v>
      </c>
      <c r="G123" s="80">
        <f t="shared" si="27"/>
        <v>727320.75</v>
      </c>
      <c r="H123" s="80">
        <f>SUM(I123:N123)</f>
        <v>748859.21</v>
      </c>
      <c r="I123" s="80">
        <f>I19+I71</f>
        <v>177573.1</v>
      </c>
      <c r="J123" s="80">
        <f t="shared" ref="I123:O138" si="28">J19+J71</f>
        <v>173587.8</v>
      </c>
      <c r="K123" s="80">
        <f t="shared" si="28"/>
        <v>157123.91</v>
      </c>
      <c r="L123" s="80">
        <f t="shared" si="28"/>
        <v>0</v>
      </c>
      <c r="M123" s="80">
        <f t="shared" si="28"/>
        <v>101377.95</v>
      </c>
      <c r="N123" s="82">
        <f t="shared" si="28"/>
        <v>139196.45000000001</v>
      </c>
      <c r="O123" s="82">
        <f t="shared" si="28"/>
        <v>394463.56</v>
      </c>
      <c r="P123" s="82">
        <f>SUM(Q123:T123)</f>
        <v>5445809.2300000004</v>
      </c>
      <c r="Q123" s="82">
        <f t="shared" ref="Q123:T138" si="29">Q19+Q71</f>
        <v>314865.79999999993</v>
      </c>
      <c r="R123" s="82">
        <f t="shared" si="29"/>
        <v>3897362.73</v>
      </c>
      <c r="S123" s="82">
        <f t="shared" si="29"/>
        <v>1154885.3</v>
      </c>
      <c r="T123" s="80">
        <f t="shared" si="29"/>
        <v>78695.399999999994</v>
      </c>
      <c r="U123" s="80">
        <f>SUM(V123:Y123)</f>
        <v>489506.05000000005</v>
      </c>
      <c r="V123" s="80">
        <f t="shared" ref="V123:X138" si="30">V19+V71</f>
        <v>193722.52000000002</v>
      </c>
      <c r="W123" s="80">
        <f t="shared" si="30"/>
        <v>18181</v>
      </c>
      <c r="X123" s="80">
        <f t="shared" si="30"/>
        <v>277602.53000000003</v>
      </c>
    </row>
    <row r="124" spans="1:24">
      <c r="A124" s="262"/>
      <c r="B124" s="69" t="s">
        <v>78</v>
      </c>
      <c r="C124" s="80">
        <f t="shared" si="13"/>
        <v>4686893.5899999989</v>
      </c>
      <c r="D124" s="80">
        <f t="shared" si="27"/>
        <v>0</v>
      </c>
      <c r="E124" s="80">
        <f t="shared" si="27"/>
        <v>559423.34000000008</v>
      </c>
      <c r="F124" s="80">
        <f t="shared" si="27"/>
        <v>1159588.1899999997</v>
      </c>
      <c r="G124" s="80">
        <f t="shared" si="27"/>
        <v>149896.26</v>
      </c>
      <c r="H124" s="80">
        <f t="shared" ref="H124:H154" si="31">SUM(I124:N124)</f>
        <v>603464.02</v>
      </c>
      <c r="I124" s="80">
        <f t="shared" si="28"/>
        <v>230436.22</v>
      </c>
      <c r="J124" s="80">
        <f t="shared" si="28"/>
        <v>176943.06</v>
      </c>
      <c r="K124" s="80">
        <f t="shared" si="28"/>
        <v>68494.97</v>
      </c>
      <c r="L124" s="80">
        <f t="shared" si="28"/>
        <v>0</v>
      </c>
      <c r="M124" s="80">
        <f t="shared" si="28"/>
        <v>20798.5</v>
      </c>
      <c r="N124" s="82">
        <f t="shared" si="28"/>
        <v>106791.27000000002</v>
      </c>
      <c r="O124" s="82">
        <f t="shared" si="28"/>
        <v>379325.22</v>
      </c>
      <c r="P124" s="82">
        <f t="shared" ref="P124:P146" si="32">SUM(Q124:T124)</f>
        <v>1631479.7100000002</v>
      </c>
      <c r="Q124" s="82">
        <f t="shared" si="29"/>
        <v>41885.550000000003</v>
      </c>
      <c r="R124" s="82">
        <f t="shared" si="29"/>
        <v>1144809.31</v>
      </c>
      <c r="S124" s="82">
        <f t="shared" si="29"/>
        <v>374566.55</v>
      </c>
      <c r="T124" s="80">
        <f t="shared" si="29"/>
        <v>70218.3</v>
      </c>
      <c r="U124" s="80">
        <f t="shared" ref="U124:U146" si="33">SUM(V124:Y124)</f>
        <v>203716.85</v>
      </c>
      <c r="V124" s="80">
        <f t="shared" si="30"/>
        <v>43100.32</v>
      </c>
      <c r="W124" s="80">
        <f t="shared" si="30"/>
        <v>33835.160000000003</v>
      </c>
      <c r="X124" s="80">
        <f t="shared" si="30"/>
        <v>126781.37</v>
      </c>
    </row>
    <row r="125" spans="1:24">
      <c r="A125" s="262"/>
      <c r="B125" s="69" t="s">
        <v>79</v>
      </c>
      <c r="C125" s="80">
        <f t="shared" si="13"/>
        <v>1782978.3100000003</v>
      </c>
      <c r="D125" s="80">
        <f t="shared" si="27"/>
        <v>0</v>
      </c>
      <c r="E125" s="80">
        <f t="shared" si="27"/>
        <v>490248.36</v>
      </c>
      <c r="F125" s="80">
        <f t="shared" si="27"/>
        <v>1165327.3000000003</v>
      </c>
      <c r="G125" s="80">
        <f t="shared" si="27"/>
        <v>13226.6</v>
      </c>
      <c r="H125" s="80">
        <f t="shared" si="31"/>
        <v>40871.360000000001</v>
      </c>
      <c r="I125" s="80">
        <f t="shared" si="28"/>
        <v>13226.6</v>
      </c>
      <c r="J125" s="80">
        <f t="shared" si="28"/>
        <v>13226.6</v>
      </c>
      <c r="K125" s="80">
        <f t="shared" si="28"/>
        <v>13226.6</v>
      </c>
      <c r="L125" s="80">
        <f t="shared" si="28"/>
        <v>0</v>
      </c>
      <c r="M125" s="80">
        <f t="shared" si="28"/>
        <v>-12035.04</v>
      </c>
      <c r="N125" s="82">
        <f t="shared" si="28"/>
        <v>13226.6</v>
      </c>
      <c r="O125" s="82">
        <f t="shared" si="28"/>
        <v>0</v>
      </c>
      <c r="P125" s="82">
        <f t="shared" si="32"/>
        <v>40719.49</v>
      </c>
      <c r="Q125" s="82">
        <f t="shared" si="29"/>
        <v>7638.74</v>
      </c>
      <c r="R125" s="82">
        <f t="shared" si="29"/>
        <v>9449.7199999999993</v>
      </c>
      <c r="S125" s="82">
        <f t="shared" si="29"/>
        <v>9449.7099999999991</v>
      </c>
      <c r="T125" s="80">
        <f t="shared" si="29"/>
        <v>14181.32</v>
      </c>
      <c r="U125" s="80">
        <f t="shared" si="33"/>
        <v>32585.200000000001</v>
      </c>
      <c r="V125" s="80">
        <f t="shared" si="30"/>
        <v>16292.51</v>
      </c>
      <c r="W125" s="80">
        <f t="shared" si="30"/>
        <v>0</v>
      </c>
      <c r="X125" s="80">
        <f t="shared" si="30"/>
        <v>16292.69</v>
      </c>
    </row>
    <row r="126" spans="1:24">
      <c r="A126" s="262"/>
      <c r="B126" s="69" t="s">
        <v>80</v>
      </c>
      <c r="C126" s="80">
        <f t="shared" si="13"/>
        <v>1358715.6899999997</v>
      </c>
      <c r="D126" s="80">
        <f t="shared" si="27"/>
        <v>74000</v>
      </c>
      <c r="E126" s="80">
        <f t="shared" si="27"/>
        <v>255832.27000000002</v>
      </c>
      <c r="F126" s="80">
        <f t="shared" si="27"/>
        <v>744835.21999999986</v>
      </c>
      <c r="G126" s="80">
        <f t="shared" si="27"/>
        <v>6933</v>
      </c>
      <c r="H126" s="80">
        <f t="shared" si="31"/>
        <v>186102.31</v>
      </c>
      <c r="I126" s="80">
        <f t="shared" si="28"/>
        <v>58143.470000000008</v>
      </c>
      <c r="J126" s="80">
        <f t="shared" si="28"/>
        <v>20009.62</v>
      </c>
      <c r="K126" s="80">
        <f t="shared" si="28"/>
        <v>15975.330000000002</v>
      </c>
      <c r="L126" s="80">
        <f t="shared" si="28"/>
        <v>0</v>
      </c>
      <c r="M126" s="80">
        <f t="shared" si="28"/>
        <v>60851.15</v>
      </c>
      <c r="N126" s="82">
        <f t="shared" si="28"/>
        <v>31122.74</v>
      </c>
      <c r="O126" s="82">
        <f t="shared" si="28"/>
        <v>17786.939999999999</v>
      </c>
      <c r="P126" s="82">
        <f t="shared" si="32"/>
        <v>18517.989999999998</v>
      </c>
      <c r="Q126" s="82">
        <f t="shared" si="29"/>
        <v>1425.16</v>
      </c>
      <c r="R126" s="82">
        <f t="shared" si="29"/>
        <v>5992</v>
      </c>
      <c r="S126" s="82">
        <f t="shared" si="29"/>
        <v>6434.83</v>
      </c>
      <c r="T126" s="80">
        <f t="shared" si="29"/>
        <v>4666</v>
      </c>
      <c r="U126" s="80">
        <f t="shared" si="33"/>
        <v>54707.96</v>
      </c>
      <c r="V126" s="80">
        <f t="shared" si="30"/>
        <v>10506.73</v>
      </c>
      <c r="W126" s="80">
        <f t="shared" si="30"/>
        <v>1820.12</v>
      </c>
      <c r="X126" s="80">
        <f t="shared" si="30"/>
        <v>42381.11</v>
      </c>
    </row>
    <row r="127" spans="1:24">
      <c r="A127" s="262"/>
      <c r="B127" s="69" t="s">
        <v>81</v>
      </c>
      <c r="C127" s="80">
        <f t="shared" si="13"/>
        <v>874659.45</v>
      </c>
      <c r="D127" s="80">
        <f t="shared" si="27"/>
        <v>0</v>
      </c>
      <c r="E127" s="80">
        <f t="shared" si="27"/>
        <v>164124.87</v>
      </c>
      <c r="F127" s="80">
        <f t="shared" si="27"/>
        <v>551473.1</v>
      </c>
      <c r="G127" s="80">
        <f t="shared" si="27"/>
        <v>3873.5000000000005</v>
      </c>
      <c r="H127" s="80">
        <f t="shared" si="31"/>
        <v>78055.150000000009</v>
      </c>
      <c r="I127" s="80">
        <f t="shared" si="28"/>
        <v>12622</v>
      </c>
      <c r="J127" s="80">
        <f t="shared" si="28"/>
        <v>13375</v>
      </c>
      <c r="K127" s="80">
        <f t="shared" si="28"/>
        <v>15385.030000000002</v>
      </c>
      <c r="L127" s="80">
        <f t="shared" si="28"/>
        <v>0</v>
      </c>
      <c r="M127" s="80">
        <f t="shared" si="28"/>
        <v>27681.52</v>
      </c>
      <c r="N127" s="82">
        <f t="shared" si="28"/>
        <v>8991.6</v>
      </c>
      <c r="O127" s="82">
        <f t="shared" si="28"/>
        <v>7922.1</v>
      </c>
      <c r="P127" s="82">
        <f t="shared" si="32"/>
        <v>21231.98</v>
      </c>
      <c r="Q127" s="82">
        <f t="shared" si="29"/>
        <v>991.88</v>
      </c>
      <c r="R127" s="82">
        <f t="shared" si="29"/>
        <v>6136.0999999999995</v>
      </c>
      <c r="S127" s="82">
        <f t="shared" si="29"/>
        <v>4241</v>
      </c>
      <c r="T127" s="80">
        <f t="shared" si="29"/>
        <v>9863</v>
      </c>
      <c r="U127" s="80">
        <f t="shared" si="33"/>
        <v>47978.75</v>
      </c>
      <c r="V127" s="80">
        <f t="shared" si="30"/>
        <v>21798.450000000004</v>
      </c>
      <c r="W127" s="80">
        <f t="shared" si="30"/>
        <v>576.84</v>
      </c>
      <c r="X127" s="80">
        <f t="shared" si="30"/>
        <v>25603.46</v>
      </c>
    </row>
    <row r="128" spans="1:24">
      <c r="A128" s="262"/>
      <c r="B128" s="69" t="s">
        <v>82</v>
      </c>
      <c r="C128" s="80">
        <f t="shared" si="13"/>
        <v>493473.22000000003</v>
      </c>
      <c r="D128" s="80">
        <f t="shared" si="27"/>
        <v>0</v>
      </c>
      <c r="E128" s="80">
        <f t="shared" si="27"/>
        <v>65798.69</v>
      </c>
      <c r="F128" s="80">
        <f t="shared" si="27"/>
        <v>394446.63</v>
      </c>
      <c r="G128" s="80">
        <f t="shared" si="27"/>
        <v>4535</v>
      </c>
      <c r="H128" s="80">
        <f t="shared" si="31"/>
        <v>13100.899999999998</v>
      </c>
      <c r="I128" s="80">
        <f t="shared" si="28"/>
        <v>16314.3</v>
      </c>
      <c r="J128" s="80">
        <f t="shared" si="28"/>
        <v>2545.8000000000002</v>
      </c>
      <c r="K128" s="80">
        <f t="shared" si="28"/>
        <v>0</v>
      </c>
      <c r="L128" s="80">
        <f t="shared" si="28"/>
        <v>0</v>
      </c>
      <c r="M128" s="80">
        <f t="shared" si="28"/>
        <v>-8591.7000000000007</v>
      </c>
      <c r="N128" s="82">
        <f t="shared" si="28"/>
        <v>2832.5</v>
      </c>
      <c r="O128" s="82">
        <f t="shared" si="28"/>
        <v>4788</v>
      </c>
      <c r="P128" s="82">
        <f t="shared" si="32"/>
        <v>8249</v>
      </c>
      <c r="Q128" s="82">
        <f t="shared" si="29"/>
        <v>440</v>
      </c>
      <c r="R128" s="82">
        <f t="shared" si="29"/>
        <v>3150</v>
      </c>
      <c r="S128" s="82">
        <f t="shared" si="29"/>
        <v>1509</v>
      </c>
      <c r="T128" s="80">
        <f t="shared" si="29"/>
        <v>3150</v>
      </c>
      <c r="U128" s="80">
        <f t="shared" si="33"/>
        <v>2555</v>
      </c>
      <c r="V128" s="80">
        <f t="shared" si="30"/>
        <v>2460</v>
      </c>
      <c r="W128" s="80">
        <f t="shared" si="30"/>
        <v>0</v>
      </c>
      <c r="X128" s="80">
        <f t="shared" si="30"/>
        <v>95</v>
      </c>
    </row>
    <row r="129" spans="1:24">
      <c r="A129" s="262"/>
      <c r="B129" s="66" t="s">
        <v>83</v>
      </c>
      <c r="C129" s="80">
        <f t="shared" si="13"/>
        <v>2761880.5200000005</v>
      </c>
      <c r="D129" s="80">
        <f t="shared" si="27"/>
        <v>2509816.9900000002</v>
      </c>
      <c r="E129" s="80">
        <f t="shared" si="27"/>
        <v>12000</v>
      </c>
      <c r="F129" s="80">
        <f t="shared" si="27"/>
        <v>237499.53000000003</v>
      </c>
      <c r="G129" s="80">
        <f t="shared" si="27"/>
        <v>0</v>
      </c>
      <c r="H129" s="80">
        <f t="shared" si="31"/>
        <v>0</v>
      </c>
      <c r="I129" s="80">
        <f t="shared" si="28"/>
        <v>0</v>
      </c>
      <c r="J129" s="80">
        <f t="shared" si="28"/>
        <v>0</v>
      </c>
      <c r="K129" s="80">
        <f t="shared" si="28"/>
        <v>0</v>
      </c>
      <c r="L129" s="80">
        <f t="shared" si="28"/>
        <v>0</v>
      </c>
      <c r="M129" s="80">
        <f t="shared" si="28"/>
        <v>0</v>
      </c>
      <c r="N129" s="82">
        <f t="shared" si="28"/>
        <v>0</v>
      </c>
      <c r="O129" s="82">
        <f t="shared" si="28"/>
        <v>60</v>
      </c>
      <c r="P129" s="82">
        <f t="shared" si="32"/>
        <v>2000</v>
      </c>
      <c r="Q129" s="82">
        <f t="shared" si="29"/>
        <v>0</v>
      </c>
      <c r="R129" s="82">
        <f t="shared" si="29"/>
        <v>2000</v>
      </c>
      <c r="S129" s="82">
        <f t="shared" si="29"/>
        <v>0</v>
      </c>
      <c r="T129" s="80">
        <f t="shared" si="29"/>
        <v>0</v>
      </c>
      <c r="U129" s="80">
        <f t="shared" si="33"/>
        <v>504</v>
      </c>
      <c r="V129" s="80">
        <f t="shared" si="30"/>
        <v>0</v>
      </c>
      <c r="W129" s="80">
        <f t="shared" si="30"/>
        <v>0</v>
      </c>
      <c r="X129" s="80">
        <f t="shared" si="30"/>
        <v>504</v>
      </c>
    </row>
    <row r="130" spans="1:24">
      <c r="A130" s="262"/>
      <c r="B130" s="69" t="s">
        <v>84</v>
      </c>
      <c r="C130" s="80">
        <f t="shared" si="13"/>
        <v>808321.58</v>
      </c>
      <c r="D130" s="80">
        <f t="shared" si="27"/>
        <v>808321.58</v>
      </c>
      <c r="E130" s="80">
        <f t="shared" si="27"/>
        <v>0</v>
      </c>
      <c r="F130" s="80">
        <f t="shared" si="27"/>
        <v>0</v>
      </c>
      <c r="G130" s="80">
        <f t="shared" si="27"/>
        <v>0</v>
      </c>
      <c r="H130" s="80">
        <f t="shared" si="31"/>
        <v>0</v>
      </c>
      <c r="I130" s="80">
        <f t="shared" si="28"/>
        <v>0</v>
      </c>
      <c r="J130" s="80">
        <f t="shared" si="28"/>
        <v>0</v>
      </c>
      <c r="K130" s="80">
        <f t="shared" si="28"/>
        <v>0</v>
      </c>
      <c r="L130" s="80">
        <f t="shared" si="28"/>
        <v>0</v>
      </c>
      <c r="M130" s="80">
        <f t="shared" si="28"/>
        <v>0</v>
      </c>
      <c r="N130" s="82">
        <f t="shared" si="28"/>
        <v>0</v>
      </c>
      <c r="O130" s="82">
        <f t="shared" si="28"/>
        <v>0</v>
      </c>
      <c r="P130" s="82">
        <f t="shared" si="32"/>
        <v>0</v>
      </c>
      <c r="Q130" s="82">
        <f t="shared" si="29"/>
        <v>0</v>
      </c>
      <c r="R130" s="82">
        <f t="shared" si="29"/>
        <v>0</v>
      </c>
      <c r="S130" s="82">
        <f t="shared" si="29"/>
        <v>0</v>
      </c>
      <c r="T130" s="80">
        <f t="shared" si="29"/>
        <v>0</v>
      </c>
      <c r="U130" s="80">
        <f t="shared" si="33"/>
        <v>0</v>
      </c>
      <c r="V130" s="80">
        <f t="shared" si="30"/>
        <v>0</v>
      </c>
      <c r="W130" s="80">
        <f t="shared" si="30"/>
        <v>0</v>
      </c>
      <c r="X130" s="80">
        <f t="shared" si="30"/>
        <v>0</v>
      </c>
    </row>
    <row r="131" spans="1:24">
      <c r="A131" s="262"/>
      <c r="B131" s="69" t="s">
        <v>85</v>
      </c>
      <c r="C131" s="80">
        <f t="shared" si="13"/>
        <v>6067869.2600000007</v>
      </c>
      <c r="D131" s="80">
        <f t="shared" si="27"/>
        <v>47169.81</v>
      </c>
      <c r="E131" s="80">
        <f t="shared" si="27"/>
        <v>111329.84000000001</v>
      </c>
      <c r="F131" s="80">
        <f>F27+F79</f>
        <v>5909369.6100000003</v>
      </c>
      <c r="G131" s="80">
        <f t="shared" si="27"/>
        <v>0</v>
      </c>
      <c r="H131" s="80">
        <f t="shared" si="31"/>
        <v>0</v>
      </c>
      <c r="I131" s="80">
        <f t="shared" si="28"/>
        <v>0</v>
      </c>
      <c r="J131" s="80">
        <f t="shared" si="28"/>
        <v>0</v>
      </c>
      <c r="K131" s="80">
        <f t="shared" si="28"/>
        <v>0</v>
      </c>
      <c r="L131" s="80">
        <f t="shared" si="28"/>
        <v>0</v>
      </c>
      <c r="M131" s="80">
        <f t="shared" si="28"/>
        <v>0</v>
      </c>
      <c r="N131" s="82">
        <f t="shared" si="28"/>
        <v>0</v>
      </c>
      <c r="O131" s="82">
        <f t="shared" si="28"/>
        <v>0</v>
      </c>
      <c r="P131" s="82">
        <f t="shared" si="32"/>
        <v>0</v>
      </c>
      <c r="Q131" s="82">
        <f t="shared" si="29"/>
        <v>0</v>
      </c>
      <c r="R131" s="82">
        <f t="shared" si="29"/>
        <v>0</v>
      </c>
      <c r="S131" s="82">
        <f t="shared" si="29"/>
        <v>0</v>
      </c>
      <c r="T131" s="80">
        <f t="shared" si="29"/>
        <v>0</v>
      </c>
      <c r="U131" s="80">
        <f t="shared" si="33"/>
        <v>0</v>
      </c>
      <c r="V131" s="80">
        <f t="shared" si="30"/>
        <v>0</v>
      </c>
      <c r="W131" s="80">
        <f t="shared" si="30"/>
        <v>0</v>
      </c>
      <c r="X131" s="80">
        <f t="shared" si="30"/>
        <v>0</v>
      </c>
    </row>
    <row r="132" spans="1:24">
      <c r="A132" s="262"/>
      <c r="B132" s="69" t="s">
        <v>86</v>
      </c>
      <c r="C132" s="80">
        <f t="shared" si="13"/>
        <v>2409582.899999999</v>
      </c>
      <c r="D132" s="80">
        <f t="shared" si="27"/>
        <v>0</v>
      </c>
      <c r="E132" s="80">
        <f t="shared" si="27"/>
        <v>0</v>
      </c>
      <c r="F132" s="80">
        <f t="shared" si="27"/>
        <v>2102617.5199999991</v>
      </c>
      <c r="G132" s="80">
        <f t="shared" si="27"/>
        <v>0</v>
      </c>
      <c r="H132" s="80">
        <f t="shared" si="31"/>
        <v>122164.38</v>
      </c>
      <c r="I132" s="80">
        <f t="shared" si="28"/>
        <v>0</v>
      </c>
      <c r="J132" s="80">
        <f t="shared" si="28"/>
        <v>0</v>
      </c>
      <c r="K132" s="80">
        <f t="shared" si="28"/>
        <v>122164.38</v>
      </c>
      <c r="L132" s="80">
        <f t="shared" si="28"/>
        <v>0</v>
      </c>
      <c r="M132" s="80">
        <f t="shared" si="28"/>
        <v>0</v>
      </c>
      <c r="N132" s="82">
        <f t="shared" si="28"/>
        <v>0</v>
      </c>
      <c r="O132" s="82">
        <f t="shared" si="28"/>
        <v>0</v>
      </c>
      <c r="P132" s="82">
        <f t="shared" si="32"/>
        <v>0</v>
      </c>
      <c r="Q132" s="82">
        <f t="shared" si="29"/>
        <v>0</v>
      </c>
      <c r="R132" s="82">
        <f t="shared" si="29"/>
        <v>0</v>
      </c>
      <c r="S132" s="82">
        <f t="shared" si="29"/>
        <v>0</v>
      </c>
      <c r="T132" s="80">
        <f t="shared" si="29"/>
        <v>0</v>
      </c>
      <c r="U132" s="80">
        <f t="shared" si="33"/>
        <v>184801</v>
      </c>
      <c r="V132" s="80">
        <f t="shared" si="30"/>
        <v>0</v>
      </c>
      <c r="W132" s="80">
        <f t="shared" si="30"/>
        <v>0</v>
      </c>
      <c r="X132" s="80">
        <f t="shared" si="30"/>
        <v>184801</v>
      </c>
    </row>
    <row r="133" spans="1:24">
      <c r="A133" s="262"/>
      <c r="B133" s="69" t="s">
        <v>87</v>
      </c>
      <c r="C133" s="80">
        <f t="shared" si="13"/>
        <v>2124742.1799999997</v>
      </c>
      <c r="D133" s="80">
        <f t="shared" si="27"/>
        <v>0</v>
      </c>
      <c r="E133" s="80">
        <f t="shared" si="27"/>
        <v>229647.24</v>
      </c>
      <c r="F133" s="80">
        <f t="shared" si="27"/>
        <v>661053</v>
      </c>
      <c r="G133" s="80">
        <f t="shared" si="27"/>
        <v>76038</v>
      </c>
      <c r="H133" s="80">
        <f t="shared" si="31"/>
        <v>742075.64</v>
      </c>
      <c r="I133" s="80">
        <f t="shared" si="28"/>
        <v>434286.00000000006</v>
      </c>
      <c r="J133" s="80">
        <f t="shared" si="28"/>
        <v>43127.000000000007</v>
      </c>
      <c r="K133" s="80">
        <f t="shared" si="28"/>
        <v>25822</v>
      </c>
      <c r="L133" s="80">
        <f t="shared" si="28"/>
        <v>0</v>
      </c>
      <c r="M133" s="80">
        <f t="shared" si="28"/>
        <v>23264.999999999996</v>
      </c>
      <c r="N133" s="82">
        <f t="shared" si="28"/>
        <v>215575.64</v>
      </c>
      <c r="O133" s="82">
        <f t="shared" si="28"/>
        <v>22965</v>
      </c>
      <c r="P133" s="82">
        <f t="shared" si="32"/>
        <v>69164</v>
      </c>
      <c r="Q133" s="82">
        <f t="shared" si="29"/>
        <v>0</v>
      </c>
      <c r="R133" s="82">
        <f t="shared" si="29"/>
        <v>24501</v>
      </c>
      <c r="S133" s="82">
        <f t="shared" si="29"/>
        <v>24501</v>
      </c>
      <c r="T133" s="80">
        <f t="shared" si="29"/>
        <v>20162</v>
      </c>
      <c r="U133" s="80">
        <f t="shared" si="33"/>
        <v>323799.3</v>
      </c>
      <c r="V133" s="80">
        <f t="shared" si="30"/>
        <v>15822</v>
      </c>
      <c r="W133" s="80">
        <f t="shared" si="30"/>
        <v>0</v>
      </c>
      <c r="X133" s="80">
        <f t="shared" si="30"/>
        <v>307977.3</v>
      </c>
    </row>
    <row r="134" spans="1:24">
      <c r="A134" s="262"/>
      <c r="B134" s="69" t="s">
        <v>88</v>
      </c>
      <c r="C134" s="80">
        <f t="shared" si="13"/>
        <v>885359.02</v>
      </c>
      <c r="D134" s="80">
        <f t="shared" si="27"/>
        <v>0</v>
      </c>
      <c r="E134" s="80">
        <f t="shared" si="27"/>
        <v>122588.33000000002</v>
      </c>
      <c r="F134" s="80">
        <f t="shared" si="27"/>
        <v>698581.91</v>
      </c>
      <c r="G134" s="80">
        <f t="shared" si="27"/>
        <v>6816.67</v>
      </c>
      <c r="H134" s="80">
        <f t="shared" si="31"/>
        <v>35624.710000000006</v>
      </c>
      <c r="I134" s="80">
        <f t="shared" si="28"/>
        <v>6816.67</v>
      </c>
      <c r="J134" s="80">
        <f t="shared" si="28"/>
        <v>6816.67</v>
      </c>
      <c r="K134" s="80">
        <f t="shared" si="28"/>
        <v>6816.67</v>
      </c>
      <c r="L134" s="80">
        <f t="shared" si="28"/>
        <v>0</v>
      </c>
      <c r="M134" s="80">
        <f t="shared" si="28"/>
        <v>6816.65</v>
      </c>
      <c r="N134" s="82">
        <f t="shared" si="28"/>
        <v>8358.0499999999993</v>
      </c>
      <c r="O134" s="82">
        <f t="shared" si="28"/>
        <v>0</v>
      </c>
      <c r="P134" s="82">
        <f t="shared" si="32"/>
        <v>0</v>
      </c>
      <c r="Q134" s="82">
        <f t="shared" si="29"/>
        <v>0</v>
      </c>
      <c r="R134" s="82">
        <f t="shared" si="29"/>
        <v>0</v>
      </c>
      <c r="S134" s="82">
        <f t="shared" si="29"/>
        <v>0</v>
      </c>
      <c r="T134" s="80">
        <f t="shared" si="29"/>
        <v>0</v>
      </c>
      <c r="U134" s="80">
        <f t="shared" si="33"/>
        <v>21747.400000000005</v>
      </c>
      <c r="V134" s="80">
        <f t="shared" si="30"/>
        <v>10873.700000000003</v>
      </c>
      <c r="W134" s="80">
        <f t="shared" si="30"/>
        <v>0</v>
      </c>
      <c r="X134" s="80">
        <f t="shared" si="30"/>
        <v>10873.700000000003</v>
      </c>
    </row>
    <row r="135" spans="1:24">
      <c r="A135" s="262"/>
      <c r="B135" s="69" t="s">
        <v>89</v>
      </c>
      <c r="C135" s="80">
        <f t="shared" si="13"/>
        <v>1267458.32</v>
      </c>
      <c r="D135" s="80">
        <f t="shared" si="27"/>
        <v>0</v>
      </c>
      <c r="E135" s="80">
        <f t="shared" si="27"/>
        <v>472012.7</v>
      </c>
      <c r="F135" s="80">
        <f t="shared" si="27"/>
        <v>795445.62</v>
      </c>
      <c r="G135" s="80">
        <f t="shared" si="27"/>
        <v>0</v>
      </c>
      <c r="H135" s="80">
        <f t="shared" si="31"/>
        <v>0</v>
      </c>
      <c r="I135" s="80">
        <f t="shared" si="28"/>
        <v>0</v>
      </c>
      <c r="J135" s="80">
        <f t="shared" si="28"/>
        <v>0</v>
      </c>
      <c r="K135" s="80">
        <f t="shared" si="28"/>
        <v>0</v>
      </c>
      <c r="L135" s="80">
        <f t="shared" si="28"/>
        <v>0</v>
      </c>
      <c r="M135" s="80">
        <f t="shared" si="28"/>
        <v>0</v>
      </c>
      <c r="N135" s="82">
        <f t="shared" si="28"/>
        <v>0</v>
      </c>
      <c r="O135" s="82">
        <f t="shared" si="28"/>
        <v>0</v>
      </c>
      <c r="P135" s="82">
        <f t="shared" si="32"/>
        <v>0</v>
      </c>
      <c r="Q135" s="82">
        <f t="shared" si="29"/>
        <v>0</v>
      </c>
      <c r="R135" s="82">
        <f t="shared" si="29"/>
        <v>0</v>
      </c>
      <c r="S135" s="82">
        <f t="shared" si="29"/>
        <v>0</v>
      </c>
      <c r="T135" s="80">
        <f t="shared" si="29"/>
        <v>0</v>
      </c>
      <c r="U135" s="80">
        <f t="shared" si="33"/>
        <v>0</v>
      </c>
      <c r="V135" s="80">
        <f t="shared" si="30"/>
        <v>0</v>
      </c>
      <c r="W135" s="80">
        <f t="shared" si="30"/>
        <v>0</v>
      </c>
      <c r="X135" s="80">
        <f t="shared" si="30"/>
        <v>0</v>
      </c>
    </row>
    <row r="136" spans="1:24">
      <c r="A136" s="262"/>
      <c r="B136" s="69" t="s">
        <v>90</v>
      </c>
      <c r="C136" s="80">
        <f t="shared" si="13"/>
        <v>492051.67000000004</v>
      </c>
      <c r="D136" s="80">
        <f t="shared" si="27"/>
        <v>0</v>
      </c>
      <c r="E136" s="80">
        <f t="shared" si="27"/>
        <v>80153.640000000014</v>
      </c>
      <c r="F136" s="80">
        <f t="shared" si="27"/>
        <v>293421</v>
      </c>
      <c r="G136" s="80">
        <f t="shared" si="27"/>
        <v>2737.3999999999996</v>
      </c>
      <c r="H136" s="80">
        <f t="shared" si="31"/>
        <v>6919.1</v>
      </c>
      <c r="I136" s="80">
        <f t="shared" si="28"/>
        <v>4204</v>
      </c>
      <c r="J136" s="80">
        <f t="shared" si="28"/>
        <v>66</v>
      </c>
      <c r="K136" s="80">
        <f t="shared" si="28"/>
        <v>1213</v>
      </c>
      <c r="L136" s="80">
        <f t="shared" si="28"/>
        <v>0</v>
      </c>
      <c r="M136" s="80">
        <f t="shared" si="28"/>
        <v>-401.9</v>
      </c>
      <c r="N136" s="82">
        <f t="shared" si="28"/>
        <v>1838</v>
      </c>
      <c r="O136" s="82">
        <f t="shared" si="28"/>
        <v>24720.5</v>
      </c>
      <c r="P136" s="82">
        <f t="shared" si="32"/>
        <v>83482.940000000017</v>
      </c>
      <c r="Q136" s="82">
        <f t="shared" si="29"/>
        <v>2960.8</v>
      </c>
      <c r="R136" s="82">
        <f t="shared" si="29"/>
        <v>53564.44000000001</v>
      </c>
      <c r="S136" s="82">
        <f t="shared" si="29"/>
        <v>26000.7</v>
      </c>
      <c r="T136" s="80">
        <f t="shared" si="29"/>
        <v>956.99999999999989</v>
      </c>
      <c r="U136" s="80">
        <f t="shared" si="33"/>
        <v>617.08999999999992</v>
      </c>
      <c r="V136" s="80">
        <f t="shared" si="30"/>
        <v>0</v>
      </c>
      <c r="W136" s="80">
        <f t="shared" si="30"/>
        <v>200</v>
      </c>
      <c r="X136" s="80">
        <f t="shared" si="30"/>
        <v>417.09</v>
      </c>
    </row>
    <row r="137" spans="1:24">
      <c r="A137" s="262"/>
      <c r="B137" s="69" t="s">
        <v>91</v>
      </c>
      <c r="C137" s="80">
        <f t="shared" si="13"/>
        <v>1040417.7800000001</v>
      </c>
      <c r="D137" s="80">
        <f t="shared" si="27"/>
        <v>0</v>
      </c>
      <c r="E137" s="80">
        <f t="shared" si="27"/>
        <v>369936.28</v>
      </c>
      <c r="F137" s="80">
        <f t="shared" si="27"/>
        <v>488643.66000000021</v>
      </c>
      <c r="G137" s="80">
        <f t="shared" si="27"/>
        <v>0</v>
      </c>
      <c r="H137" s="80">
        <f t="shared" si="31"/>
        <v>79505.179999999993</v>
      </c>
      <c r="I137" s="80">
        <f t="shared" si="28"/>
        <v>4798.3999999999996</v>
      </c>
      <c r="J137" s="80">
        <f t="shared" si="28"/>
        <v>0</v>
      </c>
      <c r="K137" s="80">
        <f t="shared" si="28"/>
        <v>1034</v>
      </c>
      <c r="L137" s="80">
        <f t="shared" si="28"/>
        <v>0</v>
      </c>
      <c r="M137" s="80">
        <f t="shared" si="28"/>
        <v>73672.78</v>
      </c>
      <c r="N137" s="82">
        <f t="shared" si="28"/>
        <v>0</v>
      </c>
      <c r="O137" s="82">
        <f t="shared" si="28"/>
        <v>0</v>
      </c>
      <c r="P137" s="82">
        <f t="shared" si="32"/>
        <v>29083</v>
      </c>
      <c r="Q137" s="82">
        <f t="shared" si="29"/>
        <v>0</v>
      </c>
      <c r="R137" s="82">
        <f t="shared" si="29"/>
        <v>0</v>
      </c>
      <c r="S137" s="82">
        <f t="shared" si="29"/>
        <v>661.00000000000011</v>
      </c>
      <c r="T137" s="80">
        <f t="shared" si="29"/>
        <v>28422</v>
      </c>
      <c r="U137" s="80">
        <f t="shared" si="33"/>
        <v>73249.66</v>
      </c>
      <c r="V137" s="80">
        <f t="shared" si="30"/>
        <v>49249.66</v>
      </c>
      <c r="W137" s="80">
        <f t="shared" si="30"/>
        <v>0</v>
      </c>
      <c r="X137" s="80">
        <f t="shared" si="30"/>
        <v>24000</v>
      </c>
    </row>
    <row r="138" spans="1:24">
      <c r="A138" s="262"/>
      <c r="B138" s="69" t="s">
        <v>92</v>
      </c>
      <c r="C138" s="80">
        <f t="shared" si="13"/>
        <v>67632.81</v>
      </c>
      <c r="D138" s="80">
        <f t="shared" si="27"/>
        <v>0</v>
      </c>
      <c r="E138" s="80">
        <f t="shared" si="27"/>
        <v>67632.81</v>
      </c>
      <c r="F138" s="80">
        <f t="shared" si="27"/>
        <v>0</v>
      </c>
      <c r="G138" s="80">
        <f t="shared" si="27"/>
        <v>0</v>
      </c>
      <c r="H138" s="80">
        <f t="shared" si="31"/>
        <v>0</v>
      </c>
      <c r="I138" s="80">
        <f t="shared" si="28"/>
        <v>0</v>
      </c>
      <c r="J138" s="80">
        <f t="shared" si="28"/>
        <v>0</v>
      </c>
      <c r="K138" s="80">
        <f t="shared" si="28"/>
        <v>0</v>
      </c>
      <c r="L138" s="80">
        <f t="shared" si="28"/>
        <v>0</v>
      </c>
      <c r="M138" s="80">
        <f t="shared" si="28"/>
        <v>0</v>
      </c>
      <c r="N138" s="82">
        <f t="shared" si="28"/>
        <v>0</v>
      </c>
      <c r="O138" s="82">
        <f t="shared" si="28"/>
        <v>0</v>
      </c>
      <c r="P138" s="82">
        <f t="shared" si="32"/>
        <v>0</v>
      </c>
      <c r="Q138" s="82">
        <f t="shared" si="29"/>
        <v>0</v>
      </c>
      <c r="R138" s="82">
        <f t="shared" si="29"/>
        <v>0</v>
      </c>
      <c r="S138" s="82">
        <f t="shared" si="29"/>
        <v>0</v>
      </c>
      <c r="T138" s="80">
        <f t="shared" si="29"/>
        <v>0</v>
      </c>
      <c r="U138" s="80">
        <f t="shared" si="33"/>
        <v>0</v>
      </c>
      <c r="V138" s="80">
        <f t="shared" si="30"/>
        <v>0</v>
      </c>
      <c r="W138" s="80">
        <f t="shared" si="30"/>
        <v>0</v>
      </c>
      <c r="X138" s="80">
        <f t="shared" si="30"/>
        <v>0</v>
      </c>
    </row>
    <row r="139" spans="1:24">
      <c r="A139" s="262"/>
      <c r="B139" s="69" t="s">
        <v>93</v>
      </c>
      <c r="C139" s="80">
        <f t="shared" si="13"/>
        <v>288302.90000000002</v>
      </c>
      <c r="D139" s="80">
        <f t="shared" ref="D139:G146" si="34">D35+D87</f>
        <v>0</v>
      </c>
      <c r="E139" s="80">
        <f t="shared" si="34"/>
        <v>106318</v>
      </c>
      <c r="F139" s="80">
        <f t="shared" si="34"/>
        <v>144174.9</v>
      </c>
      <c r="G139" s="80">
        <f t="shared" si="34"/>
        <v>0</v>
      </c>
      <c r="H139" s="80">
        <f t="shared" si="31"/>
        <v>-522</v>
      </c>
      <c r="I139" s="80">
        <f t="shared" ref="I139:O146" si="35">I35+I87</f>
        <v>0</v>
      </c>
      <c r="J139" s="80">
        <f t="shared" si="35"/>
        <v>0</v>
      </c>
      <c r="K139" s="80">
        <f t="shared" si="35"/>
        <v>0</v>
      </c>
      <c r="L139" s="80">
        <f t="shared" si="35"/>
        <v>0</v>
      </c>
      <c r="M139" s="80">
        <f t="shared" si="35"/>
        <v>-522</v>
      </c>
      <c r="N139" s="82">
        <f t="shared" si="35"/>
        <v>0</v>
      </c>
      <c r="O139" s="82">
        <f t="shared" si="35"/>
        <v>0</v>
      </c>
      <c r="P139" s="82">
        <f t="shared" si="32"/>
        <v>38332</v>
      </c>
      <c r="Q139" s="82">
        <f t="shared" ref="Q139:T146" si="36">Q35+Q87</f>
        <v>0</v>
      </c>
      <c r="R139" s="82">
        <f t="shared" si="36"/>
        <v>1241</v>
      </c>
      <c r="S139" s="82">
        <f t="shared" si="36"/>
        <v>1241</v>
      </c>
      <c r="T139" s="80">
        <f t="shared" si="36"/>
        <v>35850</v>
      </c>
      <c r="U139" s="80">
        <f t="shared" si="33"/>
        <v>0</v>
      </c>
      <c r="V139" s="80">
        <f t="shared" ref="V139:X146" si="37">V35+V87</f>
        <v>0</v>
      </c>
      <c r="W139" s="80">
        <f t="shared" si="37"/>
        <v>0</v>
      </c>
      <c r="X139" s="80">
        <f t="shared" si="37"/>
        <v>0</v>
      </c>
    </row>
    <row r="140" spans="1:24">
      <c r="A140" s="262"/>
      <c r="B140" s="69" t="s">
        <v>94</v>
      </c>
      <c r="C140" s="80">
        <f t="shared" si="13"/>
        <v>110368.15000000002</v>
      </c>
      <c r="D140" s="80">
        <f t="shared" si="34"/>
        <v>0</v>
      </c>
      <c r="E140" s="80">
        <f t="shared" si="34"/>
        <v>26918.079999999998</v>
      </c>
      <c r="F140" s="80">
        <f t="shared" si="34"/>
        <v>69455.010000000009</v>
      </c>
      <c r="G140" s="80">
        <f t="shared" si="34"/>
        <v>3780</v>
      </c>
      <c r="H140" s="80">
        <f t="shared" si="31"/>
        <v>6487.66</v>
      </c>
      <c r="I140" s="80">
        <f t="shared" si="35"/>
        <v>440</v>
      </c>
      <c r="J140" s="80">
        <f t="shared" si="35"/>
        <v>1487.9999999999998</v>
      </c>
      <c r="K140" s="80">
        <f t="shared" si="35"/>
        <v>440</v>
      </c>
      <c r="L140" s="80">
        <f t="shared" si="35"/>
        <v>0</v>
      </c>
      <c r="M140" s="80">
        <f t="shared" si="35"/>
        <v>2651</v>
      </c>
      <c r="N140" s="82">
        <f t="shared" si="35"/>
        <v>1468.6599999999999</v>
      </c>
      <c r="O140" s="82">
        <f t="shared" si="35"/>
        <v>959.30000000000007</v>
      </c>
      <c r="P140" s="82">
        <f t="shared" si="32"/>
        <v>2148</v>
      </c>
      <c r="Q140" s="82">
        <f t="shared" si="36"/>
        <v>0</v>
      </c>
      <c r="R140" s="82">
        <f t="shared" si="36"/>
        <v>540</v>
      </c>
      <c r="S140" s="82">
        <f t="shared" si="36"/>
        <v>1608</v>
      </c>
      <c r="T140" s="80">
        <f t="shared" si="36"/>
        <v>0</v>
      </c>
      <c r="U140" s="80">
        <f t="shared" si="33"/>
        <v>620.1</v>
      </c>
      <c r="V140" s="80">
        <f t="shared" si="37"/>
        <v>357.20000000000005</v>
      </c>
      <c r="W140" s="80">
        <f t="shared" si="37"/>
        <v>0</v>
      </c>
      <c r="X140" s="80">
        <f t="shared" si="37"/>
        <v>262.89999999999998</v>
      </c>
    </row>
    <row r="141" spans="1:24">
      <c r="A141" s="262"/>
      <c r="B141" s="69" t="s">
        <v>95</v>
      </c>
      <c r="C141" s="80">
        <f t="shared" si="13"/>
        <v>367721.86000000004</v>
      </c>
      <c r="D141" s="80">
        <f t="shared" si="34"/>
        <v>0</v>
      </c>
      <c r="E141" s="80">
        <f t="shared" si="34"/>
        <v>28067.230000000003</v>
      </c>
      <c r="F141" s="80">
        <f t="shared" si="34"/>
        <v>163965.65000000002</v>
      </c>
      <c r="G141" s="80">
        <f t="shared" si="34"/>
        <v>206</v>
      </c>
      <c r="H141" s="80">
        <f t="shared" si="31"/>
        <v>28661</v>
      </c>
      <c r="I141" s="80">
        <f t="shared" si="35"/>
        <v>5137.41</v>
      </c>
      <c r="J141" s="80">
        <f t="shared" si="35"/>
        <v>2332.5300000000002</v>
      </c>
      <c r="K141" s="80">
        <f t="shared" si="35"/>
        <v>13542.95</v>
      </c>
      <c r="L141" s="80">
        <f t="shared" si="35"/>
        <v>0</v>
      </c>
      <c r="M141" s="80">
        <f t="shared" si="35"/>
        <v>2460.8000000000002</v>
      </c>
      <c r="N141" s="82">
        <f t="shared" si="35"/>
        <v>5187.3100000000004</v>
      </c>
      <c r="O141" s="82">
        <f t="shared" si="35"/>
        <v>61238.5</v>
      </c>
      <c r="P141" s="82">
        <f t="shared" si="32"/>
        <v>79254.2</v>
      </c>
      <c r="Q141" s="82">
        <f t="shared" si="36"/>
        <v>14887.6</v>
      </c>
      <c r="R141" s="82">
        <f t="shared" si="36"/>
        <v>32782.18</v>
      </c>
      <c r="S141" s="82">
        <f t="shared" si="36"/>
        <v>18235.169999999998</v>
      </c>
      <c r="T141" s="80">
        <f t="shared" si="36"/>
        <v>13349.25</v>
      </c>
      <c r="U141" s="80">
        <f t="shared" si="33"/>
        <v>6329.2800000000007</v>
      </c>
      <c r="V141" s="80">
        <f t="shared" si="37"/>
        <v>2176.54</v>
      </c>
      <c r="W141" s="80">
        <f t="shared" si="37"/>
        <v>947.59000000000015</v>
      </c>
      <c r="X141" s="80">
        <f t="shared" si="37"/>
        <v>3205.15</v>
      </c>
    </row>
    <row r="142" spans="1:24">
      <c r="A142" s="262"/>
      <c r="B142" s="69" t="s">
        <v>96</v>
      </c>
      <c r="C142" s="80">
        <f t="shared" si="13"/>
        <v>1426347</v>
      </c>
      <c r="D142" s="80">
        <f t="shared" si="34"/>
        <v>624000</v>
      </c>
      <c r="E142" s="80">
        <f t="shared" si="34"/>
        <v>623217</v>
      </c>
      <c r="F142" s="80">
        <f t="shared" si="34"/>
        <v>174130</v>
      </c>
      <c r="G142" s="80">
        <f t="shared" si="34"/>
        <v>0</v>
      </c>
      <c r="H142" s="80">
        <f t="shared" si="31"/>
        <v>0</v>
      </c>
      <c r="I142" s="80">
        <f t="shared" si="35"/>
        <v>0</v>
      </c>
      <c r="J142" s="80">
        <f t="shared" si="35"/>
        <v>0</v>
      </c>
      <c r="K142" s="80">
        <f t="shared" si="35"/>
        <v>0</v>
      </c>
      <c r="L142" s="80">
        <f t="shared" si="35"/>
        <v>0</v>
      </c>
      <c r="M142" s="80">
        <f t="shared" si="35"/>
        <v>0</v>
      </c>
      <c r="N142" s="82">
        <f t="shared" si="35"/>
        <v>0</v>
      </c>
      <c r="O142" s="82">
        <f t="shared" si="35"/>
        <v>0</v>
      </c>
      <c r="P142" s="82">
        <f t="shared" si="32"/>
        <v>0</v>
      </c>
      <c r="Q142" s="82">
        <f t="shared" si="36"/>
        <v>0</v>
      </c>
      <c r="R142" s="82">
        <f t="shared" si="36"/>
        <v>0</v>
      </c>
      <c r="S142" s="82">
        <f t="shared" si="36"/>
        <v>0</v>
      </c>
      <c r="T142" s="80">
        <f t="shared" si="36"/>
        <v>0</v>
      </c>
      <c r="U142" s="80">
        <f t="shared" si="33"/>
        <v>5000</v>
      </c>
      <c r="V142" s="80">
        <f t="shared" si="37"/>
        <v>5000</v>
      </c>
      <c r="W142" s="80">
        <f t="shared" si="37"/>
        <v>0</v>
      </c>
      <c r="X142" s="80">
        <f t="shared" si="37"/>
        <v>0</v>
      </c>
    </row>
    <row r="143" spans="1:24">
      <c r="A143" s="262"/>
      <c r="B143" s="69" t="s">
        <v>97</v>
      </c>
      <c r="C143" s="80">
        <f t="shared" si="13"/>
        <v>454370.73</v>
      </c>
      <c r="D143" s="80">
        <f t="shared" si="34"/>
        <v>218813.5</v>
      </c>
      <c r="E143" s="80">
        <f t="shared" si="34"/>
        <v>0</v>
      </c>
      <c r="F143" s="80">
        <f t="shared" si="34"/>
        <v>235542.22999999998</v>
      </c>
      <c r="G143" s="80">
        <f t="shared" si="34"/>
        <v>0</v>
      </c>
      <c r="H143" s="80">
        <f t="shared" si="31"/>
        <v>0</v>
      </c>
      <c r="I143" s="80">
        <f t="shared" si="35"/>
        <v>0</v>
      </c>
      <c r="J143" s="80">
        <f t="shared" si="35"/>
        <v>0</v>
      </c>
      <c r="K143" s="80">
        <f t="shared" si="35"/>
        <v>0</v>
      </c>
      <c r="L143" s="80">
        <f t="shared" si="35"/>
        <v>0</v>
      </c>
      <c r="M143" s="80">
        <f t="shared" si="35"/>
        <v>0</v>
      </c>
      <c r="N143" s="82">
        <f t="shared" si="35"/>
        <v>0</v>
      </c>
      <c r="O143" s="82">
        <f t="shared" si="35"/>
        <v>0</v>
      </c>
      <c r="P143" s="82">
        <f t="shared" si="32"/>
        <v>0</v>
      </c>
      <c r="Q143" s="82">
        <f t="shared" si="36"/>
        <v>0</v>
      </c>
      <c r="R143" s="82">
        <f t="shared" si="36"/>
        <v>0</v>
      </c>
      <c r="S143" s="82">
        <f t="shared" si="36"/>
        <v>0</v>
      </c>
      <c r="T143" s="80">
        <f t="shared" si="36"/>
        <v>0</v>
      </c>
      <c r="U143" s="80">
        <f t="shared" si="33"/>
        <v>15</v>
      </c>
      <c r="V143" s="80">
        <f t="shared" si="37"/>
        <v>15</v>
      </c>
      <c r="W143" s="80">
        <f t="shared" si="37"/>
        <v>0</v>
      </c>
      <c r="X143" s="80">
        <f t="shared" si="37"/>
        <v>0</v>
      </c>
    </row>
    <row r="144" spans="1:24">
      <c r="A144" s="262"/>
      <c r="B144" s="69" t="s">
        <v>98</v>
      </c>
      <c r="C144" s="80">
        <f t="shared" si="13"/>
        <v>204301.88</v>
      </c>
      <c r="D144" s="80">
        <f t="shared" si="34"/>
        <v>0</v>
      </c>
      <c r="E144" s="80">
        <f t="shared" si="34"/>
        <v>156000</v>
      </c>
      <c r="F144" s="80">
        <f t="shared" si="34"/>
        <v>0</v>
      </c>
      <c r="G144" s="80">
        <f t="shared" si="34"/>
        <v>0</v>
      </c>
      <c r="H144" s="80">
        <f t="shared" si="31"/>
        <v>0</v>
      </c>
      <c r="I144" s="80">
        <f t="shared" si="35"/>
        <v>0</v>
      </c>
      <c r="J144" s="80">
        <f t="shared" si="35"/>
        <v>0</v>
      </c>
      <c r="K144" s="80">
        <f t="shared" si="35"/>
        <v>0</v>
      </c>
      <c r="L144" s="80">
        <f t="shared" si="35"/>
        <v>0</v>
      </c>
      <c r="M144" s="80">
        <f t="shared" si="35"/>
        <v>0</v>
      </c>
      <c r="N144" s="82">
        <f t="shared" si="35"/>
        <v>0</v>
      </c>
      <c r="O144" s="82">
        <f t="shared" si="35"/>
        <v>0</v>
      </c>
      <c r="P144" s="82">
        <f t="shared" si="32"/>
        <v>48301.88</v>
      </c>
      <c r="Q144" s="82">
        <f t="shared" si="36"/>
        <v>0</v>
      </c>
      <c r="R144" s="82">
        <f t="shared" si="36"/>
        <v>29433.96</v>
      </c>
      <c r="S144" s="82">
        <f t="shared" si="36"/>
        <v>18867.919999999998</v>
      </c>
      <c r="T144" s="80">
        <f t="shared" si="36"/>
        <v>0</v>
      </c>
      <c r="U144" s="80">
        <f t="shared" si="33"/>
        <v>0</v>
      </c>
      <c r="V144" s="80">
        <f t="shared" si="37"/>
        <v>0</v>
      </c>
      <c r="W144" s="80">
        <f t="shared" si="37"/>
        <v>0</v>
      </c>
      <c r="X144" s="80">
        <f t="shared" si="37"/>
        <v>0</v>
      </c>
    </row>
    <row r="145" spans="1:25">
      <c r="A145" s="262"/>
      <c r="B145" s="69" t="s">
        <v>99</v>
      </c>
      <c r="C145" s="80">
        <f t="shared" si="13"/>
        <v>0</v>
      </c>
      <c r="D145" s="80">
        <f t="shared" si="34"/>
        <v>0</v>
      </c>
      <c r="E145" s="80">
        <f t="shared" si="34"/>
        <v>0</v>
      </c>
      <c r="F145" s="80">
        <f t="shared" si="34"/>
        <v>0</v>
      </c>
      <c r="G145" s="80">
        <f t="shared" si="34"/>
        <v>0</v>
      </c>
      <c r="H145" s="80">
        <f t="shared" si="31"/>
        <v>0</v>
      </c>
      <c r="I145" s="80">
        <f t="shared" si="35"/>
        <v>0</v>
      </c>
      <c r="J145" s="80">
        <f t="shared" si="35"/>
        <v>0</v>
      </c>
      <c r="K145" s="80">
        <f t="shared" si="35"/>
        <v>0</v>
      </c>
      <c r="L145" s="80">
        <f t="shared" si="35"/>
        <v>0</v>
      </c>
      <c r="M145" s="80">
        <f t="shared" si="35"/>
        <v>0</v>
      </c>
      <c r="N145" s="82">
        <f t="shared" si="35"/>
        <v>0</v>
      </c>
      <c r="O145" s="82">
        <f t="shared" si="35"/>
        <v>0</v>
      </c>
      <c r="P145" s="82">
        <f t="shared" si="32"/>
        <v>0</v>
      </c>
      <c r="Q145" s="82">
        <f t="shared" si="36"/>
        <v>0</v>
      </c>
      <c r="R145" s="82">
        <f t="shared" si="36"/>
        <v>0</v>
      </c>
      <c r="S145" s="82">
        <f t="shared" si="36"/>
        <v>0</v>
      </c>
      <c r="T145" s="80">
        <f t="shared" si="36"/>
        <v>0</v>
      </c>
      <c r="U145" s="80">
        <f t="shared" si="33"/>
        <v>0</v>
      </c>
      <c r="V145" s="80">
        <f t="shared" si="37"/>
        <v>0</v>
      </c>
      <c r="W145" s="80">
        <f t="shared" si="37"/>
        <v>0</v>
      </c>
      <c r="X145" s="80">
        <f t="shared" si="37"/>
        <v>0</v>
      </c>
    </row>
    <row r="146" spans="1:25">
      <c r="A146" s="262"/>
      <c r="B146" s="69" t="s">
        <v>100</v>
      </c>
      <c r="C146" s="80">
        <f>SUM(D146:H146)+O146+P146+U146</f>
        <v>31306.720000000001</v>
      </c>
      <c r="D146" s="80">
        <f t="shared" si="34"/>
        <v>0</v>
      </c>
      <c r="E146" s="80">
        <f t="shared" si="34"/>
        <v>23298</v>
      </c>
      <c r="F146" s="80">
        <f t="shared" si="34"/>
        <v>-480</v>
      </c>
      <c r="G146" s="80">
        <f t="shared" si="34"/>
        <v>8488.7199999999993</v>
      </c>
      <c r="H146" s="80">
        <f t="shared" si="31"/>
        <v>0</v>
      </c>
      <c r="I146" s="80">
        <f t="shared" si="35"/>
        <v>0</v>
      </c>
      <c r="J146" s="80">
        <f t="shared" si="35"/>
        <v>0</v>
      </c>
      <c r="K146" s="80">
        <f t="shared" si="35"/>
        <v>0</v>
      </c>
      <c r="L146" s="80">
        <f t="shared" si="35"/>
        <v>0</v>
      </c>
      <c r="M146" s="80">
        <f t="shared" si="35"/>
        <v>0</v>
      </c>
      <c r="N146" s="82">
        <f t="shared" si="35"/>
        <v>0</v>
      </c>
      <c r="O146" s="82">
        <f t="shared" si="35"/>
        <v>0</v>
      </c>
      <c r="P146" s="82">
        <f t="shared" si="32"/>
        <v>0</v>
      </c>
      <c r="Q146" s="82">
        <f t="shared" si="36"/>
        <v>0</v>
      </c>
      <c r="R146" s="82">
        <f t="shared" si="36"/>
        <v>0</v>
      </c>
      <c r="S146" s="82">
        <f t="shared" si="36"/>
        <v>0</v>
      </c>
      <c r="T146" s="80">
        <f t="shared" si="36"/>
        <v>0</v>
      </c>
      <c r="U146" s="80">
        <f t="shared" si="33"/>
        <v>0</v>
      </c>
      <c r="V146" s="80">
        <f t="shared" si="37"/>
        <v>0</v>
      </c>
      <c r="W146" s="80">
        <f t="shared" si="37"/>
        <v>0</v>
      </c>
      <c r="X146" s="80">
        <f t="shared" si="37"/>
        <v>0</v>
      </c>
    </row>
    <row r="147" spans="1:25">
      <c r="A147" s="263"/>
      <c r="B147" s="69" t="s">
        <v>70</v>
      </c>
      <c r="C147" s="84">
        <f>SUM(D147:H147)+O147+P147+U147</f>
        <v>47031243.060000002</v>
      </c>
      <c r="D147" s="84">
        <f>SUM(D123:D146)</f>
        <v>4692941.8800000008</v>
      </c>
      <c r="E147" s="84">
        <f t="shared" ref="E147:X147" si="38">SUM(E123:E146)</f>
        <v>6658522.6100000003</v>
      </c>
      <c r="F147" s="84">
        <f t="shared" si="38"/>
        <v>22104822.870000001</v>
      </c>
      <c r="G147" s="84">
        <f t="shared" si="38"/>
        <v>1003851.9</v>
      </c>
      <c r="H147" s="84">
        <f t="shared" si="38"/>
        <v>2691368.6200000006</v>
      </c>
      <c r="I147" s="84">
        <f t="shared" si="38"/>
        <v>963998.17000000016</v>
      </c>
      <c r="J147" s="84">
        <f t="shared" si="38"/>
        <v>453518.07999999996</v>
      </c>
      <c r="K147" s="84">
        <f t="shared" si="38"/>
        <v>441238.84</v>
      </c>
      <c r="L147" s="84">
        <f t="shared" si="38"/>
        <v>0</v>
      </c>
      <c r="M147" s="84">
        <f t="shared" si="38"/>
        <v>298024.70999999996</v>
      </c>
      <c r="N147" s="87">
        <f t="shared" si="38"/>
        <v>534588.82000000018</v>
      </c>
      <c r="O147" s="87">
        <f t="shared" si="38"/>
        <v>914229.12</v>
      </c>
      <c r="P147" s="87">
        <f t="shared" si="38"/>
        <v>7517773.4200000018</v>
      </c>
      <c r="Q147" s="87">
        <f t="shared" si="38"/>
        <v>385095.52999999985</v>
      </c>
      <c r="R147" s="87">
        <f t="shared" si="38"/>
        <v>5210962.4399999995</v>
      </c>
      <c r="S147" s="87">
        <f t="shared" si="38"/>
        <v>1642201.18</v>
      </c>
      <c r="T147" s="84">
        <f t="shared" si="38"/>
        <v>279514.27</v>
      </c>
      <c r="U147" s="84">
        <f t="shared" si="38"/>
        <v>1447732.64</v>
      </c>
      <c r="V147" s="84">
        <f t="shared" si="38"/>
        <v>371374.63</v>
      </c>
      <c r="W147" s="84">
        <f t="shared" si="38"/>
        <v>55560.710000000006</v>
      </c>
      <c r="X147" s="84">
        <f t="shared" si="38"/>
        <v>1020797.2999999999</v>
      </c>
    </row>
    <row r="148" spans="1:25">
      <c r="A148" s="261" t="s">
        <v>101</v>
      </c>
      <c r="B148" s="69" t="s">
        <v>102</v>
      </c>
      <c r="C148" s="80">
        <f t="shared" si="13"/>
        <v>2727210.2600000002</v>
      </c>
      <c r="D148" s="80">
        <f t="shared" ref="D148:G154" si="39">D44+D96</f>
        <v>0</v>
      </c>
      <c r="E148" s="80">
        <f t="shared" si="39"/>
        <v>2400</v>
      </c>
      <c r="F148" s="80">
        <f t="shared" si="39"/>
        <v>2487983.9600000004</v>
      </c>
      <c r="G148" s="80">
        <f t="shared" si="39"/>
        <v>0</v>
      </c>
      <c r="H148" s="80">
        <f t="shared" si="31"/>
        <v>132636</v>
      </c>
      <c r="I148" s="80">
        <f t="shared" ref="I148:O154" si="40">I44+I96</f>
        <v>8000</v>
      </c>
      <c r="J148" s="80">
        <f t="shared" si="40"/>
        <v>25000</v>
      </c>
      <c r="K148" s="80">
        <f t="shared" si="40"/>
        <v>41636</v>
      </c>
      <c r="L148" s="80">
        <f t="shared" si="40"/>
        <v>0</v>
      </c>
      <c r="M148" s="80">
        <f t="shared" si="40"/>
        <v>0</v>
      </c>
      <c r="N148" s="82">
        <f t="shared" si="40"/>
        <v>58000</v>
      </c>
      <c r="O148" s="82">
        <f t="shared" si="40"/>
        <v>0</v>
      </c>
      <c r="P148" s="82">
        <f t="shared" ref="P148:P154" si="41">SUM(Q148:T148)</f>
        <v>0</v>
      </c>
      <c r="Q148" s="82">
        <f t="shared" ref="Q148:T154" si="42">Q44+Q96</f>
        <v>0</v>
      </c>
      <c r="R148" s="82">
        <f t="shared" si="42"/>
        <v>0</v>
      </c>
      <c r="S148" s="82">
        <f t="shared" si="42"/>
        <v>0</v>
      </c>
      <c r="T148" s="80">
        <f t="shared" si="42"/>
        <v>0</v>
      </c>
      <c r="U148" s="80">
        <f t="shared" ref="U148:U154" si="43">SUM(V148:Y148)</f>
        <v>104190.30000000002</v>
      </c>
      <c r="V148" s="80">
        <f t="shared" ref="V148:X154" si="44">V44+V96</f>
        <v>0</v>
      </c>
      <c r="W148" s="80">
        <f t="shared" si="44"/>
        <v>0</v>
      </c>
      <c r="X148" s="80">
        <f t="shared" si="44"/>
        <v>104190.30000000002</v>
      </c>
    </row>
    <row r="149" spans="1:25">
      <c r="A149" s="262"/>
      <c r="B149" s="69" t="s">
        <v>103</v>
      </c>
      <c r="C149" s="80">
        <f t="shared" si="13"/>
        <v>1057279.01</v>
      </c>
      <c r="D149" s="80">
        <f t="shared" si="39"/>
        <v>0</v>
      </c>
      <c r="E149" s="80">
        <f t="shared" si="39"/>
        <v>529236.98</v>
      </c>
      <c r="F149" s="80">
        <f t="shared" si="39"/>
        <v>217223.92000000004</v>
      </c>
      <c r="G149" s="80">
        <f t="shared" si="39"/>
        <v>0</v>
      </c>
      <c r="H149" s="80">
        <f t="shared" si="31"/>
        <v>302704.14</v>
      </c>
      <c r="I149" s="80">
        <f t="shared" si="40"/>
        <v>76360</v>
      </c>
      <c r="J149" s="80">
        <f t="shared" si="40"/>
        <v>2303.4</v>
      </c>
      <c r="K149" s="80">
        <f t="shared" si="40"/>
        <v>112020.37</v>
      </c>
      <c r="L149" s="80">
        <f t="shared" si="40"/>
        <v>0</v>
      </c>
      <c r="M149" s="80">
        <f t="shared" si="40"/>
        <v>0</v>
      </c>
      <c r="N149" s="82">
        <f t="shared" si="40"/>
        <v>112020.37</v>
      </c>
      <c r="O149" s="82">
        <f t="shared" si="40"/>
        <v>1933.97</v>
      </c>
      <c r="P149" s="82">
        <f t="shared" si="41"/>
        <v>1600</v>
      </c>
      <c r="Q149" s="82">
        <f t="shared" si="42"/>
        <v>0</v>
      </c>
      <c r="R149" s="82">
        <f t="shared" si="42"/>
        <v>1600</v>
      </c>
      <c r="S149" s="82">
        <f t="shared" si="42"/>
        <v>0</v>
      </c>
      <c r="T149" s="80">
        <f t="shared" si="42"/>
        <v>0</v>
      </c>
      <c r="U149" s="80">
        <f t="shared" si="43"/>
        <v>4580</v>
      </c>
      <c r="V149" s="80">
        <f t="shared" si="44"/>
        <v>2580</v>
      </c>
      <c r="W149" s="80">
        <f t="shared" si="44"/>
        <v>0</v>
      </c>
      <c r="X149" s="80">
        <f t="shared" si="44"/>
        <v>2000</v>
      </c>
    </row>
    <row r="150" spans="1:25">
      <c r="A150" s="262"/>
      <c r="B150" s="69" t="s">
        <v>104</v>
      </c>
      <c r="C150" s="80">
        <f t="shared" si="13"/>
        <v>16382724.790000003</v>
      </c>
      <c r="D150" s="80">
        <f t="shared" si="39"/>
        <v>0</v>
      </c>
      <c r="E150" s="80">
        <f t="shared" si="39"/>
        <v>2775213.81</v>
      </c>
      <c r="F150" s="80">
        <f t="shared" si="39"/>
        <v>11210846.140000001</v>
      </c>
      <c r="G150" s="80">
        <f t="shared" si="39"/>
        <v>110294.5</v>
      </c>
      <c r="H150" s="80">
        <f t="shared" si="31"/>
        <v>1387243.3900000001</v>
      </c>
      <c r="I150" s="80">
        <f t="shared" si="40"/>
        <v>115094.5</v>
      </c>
      <c r="J150" s="80">
        <f t="shared" si="40"/>
        <v>115089.5</v>
      </c>
      <c r="K150" s="80">
        <f t="shared" si="40"/>
        <v>110294.5</v>
      </c>
      <c r="L150" s="80">
        <f t="shared" si="40"/>
        <v>0</v>
      </c>
      <c r="M150" s="80">
        <f t="shared" si="40"/>
        <v>938011.7699999999</v>
      </c>
      <c r="N150" s="82">
        <f t="shared" si="40"/>
        <v>108753.12</v>
      </c>
      <c r="O150" s="82">
        <f t="shared" si="40"/>
        <v>0</v>
      </c>
      <c r="P150" s="82">
        <f t="shared" si="41"/>
        <v>353587.9</v>
      </c>
      <c r="Q150" s="82">
        <f t="shared" si="42"/>
        <v>43754</v>
      </c>
      <c r="R150" s="82">
        <f t="shared" si="42"/>
        <v>108086.64</v>
      </c>
      <c r="S150" s="82">
        <f t="shared" si="42"/>
        <v>100324.14</v>
      </c>
      <c r="T150" s="80">
        <f t="shared" si="42"/>
        <v>101423.11999999998</v>
      </c>
      <c r="U150" s="80">
        <f t="shared" si="43"/>
        <v>545539.05000000005</v>
      </c>
      <c r="V150" s="80">
        <f t="shared" si="44"/>
        <v>271966.71999999997</v>
      </c>
      <c r="W150" s="80">
        <f t="shared" si="44"/>
        <v>0</v>
      </c>
      <c r="X150" s="80">
        <f t="shared" si="44"/>
        <v>273572.33</v>
      </c>
    </row>
    <row r="151" spans="1:25">
      <c r="A151" s="262"/>
      <c r="B151" s="69" t="s">
        <v>105</v>
      </c>
      <c r="C151" s="80">
        <f t="shared" si="13"/>
        <v>7640927.2199999988</v>
      </c>
      <c r="D151" s="80">
        <f t="shared" si="39"/>
        <v>951184.29666666593</v>
      </c>
      <c r="E151" s="80">
        <f t="shared" si="39"/>
        <v>0</v>
      </c>
      <c r="F151" s="80">
        <f t="shared" si="39"/>
        <v>6262748.9333333336</v>
      </c>
      <c r="G151" s="80">
        <f t="shared" si="39"/>
        <v>0</v>
      </c>
      <c r="H151" s="80">
        <f t="shared" si="31"/>
        <v>324072.84999999992</v>
      </c>
      <c r="I151" s="80">
        <f t="shared" si="40"/>
        <v>0</v>
      </c>
      <c r="J151" s="80">
        <f t="shared" si="40"/>
        <v>0</v>
      </c>
      <c r="K151" s="80">
        <f t="shared" si="40"/>
        <v>0</v>
      </c>
      <c r="L151" s="80">
        <f t="shared" si="40"/>
        <v>0</v>
      </c>
      <c r="M151" s="80">
        <f t="shared" si="40"/>
        <v>324072.84999999992</v>
      </c>
      <c r="N151" s="82">
        <f t="shared" si="40"/>
        <v>0</v>
      </c>
      <c r="O151" s="82">
        <f t="shared" si="40"/>
        <v>0</v>
      </c>
      <c r="P151" s="82">
        <f t="shared" si="41"/>
        <v>0</v>
      </c>
      <c r="Q151" s="82">
        <f t="shared" si="42"/>
        <v>0</v>
      </c>
      <c r="R151" s="82">
        <f t="shared" si="42"/>
        <v>0</v>
      </c>
      <c r="S151" s="82">
        <f t="shared" si="42"/>
        <v>0</v>
      </c>
      <c r="T151" s="80">
        <f t="shared" si="42"/>
        <v>0</v>
      </c>
      <c r="U151" s="80">
        <f t="shared" si="43"/>
        <v>102921.14000000001</v>
      </c>
      <c r="V151" s="80">
        <f t="shared" si="44"/>
        <v>57402.3</v>
      </c>
      <c r="W151" s="80">
        <f t="shared" si="44"/>
        <v>2859.48</v>
      </c>
      <c r="X151" s="80">
        <f t="shared" si="44"/>
        <v>42659.360000000001</v>
      </c>
    </row>
    <row r="152" spans="1:25">
      <c r="A152" s="262"/>
      <c r="B152" s="69" t="s">
        <v>106</v>
      </c>
      <c r="C152" s="80">
        <f t="shared" si="13"/>
        <v>2759245.62</v>
      </c>
      <c r="D152" s="80">
        <f t="shared" si="39"/>
        <v>2473018.94</v>
      </c>
      <c r="E152" s="80">
        <f t="shared" si="39"/>
        <v>0</v>
      </c>
      <c r="F152" s="80">
        <f t="shared" si="39"/>
        <v>16666.690000000002</v>
      </c>
      <c r="G152" s="80">
        <f t="shared" si="39"/>
        <v>0</v>
      </c>
      <c r="H152" s="80">
        <f t="shared" si="31"/>
        <v>0</v>
      </c>
      <c r="I152" s="80">
        <f t="shared" si="40"/>
        <v>0</v>
      </c>
      <c r="J152" s="80">
        <f t="shared" si="40"/>
        <v>0</v>
      </c>
      <c r="K152" s="80">
        <f t="shared" si="40"/>
        <v>0</v>
      </c>
      <c r="L152" s="80">
        <f t="shared" si="40"/>
        <v>0</v>
      </c>
      <c r="M152" s="80">
        <f t="shared" si="40"/>
        <v>0</v>
      </c>
      <c r="N152" s="82">
        <f t="shared" si="40"/>
        <v>0</v>
      </c>
      <c r="O152" s="82">
        <f t="shared" si="40"/>
        <v>0</v>
      </c>
      <c r="P152" s="82">
        <f t="shared" si="41"/>
        <v>0</v>
      </c>
      <c r="Q152" s="82">
        <f t="shared" si="42"/>
        <v>0</v>
      </c>
      <c r="R152" s="82">
        <f t="shared" si="42"/>
        <v>0</v>
      </c>
      <c r="S152" s="82">
        <f t="shared" si="42"/>
        <v>0</v>
      </c>
      <c r="T152" s="80">
        <f t="shared" si="42"/>
        <v>0</v>
      </c>
      <c r="U152" s="80">
        <f t="shared" si="43"/>
        <v>269559.99</v>
      </c>
      <c r="V152" s="80">
        <f t="shared" si="44"/>
        <v>0</v>
      </c>
      <c r="W152" s="80">
        <f t="shared" si="44"/>
        <v>0</v>
      </c>
      <c r="X152" s="80">
        <f t="shared" si="44"/>
        <v>269559.99</v>
      </c>
    </row>
    <row r="153" spans="1:25">
      <c r="A153" s="262"/>
      <c r="B153" s="69" t="s">
        <v>107</v>
      </c>
      <c r="C153" s="80">
        <f t="shared" si="13"/>
        <v>3144973.4700000007</v>
      </c>
      <c r="D153" s="80">
        <f t="shared" si="39"/>
        <v>992638.08</v>
      </c>
      <c r="E153" s="80">
        <f t="shared" si="39"/>
        <v>36191.339999999997</v>
      </c>
      <c r="F153" s="80">
        <f t="shared" si="39"/>
        <v>1680071.6800000002</v>
      </c>
      <c r="G153" s="80">
        <f t="shared" si="39"/>
        <v>26118.810000000005</v>
      </c>
      <c r="H153" s="80">
        <f t="shared" si="31"/>
        <v>108965.95000000001</v>
      </c>
      <c r="I153" s="80">
        <f t="shared" si="40"/>
        <v>23906.73</v>
      </c>
      <c r="J153" s="80">
        <f t="shared" si="40"/>
        <v>21742.71</v>
      </c>
      <c r="K153" s="80">
        <f t="shared" si="40"/>
        <v>21230.79</v>
      </c>
      <c r="L153" s="80">
        <f t="shared" si="40"/>
        <v>0</v>
      </c>
      <c r="M153" s="80">
        <f t="shared" si="40"/>
        <v>20743.03</v>
      </c>
      <c r="N153" s="82">
        <f t="shared" si="40"/>
        <v>21342.69</v>
      </c>
      <c r="O153" s="82">
        <f t="shared" si="40"/>
        <v>0</v>
      </c>
      <c r="P153" s="82">
        <f t="shared" si="41"/>
        <v>206233.19999999998</v>
      </c>
      <c r="Q153" s="82">
        <f t="shared" si="42"/>
        <v>38450.04</v>
      </c>
      <c r="R153" s="82">
        <f t="shared" si="42"/>
        <v>55613.42</v>
      </c>
      <c r="S153" s="82">
        <f t="shared" si="42"/>
        <v>57496.4</v>
      </c>
      <c r="T153" s="80">
        <f t="shared" si="42"/>
        <v>54673.339999999989</v>
      </c>
      <c r="U153" s="80">
        <f t="shared" si="43"/>
        <v>94754.41</v>
      </c>
      <c r="V153" s="80">
        <f t="shared" si="44"/>
        <v>50154.79</v>
      </c>
      <c r="W153" s="80">
        <f t="shared" si="44"/>
        <v>0</v>
      </c>
      <c r="X153" s="80">
        <f t="shared" si="44"/>
        <v>44599.62</v>
      </c>
    </row>
    <row r="154" spans="1:25">
      <c r="A154" s="262"/>
      <c r="B154" s="69" t="s">
        <v>108</v>
      </c>
      <c r="C154" s="80">
        <f t="shared" si="13"/>
        <v>0</v>
      </c>
      <c r="D154" s="80">
        <f t="shared" si="39"/>
        <v>0</v>
      </c>
      <c r="E154" s="80">
        <f t="shared" si="39"/>
        <v>0</v>
      </c>
      <c r="F154" s="80">
        <f t="shared" si="39"/>
        <v>0</v>
      </c>
      <c r="G154" s="80">
        <f t="shared" si="39"/>
        <v>0</v>
      </c>
      <c r="H154" s="80">
        <f t="shared" si="31"/>
        <v>0</v>
      </c>
      <c r="I154" s="80">
        <f t="shared" si="40"/>
        <v>0</v>
      </c>
      <c r="J154" s="80">
        <f t="shared" si="40"/>
        <v>0</v>
      </c>
      <c r="K154" s="80">
        <f t="shared" si="40"/>
        <v>0</v>
      </c>
      <c r="L154" s="80">
        <f t="shared" si="40"/>
        <v>0</v>
      </c>
      <c r="M154" s="80">
        <f t="shared" si="40"/>
        <v>0</v>
      </c>
      <c r="N154" s="82">
        <f t="shared" si="40"/>
        <v>0</v>
      </c>
      <c r="O154" s="82">
        <f t="shared" si="40"/>
        <v>0</v>
      </c>
      <c r="P154" s="82">
        <f t="shared" si="41"/>
        <v>0</v>
      </c>
      <c r="Q154" s="82">
        <f t="shared" si="42"/>
        <v>0</v>
      </c>
      <c r="R154" s="82">
        <f t="shared" si="42"/>
        <v>0</v>
      </c>
      <c r="S154" s="82">
        <f t="shared" si="42"/>
        <v>0</v>
      </c>
      <c r="T154" s="80">
        <f t="shared" si="42"/>
        <v>0</v>
      </c>
      <c r="U154" s="80">
        <f t="shared" si="43"/>
        <v>0</v>
      </c>
      <c r="V154" s="80">
        <f t="shared" si="44"/>
        <v>0</v>
      </c>
      <c r="W154" s="80">
        <f t="shared" si="44"/>
        <v>0</v>
      </c>
      <c r="X154" s="80">
        <f t="shared" si="44"/>
        <v>0</v>
      </c>
    </row>
    <row r="155" spans="1:25">
      <c r="A155" s="263"/>
      <c r="B155" s="69" t="s">
        <v>70</v>
      </c>
      <c r="C155" s="83">
        <f>SUM(C148:C154)</f>
        <v>33712360.370000005</v>
      </c>
      <c r="D155" s="83">
        <f>SUM(D148:D154)</f>
        <v>4416841.3166666655</v>
      </c>
      <c r="E155" s="83">
        <f t="shared" ref="E155:X155" si="45">SUM(E148:E154)</f>
        <v>3343042.13</v>
      </c>
      <c r="F155" s="83">
        <f t="shared" si="45"/>
        <v>21875541.323333334</v>
      </c>
      <c r="G155" s="83">
        <f t="shared" si="45"/>
        <v>136413.31</v>
      </c>
      <c r="H155" s="83">
        <f t="shared" si="45"/>
        <v>2255622.3300000005</v>
      </c>
      <c r="I155" s="83">
        <f t="shared" si="45"/>
        <v>223361.23</v>
      </c>
      <c r="J155" s="83">
        <f t="shared" si="45"/>
        <v>164135.60999999999</v>
      </c>
      <c r="K155" s="83">
        <f t="shared" si="45"/>
        <v>285181.65999999997</v>
      </c>
      <c r="L155" s="83">
        <f t="shared" si="45"/>
        <v>0</v>
      </c>
      <c r="M155" s="83">
        <f t="shared" si="45"/>
        <v>1282827.6499999999</v>
      </c>
      <c r="N155" s="83">
        <f t="shared" si="45"/>
        <v>300116.18</v>
      </c>
      <c r="O155" s="83">
        <f t="shared" si="45"/>
        <v>1933.97</v>
      </c>
      <c r="P155" s="83">
        <f t="shared" si="45"/>
        <v>561421.1</v>
      </c>
      <c r="Q155" s="83">
        <f t="shared" si="45"/>
        <v>82204.040000000008</v>
      </c>
      <c r="R155" s="83">
        <f t="shared" si="45"/>
        <v>165300.06</v>
      </c>
      <c r="S155" s="83">
        <f t="shared" si="45"/>
        <v>157820.54</v>
      </c>
      <c r="T155" s="83">
        <f t="shared" si="45"/>
        <v>156096.45999999996</v>
      </c>
      <c r="U155" s="83">
        <f t="shared" si="45"/>
        <v>1121544.8900000001</v>
      </c>
      <c r="V155" s="83">
        <f t="shared" si="45"/>
        <v>382103.80999999994</v>
      </c>
      <c r="W155" s="83">
        <f t="shared" si="45"/>
        <v>2859.48</v>
      </c>
      <c r="X155" s="83">
        <f t="shared" si="45"/>
        <v>736581.6</v>
      </c>
    </row>
    <row r="156" spans="1:25">
      <c r="A156" s="72"/>
      <c r="B156" s="72" t="s">
        <v>4</v>
      </c>
      <c r="C156" s="85">
        <f>C155+C147+C122+C117</f>
        <v>298371395.80000007</v>
      </c>
      <c r="D156" s="85">
        <f t="shared" ref="D156:U156" si="46">D155+D147+D122+D117</f>
        <v>7873736.8366666678</v>
      </c>
      <c r="E156" s="85">
        <f t="shared" si="46"/>
        <v>35945644.920000009</v>
      </c>
      <c r="F156" s="85">
        <f t="shared" si="46"/>
        <v>153222034.56333333</v>
      </c>
      <c r="G156" s="85">
        <f t="shared" si="46"/>
        <v>2983491.7100000009</v>
      </c>
      <c r="H156" s="85">
        <f t="shared" si="46"/>
        <v>14824854.23</v>
      </c>
      <c r="I156" s="85">
        <f t="shared" si="46"/>
        <v>4978265.24</v>
      </c>
      <c r="J156" s="85">
        <f t="shared" si="46"/>
        <v>2782793.3400000003</v>
      </c>
      <c r="K156" s="85">
        <f t="shared" si="46"/>
        <v>1904787.45</v>
      </c>
      <c r="L156" s="85">
        <f t="shared" si="46"/>
        <v>0</v>
      </c>
      <c r="M156" s="85">
        <f t="shared" si="46"/>
        <v>2501901.48</v>
      </c>
      <c r="N156" s="88">
        <f t="shared" si="46"/>
        <v>2657106.7200000002</v>
      </c>
      <c r="O156" s="88">
        <f t="shared" si="46"/>
        <v>4375371.87</v>
      </c>
      <c r="P156" s="88">
        <f t="shared" si="46"/>
        <v>71974699.430000007</v>
      </c>
      <c r="Q156" s="88">
        <f t="shared" si="46"/>
        <v>835761.3899999999</v>
      </c>
      <c r="R156" s="88">
        <f t="shared" si="46"/>
        <v>55650636.540000007</v>
      </c>
      <c r="S156" s="88">
        <f t="shared" si="46"/>
        <v>13889311.48</v>
      </c>
      <c r="T156" s="85">
        <f t="shared" si="46"/>
        <v>1598990.02</v>
      </c>
      <c r="U156" s="85">
        <f t="shared" si="46"/>
        <v>7171562.2400000002</v>
      </c>
      <c r="V156" s="85">
        <f>V155+V147+V122+V117</f>
        <v>1804666.4</v>
      </c>
      <c r="W156" s="85">
        <f>W155+W147+W122+W117</f>
        <v>360228.69</v>
      </c>
      <c r="X156" s="85">
        <f>X155+X147+X122+X117</f>
        <v>5006667.1500000004</v>
      </c>
    </row>
    <row r="158" spans="1:25" s="57" customFormat="1" ht="12">
      <c r="B158" s="86" t="s">
        <v>50</v>
      </c>
      <c r="C158" s="57">
        <f>C156-累计利润调整表!B77</f>
        <v>0</v>
      </c>
      <c r="D158" s="57">
        <f>D156-累计利润调整表!C77</f>
        <v>1804807.7999999989</v>
      </c>
      <c r="E158" s="57">
        <f>E156-累计利润调整表!D77</f>
        <v>-1804807.7999999598</v>
      </c>
      <c r="F158" s="57">
        <f>F156-累计利润调整表!E77</f>
        <v>0</v>
      </c>
      <c r="G158" s="57">
        <f>G156-累计利润调整表!F77</f>
        <v>0</v>
      </c>
      <c r="H158" s="57">
        <f>H156-累计利润调整表!G77</f>
        <v>0</v>
      </c>
      <c r="I158" s="57">
        <f>I156-累计利润调整表!H77</f>
        <v>0</v>
      </c>
      <c r="J158" s="57">
        <f>J156-累计利润调整表!I77</f>
        <v>0</v>
      </c>
      <c r="K158" s="57">
        <f>K156-累计利润调整表!J77</f>
        <v>0</v>
      </c>
      <c r="L158" s="57">
        <f>L156-累计利润调整表!K77</f>
        <v>0</v>
      </c>
      <c r="M158" s="57">
        <f>M156-累计利润调整表!L77</f>
        <v>0</v>
      </c>
      <c r="N158" s="57">
        <f>N156-累计利润调整表!M77</f>
        <v>0</v>
      </c>
      <c r="O158" s="57">
        <f>O156-累计利润调整表!N77</f>
        <v>0</v>
      </c>
      <c r="P158" s="57">
        <f>P156-累计利润调整表!O77</f>
        <v>0</v>
      </c>
      <c r="Q158" s="57">
        <f>Q156-累计利润调整表!P77</f>
        <v>0</v>
      </c>
      <c r="R158" s="57">
        <f>R156-累计利润调整表!Q77</f>
        <v>0</v>
      </c>
      <c r="S158" s="57">
        <f>S156-累计利润调整表!R77</f>
        <v>0</v>
      </c>
      <c r="T158" s="57">
        <f>T156-累计利润调整表!S77</f>
        <v>0</v>
      </c>
      <c r="U158" s="57">
        <f>U156-累计利润调整表!T77</f>
        <v>0</v>
      </c>
      <c r="V158" s="57">
        <f>V156-累计利润调整表!U77</f>
        <v>0</v>
      </c>
      <c r="W158" s="57">
        <f>W156-累计利润调整表!V77</f>
        <v>0</v>
      </c>
      <c r="X158" s="57">
        <f>X156-累计利润调整表!W77</f>
        <v>0</v>
      </c>
      <c r="Y158" s="57">
        <f>Y156-累计利润调整表!X77</f>
        <v>0</v>
      </c>
    </row>
  </sheetData>
  <mergeCells count="13">
    <mergeCell ref="A1:X1"/>
    <mergeCell ref="A4:A13"/>
    <mergeCell ref="A14:A18"/>
    <mergeCell ref="A19:A43"/>
    <mergeCell ref="A44:A51"/>
    <mergeCell ref="A118:A122"/>
    <mergeCell ref="A123:A147"/>
    <mergeCell ref="A148:A155"/>
    <mergeCell ref="A56:A65"/>
    <mergeCell ref="A66:A70"/>
    <mergeCell ref="A71:A95"/>
    <mergeCell ref="A96:A103"/>
    <mergeCell ref="A108:A117"/>
  </mergeCells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7"/>
  <sheetViews>
    <sheetView workbookViewId="0">
      <pane xSplit="2" ySplit="49" topLeftCell="C77" activePane="bottomRight" state="frozen"/>
      <selection pane="topRight"/>
      <selection pane="bottomLeft"/>
      <selection pane="bottomRight" activeCell="B297" sqref="B297"/>
    </sheetView>
  </sheetViews>
  <sheetFormatPr defaultColWidth="9" defaultRowHeight="16.5"/>
  <cols>
    <col min="1" max="1" width="6.875" style="2" customWidth="1"/>
    <col min="2" max="3" width="17.25" style="2" customWidth="1"/>
    <col min="4" max="4" width="17.25" style="3" customWidth="1"/>
    <col min="5" max="5" width="15.5" style="3" customWidth="1"/>
    <col min="6" max="6" width="17.875" style="3" customWidth="1"/>
    <col min="7" max="7" width="20.75" style="3" customWidth="1"/>
    <col min="8" max="8" width="29.25" style="4" bestFit="1" customWidth="1"/>
    <col min="9" max="9" width="29.375" style="5" customWidth="1"/>
    <col min="10" max="10" width="14" style="5" customWidth="1"/>
    <col min="11" max="11" width="14.625" style="5" customWidth="1"/>
    <col min="12" max="12" width="13.5" style="5" customWidth="1"/>
    <col min="13" max="13" width="14" style="5" customWidth="1"/>
    <col min="14" max="20" width="9" style="5"/>
    <col min="21" max="16384" width="9" style="3"/>
  </cols>
  <sheetData>
    <row r="1" spans="1:13" ht="16.5" hidden="1" customHeight="1">
      <c r="A1" s="3"/>
      <c r="B1" s="3"/>
      <c r="C1" s="3"/>
      <c r="H1" s="3"/>
      <c r="I1" s="5" t="s">
        <v>111</v>
      </c>
      <c r="K1" s="5" t="s">
        <v>5</v>
      </c>
      <c r="M1" s="5" t="s">
        <v>61</v>
      </c>
    </row>
    <row r="2" spans="1:13" ht="16.5" hidden="1" customHeight="1">
      <c r="A2" s="3"/>
      <c r="B2" s="3"/>
      <c r="C2" s="3"/>
      <c r="H2" s="3"/>
      <c r="I2" s="5" t="s">
        <v>28</v>
      </c>
      <c r="K2" s="5" t="s">
        <v>6</v>
      </c>
      <c r="M2" s="5" t="s">
        <v>62</v>
      </c>
    </row>
    <row r="3" spans="1:13" ht="16.5" hidden="1" customHeight="1">
      <c r="A3" s="3"/>
      <c r="B3" s="3"/>
      <c r="C3" s="3"/>
      <c r="H3" s="3"/>
      <c r="I3" s="5" t="s">
        <v>29</v>
      </c>
      <c r="K3" s="5" t="s">
        <v>7</v>
      </c>
      <c r="M3" s="5" t="s">
        <v>63</v>
      </c>
    </row>
    <row r="4" spans="1:13" ht="16.5" hidden="1" customHeight="1">
      <c r="A4" s="3"/>
      <c r="B4" s="3"/>
      <c r="C4" s="3"/>
      <c r="H4" s="3"/>
      <c r="I4" s="5" t="s">
        <v>30</v>
      </c>
      <c r="K4" s="5" t="s">
        <v>8</v>
      </c>
      <c r="M4" s="5" t="s">
        <v>64</v>
      </c>
    </row>
    <row r="5" spans="1:13" ht="16.5" hidden="1" customHeight="1">
      <c r="A5" s="3"/>
      <c r="B5" s="3"/>
      <c r="C5" s="3"/>
      <c r="H5" s="3"/>
      <c r="I5" s="5" t="s">
        <v>112</v>
      </c>
      <c r="K5" s="5" t="s">
        <v>10</v>
      </c>
      <c r="M5" s="5" t="s">
        <v>65</v>
      </c>
    </row>
    <row r="6" spans="1:13" ht="16.5" hidden="1" customHeight="1">
      <c r="A6" s="3"/>
      <c r="B6" s="3"/>
      <c r="C6" s="3"/>
      <c r="H6" s="3"/>
      <c r="I6" s="5" t="s">
        <v>32</v>
      </c>
      <c r="K6" s="5" t="s">
        <v>11</v>
      </c>
      <c r="M6" s="5" t="s">
        <v>66</v>
      </c>
    </row>
    <row r="7" spans="1:13" ht="16.5" hidden="1" customHeight="1">
      <c r="A7" s="3"/>
      <c r="B7" s="3"/>
      <c r="C7" s="3"/>
      <c r="H7" s="3"/>
      <c r="I7" s="5" t="s">
        <v>34</v>
      </c>
      <c r="K7" s="5" t="s">
        <v>12</v>
      </c>
      <c r="M7" s="5" t="s">
        <v>67</v>
      </c>
    </row>
    <row r="8" spans="1:13" ht="16.5" hidden="1" customHeight="1">
      <c r="A8" s="3"/>
      <c r="B8" s="3"/>
      <c r="C8" s="3"/>
      <c r="H8" s="3"/>
      <c r="I8" s="5" t="s">
        <v>113</v>
      </c>
      <c r="K8" s="5" t="s">
        <v>13</v>
      </c>
      <c r="M8" s="5" t="s">
        <v>68</v>
      </c>
    </row>
    <row r="9" spans="1:13" ht="16.5" hidden="1" customHeight="1">
      <c r="A9" s="3"/>
      <c r="B9" s="3"/>
      <c r="C9" s="3"/>
      <c r="H9" s="3"/>
      <c r="I9" s="5" t="s">
        <v>114</v>
      </c>
      <c r="K9" s="5" t="s">
        <v>14</v>
      </c>
      <c r="M9" s="5" t="s">
        <v>69</v>
      </c>
    </row>
    <row r="10" spans="1:13" ht="16.5" hidden="1" customHeight="1">
      <c r="A10" s="3"/>
      <c r="B10" s="3"/>
      <c r="C10" s="3"/>
      <c r="H10" s="3"/>
      <c r="I10" s="5" t="s">
        <v>115</v>
      </c>
      <c r="K10" s="5" t="s">
        <v>15</v>
      </c>
      <c r="M10" s="5" t="s">
        <v>72</v>
      </c>
    </row>
    <row r="11" spans="1:13" ht="16.5" hidden="1" customHeight="1">
      <c r="A11" s="3"/>
      <c r="B11" s="3"/>
      <c r="C11" s="3"/>
      <c r="H11" s="3"/>
      <c r="I11" s="5" t="s">
        <v>116</v>
      </c>
      <c r="K11" s="5" t="s">
        <v>16</v>
      </c>
      <c r="M11" s="5" t="s">
        <v>73</v>
      </c>
    </row>
    <row r="12" spans="1:13" ht="16.5" hidden="1" customHeight="1">
      <c r="A12" s="3"/>
      <c r="B12" s="3"/>
      <c r="C12" s="3"/>
      <c r="H12" s="3"/>
      <c r="I12" s="5" t="s">
        <v>117</v>
      </c>
      <c r="K12" s="5" t="s">
        <v>18</v>
      </c>
      <c r="M12" s="5" t="s">
        <v>74</v>
      </c>
    </row>
    <row r="13" spans="1:13" ht="16.5" hidden="1" customHeight="1">
      <c r="A13" s="3"/>
      <c r="B13" s="3"/>
      <c r="C13" s="3"/>
      <c r="H13" s="3"/>
      <c r="I13" s="5" t="s">
        <v>118</v>
      </c>
      <c r="K13" s="5" t="s">
        <v>19</v>
      </c>
      <c r="M13" s="5" t="s">
        <v>75</v>
      </c>
    </row>
    <row r="14" spans="1:13" ht="16.5" hidden="1" customHeight="1">
      <c r="A14" s="3"/>
      <c r="B14" s="3"/>
      <c r="C14" s="3"/>
      <c r="H14" s="3"/>
      <c r="I14" s="5" t="s">
        <v>119</v>
      </c>
      <c r="K14" s="5" t="s">
        <v>20</v>
      </c>
      <c r="M14" s="5" t="s">
        <v>77</v>
      </c>
    </row>
    <row r="15" spans="1:13" ht="16.5" hidden="1" customHeight="1">
      <c r="A15" s="3"/>
      <c r="B15" s="3"/>
      <c r="C15" s="3"/>
      <c r="H15" s="3"/>
      <c r="I15" s="5" t="s">
        <v>120</v>
      </c>
      <c r="K15" s="5" t="s">
        <v>121</v>
      </c>
      <c r="M15" s="5" t="s">
        <v>78</v>
      </c>
    </row>
    <row r="16" spans="1:13" ht="16.5" hidden="1" customHeight="1">
      <c r="I16" s="5" t="s">
        <v>122</v>
      </c>
      <c r="K16" s="5" t="s">
        <v>193</v>
      </c>
      <c r="M16" s="5" t="s">
        <v>79</v>
      </c>
    </row>
    <row r="17" spans="9:13" ht="16.5" hidden="1" customHeight="1">
      <c r="I17" s="5" t="s">
        <v>48</v>
      </c>
      <c r="K17" s="5" t="s">
        <v>24</v>
      </c>
      <c r="M17" s="5" t="s">
        <v>80</v>
      </c>
    </row>
    <row r="18" spans="9:13" ht="16.5" hidden="1" customHeight="1">
      <c r="K18" s="5" t="s">
        <v>25</v>
      </c>
      <c r="M18" s="5" t="s">
        <v>81</v>
      </c>
    </row>
    <row r="19" spans="9:13" ht="16.5" hidden="1" customHeight="1">
      <c r="M19" s="5" t="s">
        <v>82</v>
      </c>
    </row>
    <row r="20" spans="9:13" ht="16.5" hidden="1" customHeight="1">
      <c r="M20" s="5" t="s">
        <v>83</v>
      </c>
    </row>
    <row r="21" spans="9:13" ht="16.5" hidden="1" customHeight="1">
      <c r="M21" s="5" t="s">
        <v>84</v>
      </c>
    </row>
    <row r="22" spans="9:13" ht="16.5" hidden="1" customHeight="1">
      <c r="M22" s="5" t="s">
        <v>85</v>
      </c>
    </row>
    <row r="23" spans="9:13" ht="16.5" hidden="1" customHeight="1">
      <c r="M23" s="5" t="s">
        <v>86</v>
      </c>
    </row>
    <row r="24" spans="9:13" ht="16.5" hidden="1" customHeight="1">
      <c r="M24" s="5" t="s">
        <v>87</v>
      </c>
    </row>
    <row r="25" spans="9:13" ht="16.5" hidden="1" customHeight="1">
      <c r="M25" s="5" t="s">
        <v>88</v>
      </c>
    </row>
    <row r="26" spans="9:13" ht="16.5" hidden="1" customHeight="1">
      <c r="M26" s="5" t="s">
        <v>89</v>
      </c>
    </row>
    <row r="27" spans="9:13" ht="16.5" hidden="1" customHeight="1">
      <c r="M27" s="5" t="s">
        <v>90</v>
      </c>
    </row>
    <row r="28" spans="9:13" ht="16.5" hidden="1" customHeight="1">
      <c r="M28" s="5" t="s">
        <v>91</v>
      </c>
    </row>
    <row r="29" spans="9:13" ht="16.5" hidden="1" customHeight="1">
      <c r="M29" s="5" t="s">
        <v>92</v>
      </c>
    </row>
    <row r="30" spans="9:13" ht="16.5" hidden="1" customHeight="1">
      <c r="M30" s="5" t="s">
        <v>93</v>
      </c>
    </row>
    <row r="31" spans="9:13" ht="16.5" hidden="1" customHeight="1">
      <c r="M31" s="5" t="s">
        <v>94</v>
      </c>
    </row>
    <row r="32" spans="9:13" ht="16.5" hidden="1" customHeight="1">
      <c r="M32" s="5" t="s">
        <v>95</v>
      </c>
    </row>
    <row r="33" spans="1:13" ht="16.5" hidden="1" customHeight="1">
      <c r="M33" s="5" t="s">
        <v>96</v>
      </c>
    </row>
    <row r="34" spans="1:13" ht="16.5" hidden="1" customHeight="1">
      <c r="M34" s="5" t="s">
        <v>97</v>
      </c>
    </row>
    <row r="35" spans="1:13" ht="16.5" hidden="1" customHeight="1">
      <c r="M35" s="5" t="s">
        <v>98</v>
      </c>
    </row>
    <row r="36" spans="1:13" ht="16.5" hidden="1" customHeight="1">
      <c r="M36" s="5" t="s">
        <v>99</v>
      </c>
    </row>
    <row r="37" spans="1:13" ht="16.5" hidden="1" customHeight="1">
      <c r="M37" s="5" t="s">
        <v>100</v>
      </c>
    </row>
    <row r="38" spans="1:13" ht="16.5" hidden="1" customHeight="1">
      <c r="M38" s="5" t="s">
        <v>102</v>
      </c>
    </row>
    <row r="39" spans="1:13" ht="16.5" hidden="1" customHeight="1">
      <c r="M39" s="5" t="s">
        <v>103</v>
      </c>
    </row>
    <row r="40" spans="1:13" ht="16.5" hidden="1" customHeight="1">
      <c r="M40" s="5" t="s">
        <v>104</v>
      </c>
    </row>
    <row r="41" spans="1:13" ht="16.5" hidden="1" customHeight="1">
      <c r="C41" s="6"/>
      <c r="M41" s="5" t="s">
        <v>105</v>
      </c>
    </row>
    <row r="42" spans="1:13" ht="16.5" hidden="1" customHeight="1">
      <c r="M42" s="5" t="s">
        <v>106</v>
      </c>
    </row>
    <row r="43" spans="1:13" ht="16.5" hidden="1" customHeight="1">
      <c r="M43" s="5" t="s">
        <v>107</v>
      </c>
    </row>
    <row r="44" spans="1:13" ht="16.5" hidden="1" customHeight="1">
      <c r="M44" s="5" t="s">
        <v>108</v>
      </c>
    </row>
    <row r="45" spans="1:13" ht="18" hidden="1" customHeight="1">
      <c r="A45" s="7"/>
      <c r="B45" s="7"/>
      <c r="C45" s="7"/>
      <c r="D45" s="7"/>
      <c r="E45" s="7" t="s">
        <v>189</v>
      </c>
      <c r="F45" s="7"/>
      <c r="G45" s="7"/>
      <c r="H45" s="7"/>
    </row>
    <row r="46" spans="1:13" ht="16.5" hidden="1" customHeight="1">
      <c r="A46" s="8"/>
      <c r="B46" s="8"/>
      <c r="C46" s="8"/>
      <c r="D46" s="9"/>
      <c r="E46" s="5"/>
      <c r="F46" s="5"/>
      <c r="G46" s="5"/>
      <c r="H46" s="5" t="s">
        <v>2</v>
      </c>
    </row>
    <row r="47" spans="1:13">
      <c r="A47" s="8"/>
      <c r="B47" s="8"/>
      <c r="C47" s="8"/>
      <c r="D47" s="9"/>
      <c r="E47" s="5"/>
      <c r="F47" s="5"/>
      <c r="G47" s="5"/>
      <c r="H47" s="5"/>
    </row>
    <row r="48" spans="1:13" ht="21.75" thickBot="1">
      <c r="A48" s="271" t="s">
        <v>220</v>
      </c>
      <c r="B48" s="271"/>
      <c r="C48" s="271"/>
      <c r="D48" s="271"/>
      <c r="E48" s="271"/>
      <c r="F48" s="271"/>
      <c r="G48" s="271"/>
      <c r="H48" s="271"/>
      <c r="I48" s="271"/>
    </row>
    <row r="49" spans="1:10">
      <c r="A49" s="10" t="s">
        <v>123</v>
      </c>
      <c r="B49" s="10" t="s">
        <v>3</v>
      </c>
      <c r="C49" s="10" t="s">
        <v>124</v>
      </c>
      <c r="D49" s="10" t="s">
        <v>125</v>
      </c>
      <c r="E49" s="10" t="s">
        <v>126</v>
      </c>
      <c r="F49" s="11" t="s">
        <v>127</v>
      </c>
      <c r="G49" s="11" t="s">
        <v>128</v>
      </c>
      <c r="H49" s="11" t="s">
        <v>129</v>
      </c>
      <c r="I49" s="11" t="s">
        <v>130</v>
      </c>
    </row>
    <row r="50" spans="1:10">
      <c r="A50" s="12"/>
      <c r="B50" s="12" t="s">
        <v>131</v>
      </c>
      <c r="C50" s="13"/>
      <c r="D50" s="13"/>
      <c r="E50" s="13"/>
      <c r="F50" s="14"/>
      <c r="G50" s="14"/>
      <c r="H50" s="14"/>
      <c r="I50" s="14"/>
    </row>
    <row r="51" spans="1:10">
      <c r="A51" s="12"/>
      <c r="B51" s="12" t="s">
        <v>132</v>
      </c>
      <c r="C51" s="15">
        <f>SUM(C52:C74)</f>
        <v>-9273728.7461425569</v>
      </c>
      <c r="D51" s="15"/>
      <c r="E51" s="15">
        <f>SUM(E52:E74)</f>
        <v>9273728.7461425569</v>
      </c>
      <c r="F51" s="14"/>
      <c r="G51" s="14"/>
      <c r="H51" s="14"/>
      <c r="I51" s="14"/>
    </row>
    <row r="52" spans="1:10">
      <c r="A52" s="16" t="s">
        <v>133</v>
      </c>
      <c r="B52" s="16" t="s">
        <v>112</v>
      </c>
      <c r="C52" s="249">
        <v>-359328.58</v>
      </c>
      <c r="D52" s="17" t="s">
        <v>11</v>
      </c>
      <c r="E52" s="17">
        <f t="shared" ref="E52:E58" si="0">-C52</f>
        <v>359328.58</v>
      </c>
      <c r="F52" s="17" t="s">
        <v>6</v>
      </c>
      <c r="G52" s="17"/>
      <c r="H52" s="17" t="s">
        <v>159</v>
      </c>
      <c r="I52" s="17"/>
    </row>
    <row r="53" spans="1:10">
      <c r="A53" s="16" t="s">
        <v>134</v>
      </c>
      <c r="B53" s="16" t="s">
        <v>112</v>
      </c>
      <c r="C53" s="249">
        <f>-(18748.33+23887.01)</f>
        <v>-42635.34</v>
      </c>
      <c r="D53" s="17" t="s">
        <v>11</v>
      </c>
      <c r="E53" s="17">
        <f t="shared" si="0"/>
        <v>42635.34</v>
      </c>
      <c r="F53" s="17" t="s">
        <v>10</v>
      </c>
      <c r="G53" s="17"/>
      <c r="H53" s="17" t="s">
        <v>190</v>
      </c>
      <c r="I53" s="17"/>
    </row>
    <row r="54" spans="1:10">
      <c r="A54" s="16" t="s">
        <v>135</v>
      </c>
      <c r="B54" s="16" t="s">
        <v>34</v>
      </c>
      <c r="C54" s="228">
        <f>--203428.12</f>
        <v>203428.12</v>
      </c>
      <c r="D54" s="17" t="s">
        <v>11</v>
      </c>
      <c r="E54" s="17">
        <f t="shared" si="0"/>
        <v>-203428.12</v>
      </c>
      <c r="F54" s="17" t="s">
        <v>10</v>
      </c>
      <c r="G54" s="17"/>
      <c r="H54" s="17" t="s">
        <v>160</v>
      </c>
      <c r="I54" s="17" t="s">
        <v>209</v>
      </c>
      <c r="J54" s="120"/>
    </row>
    <row r="55" spans="1:10">
      <c r="A55" s="16" t="s">
        <v>136</v>
      </c>
      <c r="B55" s="16" t="s">
        <v>34</v>
      </c>
      <c r="C55" s="228">
        <v>-17270.189999999999</v>
      </c>
      <c r="D55" s="17" t="s">
        <v>11</v>
      </c>
      <c r="E55" s="17">
        <f t="shared" si="0"/>
        <v>17270.189999999999</v>
      </c>
      <c r="F55" s="17" t="s">
        <v>12</v>
      </c>
      <c r="G55" s="17"/>
      <c r="H55" s="17" t="s">
        <v>219</v>
      </c>
      <c r="I55" s="17" t="s">
        <v>209</v>
      </c>
    </row>
    <row r="56" spans="1:10">
      <c r="A56" s="16" t="s">
        <v>137</v>
      </c>
      <c r="B56" s="16" t="s">
        <v>34</v>
      </c>
      <c r="C56" s="228">
        <f>-2061531.01</f>
        <v>-2061531.01</v>
      </c>
      <c r="D56" s="17" t="s">
        <v>11</v>
      </c>
      <c r="E56" s="17">
        <f>-C56</f>
        <v>2061531.01</v>
      </c>
      <c r="F56" s="17" t="s">
        <v>15</v>
      </c>
      <c r="G56" s="17"/>
      <c r="H56" s="17" t="s">
        <v>161</v>
      </c>
      <c r="I56" s="17"/>
    </row>
    <row r="57" spans="1:10">
      <c r="A57" s="16" t="s">
        <v>138</v>
      </c>
      <c r="B57" s="16" t="s">
        <v>32</v>
      </c>
      <c r="C57" s="228">
        <v>-94430.88</v>
      </c>
      <c r="D57" s="17" t="s">
        <v>11</v>
      </c>
      <c r="E57" s="17">
        <f t="shared" si="0"/>
        <v>94430.88</v>
      </c>
      <c r="F57" s="17" t="s">
        <v>10</v>
      </c>
      <c r="G57" s="17"/>
      <c r="H57" s="17" t="s">
        <v>162</v>
      </c>
      <c r="I57" s="17"/>
    </row>
    <row r="58" spans="1:10">
      <c r="A58" s="16" t="s">
        <v>139</v>
      </c>
      <c r="B58" s="16" t="s">
        <v>34</v>
      </c>
      <c r="C58" s="228">
        <v>-328074.58</v>
      </c>
      <c r="D58" s="17" t="s">
        <v>11</v>
      </c>
      <c r="E58" s="17">
        <f t="shared" si="0"/>
        <v>328074.58</v>
      </c>
      <c r="F58" s="17" t="s">
        <v>10</v>
      </c>
      <c r="G58" s="18"/>
      <c r="H58" s="17" t="s">
        <v>163</v>
      </c>
      <c r="I58" s="17"/>
    </row>
    <row r="59" spans="1:10">
      <c r="A59" s="16" t="s">
        <v>140</v>
      </c>
      <c r="B59" s="16" t="s">
        <v>32</v>
      </c>
      <c r="C59" s="228"/>
      <c r="D59" s="17" t="s">
        <v>11</v>
      </c>
      <c r="E59" s="17">
        <f t="shared" ref="E59:E74" si="1">-C59</f>
        <v>0</v>
      </c>
      <c r="F59" s="17" t="s">
        <v>6</v>
      </c>
      <c r="G59" s="17"/>
      <c r="H59" s="17" t="s">
        <v>195</v>
      </c>
      <c r="I59" s="17" t="s">
        <v>210</v>
      </c>
    </row>
    <row r="60" spans="1:10">
      <c r="A60" s="16" t="s">
        <v>141</v>
      </c>
      <c r="B60" s="16" t="s">
        <v>29</v>
      </c>
      <c r="C60" s="228">
        <v>-75471.7</v>
      </c>
      <c r="D60" s="17" t="s">
        <v>16</v>
      </c>
      <c r="E60" s="17">
        <f t="shared" si="1"/>
        <v>75471.7</v>
      </c>
      <c r="F60" s="17" t="s">
        <v>20</v>
      </c>
      <c r="G60" s="17"/>
      <c r="H60" s="17" t="s">
        <v>225</v>
      </c>
      <c r="I60" s="17" t="s">
        <v>211</v>
      </c>
    </row>
    <row r="61" spans="1:10">
      <c r="A61" s="16" t="s">
        <v>142</v>
      </c>
      <c r="B61" s="16" t="s">
        <v>29</v>
      </c>
      <c r="C61" s="228">
        <v>-367924.54</v>
      </c>
      <c r="D61" s="17" t="s">
        <v>16</v>
      </c>
      <c r="E61" s="17">
        <f t="shared" si="1"/>
        <v>367924.54</v>
      </c>
      <c r="F61" s="17" t="s">
        <v>24</v>
      </c>
      <c r="G61" s="17"/>
      <c r="H61" s="228" t="s">
        <v>236</v>
      </c>
      <c r="I61" s="228" t="s">
        <v>237</v>
      </c>
    </row>
    <row r="62" spans="1:10">
      <c r="A62" s="16" t="s">
        <v>143</v>
      </c>
      <c r="B62" s="16" t="s">
        <v>32</v>
      </c>
      <c r="C62" s="228">
        <v>367500</v>
      </c>
      <c r="D62" s="17" t="s">
        <v>10</v>
      </c>
      <c r="E62" s="17">
        <f t="shared" si="1"/>
        <v>-367500</v>
      </c>
      <c r="F62" s="17" t="s">
        <v>5</v>
      </c>
      <c r="G62" s="17"/>
      <c r="H62" s="117" t="s">
        <v>168</v>
      </c>
      <c r="I62" s="17"/>
    </row>
    <row r="63" spans="1:10">
      <c r="A63" s="16" t="s">
        <v>144</v>
      </c>
      <c r="B63" s="16" t="s">
        <v>32</v>
      </c>
      <c r="C63" s="228">
        <v>-2387604.8199999998</v>
      </c>
      <c r="D63" s="17" t="s">
        <v>10</v>
      </c>
      <c r="E63" s="17">
        <f t="shared" si="1"/>
        <v>2387604.8199999998</v>
      </c>
      <c r="F63" s="17" t="s">
        <v>6</v>
      </c>
      <c r="G63" s="17"/>
      <c r="H63" s="117" t="s">
        <v>169</v>
      </c>
      <c r="I63" s="17"/>
    </row>
    <row r="64" spans="1:10">
      <c r="A64" s="16" t="s">
        <v>145</v>
      </c>
      <c r="B64" s="16" t="s">
        <v>34</v>
      </c>
      <c r="C64" s="228">
        <v>-11489397.67</v>
      </c>
      <c r="D64" s="17" t="s">
        <v>10</v>
      </c>
      <c r="E64" s="17">
        <f t="shared" si="1"/>
        <v>11489397.67</v>
      </c>
      <c r="F64" s="17" t="s">
        <v>5</v>
      </c>
      <c r="G64" s="17"/>
      <c r="H64" s="117" t="s">
        <v>170</v>
      </c>
      <c r="I64" s="17"/>
    </row>
    <row r="65" spans="1:9">
      <c r="A65" s="16" t="s">
        <v>146</v>
      </c>
      <c r="B65" s="16" t="s">
        <v>114</v>
      </c>
      <c r="C65" s="228">
        <v>545280.18000000005</v>
      </c>
      <c r="D65" s="17" t="s">
        <v>7</v>
      </c>
      <c r="E65" s="17">
        <f t="shared" si="1"/>
        <v>-545280.18000000005</v>
      </c>
      <c r="F65" s="17" t="s">
        <v>5</v>
      </c>
      <c r="G65" s="17"/>
      <c r="H65" s="17" t="s">
        <v>226</v>
      </c>
      <c r="I65" s="17"/>
    </row>
    <row r="66" spans="1:9">
      <c r="A66" s="16" t="s">
        <v>147</v>
      </c>
      <c r="B66" s="16" t="s">
        <v>112</v>
      </c>
      <c r="C66" s="228">
        <v>3978847.81</v>
      </c>
      <c r="D66" s="17" t="s">
        <v>7</v>
      </c>
      <c r="E66" s="17">
        <f t="shared" si="1"/>
        <v>-3978847.81</v>
      </c>
      <c r="F66" s="17" t="s">
        <v>6</v>
      </c>
      <c r="G66" s="17"/>
      <c r="H66" s="17" t="s">
        <v>175</v>
      </c>
      <c r="I66" s="17"/>
    </row>
    <row r="67" spans="1:9">
      <c r="A67" s="16" t="s">
        <v>199</v>
      </c>
      <c r="B67" s="16" t="s">
        <v>112</v>
      </c>
      <c r="C67" s="228">
        <v>244444.4444444445</v>
      </c>
      <c r="D67" s="17" t="s">
        <v>121</v>
      </c>
      <c r="E67" s="17">
        <f t="shared" si="1"/>
        <v>-244444.4444444445</v>
      </c>
      <c r="F67" s="17" t="s">
        <v>6</v>
      </c>
      <c r="G67" s="17"/>
      <c r="H67" s="228" t="s">
        <v>238</v>
      </c>
      <c r="I67" s="17"/>
    </row>
    <row r="68" spans="1:9">
      <c r="A68" s="16" t="s">
        <v>200</v>
      </c>
      <c r="B68" s="16" t="s">
        <v>112</v>
      </c>
      <c r="C68" s="228">
        <v>5555.5511111111264</v>
      </c>
      <c r="D68" s="17" t="s">
        <v>121</v>
      </c>
      <c r="E68" s="17">
        <f>-C68</f>
        <v>-5555.5511111111264</v>
      </c>
      <c r="F68" s="17" t="s">
        <v>6</v>
      </c>
      <c r="G68" s="17"/>
      <c r="H68" s="228" t="s">
        <v>239</v>
      </c>
      <c r="I68" s="17"/>
    </row>
    <row r="69" spans="1:9">
      <c r="A69" s="16" t="s">
        <v>201</v>
      </c>
      <c r="B69" s="17" t="s">
        <v>32</v>
      </c>
      <c r="C69" s="228"/>
      <c r="D69" s="17" t="s">
        <v>8</v>
      </c>
      <c r="E69" s="17">
        <f>-C69</f>
        <v>0</v>
      </c>
      <c r="F69" s="17" t="s">
        <v>5</v>
      </c>
      <c r="G69" s="17"/>
      <c r="H69" s="17" t="s">
        <v>212</v>
      </c>
      <c r="I69" s="17"/>
    </row>
    <row r="70" spans="1:9">
      <c r="A70" s="16" t="s">
        <v>202</v>
      </c>
      <c r="B70" s="17" t="s">
        <v>112</v>
      </c>
      <c r="C70" s="228">
        <v>-298898.28000000003</v>
      </c>
      <c r="D70" s="17" t="s">
        <v>15</v>
      </c>
      <c r="E70" s="17">
        <f>-C70</f>
        <v>298898.28000000003</v>
      </c>
      <c r="F70" s="17" t="s">
        <v>6</v>
      </c>
      <c r="G70" s="17"/>
      <c r="H70" s="17" t="s">
        <v>235</v>
      </c>
      <c r="I70" s="17"/>
    </row>
    <row r="71" spans="1:9">
      <c r="A71" s="16" t="s">
        <v>203</v>
      </c>
      <c r="B71" s="17" t="s">
        <v>32</v>
      </c>
      <c r="C71" s="228">
        <v>-700631.82169811323</v>
      </c>
      <c r="D71" s="17" t="s">
        <v>11</v>
      </c>
      <c r="E71" s="17">
        <f t="shared" si="1"/>
        <v>700631.82169811323</v>
      </c>
      <c r="F71" s="17" t="s">
        <v>5</v>
      </c>
      <c r="G71" s="17"/>
      <c r="H71" s="250" t="s">
        <v>231</v>
      </c>
      <c r="I71" s="18" t="s">
        <v>224</v>
      </c>
    </row>
    <row r="72" spans="1:9">
      <c r="A72" s="16" t="s">
        <v>204</v>
      </c>
      <c r="B72" s="17" t="s">
        <v>32</v>
      </c>
      <c r="C72" s="228">
        <v>-1555.56</v>
      </c>
      <c r="D72" s="17" t="s">
        <v>15</v>
      </c>
      <c r="E72" s="17">
        <f>-C72</f>
        <v>1555.56</v>
      </c>
      <c r="F72" s="17" t="s">
        <v>6</v>
      </c>
      <c r="G72" s="17"/>
      <c r="H72" s="228" t="s">
        <v>232</v>
      </c>
      <c r="I72" s="17"/>
    </row>
    <row r="73" spans="1:9">
      <c r="A73" s="16" t="s">
        <v>205</v>
      </c>
      <c r="B73" s="170" t="s">
        <v>112</v>
      </c>
      <c r="C73" s="170">
        <v>-51780.82</v>
      </c>
      <c r="D73" s="170" t="s">
        <v>12</v>
      </c>
      <c r="E73" s="170">
        <f t="shared" ref="E73" si="2">-C73</f>
        <v>51780.82</v>
      </c>
      <c r="F73" s="170" t="s">
        <v>6</v>
      </c>
      <c r="G73" s="170"/>
      <c r="H73" s="170" t="s">
        <v>234</v>
      </c>
      <c r="I73" s="17"/>
    </row>
    <row r="74" spans="1:9">
      <c r="A74" s="16" t="s">
        <v>206</v>
      </c>
      <c r="B74" s="17" t="s">
        <v>29</v>
      </c>
      <c r="C74" s="228">
        <v>3657750.94</v>
      </c>
      <c r="D74" s="17" t="s">
        <v>7</v>
      </c>
      <c r="E74" s="17">
        <f t="shared" si="1"/>
        <v>-3657750.94</v>
      </c>
      <c r="F74" s="17" t="s">
        <v>5</v>
      </c>
      <c r="G74" s="17"/>
      <c r="H74" s="17" t="s">
        <v>242</v>
      </c>
      <c r="I74" s="17"/>
    </row>
    <row r="75" spans="1:9">
      <c r="A75" s="12"/>
      <c r="B75" s="12" t="s">
        <v>148</v>
      </c>
      <c r="C75" s="15">
        <f>SUM(C76:C92)</f>
        <v>10230.59</v>
      </c>
      <c r="D75" s="15"/>
      <c r="E75" s="15">
        <f>SUM(E76:E92)</f>
        <v>-10230.59</v>
      </c>
      <c r="F75" s="14"/>
      <c r="G75" s="14"/>
      <c r="H75" s="14"/>
      <c r="I75" s="14"/>
    </row>
    <row r="76" spans="1:9">
      <c r="A76" s="16" t="s">
        <v>133</v>
      </c>
      <c r="B76" s="16" t="s">
        <v>115</v>
      </c>
      <c r="C76" s="19">
        <f>ROUND(IF(OR(LEFT(B52,1)="2",(LEFT(B52,1)="4")),0,C52*0.06*0.12),2)</f>
        <v>0</v>
      </c>
      <c r="D76" s="17" t="str">
        <f>D52</f>
        <v>证券投资部</v>
      </c>
      <c r="E76" s="17">
        <f>-C76</f>
        <v>0</v>
      </c>
      <c r="F76" s="17" t="str">
        <f>F52</f>
        <v>总部中后台</v>
      </c>
      <c r="G76" s="20"/>
      <c r="H76" s="20"/>
      <c r="I76" s="20"/>
    </row>
    <row r="77" spans="1:9">
      <c r="A77" s="16" t="s">
        <v>134</v>
      </c>
      <c r="B77" s="16" t="s">
        <v>115</v>
      </c>
      <c r="C77" s="19">
        <f t="shared" ref="C77:C96" si="3">ROUND(IF(OR(LEFT(B53,1)="2",(LEFT(B53,1)="4")),0,C53*0.06*0.12),2)</f>
        <v>0</v>
      </c>
      <c r="D77" s="17" t="str">
        <f>D53</f>
        <v>证券投资部</v>
      </c>
      <c r="E77" s="17">
        <f>-C77</f>
        <v>0</v>
      </c>
      <c r="F77" s="17" t="s">
        <v>10</v>
      </c>
      <c r="G77" s="20"/>
      <c r="H77" s="20"/>
      <c r="I77" s="20"/>
    </row>
    <row r="78" spans="1:9">
      <c r="A78" s="16" t="s">
        <v>135</v>
      </c>
      <c r="B78" s="16" t="s">
        <v>115</v>
      </c>
      <c r="C78" s="19">
        <f t="shared" si="3"/>
        <v>0</v>
      </c>
      <c r="D78" s="17" t="str">
        <f>D54</f>
        <v>证券投资部</v>
      </c>
      <c r="E78" s="17">
        <f>-C78</f>
        <v>0</v>
      </c>
      <c r="F78" s="17" t="str">
        <f>F54</f>
        <v>固定收益部</v>
      </c>
      <c r="G78" s="20"/>
      <c r="H78" s="20"/>
      <c r="I78" s="20"/>
    </row>
    <row r="79" spans="1:9">
      <c r="A79" s="16" t="s">
        <v>136</v>
      </c>
      <c r="B79" s="16" t="s">
        <v>115</v>
      </c>
      <c r="C79" s="19">
        <f t="shared" si="3"/>
        <v>0</v>
      </c>
      <c r="D79" s="17" t="str">
        <f>D55</f>
        <v>证券投资部</v>
      </c>
      <c r="E79" s="17">
        <f>-C79</f>
        <v>0</v>
      </c>
      <c r="F79" s="17" t="str">
        <f>F55</f>
        <v>金融衍生品投资部</v>
      </c>
      <c r="G79" s="20"/>
      <c r="H79" s="20"/>
      <c r="I79" s="20"/>
    </row>
    <row r="80" spans="1:9">
      <c r="A80" s="16" t="s">
        <v>137</v>
      </c>
      <c r="B80" s="16" t="s">
        <v>115</v>
      </c>
      <c r="C80" s="19">
        <f t="shared" si="3"/>
        <v>0</v>
      </c>
      <c r="D80" s="17" t="str">
        <f t="shared" ref="D80:D91" si="4">D56</f>
        <v>证券投资部</v>
      </c>
      <c r="E80" s="17">
        <f t="shared" ref="E80:E92" si="5">-C80</f>
        <v>0</v>
      </c>
      <c r="F80" s="17" t="str">
        <f t="shared" ref="F80:F91" si="6">F56</f>
        <v>金融工程部</v>
      </c>
      <c r="G80" s="20"/>
      <c r="H80" s="20"/>
      <c r="I80" s="20"/>
    </row>
    <row r="81" spans="1:9">
      <c r="A81" s="16" t="s">
        <v>138</v>
      </c>
      <c r="B81" s="16" t="s">
        <v>115</v>
      </c>
      <c r="C81" s="19">
        <f t="shared" si="3"/>
        <v>-679.9</v>
      </c>
      <c r="D81" s="17" t="str">
        <f t="shared" si="4"/>
        <v>证券投资部</v>
      </c>
      <c r="E81" s="17">
        <f t="shared" si="5"/>
        <v>679.9</v>
      </c>
      <c r="F81" s="17" t="str">
        <f t="shared" si="6"/>
        <v>固定收益部</v>
      </c>
      <c r="G81" s="20"/>
      <c r="H81" s="20"/>
      <c r="I81" s="20"/>
    </row>
    <row r="82" spans="1:9">
      <c r="A82" s="16" t="s">
        <v>139</v>
      </c>
      <c r="B82" s="16" t="s">
        <v>115</v>
      </c>
      <c r="C82" s="19">
        <f t="shared" si="3"/>
        <v>0</v>
      </c>
      <c r="D82" s="17" t="str">
        <f t="shared" si="4"/>
        <v>证券投资部</v>
      </c>
      <c r="E82" s="17">
        <f t="shared" si="5"/>
        <v>0</v>
      </c>
      <c r="F82" s="17" t="str">
        <f t="shared" si="6"/>
        <v>固定收益部</v>
      </c>
      <c r="G82" s="20"/>
      <c r="H82" s="20"/>
      <c r="I82" s="20"/>
    </row>
    <row r="83" spans="1:9">
      <c r="A83" s="16" t="s">
        <v>140</v>
      </c>
      <c r="B83" s="16" t="s">
        <v>115</v>
      </c>
      <c r="C83" s="19">
        <f t="shared" si="3"/>
        <v>0</v>
      </c>
      <c r="D83" s="17" t="str">
        <f t="shared" si="4"/>
        <v>证券投资部</v>
      </c>
      <c r="E83" s="17">
        <f t="shared" si="5"/>
        <v>0</v>
      </c>
      <c r="F83" s="17" t="str">
        <f t="shared" si="6"/>
        <v>总部中后台</v>
      </c>
      <c r="G83" s="20"/>
      <c r="H83" s="20"/>
      <c r="I83" s="20"/>
    </row>
    <row r="84" spans="1:9">
      <c r="A84" s="16" t="s">
        <v>141</v>
      </c>
      <c r="B84" s="16" t="s">
        <v>115</v>
      </c>
      <c r="C84" s="19">
        <f t="shared" si="3"/>
        <v>-543.4</v>
      </c>
      <c r="D84" s="17" t="str">
        <f t="shared" si="4"/>
        <v>中小企业融资部</v>
      </c>
      <c r="E84" s="17">
        <f t="shared" si="5"/>
        <v>543.4</v>
      </c>
      <c r="F84" s="17" t="str">
        <f t="shared" si="6"/>
        <v>股权融资部</v>
      </c>
      <c r="G84" s="20"/>
      <c r="H84" s="20"/>
      <c r="I84" s="20"/>
    </row>
    <row r="85" spans="1:9">
      <c r="A85" s="16" t="s">
        <v>142</v>
      </c>
      <c r="B85" s="16" t="s">
        <v>115</v>
      </c>
      <c r="C85" s="19">
        <f t="shared" si="3"/>
        <v>-2649.06</v>
      </c>
      <c r="D85" s="17" t="str">
        <f t="shared" si="4"/>
        <v>中小企业融资部</v>
      </c>
      <c r="E85" s="17">
        <f t="shared" si="5"/>
        <v>2649.06</v>
      </c>
      <c r="F85" s="17" t="str">
        <f t="shared" si="6"/>
        <v>综合业务部</v>
      </c>
      <c r="G85" s="20"/>
      <c r="H85" s="20"/>
      <c r="I85" s="20"/>
    </row>
    <row r="86" spans="1:9">
      <c r="A86" s="16" t="s">
        <v>143</v>
      </c>
      <c r="B86" s="16" t="s">
        <v>115</v>
      </c>
      <c r="C86" s="19">
        <f t="shared" si="3"/>
        <v>2646</v>
      </c>
      <c r="D86" s="17" t="str">
        <f t="shared" si="4"/>
        <v>固定收益部</v>
      </c>
      <c r="E86" s="17">
        <f t="shared" si="5"/>
        <v>-2646</v>
      </c>
      <c r="F86" s="17" t="str">
        <f t="shared" si="6"/>
        <v>其他</v>
      </c>
      <c r="G86" s="20"/>
      <c r="H86" s="20"/>
      <c r="I86" s="20"/>
    </row>
    <row r="87" spans="1:9">
      <c r="A87" s="16" t="s">
        <v>144</v>
      </c>
      <c r="B87" s="16" t="s">
        <v>115</v>
      </c>
      <c r="C87" s="19">
        <f t="shared" si="3"/>
        <v>-17190.75</v>
      </c>
      <c r="D87" s="17" t="str">
        <f t="shared" si="4"/>
        <v>固定收益部</v>
      </c>
      <c r="E87" s="17">
        <f t="shared" si="5"/>
        <v>17190.75</v>
      </c>
      <c r="F87" s="17" t="str">
        <f t="shared" si="6"/>
        <v>总部中后台</v>
      </c>
      <c r="G87" s="20"/>
      <c r="H87" s="21"/>
      <c r="I87" s="21"/>
    </row>
    <row r="88" spans="1:9">
      <c r="A88" s="16" t="s">
        <v>145</v>
      </c>
      <c r="B88" s="16" t="s">
        <v>115</v>
      </c>
      <c r="C88" s="19">
        <f t="shared" si="3"/>
        <v>0</v>
      </c>
      <c r="D88" s="17" t="str">
        <f t="shared" si="4"/>
        <v>固定收益部</v>
      </c>
      <c r="E88" s="17">
        <f t="shared" si="5"/>
        <v>0</v>
      </c>
      <c r="F88" s="17" t="str">
        <f t="shared" si="6"/>
        <v>其他</v>
      </c>
      <c r="G88" s="20"/>
      <c r="H88" s="21"/>
      <c r="I88" s="21"/>
    </row>
    <row r="89" spans="1:9">
      <c r="A89" s="16" t="s">
        <v>146</v>
      </c>
      <c r="B89" s="16" t="s">
        <v>115</v>
      </c>
      <c r="C89" s="19">
        <v>0</v>
      </c>
      <c r="D89" s="17" t="str">
        <f t="shared" si="4"/>
        <v>经纪业务部</v>
      </c>
      <c r="E89" s="17">
        <f t="shared" si="5"/>
        <v>0</v>
      </c>
      <c r="F89" s="17" t="str">
        <f t="shared" si="6"/>
        <v>其他</v>
      </c>
      <c r="G89" s="20"/>
      <c r="H89" s="25" t="s">
        <v>230</v>
      </c>
      <c r="I89" s="21"/>
    </row>
    <row r="90" spans="1:9">
      <c r="A90" s="16" t="s">
        <v>147</v>
      </c>
      <c r="B90" s="16" t="s">
        <v>115</v>
      </c>
      <c r="C90" s="19">
        <f>ROUND(C66*0.06*0.12,2)</f>
        <v>28647.7</v>
      </c>
      <c r="D90" s="17" t="str">
        <f t="shared" si="4"/>
        <v>经纪业务部</v>
      </c>
      <c r="E90" s="17">
        <f t="shared" si="5"/>
        <v>-28647.7</v>
      </c>
      <c r="F90" s="17" t="str">
        <f t="shared" si="6"/>
        <v>总部中后台</v>
      </c>
      <c r="G90" s="20"/>
      <c r="H90" s="21"/>
      <c r="I90" s="21"/>
    </row>
    <row r="91" spans="1:9">
      <c r="A91" s="16" t="s">
        <v>199</v>
      </c>
      <c r="B91" s="16" t="s">
        <v>115</v>
      </c>
      <c r="C91" s="19">
        <f t="shared" si="3"/>
        <v>0</v>
      </c>
      <c r="D91" s="17" t="str">
        <f t="shared" si="4"/>
        <v>投资银行总部</v>
      </c>
      <c r="E91" s="17">
        <f t="shared" si="5"/>
        <v>0</v>
      </c>
      <c r="F91" s="17" t="str">
        <f t="shared" si="6"/>
        <v>总部中后台</v>
      </c>
      <c r="G91" s="20"/>
      <c r="H91" s="21"/>
      <c r="I91" s="21"/>
    </row>
    <row r="92" spans="1:9">
      <c r="A92" s="16" t="s">
        <v>200</v>
      </c>
      <c r="B92" s="16" t="s">
        <v>115</v>
      </c>
      <c r="C92" s="19">
        <f t="shared" si="3"/>
        <v>0</v>
      </c>
      <c r="D92" s="17" t="str">
        <f>D68</f>
        <v>投资银行总部</v>
      </c>
      <c r="E92" s="17">
        <f t="shared" si="5"/>
        <v>0</v>
      </c>
      <c r="F92" s="17" t="str">
        <f>F68</f>
        <v>总部中后台</v>
      </c>
      <c r="G92" s="20"/>
      <c r="H92" s="21"/>
      <c r="I92" s="21"/>
    </row>
    <row r="93" spans="1:9">
      <c r="A93" s="16" t="s">
        <v>201</v>
      </c>
      <c r="B93" s="16" t="s">
        <v>115</v>
      </c>
      <c r="C93" s="19">
        <f t="shared" si="3"/>
        <v>0</v>
      </c>
      <c r="D93" s="17" t="str">
        <f>D69</f>
        <v>资产管理部</v>
      </c>
      <c r="E93" s="17">
        <f>-C93</f>
        <v>0</v>
      </c>
      <c r="F93" s="17" t="str">
        <f>F69</f>
        <v>其他</v>
      </c>
      <c r="G93" s="20"/>
      <c r="H93" s="20"/>
      <c r="I93" s="21"/>
    </row>
    <row r="94" spans="1:9">
      <c r="A94" s="16" t="s">
        <v>202</v>
      </c>
      <c r="B94" s="16" t="s">
        <v>115</v>
      </c>
      <c r="C94" s="19">
        <f t="shared" si="3"/>
        <v>0</v>
      </c>
      <c r="D94" s="17" t="str">
        <f>D70</f>
        <v>金融工程部</v>
      </c>
      <c r="E94" s="17">
        <f>-C94</f>
        <v>0</v>
      </c>
      <c r="F94" s="17" t="str">
        <f>F70</f>
        <v>总部中后台</v>
      </c>
      <c r="G94" s="20"/>
      <c r="H94" s="20"/>
      <c r="I94" s="21"/>
    </row>
    <row r="95" spans="1:9">
      <c r="A95" s="16"/>
      <c r="B95" s="16" t="s">
        <v>115</v>
      </c>
      <c r="C95" s="19">
        <f t="shared" si="3"/>
        <v>-5044.55</v>
      </c>
      <c r="D95" s="17" t="str">
        <f>D71</f>
        <v>证券投资部</v>
      </c>
      <c r="E95" s="17">
        <f>-C95</f>
        <v>5044.55</v>
      </c>
      <c r="F95" s="17" t="str">
        <f>F71</f>
        <v>其他</v>
      </c>
      <c r="G95" s="20"/>
      <c r="H95" s="20"/>
      <c r="I95" s="21"/>
    </row>
    <row r="96" spans="1:9">
      <c r="A96" s="16"/>
      <c r="B96" s="16" t="s">
        <v>115</v>
      </c>
      <c r="C96" s="19">
        <f t="shared" si="3"/>
        <v>-11.2</v>
      </c>
      <c r="D96" s="17" t="s">
        <v>15</v>
      </c>
      <c r="E96" s="17">
        <f>-C96</f>
        <v>11.2</v>
      </c>
      <c r="F96" s="227" t="s">
        <v>5</v>
      </c>
      <c r="G96" s="20"/>
      <c r="H96" s="20"/>
      <c r="I96" s="21"/>
    </row>
    <row r="97" spans="1:9">
      <c r="A97" s="12"/>
      <c r="B97" s="12" t="s">
        <v>149</v>
      </c>
      <c r="C97" s="15">
        <f>SUM(C98:C138)</f>
        <v>-5554423.040000001</v>
      </c>
      <c r="D97" s="15"/>
      <c r="E97" s="15">
        <f>SUM(E98:E138)</f>
        <v>5554423.040000001</v>
      </c>
      <c r="F97" s="22"/>
      <c r="G97" s="12" t="s">
        <v>128</v>
      </c>
      <c r="H97" s="22" t="s">
        <v>129</v>
      </c>
      <c r="I97" s="22" t="s">
        <v>130</v>
      </c>
    </row>
    <row r="98" spans="1:9">
      <c r="A98" s="16" t="s">
        <v>133</v>
      </c>
      <c r="B98" s="23" t="s">
        <v>116</v>
      </c>
      <c r="C98" s="24">
        <f>ROUND(C52*0.01,2)</f>
        <v>-3593.29</v>
      </c>
      <c r="D98" s="24" t="str">
        <f t="shared" ref="D98:D118" si="7">D52</f>
        <v>证券投资部</v>
      </c>
      <c r="E98" s="24">
        <f>-C98</f>
        <v>3593.29</v>
      </c>
      <c r="F98" s="24" t="str">
        <f t="shared" ref="F98:F105" si="8">F52</f>
        <v>总部中后台</v>
      </c>
      <c r="G98" s="17" t="s">
        <v>74</v>
      </c>
      <c r="H98" s="25"/>
      <c r="I98" s="25"/>
    </row>
    <row r="99" spans="1:9">
      <c r="A99" s="16" t="s">
        <v>134</v>
      </c>
      <c r="B99" s="23" t="s">
        <v>116</v>
      </c>
      <c r="C99" s="24">
        <f t="shared" ref="C99:C116" si="9">ROUND(C53*0.01,2)</f>
        <v>-426.35</v>
      </c>
      <c r="D99" s="24" t="str">
        <f t="shared" si="7"/>
        <v>证券投资部</v>
      </c>
      <c r="E99" s="24">
        <f>-C99</f>
        <v>426.35</v>
      </c>
      <c r="F99" s="24" t="str">
        <f t="shared" si="8"/>
        <v>固定收益部</v>
      </c>
      <c r="G99" s="17" t="s">
        <v>74</v>
      </c>
      <c r="H99" s="25"/>
      <c r="I99" s="25"/>
    </row>
    <row r="100" spans="1:9">
      <c r="A100" s="16" t="s">
        <v>135</v>
      </c>
      <c r="B100" s="23" t="s">
        <v>116</v>
      </c>
      <c r="C100" s="24">
        <f t="shared" si="9"/>
        <v>2034.28</v>
      </c>
      <c r="D100" s="24" t="str">
        <f t="shared" si="7"/>
        <v>证券投资部</v>
      </c>
      <c r="E100" s="24">
        <f t="shared" ref="E100:E138" si="10">-C100</f>
        <v>-2034.28</v>
      </c>
      <c r="F100" s="24" t="str">
        <f t="shared" si="8"/>
        <v>固定收益部</v>
      </c>
      <c r="G100" s="17" t="s">
        <v>74</v>
      </c>
      <c r="H100" s="25"/>
      <c r="I100" s="25"/>
    </row>
    <row r="101" spans="1:9">
      <c r="A101" s="16" t="s">
        <v>136</v>
      </c>
      <c r="B101" s="23" t="s">
        <v>116</v>
      </c>
      <c r="C101" s="24">
        <f t="shared" si="9"/>
        <v>-172.7</v>
      </c>
      <c r="D101" s="24" t="str">
        <f t="shared" si="7"/>
        <v>证券投资部</v>
      </c>
      <c r="E101" s="24">
        <f t="shared" si="10"/>
        <v>172.7</v>
      </c>
      <c r="F101" s="24" t="str">
        <f t="shared" si="8"/>
        <v>金融衍生品投资部</v>
      </c>
      <c r="G101" s="17" t="s">
        <v>74</v>
      </c>
      <c r="H101" s="25"/>
      <c r="I101" s="25"/>
    </row>
    <row r="102" spans="1:9">
      <c r="A102" s="16" t="s">
        <v>137</v>
      </c>
      <c r="B102" s="23" t="s">
        <v>116</v>
      </c>
      <c r="C102" s="24">
        <f t="shared" si="9"/>
        <v>-20615.310000000001</v>
      </c>
      <c r="D102" s="24" t="str">
        <f t="shared" si="7"/>
        <v>证券投资部</v>
      </c>
      <c r="E102" s="24">
        <f>-C102</f>
        <v>20615.310000000001</v>
      </c>
      <c r="F102" s="24" t="str">
        <f t="shared" si="8"/>
        <v>金融工程部</v>
      </c>
      <c r="G102" s="17" t="s">
        <v>74</v>
      </c>
      <c r="H102" s="25"/>
      <c r="I102" s="25"/>
    </row>
    <row r="103" spans="1:9">
      <c r="A103" s="16" t="s">
        <v>138</v>
      </c>
      <c r="B103" s="23" t="s">
        <v>116</v>
      </c>
      <c r="C103" s="24">
        <f t="shared" si="9"/>
        <v>-944.31</v>
      </c>
      <c r="D103" s="24" t="str">
        <f t="shared" si="7"/>
        <v>证券投资部</v>
      </c>
      <c r="E103" s="24">
        <f t="shared" si="10"/>
        <v>944.31</v>
      </c>
      <c r="F103" s="24" t="str">
        <f t="shared" si="8"/>
        <v>固定收益部</v>
      </c>
      <c r="G103" s="17" t="s">
        <v>74</v>
      </c>
      <c r="H103" s="25"/>
      <c r="I103" s="25"/>
    </row>
    <row r="104" spans="1:9">
      <c r="A104" s="16" t="s">
        <v>139</v>
      </c>
      <c r="B104" s="23" t="s">
        <v>116</v>
      </c>
      <c r="C104" s="24">
        <f t="shared" si="9"/>
        <v>-3280.75</v>
      </c>
      <c r="D104" s="24" t="str">
        <f t="shared" si="7"/>
        <v>证券投资部</v>
      </c>
      <c r="E104" s="24">
        <f t="shared" si="10"/>
        <v>3280.75</v>
      </c>
      <c r="F104" s="24" t="str">
        <f t="shared" si="8"/>
        <v>固定收益部</v>
      </c>
      <c r="G104" s="17" t="s">
        <v>74</v>
      </c>
      <c r="H104" s="25"/>
      <c r="I104" s="25"/>
    </row>
    <row r="105" spans="1:9">
      <c r="A105" s="16" t="s">
        <v>140</v>
      </c>
      <c r="B105" s="23" t="s">
        <v>116</v>
      </c>
      <c r="C105" s="24">
        <f t="shared" si="9"/>
        <v>0</v>
      </c>
      <c r="D105" s="24" t="str">
        <f t="shared" si="7"/>
        <v>证券投资部</v>
      </c>
      <c r="E105" s="24">
        <f t="shared" si="10"/>
        <v>0</v>
      </c>
      <c r="F105" s="24" t="str">
        <f t="shared" si="8"/>
        <v>总部中后台</v>
      </c>
      <c r="G105" s="17" t="s">
        <v>74</v>
      </c>
      <c r="H105" s="25"/>
      <c r="I105" s="25"/>
    </row>
    <row r="106" spans="1:9">
      <c r="A106" s="16" t="s">
        <v>141</v>
      </c>
      <c r="B106" s="23" t="s">
        <v>116</v>
      </c>
      <c r="C106" s="24">
        <f t="shared" si="9"/>
        <v>-754.72</v>
      </c>
      <c r="D106" s="24" t="str">
        <f t="shared" si="7"/>
        <v>中小企业融资部</v>
      </c>
      <c r="E106" s="24">
        <f t="shared" si="10"/>
        <v>754.72</v>
      </c>
      <c r="F106" s="24" t="s">
        <v>214</v>
      </c>
      <c r="G106" s="17" t="s">
        <v>74</v>
      </c>
      <c r="H106" s="25"/>
      <c r="I106" s="25"/>
    </row>
    <row r="107" spans="1:9">
      <c r="A107" s="16" t="s">
        <v>142</v>
      </c>
      <c r="B107" s="23" t="s">
        <v>116</v>
      </c>
      <c r="C107" s="24">
        <f t="shared" si="9"/>
        <v>-3679.25</v>
      </c>
      <c r="D107" s="24" t="str">
        <f t="shared" si="7"/>
        <v>中小企业融资部</v>
      </c>
      <c r="E107" s="24">
        <f t="shared" si="10"/>
        <v>3679.25</v>
      </c>
      <c r="F107" s="24" t="str">
        <f t="shared" ref="F107:F118" si="11">F61</f>
        <v>综合业务部</v>
      </c>
      <c r="G107" s="17" t="s">
        <v>74</v>
      </c>
      <c r="H107" s="25"/>
      <c r="I107" s="25"/>
    </row>
    <row r="108" spans="1:9">
      <c r="A108" s="16" t="s">
        <v>143</v>
      </c>
      <c r="B108" s="23" t="s">
        <v>116</v>
      </c>
      <c r="C108" s="24">
        <f t="shared" si="9"/>
        <v>3675</v>
      </c>
      <c r="D108" s="24" t="str">
        <f t="shared" si="7"/>
        <v>固定收益部</v>
      </c>
      <c r="E108" s="24">
        <f t="shared" si="10"/>
        <v>-3675</v>
      </c>
      <c r="F108" s="24" t="str">
        <f t="shared" si="11"/>
        <v>其他</v>
      </c>
      <c r="G108" s="17" t="s">
        <v>74</v>
      </c>
      <c r="H108" s="25"/>
      <c r="I108" s="25"/>
    </row>
    <row r="109" spans="1:9">
      <c r="A109" s="16" t="s">
        <v>144</v>
      </c>
      <c r="B109" s="23" t="s">
        <v>116</v>
      </c>
      <c r="C109" s="24">
        <f t="shared" si="9"/>
        <v>-23876.05</v>
      </c>
      <c r="D109" s="24" t="str">
        <f t="shared" si="7"/>
        <v>固定收益部</v>
      </c>
      <c r="E109" s="24">
        <f t="shared" si="10"/>
        <v>23876.05</v>
      </c>
      <c r="F109" s="24" t="str">
        <f t="shared" si="11"/>
        <v>总部中后台</v>
      </c>
      <c r="G109" s="17" t="s">
        <v>74</v>
      </c>
      <c r="H109" s="25"/>
      <c r="I109" s="25"/>
    </row>
    <row r="110" spans="1:9">
      <c r="A110" s="16" t="s">
        <v>145</v>
      </c>
      <c r="B110" s="23" t="s">
        <v>116</v>
      </c>
      <c r="C110" s="24">
        <f t="shared" si="9"/>
        <v>-114893.98</v>
      </c>
      <c r="D110" s="24" t="str">
        <f t="shared" si="7"/>
        <v>固定收益部</v>
      </c>
      <c r="E110" s="24">
        <f t="shared" si="10"/>
        <v>114893.98</v>
      </c>
      <c r="F110" s="24" t="str">
        <f t="shared" si="11"/>
        <v>其他</v>
      </c>
      <c r="G110" s="17" t="s">
        <v>74</v>
      </c>
      <c r="H110" s="25"/>
      <c r="I110" s="25"/>
    </row>
    <row r="111" spans="1:9">
      <c r="A111" s="16" t="s">
        <v>146</v>
      </c>
      <c r="B111" s="23" t="s">
        <v>116</v>
      </c>
      <c r="C111" s="237">
        <v>0</v>
      </c>
      <c r="D111" s="24" t="str">
        <f t="shared" si="7"/>
        <v>经纪业务部</v>
      </c>
      <c r="E111" s="24">
        <f t="shared" ref="E111:E117" si="12">-C111</f>
        <v>0</v>
      </c>
      <c r="F111" s="24" t="str">
        <f t="shared" si="11"/>
        <v>其他</v>
      </c>
      <c r="G111" s="17" t="s">
        <v>74</v>
      </c>
      <c r="H111" s="25" t="s">
        <v>230</v>
      </c>
      <c r="I111" s="25"/>
    </row>
    <row r="112" spans="1:9">
      <c r="A112" s="16" t="s">
        <v>147</v>
      </c>
      <c r="B112" s="23" t="s">
        <v>116</v>
      </c>
      <c r="C112" s="24">
        <f t="shared" si="9"/>
        <v>39788.480000000003</v>
      </c>
      <c r="D112" s="24" t="str">
        <f t="shared" si="7"/>
        <v>经纪业务部</v>
      </c>
      <c r="E112" s="24">
        <f t="shared" si="12"/>
        <v>-39788.480000000003</v>
      </c>
      <c r="F112" s="24" t="str">
        <f t="shared" si="11"/>
        <v>总部中后台</v>
      </c>
      <c r="G112" s="17" t="s">
        <v>74</v>
      </c>
      <c r="H112" s="25"/>
      <c r="I112" s="25"/>
    </row>
    <row r="113" spans="1:9">
      <c r="A113" s="16" t="s">
        <v>199</v>
      </c>
      <c r="B113" s="23" t="s">
        <v>116</v>
      </c>
      <c r="C113" s="24">
        <f t="shared" si="9"/>
        <v>2444.44</v>
      </c>
      <c r="D113" s="24" t="str">
        <f t="shared" si="7"/>
        <v>投资银行总部</v>
      </c>
      <c r="E113" s="24">
        <f t="shared" si="12"/>
        <v>-2444.44</v>
      </c>
      <c r="F113" s="24" t="str">
        <f t="shared" si="11"/>
        <v>总部中后台</v>
      </c>
      <c r="G113" s="17" t="s">
        <v>74</v>
      </c>
      <c r="H113" s="25"/>
      <c r="I113" s="25"/>
    </row>
    <row r="114" spans="1:9">
      <c r="A114" s="16" t="s">
        <v>200</v>
      </c>
      <c r="B114" s="23" t="s">
        <v>116</v>
      </c>
      <c r="C114" s="24">
        <f t="shared" si="9"/>
        <v>55.56</v>
      </c>
      <c r="D114" s="24" t="str">
        <f t="shared" si="7"/>
        <v>投资银行总部</v>
      </c>
      <c r="E114" s="24">
        <f t="shared" si="12"/>
        <v>-55.56</v>
      </c>
      <c r="F114" s="24" t="str">
        <f t="shared" si="11"/>
        <v>总部中后台</v>
      </c>
      <c r="G114" s="17" t="s">
        <v>74</v>
      </c>
      <c r="H114" s="25"/>
      <c r="I114" s="25"/>
    </row>
    <row r="115" spans="1:9">
      <c r="A115" s="16" t="s">
        <v>201</v>
      </c>
      <c r="B115" s="23" t="s">
        <v>116</v>
      </c>
      <c r="C115" s="24">
        <f t="shared" si="9"/>
        <v>0</v>
      </c>
      <c r="D115" s="24" t="str">
        <f t="shared" si="7"/>
        <v>资产管理部</v>
      </c>
      <c r="E115" s="24">
        <f t="shared" si="12"/>
        <v>0</v>
      </c>
      <c r="F115" s="24" t="str">
        <f t="shared" si="11"/>
        <v>其他</v>
      </c>
      <c r="G115" s="17" t="s">
        <v>74</v>
      </c>
      <c r="H115" s="25"/>
      <c r="I115" s="25"/>
    </row>
    <row r="116" spans="1:9">
      <c r="A116" s="16" t="s">
        <v>202</v>
      </c>
      <c r="B116" s="23" t="s">
        <v>116</v>
      </c>
      <c r="C116" s="24">
        <f t="shared" si="9"/>
        <v>-2988.98</v>
      </c>
      <c r="D116" s="24" t="str">
        <f t="shared" si="7"/>
        <v>金融工程部</v>
      </c>
      <c r="E116" s="24">
        <f t="shared" si="12"/>
        <v>2988.98</v>
      </c>
      <c r="F116" s="24" t="str">
        <f t="shared" si="11"/>
        <v>总部中后台</v>
      </c>
      <c r="G116" s="17" t="s">
        <v>74</v>
      </c>
      <c r="H116" s="25"/>
      <c r="I116" s="25"/>
    </row>
    <row r="117" spans="1:9">
      <c r="A117" s="16" t="s">
        <v>203</v>
      </c>
      <c r="B117" s="23" t="s">
        <v>116</v>
      </c>
      <c r="C117" s="24">
        <f>ROUND(C71*0.01,2)</f>
        <v>-7006.32</v>
      </c>
      <c r="D117" s="24" t="str">
        <f t="shared" si="7"/>
        <v>证券投资部</v>
      </c>
      <c r="E117" s="24">
        <f t="shared" si="12"/>
        <v>7006.32</v>
      </c>
      <c r="F117" s="24" t="str">
        <f t="shared" si="11"/>
        <v>其他</v>
      </c>
      <c r="G117" s="17" t="s">
        <v>74</v>
      </c>
      <c r="H117" s="25"/>
      <c r="I117" s="25"/>
    </row>
    <row r="118" spans="1:9">
      <c r="A118" s="16" t="s">
        <v>204</v>
      </c>
      <c r="B118" s="23" t="s">
        <v>233</v>
      </c>
      <c r="C118" s="24">
        <f>ROUND(C72*0.01,2)</f>
        <v>-15.56</v>
      </c>
      <c r="D118" s="24" t="str">
        <f t="shared" si="7"/>
        <v>金融工程部</v>
      </c>
      <c r="E118" s="24">
        <f t="shared" ref="E118" si="13">-C118</f>
        <v>15.56</v>
      </c>
      <c r="F118" s="24" t="str">
        <f t="shared" si="11"/>
        <v>总部中后台</v>
      </c>
      <c r="G118" s="17" t="s">
        <v>74</v>
      </c>
      <c r="H118" s="251"/>
      <c r="I118" s="251"/>
    </row>
    <row r="119" spans="1:9">
      <c r="A119" s="16"/>
      <c r="B119" s="23"/>
      <c r="C119" s="24"/>
      <c r="D119" s="24"/>
      <c r="E119" s="24"/>
      <c r="F119" s="25"/>
      <c r="G119" s="17"/>
      <c r="H119" s="25"/>
      <c r="I119" s="25"/>
    </row>
    <row r="120" spans="1:9">
      <c r="A120" s="12"/>
      <c r="B120" s="12"/>
      <c r="C120" s="15"/>
      <c r="D120" s="15"/>
      <c r="E120" s="15"/>
      <c r="F120" s="22"/>
      <c r="G120" s="12"/>
      <c r="H120" s="22"/>
      <c r="I120" s="22"/>
    </row>
    <row r="121" spans="1:9">
      <c r="A121" s="16" t="s">
        <v>133</v>
      </c>
      <c r="B121" s="16" t="s">
        <v>116</v>
      </c>
      <c r="C121" s="24">
        <v>-32580</v>
      </c>
      <c r="D121" s="17" t="s">
        <v>15</v>
      </c>
      <c r="E121" s="24">
        <f t="shared" si="10"/>
        <v>32580</v>
      </c>
      <c r="F121" s="17" t="s">
        <v>6</v>
      </c>
      <c r="G121" s="17" t="s">
        <v>77</v>
      </c>
      <c r="H121" s="25" t="s">
        <v>208</v>
      </c>
      <c r="I121" s="25"/>
    </row>
    <row r="122" spans="1:9">
      <c r="A122" s="16" t="s">
        <v>134</v>
      </c>
      <c r="B122" s="16" t="s">
        <v>116</v>
      </c>
      <c r="C122" s="24"/>
      <c r="D122" s="17" t="s">
        <v>25</v>
      </c>
      <c r="E122" s="24">
        <f t="shared" si="10"/>
        <v>0</v>
      </c>
      <c r="F122" s="17" t="s">
        <v>6</v>
      </c>
      <c r="G122" s="17" t="s">
        <v>77</v>
      </c>
      <c r="H122" s="25" t="s">
        <v>208</v>
      </c>
      <c r="I122" s="25"/>
    </row>
    <row r="123" spans="1:9">
      <c r="A123" s="16" t="s">
        <v>135</v>
      </c>
      <c r="B123" s="16" t="s">
        <v>116</v>
      </c>
      <c r="C123" s="24">
        <v>-44604</v>
      </c>
      <c r="D123" s="17" t="s">
        <v>23</v>
      </c>
      <c r="E123" s="24">
        <f t="shared" si="10"/>
        <v>44604</v>
      </c>
      <c r="F123" s="17" t="s">
        <v>6</v>
      </c>
      <c r="G123" s="17" t="s">
        <v>77</v>
      </c>
      <c r="H123" s="25" t="s">
        <v>208</v>
      </c>
      <c r="I123" s="25"/>
    </row>
    <row r="124" spans="1:9">
      <c r="A124" s="16" t="s">
        <v>136</v>
      </c>
      <c r="B124" s="16" t="s">
        <v>116</v>
      </c>
      <c r="C124" s="24"/>
      <c r="D124" s="17" t="s">
        <v>10</v>
      </c>
      <c r="E124" s="24">
        <f t="shared" si="10"/>
        <v>0</v>
      </c>
      <c r="F124" s="17" t="s">
        <v>7</v>
      </c>
      <c r="G124" s="17" t="s">
        <v>80</v>
      </c>
      <c r="H124" s="24" t="s">
        <v>196</v>
      </c>
      <c r="I124" s="25"/>
    </row>
    <row r="125" spans="1:9">
      <c r="A125" s="16" t="s">
        <v>137</v>
      </c>
      <c r="B125" s="16" t="s">
        <v>116</v>
      </c>
      <c r="C125" s="24"/>
      <c r="D125" s="17" t="s">
        <v>10</v>
      </c>
      <c r="E125" s="24">
        <f t="shared" si="10"/>
        <v>0</v>
      </c>
      <c r="F125" s="17" t="s">
        <v>7</v>
      </c>
      <c r="G125" s="17" t="s">
        <v>90</v>
      </c>
      <c r="H125" s="24" t="s">
        <v>196</v>
      </c>
      <c r="I125" s="25"/>
    </row>
    <row r="126" spans="1:9">
      <c r="A126" s="16" t="s">
        <v>138</v>
      </c>
      <c r="B126" s="16" t="s">
        <v>116</v>
      </c>
      <c r="C126" s="24"/>
      <c r="D126" s="17" t="s">
        <v>10</v>
      </c>
      <c r="E126" s="24">
        <f t="shared" si="10"/>
        <v>0</v>
      </c>
      <c r="F126" s="17" t="s">
        <v>7</v>
      </c>
      <c r="G126" s="17" t="s">
        <v>78</v>
      </c>
      <c r="H126" s="24" t="s">
        <v>196</v>
      </c>
      <c r="I126" s="25"/>
    </row>
    <row r="127" spans="1:9">
      <c r="A127" s="16" t="s">
        <v>139</v>
      </c>
      <c r="B127" s="16" t="s">
        <v>116</v>
      </c>
      <c r="C127" s="24"/>
      <c r="D127" s="17" t="s">
        <v>10</v>
      </c>
      <c r="E127" s="24">
        <f t="shared" si="10"/>
        <v>0</v>
      </c>
      <c r="F127" s="17" t="s">
        <v>7</v>
      </c>
      <c r="G127" s="17" t="s">
        <v>77</v>
      </c>
      <c r="H127" s="24" t="s">
        <v>196</v>
      </c>
      <c r="I127" s="25"/>
    </row>
    <row r="128" spans="1:9">
      <c r="A128" s="16" t="s">
        <v>140</v>
      </c>
      <c r="B128" s="16" t="s">
        <v>116</v>
      </c>
      <c r="C128" s="24"/>
      <c r="D128" s="17" t="s">
        <v>10</v>
      </c>
      <c r="E128" s="24">
        <f t="shared" si="10"/>
        <v>0</v>
      </c>
      <c r="F128" s="17" t="s">
        <v>7</v>
      </c>
      <c r="G128" s="17" t="s">
        <v>95</v>
      </c>
      <c r="H128" s="24" t="s">
        <v>196</v>
      </c>
      <c r="I128" s="25"/>
    </row>
    <row r="129" spans="1:9">
      <c r="A129" s="26" t="s">
        <v>176</v>
      </c>
      <c r="B129" s="16" t="s">
        <v>116</v>
      </c>
      <c r="C129" s="229">
        <v>1666667</v>
      </c>
      <c r="D129" s="17" t="s">
        <v>7</v>
      </c>
      <c r="E129" s="24">
        <f t="shared" si="10"/>
        <v>-1666667</v>
      </c>
      <c r="F129" s="17" t="s">
        <v>5</v>
      </c>
      <c r="G129" s="17" t="s">
        <v>105</v>
      </c>
      <c r="H129" s="24" t="s">
        <v>177</v>
      </c>
      <c r="I129" s="25"/>
    </row>
    <row r="130" spans="1:9">
      <c r="A130" s="26" t="s">
        <v>142</v>
      </c>
      <c r="B130" s="16" t="s">
        <v>116</v>
      </c>
      <c r="C130" s="24"/>
      <c r="D130" s="17" t="s">
        <v>19</v>
      </c>
      <c r="E130" s="24">
        <f t="shared" si="10"/>
        <v>0</v>
      </c>
      <c r="F130" s="17" t="s">
        <v>6</v>
      </c>
      <c r="G130" s="17" t="s">
        <v>77</v>
      </c>
      <c r="H130" s="25" t="s">
        <v>208</v>
      </c>
      <c r="I130" s="25"/>
    </row>
    <row r="131" spans="1:9">
      <c r="A131" s="26" t="s">
        <v>143</v>
      </c>
      <c r="B131" s="16" t="s">
        <v>116</v>
      </c>
      <c r="C131" s="24"/>
      <c r="D131" s="24" t="s">
        <v>20</v>
      </c>
      <c r="E131" s="24">
        <f t="shared" si="10"/>
        <v>0</v>
      </c>
      <c r="F131" s="17" t="s">
        <v>6</v>
      </c>
      <c r="G131" s="17" t="s">
        <v>77</v>
      </c>
      <c r="H131" s="25" t="s">
        <v>208</v>
      </c>
      <c r="I131" s="25"/>
    </row>
    <row r="132" spans="1:9">
      <c r="A132" s="26" t="s">
        <v>144</v>
      </c>
      <c r="B132" s="16" t="s">
        <v>116</v>
      </c>
      <c r="C132" s="24"/>
      <c r="D132" s="24" t="s">
        <v>18</v>
      </c>
      <c r="E132" s="24">
        <f t="shared" si="10"/>
        <v>0</v>
      </c>
      <c r="F132" s="17" t="s">
        <v>6</v>
      </c>
      <c r="G132" s="17" t="s">
        <v>77</v>
      </c>
      <c r="H132" s="25" t="s">
        <v>208</v>
      </c>
      <c r="I132" s="25"/>
    </row>
    <row r="133" spans="1:9">
      <c r="A133" s="26" t="s">
        <v>145</v>
      </c>
      <c r="B133" s="16" t="s">
        <v>116</v>
      </c>
      <c r="C133" s="229">
        <v>-223032</v>
      </c>
      <c r="D133" s="17" t="s">
        <v>7</v>
      </c>
      <c r="E133" s="24">
        <f t="shared" si="10"/>
        <v>223032</v>
      </c>
      <c r="F133" s="17" t="s">
        <v>6</v>
      </c>
      <c r="G133" s="17" t="s">
        <v>77</v>
      </c>
      <c r="H133" s="25" t="s">
        <v>208</v>
      </c>
      <c r="I133" s="25"/>
    </row>
    <row r="134" spans="1:9">
      <c r="A134" s="26" t="s">
        <v>146</v>
      </c>
      <c r="B134" s="16" t="s">
        <v>116</v>
      </c>
      <c r="C134" s="24">
        <v>-1046400</v>
      </c>
      <c r="D134" s="17" t="s">
        <v>7</v>
      </c>
      <c r="E134" s="24">
        <f t="shared" si="10"/>
        <v>1046400</v>
      </c>
      <c r="F134" s="17" t="s">
        <v>5</v>
      </c>
      <c r="G134" s="230" t="s">
        <v>85</v>
      </c>
      <c r="H134" s="229" t="s">
        <v>227</v>
      </c>
      <c r="I134" s="25"/>
    </row>
    <row r="135" spans="1:9">
      <c r="A135" s="26" t="s">
        <v>147</v>
      </c>
      <c r="B135" s="16" t="s">
        <v>116</v>
      </c>
      <c r="C135" s="24">
        <v>-5710224.2300000004</v>
      </c>
      <c r="D135" s="17" t="s">
        <v>7</v>
      </c>
      <c r="E135" s="24">
        <f t="shared" si="10"/>
        <v>5710224.2300000004</v>
      </c>
      <c r="F135" s="17" t="s">
        <v>5</v>
      </c>
      <c r="G135" s="230" t="s">
        <v>73</v>
      </c>
      <c r="H135" s="229" t="s">
        <v>228</v>
      </c>
      <c r="I135" s="25"/>
    </row>
    <row r="136" spans="1:9">
      <c r="A136" s="26"/>
      <c r="B136" s="16" t="s">
        <v>116</v>
      </c>
      <c r="C136" s="24">
        <v>-30000</v>
      </c>
      <c r="D136" s="17" t="s">
        <v>11</v>
      </c>
      <c r="E136" s="24">
        <f t="shared" ref="E136" si="14">-C136</f>
        <v>30000</v>
      </c>
      <c r="F136" s="17" t="s">
        <v>6</v>
      </c>
      <c r="G136" s="17" t="s">
        <v>77</v>
      </c>
      <c r="H136" s="25" t="s">
        <v>208</v>
      </c>
      <c r="I136" s="25"/>
    </row>
    <row r="137" spans="1:9">
      <c r="A137" s="26"/>
      <c r="B137" s="16"/>
      <c r="C137" s="24"/>
      <c r="D137" s="17"/>
      <c r="E137" s="24">
        <f t="shared" si="10"/>
        <v>0</v>
      </c>
      <c r="F137" s="17"/>
      <c r="G137" s="17"/>
      <c r="H137" s="24"/>
      <c r="I137" s="25"/>
    </row>
    <row r="138" spans="1:9">
      <c r="A138" s="27"/>
      <c r="B138" s="28"/>
      <c r="C138" s="29"/>
      <c r="D138" s="30"/>
      <c r="E138" s="24">
        <f t="shared" si="10"/>
        <v>0</v>
      </c>
      <c r="F138" s="30"/>
      <c r="G138" s="30"/>
      <c r="H138" s="29"/>
      <c r="I138" s="54"/>
    </row>
    <row r="139" spans="1:9">
      <c r="A139" s="31"/>
      <c r="B139" s="31"/>
      <c r="C139" s="32"/>
      <c r="D139" s="32"/>
      <c r="E139" s="32"/>
      <c r="F139" s="33"/>
      <c r="G139" s="31"/>
      <c r="H139" s="33"/>
      <c r="I139" s="33"/>
    </row>
    <row r="140" spans="1:9">
      <c r="D140" s="34"/>
      <c r="E140" s="34"/>
      <c r="H140" s="25"/>
      <c r="I140" s="25"/>
    </row>
    <row r="141" spans="1:9">
      <c r="A141" s="35"/>
      <c r="B141" s="35" t="s">
        <v>52</v>
      </c>
      <c r="C141" s="24">
        <v>140204597.81999999</v>
      </c>
      <c r="D141" s="122" t="s">
        <v>7</v>
      </c>
      <c r="E141" s="36"/>
      <c r="F141" s="36"/>
      <c r="G141" s="37"/>
      <c r="H141" s="25"/>
      <c r="I141" s="25"/>
    </row>
    <row r="142" spans="1:9">
      <c r="A142" s="35"/>
      <c r="B142" s="35" t="s">
        <v>52</v>
      </c>
      <c r="C142" s="24"/>
      <c r="D142" s="36" t="s">
        <v>10</v>
      </c>
      <c r="E142" s="36"/>
      <c r="F142" s="36"/>
      <c r="G142" s="37"/>
      <c r="H142" s="25"/>
      <c r="I142" s="25"/>
    </row>
    <row r="143" spans="1:9">
      <c r="A143" s="35"/>
      <c r="B143" s="35" t="s">
        <v>52</v>
      </c>
      <c r="C143" s="24"/>
      <c r="D143" s="38" t="s">
        <v>11</v>
      </c>
      <c r="E143" s="38"/>
      <c r="F143" s="38"/>
      <c r="G143" s="39"/>
      <c r="H143" s="25"/>
      <c r="I143" s="25"/>
    </row>
    <row r="144" spans="1:9">
      <c r="A144" s="40"/>
      <c r="B144" s="40" t="s">
        <v>150</v>
      </c>
      <c r="C144" s="40"/>
      <c r="D144" s="41">
        <f>C139-SUM(D140:D143)</f>
        <v>0</v>
      </c>
      <c r="E144" s="41"/>
      <c r="F144" s="41">
        <f>E139-SUM(F140:F143)</f>
        <v>0</v>
      </c>
      <c r="G144" s="42"/>
      <c r="H144" s="33"/>
      <c r="I144" s="33"/>
    </row>
    <row r="145" spans="1:20" ht="18">
      <c r="A145" s="43"/>
      <c r="B145" s="43"/>
      <c r="C145" s="43"/>
      <c r="D145" s="44"/>
      <c r="E145" s="45"/>
      <c r="F145" s="46"/>
      <c r="G145" s="46"/>
      <c r="H145" s="46"/>
      <c r="I145" s="46"/>
    </row>
    <row r="146" spans="1:20" ht="18">
      <c r="A146" s="43"/>
      <c r="B146" s="43"/>
      <c r="C146" s="43"/>
      <c r="D146" s="44"/>
      <c r="E146" s="45" t="s">
        <v>151</v>
      </c>
      <c r="F146" s="46"/>
      <c r="G146" s="46"/>
      <c r="H146" s="46"/>
      <c r="I146" s="46"/>
    </row>
    <row r="147" spans="1:20">
      <c r="A147" s="10" t="s">
        <v>123</v>
      </c>
      <c r="B147" s="10" t="s">
        <v>3</v>
      </c>
      <c r="C147" s="10" t="s">
        <v>124</v>
      </c>
      <c r="D147" s="10" t="s">
        <v>125</v>
      </c>
      <c r="E147" s="10" t="s">
        <v>126</v>
      </c>
      <c r="F147" s="11" t="s">
        <v>127</v>
      </c>
      <c r="G147" s="11" t="s">
        <v>152</v>
      </c>
      <c r="H147" s="11" t="s">
        <v>129</v>
      </c>
      <c r="I147" s="11" t="s">
        <v>130</v>
      </c>
    </row>
    <row r="148" spans="1:20">
      <c r="A148" s="47"/>
      <c r="B148" s="47" t="s">
        <v>153</v>
      </c>
      <c r="C148" s="47">
        <f>SUM(C149:C157)</f>
        <v>-45258189.15041095</v>
      </c>
      <c r="D148" s="47"/>
      <c r="E148" s="47">
        <f>SUM(E149:E157)</f>
        <v>45258189.15041095</v>
      </c>
      <c r="F148" s="48"/>
      <c r="G148" s="48"/>
      <c r="H148" s="48"/>
      <c r="I148" s="48"/>
    </row>
    <row r="149" spans="1:20">
      <c r="A149" s="49" t="s">
        <v>133</v>
      </c>
      <c r="B149" s="49" t="s">
        <v>48</v>
      </c>
      <c r="C149" s="248">
        <v>1584127.88</v>
      </c>
      <c r="D149" s="50" t="s">
        <v>11</v>
      </c>
      <c r="E149" s="50">
        <f t="shared" ref="E149:E156" si="15">-C149</f>
        <v>-1584127.88</v>
      </c>
      <c r="F149" s="50" t="s">
        <v>11</v>
      </c>
      <c r="G149" s="50" t="s">
        <v>34</v>
      </c>
      <c r="H149" s="118" t="s">
        <v>164</v>
      </c>
      <c r="I149" s="50"/>
    </row>
    <row r="150" spans="1:20">
      <c r="A150" s="49" t="s">
        <v>134</v>
      </c>
      <c r="B150" s="49" t="s">
        <v>48</v>
      </c>
      <c r="C150" s="248">
        <v>-1589610.5</v>
      </c>
      <c r="D150" s="50" t="s">
        <v>11</v>
      </c>
      <c r="E150" s="50">
        <f t="shared" si="15"/>
        <v>1589610.5</v>
      </c>
      <c r="F150" s="50" t="s">
        <v>8</v>
      </c>
      <c r="G150" s="50" t="s">
        <v>34</v>
      </c>
      <c r="H150" s="118" t="s">
        <v>165</v>
      </c>
      <c r="I150" s="50"/>
    </row>
    <row r="151" spans="1:20">
      <c r="A151" s="49" t="s">
        <v>135</v>
      </c>
      <c r="B151" s="49" t="s">
        <v>48</v>
      </c>
      <c r="C151" s="248">
        <v>-225811.12999999899</v>
      </c>
      <c r="D151" s="50" t="s">
        <v>11</v>
      </c>
      <c r="E151" s="50">
        <f t="shared" si="15"/>
        <v>225811.12999999899</v>
      </c>
      <c r="F151" s="50" t="s">
        <v>15</v>
      </c>
      <c r="G151" s="50" t="s">
        <v>34</v>
      </c>
      <c r="H151" s="156" t="s">
        <v>197</v>
      </c>
      <c r="I151" s="50"/>
    </row>
    <row r="152" spans="1:20">
      <c r="A152" s="49" t="s">
        <v>136</v>
      </c>
      <c r="B152" s="49" t="s">
        <v>48</v>
      </c>
      <c r="C152" s="248">
        <v>1765340.34958904</v>
      </c>
      <c r="D152" s="50" t="s">
        <v>15</v>
      </c>
      <c r="E152" s="50">
        <f t="shared" si="15"/>
        <v>-1765340.34958904</v>
      </c>
      <c r="F152" s="50" t="s">
        <v>15</v>
      </c>
      <c r="G152" s="50" t="s">
        <v>34</v>
      </c>
      <c r="H152" s="119" t="s">
        <v>167</v>
      </c>
      <c r="I152" s="51"/>
    </row>
    <row r="153" spans="1:20">
      <c r="A153" s="49" t="s">
        <v>137</v>
      </c>
      <c r="B153" s="49" t="s">
        <v>48</v>
      </c>
      <c r="C153" s="248">
        <v>431680.96</v>
      </c>
      <c r="D153" s="50" t="s">
        <v>10</v>
      </c>
      <c r="E153" s="50">
        <f t="shared" si="15"/>
        <v>-431680.96</v>
      </c>
      <c r="F153" s="50" t="s">
        <v>10</v>
      </c>
      <c r="G153" s="50" t="s">
        <v>34</v>
      </c>
      <c r="H153" s="118" t="s">
        <v>166</v>
      </c>
      <c r="I153" s="50"/>
    </row>
    <row r="154" spans="1:20">
      <c r="A154" s="49" t="s">
        <v>138</v>
      </c>
      <c r="B154" s="49" t="s">
        <v>48</v>
      </c>
      <c r="C154" s="247">
        <v>-46029223.659999996</v>
      </c>
      <c r="D154" s="50" t="s">
        <v>8</v>
      </c>
      <c r="E154" s="50">
        <f t="shared" si="15"/>
        <v>46029223.659999996</v>
      </c>
      <c r="F154" s="50" t="s">
        <v>8</v>
      </c>
      <c r="G154" s="50" t="s">
        <v>34</v>
      </c>
      <c r="H154" s="118" t="s">
        <v>171</v>
      </c>
      <c r="I154" s="50"/>
    </row>
    <row r="155" spans="1:20">
      <c r="A155" s="49" t="s">
        <v>139</v>
      </c>
      <c r="B155" s="49" t="s">
        <v>48</v>
      </c>
      <c r="C155" s="247">
        <v>-1173093.05</v>
      </c>
      <c r="D155" s="50" t="s">
        <v>8</v>
      </c>
      <c r="E155" s="50">
        <f t="shared" si="15"/>
        <v>1173093.05</v>
      </c>
      <c r="F155" s="50" t="s">
        <v>5</v>
      </c>
      <c r="G155" s="50" t="s">
        <v>34</v>
      </c>
      <c r="H155" s="119" t="s">
        <v>173</v>
      </c>
      <c r="I155" s="51"/>
    </row>
    <row r="156" spans="1:20">
      <c r="A156" s="49" t="s">
        <v>140</v>
      </c>
      <c r="B156" s="49" t="s">
        <v>48</v>
      </c>
      <c r="C156" s="155">
        <f>-累计利润调整表!E58-考核调整事项表!C279</f>
        <v>-21599.999999999767</v>
      </c>
      <c r="D156" s="50" t="s">
        <v>7</v>
      </c>
      <c r="E156" s="50">
        <f t="shared" si="15"/>
        <v>21599.999999999767</v>
      </c>
      <c r="F156" s="50" t="s">
        <v>7</v>
      </c>
      <c r="G156" s="50" t="s">
        <v>34</v>
      </c>
      <c r="H156" s="119" t="s">
        <v>172</v>
      </c>
      <c r="I156" s="51"/>
    </row>
    <row r="157" spans="1:20">
      <c r="A157" s="121"/>
      <c r="B157" s="49"/>
      <c r="C157" s="156"/>
      <c r="D157" s="50"/>
      <c r="E157" s="50"/>
      <c r="F157" s="50"/>
      <c r="G157" s="50"/>
      <c r="H157" s="156"/>
      <c r="I157" s="51"/>
    </row>
    <row r="158" spans="1:20">
      <c r="A158" s="157"/>
      <c r="B158" s="158"/>
      <c r="C158" s="159"/>
      <c r="D158" s="160"/>
      <c r="E158" s="160"/>
      <c r="F158" s="160"/>
      <c r="G158" s="160"/>
      <c r="H158" s="159"/>
      <c r="I158" s="161"/>
    </row>
    <row r="159" spans="1:20" s="1" customFormat="1">
      <c r="A159" s="52"/>
      <c r="B159" s="52" t="s">
        <v>154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"/>
      <c r="O159" s="5"/>
      <c r="P159" s="5"/>
      <c r="Q159" s="5"/>
      <c r="R159" s="5"/>
      <c r="S159" s="5"/>
      <c r="T159" s="5"/>
    </row>
    <row r="160" spans="1:20" s="1" customFormat="1">
      <c r="A160" s="52"/>
      <c r="B160" s="52" t="s">
        <v>155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"/>
      <c r="O160" s="5"/>
      <c r="P160" s="5"/>
      <c r="Q160" s="5"/>
      <c r="R160" s="5"/>
      <c r="S160" s="5"/>
      <c r="T160" s="5"/>
    </row>
    <row r="161" spans="1:20" s="1" customFormat="1">
      <c r="A161" s="52"/>
      <c r="B161" s="52" t="s">
        <v>156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"/>
      <c r="O161" s="5"/>
      <c r="P161" s="5"/>
      <c r="Q161" s="5"/>
      <c r="R161" s="5"/>
      <c r="S161" s="5"/>
      <c r="T161" s="5"/>
    </row>
    <row r="162" spans="1:20" s="1" customFormat="1">
      <c r="A162" s="52"/>
      <c r="B162" s="52" t="s">
        <v>157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"/>
      <c r="O162" s="5"/>
      <c r="P162" s="5"/>
      <c r="Q162" s="5"/>
      <c r="R162" s="5"/>
      <c r="S162" s="5"/>
      <c r="T162" s="5"/>
    </row>
    <row r="163" spans="1:20">
      <c r="A163" s="52"/>
      <c r="B163" s="52" t="s">
        <v>158</v>
      </c>
      <c r="C163" s="5"/>
      <c r="D163" s="5"/>
      <c r="E163" s="5"/>
      <c r="F163" s="5"/>
      <c r="G163" s="5"/>
      <c r="H163" s="5"/>
    </row>
    <row r="164" spans="1:20">
      <c r="A164" s="5"/>
      <c r="B164" s="5"/>
      <c r="C164" s="5"/>
      <c r="D164" s="5"/>
      <c r="E164" s="5"/>
      <c r="F164" s="5"/>
      <c r="G164" s="5"/>
      <c r="H164" s="5"/>
    </row>
    <row r="165" spans="1:20">
      <c r="A165" s="5"/>
      <c r="B165" s="147" t="s">
        <v>174</v>
      </c>
      <c r="C165" s="50">
        <f>C148+累计利润调整表!B58+C271</f>
        <v>4.9589008092880249E-2</v>
      </c>
      <c r="D165" s="5"/>
      <c r="E165" s="5"/>
      <c r="F165" s="5"/>
      <c r="G165" s="5"/>
      <c r="H165" s="5"/>
    </row>
    <row r="166" spans="1:20" ht="18.75" thickBot="1">
      <c r="A166" s="272" t="s">
        <v>221</v>
      </c>
      <c r="B166" s="272"/>
      <c r="C166" s="272"/>
      <c r="D166" s="272"/>
      <c r="E166" s="272"/>
      <c r="F166" s="272"/>
      <c r="G166" s="272"/>
      <c r="H166" s="272"/>
      <c r="I166" s="272"/>
    </row>
    <row r="167" spans="1:20">
      <c r="A167" s="162" t="s">
        <v>123</v>
      </c>
      <c r="B167" s="162" t="s">
        <v>3</v>
      </c>
      <c r="C167" s="162" t="s">
        <v>124</v>
      </c>
      <c r="D167" s="162" t="s">
        <v>125</v>
      </c>
      <c r="E167" s="162" t="s">
        <v>126</v>
      </c>
      <c r="F167" s="163" t="s">
        <v>127</v>
      </c>
      <c r="G167" s="163" t="s">
        <v>128</v>
      </c>
      <c r="H167" s="163" t="s">
        <v>129</v>
      </c>
      <c r="I167" s="163" t="s">
        <v>130</v>
      </c>
    </row>
    <row r="168" spans="1:20">
      <c r="A168" s="164"/>
      <c r="B168" s="164" t="s">
        <v>131</v>
      </c>
      <c r="C168" s="165"/>
      <c r="D168" s="165"/>
      <c r="E168" s="165"/>
      <c r="F168" s="166"/>
      <c r="G168" s="166"/>
      <c r="H168" s="166"/>
      <c r="I168" s="166"/>
    </row>
    <row r="169" spans="1:20">
      <c r="A169" s="164"/>
      <c r="B169" s="164" t="s">
        <v>132</v>
      </c>
      <c r="C169" s="167">
        <f>SUM(C170:C192)</f>
        <v>36717404.199999988</v>
      </c>
      <c r="D169" s="167"/>
      <c r="E169" s="167">
        <f>SUM(E170:E192)</f>
        <v>-36717404.199999988</v>
      </c>
      <c r="F169" s="166"/>
      <c r="G169" s="166"/>
      <c r="H169" s="166"/>
      <c r="I169" s="166"/>
    </row>
    <row r="170" spans="1:20">
      <c r="A170" s="168" t="s">
        <v>133</v>
      </c>
      <c r="B170" s="168" t="s">
        <v>112</v>
      </c>
      <c r="C170" s="169">
        <v>-1567775.32</v>
      </c>
      <c r="D170" s="170" t="s">
        <v>11</v>
      </c>
      <c r="E170" s="170">
        <f>-C170</f>
        <v>1567775.32</v>
      </c>
      <c r="F170" s="170" t="s">
        <v>6</v>
      </c>
      <c r="G170" s="170"/>
      <c r="H170" s="171" t="s">
        <v>159</v>
      </c>
      <c r="I170" s="170"/>
    </row>
    <row r="171" spans="1:20">
      <c r="A171" s="168" t="s">
        <v>134</v>
      </c>
      <c r="B171" s="168" t="s">
        <v>112</v>
      </c>
      <c r="C171" s="169">
        <v>-77230.12</v>
      </c>
      <c r="D171" s="170" t="s">
        <v>11</v>
      </c>
      <c r="E171" s="170">
        <f>-C171</f>
        <v>77230.12</v>
      </c>
      <c r="F171" s="170" t="s">
        <v>10</v>
      </c>
      <c r="G171" s="170"/>
      <c r="H171" s="170" t="s">
        <v>190</v>
      </c>
      <c r="I171" s="170"/>
    </row>
    <row r="172" spans="1:20">
      <c r="A172" s="168" t="s">
        <v>135</v>
      </c>
      <c r="B172" s="168" t="s">
        <v>34</v>
      </c>
      <c r="C172" s="170">
        <v>1462890</v>
      </c>
      <c r="D172" s="170" t="s">
        <v>11</v>
      </c>
      <c r="E172" s="170">
        <f>-C172</f>
        <v>-1462890</v>
      </c>
      <c r="F172" s="170" t="s">
        <v>10</v>
      </c>
      <c r="G172" s="170"/>
      <c r="H172" s="171" t="s">
        <v>160</v>
      </c>
      <c r="I172" s="170" t="s">
        <v>209</v>
      </c>
    </row>
    <row r="173" spans="1:20">
      <c r="A173" s="168" t="s">
        <v>136</v>
      </c>
      <c r="B173" s="168" t="s">
        <v>34</v>
      </c>
      <c r="C173" s="170">
        <v>-1093917.18</v>
      </c>
      <c r="D173" s="170" t="s">
        <v>11</v>
      </c>
      <c r="E173" s="170">
        <f>-C173</f>
        <v>1093917.18</v>
      </c>
      <c r="F173" s="170" t="s">
        <v>15</v>
      </c>
      <c r="G173" s="170"/>
      <c r="H173" s="171" t="s">
        <v>161</v>
      </c>
      <c r="I173" s="170" t="s">
        <v>209</v>
      </c>
    </row>
    <row r="174" spans="1:20">
      <c r="A174" s="168" t="s">
        <v>137</v>
      </c>
      <c r="B174" s="168" t="s">
        <v>34</v>
      </c>
      <c r="C174" s="170">
        <v>15487.39</v>
      </c>
      <c r="D174" s="170" t="s">
        <v>11</v>
      </c>
      <c r="E174" s="170">
        <f>-C174</f>
        <v>-15487.39</v>
      </c>
      <c r="F174" s="170" t="s">
        <v>12</v>
      </c>
      <c r="G174" s="170"/>
      <c r="H174" s="170" t="s">
        <v>219</v>
      </c>
      <c r="I174" s="170"/>
    </row>
    <row r="175" spans="1:20">
      <c r="A175" s="168" t="s">
        <v>138</v>
      </c>
      <c r="B175" s="168" t="s">
        <v>32</v>
      </c>
      <c r="C175" s="170">
        <v>-624966.76</v>
      </c>
      <c r="D175" s="170" t="s">
        <v>11</v>
      </c>
      <c r="E175" s="170">
        <f t="shared" ref="E175:E192" si="16">-C175</f>
        <v>624966.76</v>
      </c>
      <c r="F175" s="170" t="s">
        <v>10</v>
      </c>
      <c r="G175" s="170"/>
      <c r="H175" s="171" t="s">
        <v>162</v>
      </c>
      <c r="I175" s="170"/>
    </row>
    <row r="176" spans="1:20">
      <c r="A176" s="168" t="s">
        <v>139</v>
      </c>
      <c r="B176" s="168" t="s">
        <v>34</v>
      </c>
      <c r="C176" s="170">
        <v>176932.86</v>
      </c>
      <c r="D176" s="170" t="s">
        <v>11</v>
      </c>
      <c r="E176" s="170">
        <f t="shared" si="16"/>
        <v>-176932.86</v>
      </c>
      <c r="F176" s="170" t="s">
        <v>10</v>
      </c>
      <c r="G176" s="172"/>
      <c r="H176" s="171" t="s">
        <v>163</v>
      </c>
      <c r="I176" s="170"/>
    </row>
    <row r="177" spans="1:9">
      <c r="A177" s="168" t="s">
        <v>140</v>
      </c>
      <c r="B177" s="168" t="s">
        <v>32</v>
      </c>
      <c r="C177" s="170">
        <v>-4205015.8000000119</v>
      </c>
      <c r="D177" s="170" t="s">
        <v>11</v>
      </c>
      <c r="E177" s="170">
        <f t="shared" si="16"/>
        <v>4205015.8000000119</v>
      </c>
      <c r="F177" s="170" t="s">
        <v>6</v>
      </c>
      <c r="G177" s="170"/>
      <c r="H177" s="170" t="s">
        <v>195</v>
      </c>
      <c r="I177" s="170" t="s">
        <v>210</v>
      </c>
    </row>
    <row r="178" spans="1:9">
      <c r="A178" s="168" t="s">
        <v>141</v>
      </c>
      <c r="B178" s="168" t="s">
        <v>29</v>
      </c>
      <c r="C178" s="170">
        <v>-640000</v>
      </c>
      <c r="D178" s="170" t="s">
        <v>16</v>
      </c>
      <c r="E178" s="170">
        <f t="shared" si="16"/>
        <v>640000</v>
      </c>
      <c r="F178" s="170" t="s">
        <v>20</v>
      </c>
      <c r="G178" s="170"/>
      <c r="H178" s="170" t="s">
        <v>207</v>
      </c>
      <c r="I178" s="170" t="s">
        <v>211</v>
      </c>
    </row>
    <row r="179" spans="1:9">
      <c r="A179" s="168" t="s">
        <v>142</v>
      </c>
      <c r="B179" s="168" t="s">
        <v>29</v>
      </c>
      <c r="C179" s="173">
        <v>600000</v>
      </c>
      <c r="D179" s="170" t="s">
        <v>11</v>
      </c>
      <c r="E179" s="170">
        <f t="shared" si="16"/>
        <v>-600000</v>
      </c>
      <c r="F179" s="170" t="s">
        <v>16</v>
      </c>
      <c r="G179" s="170"/>
      <c r="H179" s="170" t="s">
        <v>191</v>
      </c>
      <c r="I179" s="170" t="s">
        <v>198</v>
      </c>
    </row>
    <row r="180" spans="1:9">
      <c r="A180" s="168" t="s">
        <v>143</v>
      </c>
      <c r="B180" s="168" t="s">
        <v>32</v>
      </c>
      <c r="C180" s="170">
        <v>2762750</v>
      </c>
      <c r="D180" s="170" t="s">
        <v>10</v>
      </c>
      <c r="E180" s="170">
        <f t="shared" si="16"/>
        <v>-2762750</v>
      </c>
      <c r="F180" s="170" t="s">
        <v>5</v>
      </c>
      <c r="G180" s="170"/>
      <c r="H180" s="171" t="s">
        <v>168</v>
      </c>
      <c r="I180" s="170"/>
    </row>
    <row r="181" spans="1:9">
      <c r="A181" s="168" t="s">
        <v>144</v>
      </c>
      <c r="B181" s="168" t="s">
        <v>32</v>
      </c>
      <c r="C181" s="170">
        <v>-4247916.67</v>
      </c>
      <c r="D181" s="170" t="s">
        <v>10</v>
      </c>
      <c r="E181" s="170">
        <f t="shared" si="16"/>
        <v>4247916.67</v>
      </c>
      <c r="F181" s="170" t="s">
        <v>6</v>
      </c>
      <c r="G181" s="170"/>
      <c r="H181" s="171" t="s">
        <v>169</v>
      </c>
      <c r="I181" s="170"/>
    </row>
    <row r="182" spans="1:9">
      <c r="A182" s="168" t="s">
        <v>145</v>
      </c>
      <c r="B182" s="168" t="s">
        <v>34</v>
      </c>
      <c r="C182" s="170">
        <v>30540797.66</v>
      </c>
      <c r="D182" s="170" t="s">
        <v>10</v>
      </c>
      <c r="E182" s="170">
        <f t="shared" si="16"/>
        <v>-30540797.66</v>
      </c>
      <c r="F182" s="170" t="s">
        <v>5</v>
      </c>
      <c r="G182" s="170"/>
      <c r="H182" s="171" t="s">
        <v>170</v>
      </c>
      <c r="I182" s="170"/>
    </row>
    <row r="183" spans="1:9">
      <c r="A183" s="168" t="s">
        <v>146</v>
      </c>
      <c r="B183" s="168" t="s">
        <v>28</v>
      </c>
      <c r="C183" s="170">
        <v>824350.51</v>
      </c>
      <c r="D183" s="170" t="s">
        <v>7</v>
      </c>
      <c r="E183" s="170">
        <f t="shared" si="16"/>
        <v>-824350.51</v>
      </c>
      <c r="F183" s="170" t="s">
        <v>5</v>
      </c>
      <c r="G183" s="170"/>
      <c r="H183" s="170" t="s">
        <v>192</v>
      </c>
      <c r="I183" s="170"/>
    </row>
    <row r="184" spans="1:9">
      <c r="A184" s="168" t="s">
        <v>147</v>
      </c>
      <c r="B184" s="168" t="s">
        <v>112</v>
      </c>
      <c r="C184" s="170">
        <v>10984424.310000001</v>
      </c>
      <c r="D184" s="170" t="s">
        <v>7</v>
      </c>
      <c r="E184" s="170">
        <f t="shared" si="16"/>
        <v>-10984424.310000001</v>
      </c>
      <c r="F184" s="170" t="s">
        <v>6</v>
      </c>
      <c r="G184" s="170"/>
      <c r="H184" s="170" t="s">
        <v>175</v>
      </c>
      <c r="I184" s="170"/>
    </row>
    <row r="185" spans="1:9">
      <c r="A185" s="168" t="s">
        <v>199</v>
      </c>
      <c r="B185" s="168" t="s">
        <v>112</v>
      </c>
      <c r="C185" s="170">
        <v>1900000</v>
      </c>
      <c r="D185" s="170" t="s">
        <v>121</v>
      </c>
      <c r="E185" s="170">
        <f t="shared" si="16"/>
        <v>-1900000</v>
      </c>
      <c r="F185" s="170" t="s">
        <v>6</v>
      </c>
      <c r="G185" s="170"/>
      <c r="H185" s="170" t="s">
        <v>188</v>
      </c>
      <c r="I185" s="170"/>
    </row>
    <row r="186" spans="1:9">
      <c r="A186" s="168" t="s">
        <v>200</v>
      </c>
      <c r="B186" s="168" t="s">
        <v>112</v>
      </c>
      <c r="C186" s="170">
        <v>155555.56</v>
      </c>
      <c r="D186" s="170" t="s">
        <v>121</v>
      </c>
      <c r="E186" s="170">
        <f t="shared" si="16"/>
        <v>-155555.56</v>
      </c>
      <c r="F186" s="170" t="s">
        <v>6</v>
      </c>
      <c r="G186" s="170"/>
      <c r="H186" s="170" t="s">
        <v>188</v>
      </c>
      <c r="I186" s="170"/>
    </row>
    <row r="187" spans="1:9">
      <c r="A187" s="168" t="s">
        <v>201</v>
      </c>
      <c r="B187" s="170" t="s">
        <v>32</v>
      </c>
      <c r="C187" s="170">
        <v>262937.05</v>
      </c>
      <c r="D187" s="170" t="s">
        <v>8</v>
      </c>
      <c r="E187" s="170">
        <f t="shared" si="16"/>
        <v>-262937.05</v>
      </c>
      <c r="F187" s="170" t="s">
        <v>5</v>
      </c>
      <c r="G187" s="170"/>
      <c r="H187" s="170" t="s">
        <v>212</v>
      </c>
      <c r="I187" s="170"/>
    </row>
    <row r="188" spans="1:9">
      <c r="A188" s="168" t="s">
        <v>202</v>
      </c>
      <c r="B188" s="170" t="s">
        <v>112</v>
      </c>
      <c r="C188" s="170">
        <v>-237989.03</v>
      </c>
      <c r="D188" s="170" t="s">
        <v>15</v>
      </c>
      <c r="E188" s="170">
        <f t="shared" si="16"/>
        <v>237989.03</v>
      </c>
      <c r="F188" s="170" t="s">
        <v>6</v>
      </c>
      <c r="G188" s="170"/>
      <c r="H188" s="170" t="s">
        <v>215</v>
      </c>
      <c r="I188" s="170"/>
    </row>
    <row r="189" spans="1:9">
      <c r="A189" s="168" t="s">
        <v>203</v>
      </c>
      <c r="B189" s="170" t="s">
        <v>32</v>
      </c>
      <c r="C189" s="170"/>
      <c r="D189" s="170" t="s">
        <v>11</v>
      </c>
      <c r="E189" s="170">
        <f t="shared" si="16"/>
        <v>0</v>
      </c>
      <c r="F189" s="170" t="s">
        <v>6</v>
      </c>
      <c r="G189" s="170"/>
      <c r="H189" s="170"/>
      <c r="I189" s="170"/>
    </row>
    <row r="190" spans="1:9">
      <c r="A190" s="168" t="s">
        <v>204</v>
      </c>
      <c r="B190" s="170" t="s">
        <v>29</v>
      </c>
      <c r="C190" s="170">
        <v>-130000</v>
      </c>
      <c r="D190" s="170" t="s">
        <v>16</v>
      </c>
      <c r="E190" s="170">
        <f t="shared" si="16"/>
        <v>130000</v>
      </c>
      <c r="F190" s="170" t="s">
        <v>24</v>
      </c>
      <c r="G190" s="170"/>
      <c r="H190" s="230" t="s">
        <v>240</v>
      </c>
      <c r="I190" s="170"/>
    </row>
    <row r="191" spans="1:9">
      <c r="A191" s="168" t="s">
        <v>205</v>
      </c>
      <c r="B191" s="170" t="s">
        <v>29</v>
      </c>
      <c r="C191" s="170">
        <v>-143910.26</v>
      </c>
      <c r="D191" s="170" t="s">
        <v>16</v>
      </c>
      <c r="E191" s="170">
        <f t="shared" si="16"/>
        <v>143910.26</v>
      </c>
      <c r="F191" s="170" t="s">
        <v>7</v>
      </c>
      <c r="G191" s="170"/>
      <c r="H191" s="230" t="s">
        <v>241</v>
      </c>
      <c r="I191" s="170"/>
    </row>
    <row r="192" spans="1:9">
      <c r="A192" s="168" t="s">
        <v>206</v>
      </c>
      <c r="B192" s="170"/>
      <c r="C192" s="170"/>
      <c r="D192" s="170"/>
      <c r="E192" s="170">
        <f t="shared" si="16"/>
        <v>0</v>
      </c>
      <c r="F192" s="170"/>
      <c r="G192" s="170"/>
      <c r="H192" s="170"/>
      <c r="I192" s="170"/>
    </row>
    <row r="193" spans="1:9">
      <c r="A193" s="164"/>
      <c r="B193" s="164" t="s">
        <v>148</v>
      </c>
      <c r="C193" s="167">
        <f>SUM(C194:C210)</f>
        <v>399812.96</v>
      </c>
      <c r="D193" s="167"/>
      <c r="E193" s="167">
        <f>SUM(E194:E210)</f>
        <v>-399812.96</v>
      </c>
      <c r="F193" s="166"/>
      <c r="G193" s="166"/>
      <c r="H193" s="166"/>
      <c r="I193" s="166"/>
    </row>
    <row r="194" spans="1:9">
      <c r="A194" s="168" t="s">
        <v>133</v>
      </c>
      <c r="B194" s="168" t="s">
        <v>115</v>
      </c>
      <c r="C194" s="174">
        <f>ROUND(-C218*0.056,2)</f>
        <v>877.95</v>
      </c>
      <c r="D194" s="170" t="str">
        <f>D170</f>
        <v>证券投资部</v>
      </c>
      <c r="E194" s="170">
        <f>-C194</f>
        <v>-877.95</v>
      </c>
      <c r="F194" s="170" t="str">
        <f>F170</f>
        <v>总部中后台</v>
      </c>
      <c r="G194" s="175"/>
      <c r="H194" s="176" t="s">
        <v>216</v>
      </c>
      <c r="I194" s="175"/>
    </row>
    <row r="195" spans="1:9">
      <c r="A195" s="168" t="s">
        <v>134</v>
      </c>
      <c r="B195" s="168" t="s">
        <v>115</v>
      </c>
      <c r="C195" s="174">
        <f>ROUND(-C219*0.056,2)</f>
        <v>43.25</v>
      </c>
      <c r="D195" s="170" t="str">
        <f>D171</f>
        <v>证券投资部</v>
      </c>
      <c r="E195" s="170">
        <f>-C195</f>
        <v>-43.25</v>
      </c>
      <c r="F195" s="170" t="s">
        <v>10</v>
      </c>
      <c r="G195" s="175"/>
      <c r="H195" s="176" t="s">
        <v>217</v>
      </c>
      <c r="I195" s="175"/>
    </row>
    <row r="196" spans="1:9">
      <c r="A196" s="168" t="s">
        <v>135</v>
      </c>
      <c r="B196" s="168" t="s">
        <v>115</v>
      </c>
      <c r="C196" s="177">
        <f t="shared" ref="C196:C210" si="17">ROUND(IF(LEFT(B172,1)="4",-C220*0.056,(C172-C220)*0.056),2)</f>
        <v>-819.22</v>
      </c>
      <c r="D196" s="170" t="str">
        <f>D172</f>
        <v>证券投资部</v>
      </c>
      <c r="E196" s="170">
        <f>-C196</f>
        <v>819.22</v>
      </c>
      <c r="F196" s="170" t="str">
        <f>F172</f>
        <v>固定收益部</v>
      </c>
      <c r="G196" s="175"/>
      <c r="H196" s="175"/>
      <c r="I196" s="175"/>
    </row>
    <row r="197" spans="1:9">
      <c r="A197" s="168" t="s">
        <v>136</v>
      </c>
      <c r="B197" s="168" t="s">
        <v>115</v>
      </c>
      <c r="C197" s="177">
        <f t="shared" si="17"/>
        <v>612.59</v>
      </c>
      <c r="D197" s="170" t="str">
        <f>D173</f>
        <v>证券投资部</v>
      </c>
      <c r="E197" s="170">
        <f t="shared" ref="E197:E210" si="18">-C197</f>
        <v>-612.59</v>
      </c>
      <c r="F197" s="170" t="str">
        <f>F173</f>
        <v>金融工程部</v>
      </c>
      <c r="G197" s="175"/>
      <c r="H197" s="175"/>
      <c r="I197" s="175"/>
    </row>
    <row r="198" spans="1:9">
      <c r="A198" s="168" t="s">
        <v>137</v>
      </c>
      <c r="B198" s="168" t="s">
        <v>115</v>
      </c>
      <c r="C198" s="177">
        <f t="shared" si="17"/>
        <v>-8.67</v>
      </c>
      <c r="D198" s="170" t="str">
        <f t="shared" ref="D198:D209" si="19">D174</f>
        <v>证券投资部</v>
      </c>
      <c r="E198" s="170">
        <f t="shared" si="18"/>
        <v>8.67</v>
      </c>
      <c r="F198" s="170" t="str">
        <f t="shared" ref="F198:F209" si="20">F174</f>
        <v>金融衍生品投资部</v>
      </c>
      <c r="G198" s="175"/>
      <c r="H198" s="175"/>
      <c r="I198" s="175"/>
    </row>
    <row r="199" spans="1:9">
      <c r="A199" s="168" t="s">
        <v>138</v>
      </c>
      <c r="B199" s="168" t="s">
        <v>115</v>
      </c>
      <c r="C199" s="177">
        <f t="shared" si="17"/>
        <v>-34648.160000000003</v>
      </c>
      <c r="D199" s="170" t="str">
        <f t="shared" si="19"/>
        <v>证券投资部</v>
      </c>
      <c r="E199" s="170">
        <f t="shared" si="18"/>
        <v>34648.160000000003</v>
      </c>
      <c r="F199" s="170" t="str">
        <f t="shared" si="20"/>
        <v>固定收益部</v>
      </c>
      <c r="G199" s="175"/>
      <c r="H199" s="175"/>
      <c r="I199" s="175"/>
    </row>
    <row r="200" spans="1:9">
      <c r="A200" s="168" t="s">
        <v>139</v>
      </c>
      <c r="B200" s="168" t="s">
        <v>115</v>
      </c>
      <c r="C200" s="177">
        <f t="shared" si="17"/>
        <v>-99.08</v>
      </c>
      <c r="D200" s="170" t="str">
        <f t="shared" si="19"/>
        <v>证券投资部</v>
      </c>
      <c r="E200" s="170">
        <f t="shared" si="18"/>
        <v>99.08</v>
      </c>
      <c r="F200" s="170" t="str">
        <f t="shared" si="20"/>
        <v>固定收益部</v>
      </c>
      <c r="G200" s="175"/>
      <c r="H200" s="175"/>
      <c r="I200" s="175"/>
    </row>
    <row r="201" spans="1:9">
      <c r="A201" s="168" t="s">
        <v>140</v>
      </c>
      <c r="B201" s="168" t="s">
        <v>115</v>
      </c>
      <c r="C201" s="177">
        <f t="shared" si="17"/>
        <v>-233126.08</v>
      </c>
      <c r="D201" s="170" t="str">
        <f t="shared" si="19"/>
        <v>证券投资部</v>
      </c>
      <c r="E201" s="170">
        <f t="shared" si="18"/>
        <v>233126.08</v>
      </c>
      <c r="F201" s="170" t="str">
        <f t="shared" si="20"/>
        <v>总部中后台</v>
      </c>
      <c r="G201" s="175"/>
      <c r="H201" s="175"/>
      <c r="I201" s="175"/>
    </row>
    <row r="202" spans="1:9">
      <c r="A202" s="168" t="s">
        <v>141</v>
      </c>
      <c r="B202" s="168" t="s">
        <v>115</v>
      </c>
      <c r="C202" s="177">
        <f t="shared" si="17"/>
        <v>-35481.599999999999</v>
      </c>
      <c r="D202" s="170" t="str">
        <f t="shared" si="19"/>
        <v>中小企业融资部</v>
      </c>
      <c r="E202" s="170">
        <f t="shared" si="18"/>
        <v>35481.599999999999</v>
      </c>
      <c r="F202" s="170" t="str">
        <f t="shared" si="20"/>
        <v>股权融资部</v>
      </c>
      <c r="G202" s="175"/>
      <c r="H202" s="175"/>
      <c r="I202" s="175"/>
    </row>
    <row r="203" spans="1:9">
      <c r="A203" s="168" t="s">
        <v>142</v>
      </c>
      <c r="B203" s="168" t="s">
        <v>115</v>
      </c>
      <c r="C203" s="177">
        <f t="shared" si="17"/>
        <v>33264</v>
      </c>
      <c r="D203" s="170" t="str">
        <f t="shared" si="19"/>
        <v>证券投资部</v>
      </c>
      <c r="E203" s="170">
        <f t="shared" si="18"/>
        <v>-33264</v>
      </c>
      <c r="F203" s="170" t="str">
        <f t="shared" si="20"/>
        <v>中小企业融资部</v>
      </c>
      <c r="G203" s="175"/>
      <c r="H203" s="175"/>
      <c r="I203" s="175"/>
    </row>
    <row r="204" spans="1:9">
      <c r="A204" s="168" t="s">
        <v>143</v>
      </c>
      <c r="B204" s="168" t="s">
        <v>115</v>
      </c>
      <c r="C204" s="177">
        <f t="shared" si="17"/>
        <v>153166.85999999999</v>
      </c>
      <c r="D204" s="170" t="str">
        <f t="shared" si="19"/>
        <v>固定收益部</v>
      </c>
      <c r="E204" s="170">
        <f t="shared" si="18"/>
        <v>-153166.85999999999</v>
      </c>
      <c r="F204" s="170" t="str">
        <f t="shared" si="20"/>
        <v>其他</v>
      </c>
      <c r="G204" s="175"/>
      <c r="H204" s="175"/>
      <c r="I204" s="175"/>
    </row>
    <row r="205" spans="1:9">
      <c r="A205" s="168" t="s">
        <v>144</v>
      </c>
      <c r="B205" s="168" t="s">
        <v>115</v>
      </c>
      <c r="C205" s="177">
        <f t="shared" si="17"/>
        <v>-235504.5</v>
      </c>
      <c r="D205" s="170" t="str">
        <f t="shared" si="19"/>
        <v>固定收益部</v>
      </c>
      <c r="E205" s="170">
        <f t="shared" si="18"/>
        <v>235504.5</v>
      </c>
      <c r="F205" s="170" t="str">
        <f t="shared" si="20"/>
        <v>总部中后台</v>
      </c>
      <c r="G205" s="175"/>
      <c r="H205" s="178"/>
      <c r="I205" s="178"/>
    </row>
    <row r="206" spans="1:9">
      <c r="A206" s="168" t="s">
        <v>145</v>
      </c>
      <c r="B206" s="168" t="s">
        <v>115</v>
      </c>
      <c r="C206" s="177">
        <f t="shared" si="17"/>
        <v>-17102.849999999999</v>
      </c>
      <c r="D206" s="170" t="str">
        <f t="shared" si="19"/>
        <v>固定收益部</v>
      </c>
      <c r="E206" s="170">
        <f t="shared" si="18"/>
        <v>17102.849999999999</v>
      </c>
      <c r="F206" s="170" t="str">
        <f t="shared" si="20"/>
        <v>其他</v>
      </c>
      <c r="G206" s="175"/>
      <c r="H206" s="178"/>
      <c r="I206" s="178"/>
    </row>
    <row r="207" spans="1:9">
      <c r="A207" s="168" t="s">
        <v>146</v>
      </c>
      <c r="B207" s="168" t="s">
        <v>115</v>
      </c>
      <c r="C207" s="177">
        <f t="shared" si="17"/>
        <v>45701.99</v>
      </c>
      <c r="D207" s="170" t="str">
        <f t="shared" si="19"/>
        <v>经纪业务部</v>
      </c>
      <c r="E207" s="170">
        <f t="shared" si="18"/>
        <v>-45701.99</v>
      </c>
      <c r="F207" s="170" t="str">
        <f t="shared" si="20"/>
        <v>其他</v>
      </c>
      <c r="G207" s="175"/>
      <c r="H207" s="178"/>
      <c r="I207" s="178"/>
    </row>
    <row r="208" spans="1:9">
      <c r="A208" s="168" t="s">
        <v>147</v>
      </c>
      <c r="B208" s="168" t="s">
        <v>115</v>
      </c>
      <c r="C208" s="177">
        <f t="shared" si="17"/>
        <v>608976.48</v>
      </c>
      <c r="D208" s="170" t="str">
        <f t="shared" si="19"/>
        <v>经纪业务部</v>
      </c>
      <c r="E208" s="170">
        <f t="shared" si="18"/>
        <v>-608976.48</v>
      </c>
      <c r="F208" s="170" t="str">
        <f t="shared" si="20"/>
        <v>总部中后台</v>
      </c>
      <c r="G208" s="175"/>
      <c r="H208" s="178"/>
      <c r="I208" s="178"/>
    </row>
    <row r="209" spans="1:9">
      <c r="A209" s="168" t="s">
        <v>199</v>
      </c>
      <c r="B209" s="168" t="s">
        <v>115</v>
      </c>
      <c r="C209" s="177">
        <f t="shared" si="17"/>
        <v>105336</v>
      </c>
      <c r="D209" s="170" t="str">
        <f t="shared" si="19"/>
        <v>投资银行总部</v>
      </c>
      <c r="E209" s="170">
        <f t="shared" si="18"/>
        <v>-105336</v>
      </c>
      <c r="F209" s="170" t="str">
        <f t="shared" si="20"/>
        <v>总部中后台</v>
      </c>
      <c r="G209" s="175"/>
      <c r="H209" s="178"/>
      <c r="I209" s="178"/>
    </row>
    <row r="210" spans="1:9">
      <c r="A210" s="168" t="s">
        <v>200</v>
      </c>
      <c r="B210" s="168" t="s">
        <v>115</v>
      </c>
      <c r="C210" s="177">
        <f t="shared" si="17"/>
        <v>8624</v>
      </c>
      <c r="D210" s="170" t="str">
        <f>D186</f>
        <v>投资银行总部</v>
      </c>
      <c r="E210" s="170">
        <f t="shared" si="18"/>
        <v>-8624</v>
      </c>
      <c r="F210" s="170" t="str">
        <f>F186</f>
        <v>总部中后台</v>
      </c>
      <c r="G210" s="175"/>
      <c r="H210" s="178"/>
      <c r="I210" s="178"/>
    </row>
    <row r="211" spans="1:9">
      <c r="A211" s="168" t="s">
        <v>201</v>
      </c>
      <c r="B211" s="168" t="s">
        <v>115</v>
      </c>
      <c r="C211" s="174"/>
      <c r="D211" s="179" t="str">
        <f>D187</f>
        <v>资产管理部</v>
      </c>
      <c r="E211" s="179">
        <f>-C211</f>
        <v>0</v>
      </c>
      <c r="F211" s="170" t="str">
        <f>F187</f>
        <v>其他</v>
      </c>
      <c r="G211" s="175"/>
      <c r="H211" s="176" t="s">
        <v>217</v>
      </c>
      <c r="I211" s="178"/>
    </row>
    <row r="212" spans="1:9">
      <c r="A212" s="168" t="s">
        <v>202</v>
      </c>
      <c r="B212" s="168" t="s">
        <v>115</v>
      </c>
      <c r="C212" s="177">
        <f>ROUND(IF(LEFT(B188,1)="4",-C236*0.056,(C188-C236)*0.056),2)</f>
        <v>-13194.11</v>
      </c>
      <c r="D212" s="170" t="str">
        <f>D188</f>
        <v>金融工程部</v>
      </c>
      <c r="E212" s="170">
        <f>-C212</f>
        <v>13194.11</v>
      </c>
      <c r="F212" s="170" t="str">
        <f>F188</f>
        <v>总部中后台</v>
      </c>
      <c r="G212" s="175"/>
      <c r="H212" s="178"/>
      <c r="I212" s="178"/>
    </row>
    <row r="213" spans="1:9">
      <c r="A213" s="168" t="s">
        <v>203</v>
      </c>
      <c r="B213" s="168" t="s">
        <v>115</v>
      </c>
      <c r="C213" s="177">
        <f>ROUND(IF(LEFT(B189,1)="4",-C237*0.056,(C189-C237)*0.056),2)</f>
        <v>0</v>
      </c>
      <c r="D213" s="170" t="str">
        <f>D189</f>
        <v>证券投资部</v>
      </c>
      <c r="E213" s="170">
        <f>-C213</f>
        <v>0</v>
      </c>
      <c r="F213" s="170" t="str">
        <f>F189</f>
        <v>总部中后台</v>
      </c>
      <c r="G213" s="175"/>
      <c r="H213" s="178"/>
      <c r="I213" s="178"/>
    </row>
    <row r="214" spans="1:9">
      <c r="A214" s="168" t="s">
        <v>204</v>
      </c>
      <c r="B214" s="168" t="s">
        <v>115</v>
      </c>
      <c r="C214" s="174">
        <f>--52570.5</f>
        <v>52570.5</v>
      </c>
      <c r="D214" s="174" t="s">
        <v>15</v>
      </c>
      <c r="E214" s="179">
        <f>-C214</f>
        <v>-52570.5</v>
      </c>
      <c r="F214" s="170" t="s">
        <v>5</v>
      </c>
      <c r="G214" s="176"/>
      <c r="H214" s="180" t="s">
        <v>218</v>
      </c>
      <c r="I214" s="178"/>
    </row>
    <row r="215" spans="1:9">
      <c r="A215" s="168" t="s">
        <v>205</v>
      </c>
      <c r="B215" s="168" t="s">
        <v>115</v>
      </c>
      <c r="C215" s="177">
        <f>ROUND(IF(LEFT(B190,1)="4",-C241*0.056,(C190-C238)*0.056),2)</f>
        <v>-7207.2</v>
      </c>
      <c r="D215" s="174" t="s">
        <v>16</v>
      </c>
      <c r="E215" s="179">
        <f t="shared" ref="E215:E216" si="21">-C215</f>
        <v>7207.2</v>
      </c>
      <c r="F215" s="170" t="s">
        <v>24</v>
      </c>
      <c r="G215" s="253"/>
      <c r="H215" s="254"/>
      <c r="I215" s="255"/>
    </row>
    <row r="216" spans="1:9">
      <c r="A216" s="168" t="s">
        <v>206</v>
      </c>
      <c r="B216" s="168" t="s">
        <v>115</v>
      </c>
      <c r="C216" s="177">
        <f>ROUND(IF(LEFT(B191,1)="4",-C242*0.056,(C191-C239)*0.056),2)</f>
        <v>-7978.38</v>
      </c>
      <c r="D216" s="174" t="s">
        <v>16</v>
      </c>
      <c r="E216" s="179">
        <f t="shared" si="21"/>
        <v>7978.38</v>
      </c>
      <c r="F216" s="170" t="s">
        <v>7</v>
      </c>
      <c r="G216" s="253"/>
      <c r="H216" s="254"/>
      <c r="I216" s="255"/>
    </row>
    <row r="217" spans="1:9">
      <c r="A217" s="164"/>
      <c r="B217" s="164" t="s">
        <v>149</v>
      </c>
      <c r="C217" s="167">
        <f>SUM(C218:C261)</f>
        <v>-25619554.733333342</v>
      </c>
      <c r="D217" s="167"/>
      <c r="E217" s="167">
        <f>SUM(E218:E261)</f>
        <v>-9965408.1133333314</v>
      </c>
      <c r="F217" s="181"/>
      <c r="G217" s="164" t="s">
        <v>128</v>
      </c>
      <c r="H217" s="181" t="s">
        <v>129</v>
      </c>
      <c r="I217" s="181" t="s">
        <v>130</v>
      </c>
    </row>
    <row r="218" spans="1:9">
      <c r="A218" s="168" t="s">
        <v>133</v>
      </c>
      <c r="B218" s="182" t="s">
        <v>116</v>
      </c>
      <c r="C218" s="183">
        <f t="shared" ref="C218:C237" si="22">ROUND(C170*0.01,2)</f>
        <v>-15677.75</v>
      </c>
      <c r="D218" s="183" t="str">
        <f t="shared" ref="D218:D237" si="23">D170</f>
        <v>证券投资部</v>
      </c>
      <c r="E218" s="183">
        <f>-C218</f>
        <v>15677.75</v>
      </c>
      <c r="F218" s="183" t="str">
        <f t="shared" ref="F218:F225" si="24">F170</f>
        <v>总部中后台</v>
      </c>
      <c r="G218" s="170" t="s">
        <v>74</v>
      </c>
      <c r="H218" s="184"/>
      <c r="I218" s="184"/>
    </row>
    <row r="219" spans="1:9">
      <c r="A219" s="168" t="s">
        <v>134</v>
      </c>
      <c r="B219" s="182" t="s">
        <v>116</v>
      </c>
      <c r="C219" s="183">
        <f t="shared" si="22"/>
        <v>-772.3</v>
      </c>
      <c r="D219" s="183" t="str">
        <f t="shared" si="23"/>
        <v>证券投资部</v>
      </c>
      <c r="E219" s="183">
        <f>-C219</f>
        <v>772.3</v>
      </c>
      <c r="F219" s="183" t="str">
        <f t="shared" si="24"/>
        <v>固定收益部</v>
      </c>
      <c r="G219" s="170" t="s">
        <v>74</v>
      </c>
      <c r="H219" s="184"/>
      <c r="I219" s="184"/>
    </row>
    <row r="220" spans="1:9">
      <c r="A220" s="168" t="s">
        <v>135</v>
      </c>
      <c r="B220" s="182" t="s">
        <v>116</v>
      </c>
      <c r="C220" s="183">
        <f t="shared" si="22"/>
        <v>14628.9</v>
      </c>
      <c r="D220" s="183" t="str">
        <f t="shared" si="23"/>
        <v>证券投资部</v>
      </c>
      <c r="E220" s="183">
        <f t="shared" ref="E220:E239" si="25">-C220</f>
        <v>-14628.9</v>
      </c>
      <c r="F220" s="183" t="str">
        <f t="shared" si="24"/>
        <v>固定收益部</v>
      </c>
      <c r="G220" s="170" t="s">
        <v>74</v>
      </c>
      <c r="H220" s="184"/>
      <c r="I220" s="184"/>
    </row>
    <row r="221" spans="1:9">
      <c r="A221" s="168" t="s">
        <v>136</v>
      </c>
      <c r="B221" s="182" t="s">
        <v>116</v>
      </c>
      <c r="C221" s="183">
        <f t="shared" si="22"/>
        <v>-10939.17</v>
      </c>
      <c r="D221" s="183" t="str">
        <f t="shared" si="23"/>
        <v>证券投资部</v>
      </c>
      <c r="E221" s="183">
        <f t="shared" si="25"/>
        <v>10939.17</v>
      </c>
      <c r="F221" s="183" t="str">
        <f t="shared" si="24"/>
        <v>金融工程部</v>
      </c>
      <c r="G221" s="170" t="s">
        <v>74</v>
      </c>
      <c r="H221" s="184"/>
      <c r="I221" s="184"/>
    </row>
    <row r="222" spans="1:9">
      <c r="A222" s="168" t="s">
        <v>137</v>
      </c>
      <c r="B222" s="182" t="s">
        <v>116</v>
      </c>
      <c r="C222" s="183">
        <f t="shared" si="22"/>
        <v>154.87</v>
      </c>
      <c r="D222" s="183" t="str">
        <f t="shared" si="23"/>
        <v>证券投资部</v>
      </c>
      <c r="E222" s="183">
        <f t="shared" si="25"/>
        <v>-154.87</v>
      </c>
      <c r="F222" s="183" t="str">
        <f t="shared" si="24"/>
        <v>金融衍生品投资部</v>
      </c>
      <c r="G222" s="170" t="s">
        <v>74</v>
      </c>
      <c r="H222" s="184"/>
      <c r="I222" s="184"/>
    </row>
    <row r="223" spans="1:9">
      <c r="A223" s="168" t="s">
        <v>138</v>
      </c>
      <c r="B223" s="182" t="s">
        <v>116</v>
      </c>
      <c r="C223" s="183">
        <f t="shared" si="22"/>
        <v>-6249.67</v>
      </c>
      <c r="D223" s="183" t="str">
        <f t="shared" si="23"/>
        <v>证券投资部</v>
      </c>
      <c r="E223" s="183">
        <f t="shared" si="25"/>
        <v>6249.67</v>
      </c>
      <c r="F223" s="183" t="str">
        <f t="shared" si="24"/>
        <v>固定收益部</v>
      </c>
      <c r="G223" s="170" t="s">
        <v>74</v>
      </c>
      <c r="H223" s="184"/>
      <c r="I223" s="184"/>
    </row>
    <row r="224" spans="1:9">
      <c r="A224" s="168" t="s">
        <v>139</v>
      </c>
      <c r="B224" s="182" t="s">
        <v>116</v>
      </c>
      <c r="C224" s="183">
        <f t="shared" si="22"/>
        <v>1769.33</v>
      </c>
      <c r="D224" s="183" t="str">
        <f t="shared" si="23"/>
        <v>证券投资部</v>
      </c>
      <c r="E224" s="183">
        <f t="shared" si="25"/>
        <v>-1769.33</v>
      </c>
      <c r="F224" s="183" t="str">
        <f t="shared" si="24"/>
        <v>固定收益部</v>
      </c>
      <c r="G224" s="170" t="s">
        <v>74</v>
      </c>
      <c r="H224" s="184"/>
      <c r="I224" s="184"/>
    </row>
    <row r="225" spans="1:9">
      <c r="A225" s="168" t="s">
        <v>140</v>
      </c>
      <c r="B225" s="182" t="s">
        <v>116</v>
      </c>
      <c r="C225" s="183">
        <f t="shared" si="22"/>
        <v>-42050.16</v>
      </c>
      <c r="D225" s="183" t="str">
        <f t="shared" si="23"/>
        <v>证券投资部</v>
      </c>
      <c r="E225" s="183">
        <f t="shared" si="25"/>
        <v>42050.16</v>
      </c>
      <c r="F225" s="183" t="str">
        <f t="shared" si="24"/>
        <v>总部中后台</v>
      </c>
      <c r="G225" s="170" t="s">
        <v>74</v>
      </c>
      <c r="H225" s="184"/>
      <c r="I225" s="184"/>
    </row>
    <row r="226" spans="1:9">
      <c r="A226" s="168" t="s">
        <v>141</v>
      </c>
      <c r="B226" s="182" t="s">
        <v>116</v>
      </c>
      <c r="C226" s="183">
        <f t="shared" si="22"/>
        <v>-6400</v>
      </c>
      <c r="D226" s="183" t="str">
        <f t="shared" si="23"/>
        <v>中小企业融资部</v>
      </c>
      <c r="E226" s="183">
        <f t="shared" si="25"/>
        <v>6400</v>
      </c>
      <c r="F226" s="183" t="s">
        <v>214</v>
      </c>
      <c r="G226" s="170" t="s">
        <v>74</v>
      </c>
      <c r="H226" s="184"/>
      <c r="I226" s="184"/>
    </row>
    <row r="227" spans="1:9">
      <c r="A227" s="168" t="s">
        <v>142</v>
      </c>
      <c r="B227" s="182" t="s">
        <v>116</v>
      </c>
      <c r="C227" s="183">
        <f t="shared" si="22"/>
        <v>6000</v>
      </c>
      <c r="D227" s="183" t="str">
        <f t="shared" si="23"/>
        <v>证券投资部</v>
      </c>
      <c r="E227" s="183">
        <f t="shared" si="25"/>
        <v>-6000</v>
      </c>
      <c r="F227" s="183" t="str">
        <f t="shared" ref="F227:F237" si="26">F179</f>
        <v>中小企业融资部</v>
      </c>
      <c r="G227" s="170" t="s">
        <v>74</v>
      </c>
      <c r="H227" s="184"/>
      <c r="I227" s="184"/>
    </row>
    <row r="228" spans="1:9">
      <c r="A228" s="168" t="s">
        <v>143</v>
      </c>
      <c r="B228" s="182" t="s">
        <v>116</v>
      </c>
      <c r="C228" s="183">
        <f t="shared" si="22"/>
        <v>27627.5</v>
      </c>
      <c r="D228" s="183" t="str">
        <f t="shared" si="23"/>
        <v>固定收益部</v>
      </c>
      <c r="E228" s="183">
        <f t="shared" si="25"/>
        <v>-27627.5</v>
      </c>
      <c r="F228" s="183" t="str">
        <f t="shared" si="26"/>
        <v>其他</v>
      </c>
      <c r="G228" s="170" t="s">
        <v>74</v>
      </c>
      <c r="H228" s="184"/>
      <c r="I228" s="184"/>
    </row>
    <row r="229" spans="1:9">
      <c r="A229" s="168" t="s">
        <v>144</v>
      </c>
      <c r="B229" s="182" t="s">
        <v>116</v>
      </c>
      <c r="C229" s="183">
        <f t="shared" si="22"/>
        <v>-42479.17</v>
      </c>
      <c r="D229" s="183" t="str">
        <f t="shared" si="23"/>
        <v>固定收益部</v>
      </c>
      <c r="E229" s="183">
        <f t="shared" si="25"/>
        <v>42479.17</v>
      </c>
      <c r="F229" s="183" t="str">
        <f t="shared" si="26"/>
        <v>总部中后台</v>
      </c>
      <c r="G229" s="170" t="s">
        <v>74</v>
      </c>
      <c r="H229" s="184"/>
      <c r="I229" s="184"/>
    </row>
    <row r="230" spans="1:9">
      <c r="A230" s="168" t="s">
        <v>145</v>
      </c>
      <c r="B230" s="182" t="s">
        <v>116</v>
      </c>
      <c r="C230" s="183">
        <f t="shared" si="22"/>
        <v>305407.98</v>
      </c>
      <c r="D230" s="183" t="str">
        <f t="shared" si="23"/>
        <v>固定收益部</v>
      </c>
      <c r="E230" s="183">
        <f t="shared" si="25"/>
        <v>-305407.98</v>
      </c>
      <c r="F230" s="183" t="str">
        <f t="shared" si="26"/>
        <v>其他</v>
      </c>
      <c r="G230" s="170" t="s">
        <v>74</v>
      </c>
      <c r="H230" s="184"/>
      <c r="I230" s="184"/>
    </row>
    <row r="231" spans="1:9">
      <c r="A231" s="168" t="s">
        <v>146</v>
      </c>
      <c r="B231" s="182" t="s">
        <v>116</v>
      </c>
      <c r="C231" s="183">
        <f t="shared" si="22"/>
        <v>8243.51</v>
      </c>
      <c r="D231" s="183" t="str">
        <f t="shared" si="23"/>
        <v>经纪业务部</v>
      </c>
      <c r="E231" s="183">
        <f t="shared" si="25"/>
        <v>-8243.51</v>
      </c>
      <c r="F231" s="183" t="str">
        <f t="shared" si="26"/>
        <v>其他</v>
      </c>
      <c r="G231" s="170" t="s">
        <v>74</v>
      </c>
      <c r="H231" s="184"/>
      <c r="I231" s="184"/>
    </row>
    <row r="232" spans="1:9">
      <c r="A232" s="168" t="s">
        <v>147</v>
      </c>
      <c r="B232" s="182" t="s">
        <v>116</v>
      </c>
      <c r="C232" s="183">
        <f t="shared" si="22"/>
        <v>109844.24</v>
      </c>
      <c r="D232" s="183" t="str">
        <f t="shared" si="23"/>
        <v>经纪业务部</v>
      </c>
      <c r="E232" s="183">
        <f t="shared" si="25"/>
        <v>-109844.24</v>
      </c>
      <c r="F232" s="183" t="str">
        <f t="shared" si="26"/>
        <v>总部中后台</v>
      </c>
      <c r="G232" s="170" t="s">
        <v>74</v>
      </c>
      <c r="H232" s="184"/>
      <c r="I232" s="184"/>
    </row>
    <row r="233" spans="1:9">
      <c r="A233" s="168" t="s">
        <v>199</v>
      </c>
      <c r="B233" s="182" t="s">
        <v>116</v>
      </c>
      <c r="C233" s="183">
        <f t="shared" si="22"/>
        <v>19000</v>
      </c>
      <c r="D233" s="183" t="str">
        <f t="shared" si="23"/>
        <v>投资银行总部</v>
      </c>
      <c r="E233" s="183">
        <f t="shared" si="25"/>
        <v>-19000</v>
      </c>
      <c r="F233" s="183" t="str">
        <f t="shared" si="26"/>
        <v>总部中后台</v>
      </c>
      <c r="G233" s="170" t="s">
        <v>74</v>
      </c>
      <c r="H233" s="184"/>
      <c r="I233" s="184"/>
    </row>
    <row r="234" spans="1:9">
      <c r="A234" s="168" t="s">
        <v>200</v>
      </c>
      <c r="B234" s="182" t="s">
        <v>116</v>
      </c>
      <c r="C234" s="183">
        <f t="shared" si="22"/>
        <v>1555.56</v>
      </c>
      <c r="D234" s="183" t="str">
        <f t="shared" si="23"/>
        <v>投资银行总部</v>
      </c>
      <c r="E234" s="183">
        <f t="shared" si="25"/>
        <v>-1555.56</v>
      </c>
      <c r="F234" s="183" t="str">
        <f t="shared" si="26"/>
        <v>总部中后台</v>
      </c>
      <c r="G234" s="170" t="s">
        <v>74</v>
      </c>
      <c r="H234" s="184"/>
      <c r="I234" s="184"/>
    </row>
    <row r="235" spans="1:9">
      <c r="A235" s="168" t="s">
        <v>201</v>
      </c>
      <c r="B235" s="182" t="s">
        <v>116</v>
      </c>
      <c r="C235" s="183">
        <f t="shared" si="22"/>
        <v>2629.37</v>
      </c>
      <c r="D235" s="183" t="str">
        <f t="shared" si="23"/>
        <v>资产管理部</v>
      </c>
      <c r="E235" s="183">
        <f t="shared" si="25"/>
        <v>-2629.37</v>
      </c>
      <c r="F235" s="183" t="str">
        <f t="shared" si="26"/>
        <v>其他</v>
      </c>
      <c r="G235" s="170" t="s">
        <v>74</v>
      </c>
      <c r="H235" s="184"/>
      <c r="I235" s="184"/>
    </row>
    <row r="236" spans="1:9">
      <c r="A236" s="168" t="s">
        <v>202</v>
      </c>
      <c r="B236" s="182" t="s">
        <v>116</v>
      </c>
      <c r="C236" s="183">
        <f t="shared" si="22"/>
        <v>-2379.89</v>
      </c>
      <c r="D236" s="183" t="str">
        <f t="shared" si="23"/>
        <v>金融工程部</v>
      </c>
      <c r="E236" s="183">
        <f t="shared" si="25"/>
        <v>2379.89</v>
      </c>
      <c r="F236" s="183" t="str">
        <f t="shared" si="26"/>
        <v>总部中后台</v>
      </c>
      <c r="G236" s="170" t="s">
        <v>74</v>
      </c>
      <c r="H236" s="184"/>
      <c r="I236" s="184"/>
    </row>
    <row r="237" spans="1:9">
      <c r="A237" s="168"/>
      <c r="B237" s="182" t="s">
        <v>116</v>
      </c>
      <c r="C237" s="183">
        <f t="shared" si="22"/>
        <v>0</v>
      </c>
      <c r="D237" s="183" t="str">
        <f t="shared" si="23"/>
        <v>证券投资部</v>
      </c>
      <c r="E237" s="183">
        <f t="shared" si="25"/>
        <v>0</v>
      </c>
      <c r="F237" s="183" t="str">
        <f t="shared" si="26"/>
        <v>总部中后台</v>
      </c>
      <c r="G237" s="170" t="s">
        <v>74</v>
      </c>
      <c r="H237" s="184"/>
      <c r="I237" s="184"/>
    </row>
    <row r="238" spans="1:9">
      <c r="A238" s="252"/>
      <c r="B238" s="182" t="s">
        <v>116</v>
      </c>
      <c r="C238" s="183">
        <f t="shared" ref="C238:C239" si="27">ROUND(C190*0.01,2)</f>
        <v>-1300</v>
      </c>
      <c r="D238" s="183" t="str">
        <f t="shared" ref="D238:D240" si="28">D190</f>
        <v>中小企业融资部</v>
      </c>
      <c r="E238" s="183">
        <f t="shared" si="25"/>
        <v>1300</v>
      </c>
      <c r="F238" s="256" t="s">
        <v>24</v>
      </c>
      <c r="G238" s="170" t="s">
        <v>74</v>
      </c>
      <c r="H238" s="256"/>
      <c r="I238" s="256"/>
    </row>
    <row r="239" spans="1:9">
      <c r="A239" s="252"/>
      <c r="B239" s="182" t="s">
        <v>116</v>
      </c>
      <c r="C239" s="183">
        <f t="shared" si="27"/>
        <v>-1439.1</v>
      </c>
      <c r="D239" s="183" t="str">
        <f t="shared" si="28"/>
        <v>中小企业融资部</v>
      </c>
      <c r="E239" s="183">
        <f t="shared" si="25"/>
        <v>1439.1</v>
      </c>
      <c r="F239" s="256" t="s">
        <v>7</v>
      </c>
      <c r="G239" s="170" t="s">
        <v>74</v>
      </c>
      <c r="H239" s="256"/>
      <c r="I239" s="256"/>
    </row>
    <row r="240" spans="1:9">
      <c r="A240" s="168"/>
      <c r="B240" s="182"/>
      <c r="C240" s="183"/>
      <c r="D240" s="183">
        <f t="shared" si="28"/>
        <v>0</v>
      </c>
      <c r="E240" s="183"/>
      <c r="F240" s="184"/>
      <c r="G240" s="170"/>
      <c r="H240" s="184"/>
      <c r="I240" s="184"/>
    </row>
    <row r="241" spans="1:9">
      <c r="A241" s="164"/>
      <c r="B241" s="164"/>
      <c r="C241" s="167"/>
      <c r="D241" s="167"/>
      <c r="E241" s="167"/>
      <c r="F241" s="181"/>
      <c r="G241" s="164"/>
      <c r="H241" s="181"/>
      <c r="I241" s="181"/>
    </row>
    <row r="242" spans="1:9">
      <c r="A242" s="168" t="s">
        <v>133</v>
      </c>
      <c r="B242" s="168" t="s">
        <v>116</v>
      </c>
      <c r="C242" s="183">
        <v>-19750</v>
      </c>
      <c r="D242" s="170" t="s">
        <v>213</v>
      </c>
      <c r="E242" s="183">
        <f t="shared" ref="E242:E256" si="29">-C242</f>
        <v>19750</v>
      </c>
      <c r="F242" s="170" t="s">
        <v>6</v>
      </c>
      <c r="G242" s="170" t="s">
        <v>77</v>
      </c>
      <c r="H242" s="184" t="s">
        <v>208</v>
      </c>
      <c r="I242" s="184"/>
    </row>
    <row r="243" spans="1:9">
      <c r="A243" s="168" t="s">
        <v>134</v>
      </c>
      <c r="B243" s="168" t="s">
        <v>116</v>
      </c>
      <c r="C243" s="183">
        <v>-19590</v>
      </c>
      <c r="D243" s="170" t="s">
        <v>25</v>
      </c>
      <c r="E243" s="183">
        <f t="shared" si="29"/>
        <v>19590</v>
      </c>
      <c r="F243" s="170" t="s">
        <v>6</v>
      </c>
      <c r="G243" s="170" t="s">
        <v>77</v>
      </c>
      <c r="H243" s="184" t="s">
        <v>208</v>
      </c>
      <c r="I243" s="184"/>
    </row>
    <row r="244" spans="1:9">
      <c r="A244" s="168" t="s">
        <v>135</v>
      </c>
      <c r="B244" s="168" t="s">
        <v>116</v>
      </c>
      <c r="C244" s="183">
        <v>-24920</v>
      </c>
      <c r="D244" s="170" t="s">
        <v>23</v>
      </c>
      <c r="E244" s="183">
        <f t="shared" si="29"/>
        <v>24920</v>
      </c>
      <c r="F244" s="170" t="s">
        <v>6</v>
      </c>
      <c r="G244" s="170" t="s">
        <v>77</v>
      </c>
      <c r="H244" s="184" t="s">
        <v>208</v>
      </c>
      <c r="I244" s="184"/>
    </row>
    <row r="245" spans="1:9">
      <c r="A245" s="168" t="s">
        <v>136</v>
      </c>
      <c r="B245" s="168" t="s">
        <v>116</v>
      </c>
      <c r="C245" s="183">
        <v>377</v>
      </c>
      <c r="D245" s="170" t="s">
        <v>10</v>
      </c>
      <c r="E245" s="183">
        <f t="shared" si="29"/>
        <v>-377</v>
      </c>
      <c r="F245" s="170" t="s">
        <v>7</v>
      </c>
      <c r="G245" s="170" t="s">
        <v>80</v>
      </c>
      <c r="H245" s="183" t="s">
        <v>196</v>
      </c>
      <c r="I245" s="184"/>
    </row>
    <row r="246" spans="1:9">
      <c r="A246" s="168" t="s">
        <v>137</v>
      </c>
      <c r="B246" s="168" t="s">
        <v>116</v>
      </c>
      <c r="C246" s="183">
        <v>1261</v>
      </c>
      <c r="D246" s="170" t="s">
        <v>10</v>
      </c>
      <c r="E246" s="183">
        <f t="shared" si="29"/>
        <v>-1261</v>
      </c>
      <c r="F246" s="170" t="s">
        <v>7</v>
      </c>
      <c r="G246" s="170" t="s">
        <v>90</v>
      </c>
      <c r="H246" s="183" t="s">
        <v>196</v>
      </c>
      <c r="I246" s="184"/>
    </row>
    <row r="247" spans="1:9">
      <c r="A247" s="168" t="s">
        <v>138</v>
      </c>
      <c r="B247" s="168" t="s">
        <v>116</v>
      </c>
      <c r="C247" s="183">
        <v>21462.5</v>
      </c>
      <c r="D247" s="170" t="s">
        <v>10</v>
      </c>
      <c r="E247" s="183">
        <f t="shared" si="29"/>
        <v>-21462.5</v>
      </c>
      <c r="F247" s="170" t="s">
        <v>7</v>
      </c>
      <c r="G247" s="170" t="s">
        <v>78</v>
      </c>
      <c r="H247" s="183" t="s">
        <v>196</v>
      </c>
      <c r="I247" s="184"/>
    </row>
    <row r="248" spans="1:9">
      <c r="A248" s="168" t="s">
        <v>139</v>
      </c>
      <c r="B248" s="168" t="s">
        <v>116</v>
      </c>
      <c r="C248" s="183">
        <v>5290</v>
      </c>
      <c r="D248" s="170" t="s">
        <v>10</v>
      </c>
      <c r="E248" s="183">
        <f t="shared" si="29"/>
        <v>-5290</v>
      </c>
      <c r="F248" s="170" t="s">
        <v>7</v>
      </c>
      <c r="G248" s="170" t="s">
        <v>77</v>
      </c>
      <c r="H248" s="183" t="s">
        <v>196</v>
      </c>
      <c r="I248" s="184"/>
    </row>
    <row r="249" spans="1:9">
      <c r="A249" s="168" t="s">
        <v>140</v>
      </c>
      <c r="B249" s="168" t="s">
        <v>116</v>
      </c>
      <c r="C249" s="183">
        <v>66</v>
      </c>
      <c r="D249" s="170" t="s">
        <v>10</v>
      </c>
      <c r="E249" s="183">
        <f t="shared" si="29"/>
        <v>-66</v>
      </c>
      <c r="F249" s="170" t="s">
        <v>7</v>
      </c>
      <c r="G249" s="170" t="s">
        <v>95</v>
      </c>
      <c r="H249" s="183" t="s">
        <v>196</v>
      </c>
      <c r="I249" s="184"/>
    </row>
    <row r="250" spans="1:9">
      <c r="A250" s="185" t="s">
        <v>176</v>
      </c>
      <c r="B250" s="168" t="s">
        <v>116</v>
      </c>
      <c r="C250" s="183">
        <f>(10000000/12*4)</f>
        <v>3333333.3333333335</v>
      </c>
      <c r="D250" s="170" t="s">
        <v>7</v>
      </c>
      <c r="E250" s="183">
        <f t="shared" si="29"/>
        <v>-3333333.3333333335</v>
      </c>
      <c r="F250" s="170" t="s">
        <v>5</v>
      </c>
      <c r="G250" s="170" t="s">
        <v>105</v>
      </c>
      <c r="H250" s="183" t="s">
        <v>177</v>
      </c>
      <c r="I250" s="184"/>
    </row>
    <row r="251" spans="1:9">
      <c r="A251" s="185" t="s">
        <v>142</v>
      </c>
      <c r="B251" s="168" t="s">
        <v>116</v>
      </c>
      <c r="C251" s="183">
        <v>-29400</v>
      </c>
      <c r="D251" s="170" t="s">
        <v>19</v>
      </c>
      <c r="E251" s="183">
        <f t="shared" si="29"/>
        <v>29400</v>
      </c>
      <c r="F251" s="170" t="s">
        <v>6</v>
      </c>
      <c r="G251" s="170" t="s">
        <v>77</v>
      </c>
      <c r="H251" s="184" t="s">
        <v>208</v>
      </c>
      <c r="I251" s="184"/>
    </row>
    <row r="252" spans="1:9">
      <c r="A252" s="185" t="s">
        <v>143</v>
      </c>
      <c r="B252" s="168" t="s">
        <v>116</v>
      </c>
      <c r="C252" s="183">
        <v>-14700</v>
      </c>
      <c r="D252" s="183" t="s">
        <v>20</v>
      </c>
      <c r="E252" s="183">
        <f t="shared" si="29"/>
        <v>14700</v>
      </c>
      <c r="F252" s="170" t="s">
        <v>6</v>
      </c>
      <c r="G252" s="170" t="s">
        <v>77</v>
      </c>
      <c r="H252" s="184" t="s">
        <v>208</v>
      </c>
      <c r="I252" s="184"/>
    </row>
    <row r="253" spans="1:9">
      <c r="A253" s="185" t="s">
        <v>144</v>
      </c>
      <c r="B253" s="168" t="s">
        <v>116</v>
      </c>
      <c r="C253" s="183">
        <v>-14700</v>
      </c>
      <c r="D253" s="183" t="s">
        <v>18</v>
      </c>
      <c r="E253" s="183">
        <f t="shared" si="29"/>
        <v>14700</v>
      </c>
      <c r="F253" s="170" t="s">
        <v>6</v>
      </c>
      <c r="G253" s="170" t="s">
        <v>77</v>
      </c>
      <c r="H253" s="184" t="s">
        <v>208</v>
      </c>
      <c r="I253" s="184"/>
    </row>
    <row r="254" spans="1:9">
      <c r="A254" s="185" t="s">
        <v>145</v>
      </c>
      <c r="B254" s="168" t="s">
        <v>116</v>
      </c>
      <c r="C254" s="183">
        <v>-397120</v>
      </c>
      <c r="D254" s="170" t="s">
        <v>7</v>
      </c>
      <c r="E254" s="183">
        <f t="shared" si="29"/>
        <v>397120</v>
      </c>
      <c r="F254" s="170" t="s">
        <v>6</v>
      </c>
      <c r="G254" s="170" t="s">
        <v>77</v>
      </c>
      <c r="H254" s="184" t="s">
        <v>208</v>
      </c>
      <c r="I254" s="184"/>
    </row>
    <row r="255" spans="1:9">
      <c r="A255" s="185" t="s">
        <v>146</v>
      </c>
      <c r="B255" s="168" t="s">
        <v>116</v>
      </c>
      <c r="C255" s="24">
        <v>1046400</v>
      </c>
      <c r="D255" s="17" t="s">
        <v>7</v>
      </c>
      <c r="E255" s="183">
        <f t="shared" si="29"/>
        <v>-1046400</v>
      </c>
      <c r="F255" s="170" t="s">
        <v>5</v>
      </c>
      <c r="G255" s="170" t="s">
        <v>85</v>
      </c>
      <c r="H255" s="24" t="s">
        <v>222</v>
      </c>
      <c r="I255" s="184"/>
    </row>
    <row r="256" spans="1:9">
      <c r="A256" s="185" t="s">
        <v>146</v>
      </c>
      <c r="B256" s="168" t="s">
        <v>116</v>
      </c>
      <c r="C256" s="24">
        <v>5710224.2299999986</v>
      </c>
      <c r="D256" s="17" t="s">
        <v>7</v>
      </c>
      <c r="E256" s="183">
        <f t="shared" si="29"/>
        <v>-5710224.2299999986</v>
      </c>
      <c r="F256" s="170" t="s">
        <v>5</v>
      </c>
      <c r="G256" s="170" t="s">
        <v>73</v>
      </c>
      <c r="H256" s="24" t="s">
        <v>223</v>
      </c>
      <c r="I256" s="184"/>
    </row>
    <row r="257" spans="1:9">
      <c r="A257" s="185" t="s">
        <v>146</v>
      </c>
      <c r="B257" s="168" t="s">
        <v>116</v>
      </c>
      <c r="C257" s="183"/>
      <c r="D257" s="170"/>
      <c r="E257" s="183"/>
      <c r="F257" s="170"/>
      <c r="G257" s="170"/>
      <c r="H257" s="183"/>
      <c r="I257" s="184"/>
    </row>
    <row r="258" spans="1:9">
      <c r="A258" s="185" t="s">
        <v>147</v>
      </c>
      <c r="B258" s="168" t="s">
        <v>122</v>
      </c>
      <c r="C258" s="183">
        <f>累计利润调整表!B58*0.25</f>
        <v>-35584962.846666671</v>
      </c>
      <c r="D258" s="170" t="s">
        <v>5</v>
      </c>
      <c r="E258" s="183"/>
      <c r="F258" s="170"/>
      <c r="G258" s="170"/>
      <c r="H258" s="183"/>
      <c r="I258" s="184"/>
    </row>
    <row r="259" spans="1:9">
      <c r="A259" s="185"/>
      <c r="B259" s="168"/>
      <c r="C259" s="183"/>
      <c r="D259" s="170"/>
      <c r="E259" s="183">
        <f>-C259</f>
        <v>0</v>
      </c>
      <c r="F259" s="170"/>
      <c r="G259" s="170"/>
      <c r="H259" s="183"/>
      <c r="I259" s="184"/>
    </row>
    <row r="260" spans="1:9">
      <c r="A260" s="185"/>
      <c r="B260" s="168"/>
      <c r="C260" s="183"/>
      <c r="D260" s="170"/>
      <c r="E260" s="183">
        <f>-C260</f>
        <v>0</v>
      </c>
      <c r="F260" s="170"/>
      <c r="G260" s="170"/>
      <c r="H260" s="183"/>
      <c r="I260" s="184"/>
    </row>
    <row r="261" spans="1:9">
      <c r="A261" s="186"/>
      <c r="B261" s="187"/>
      <c r="C261" s="188"/>
      <c r="D261" s="189"/>
      <c r="E261" s="183">
        <f>-C261</f>
        <v>0</v>
      </c>
      <c r="F261" s="189"/>
      <c r="G261" s="189"/>
      <c r="H261" s="188"/>
      <c r="I261" s="190"/>
    </row>
    <row r="262" spans="1:9" ht="17.25" thickBot="1">
      <c r="A262" s="191"/>
      <c r="B262" s="191"/>
      <c r="C262" s="192"/>
      <c r="D262" s="192"/>
      <c r="E262" s="192"/>
      <c r="F262" s="193"/>
      <c r="G262" s="191"/>
      <c r="H262" s="193"/>
      <c r="I262" s="193"/>
    </row>
    <row r="263" spans="1:9">
      <c r="A263" s="194"/>
      <c r="B263" s="194"/>
      <c r="C263" s="194"/>
      <c r="D263" s="195"/>
      <c r="E263" s="195"/>
      <c r="F263" s="196"/>
      <c r="G263" s="196"/>
      <c r="H263" s="184"/>
      <c r="I263" s="184"/>
    </row>
    <row r="264" spans="1:9">
      <c r="A264" s="197"/>
      <c r="B264" s="197" t="s">
        <v>52</v>
      </c>
      <c r="C264" s="229"/>
      <c r="D264" s="198" t="s">
        <v>7</v>
      </c>
      <c r="E264" s="199"/>
      <c r="F264" s="199"/>
      <c r="G264" s="200"/>
      <c r="H264" s="184"/>
      <c r="I264" s="184"/>
    </row>
    <row r="265" spans="1:9">
      <c r="A265" s="197"/>
      <c r="B265" s="197" t="s">
        <v>52</v>
      </c>
      <c r="C265" s="183"/>
      <c r="D265" s="199" t="s">
        <v>10</v>
      </c>
      <c r="E265" s="199"/>
      <c r="F265" s="199"/>
      <c r="G265" s="200"/>
      <c r="H265" s="184"/>
      <c r="I265" s="184"/>
    </row>
    <row r="266" spans="1:9">
      <c r="A266" s="197"/>
      <c r="B266" s="197" t="s">
        <v>52</v>
      </c>
      <c r="C266" s="183"/>
      <c r="D266" s="201" t="s">
        <v>11</v>
      </c>
      <c r="E266" s="201"/>
      <c r="F266" s="201"/>
      <c r="G266" s="202"/>
      <c r="H266" s="184"/>
      <c r="I266" s="184"/>
    </row>
    <row r="267" spans="1:9" ht="17.25" thickBot="1">
      <c r="A267" s="203"/>
      <c r="B267" s="203" t="s">
        <v>150</v>
      </c>
      <c r="C267" s="203"/>
      <c r="D267" s="204">
        <f>C262-SUM(D263:D266)</f>
        <v>0</v>
      </c>
      <c r="E267" s="204"/>
      <c r="F267" s="204">
        <f>E262-SUM(F263:F266)</f>
        <v>0</v>
      </c>
      <c r="G267" s="205"/>
      <c r="H267" s="193"/>
      <c r="I267" s="193"/>
    </row>
    <row r="268" spans="1:9" ht="18">
      <c r="A268" s="206"/>
      <c r="B268" s="206"/>
      <c r="C268" s="206"/>
      <c r="D268" s="207"/>
      <c r="E268" s="208"/>
      <c r="F268" s="209"/>
      <c r="G268" s="209"/>
      <c r="H268" s="209"/>
      <c r="I268" s="209"/>
    </row>
    <row r="269" spans="1:9" ht="18.75" thickBot="1">
      <c r="A269" s="206"/>
      <c r="B269" s="206"/>
      <c r="C269" s="206"/>
      <c r="D269" s="207"/>
      <c r="E269" s="208" t="s">
        <v>151</v>
      </c>
      <c r="F269" s="209"/>
      <c r="G269" s="209"/>
      <c r="H269" s="209"/>
      <c r="I269" s="209"/>
    </row>
    <row r="270" spans="1:9">
      <c r="A270" s="162" t="s">
        <v>123</v>
      </c>
      <c r="B270" s="162" t="s">
        <v>3</v>
      </c>
      <c r="C270" s="162" t="s">
        <v>124</v>
      </c>
      <c r="D270" s="162" t="s">
        <v>125</v>
      </c>
      <c r="E270" s="162" t="s">
        <v>126</v>
      </c>
      <c r="F270" s="163" t="s">
        <v>127</v>
      </c>
      <c r="G270" s="163" t="s">
        <v>152</v>
      </c>
      <c r="H270" s="163" t="s">
        <v>129</v>
      </c>
      <c r="I270" s="163" t="s">
        <v>130</v>
      </c>
    </row>
    <row r="271" spans="1:9">
      <c r="A271" s="210"/>
      <c r="B271" s="210" t="s">
        <v>153</v>
      </c>
      <c r="C271" s="210">
        <f>SUM(C272:C280)</f>
        <v>187598040.58666664</v>
      </c>
      <c r="D271" s="210"/>
      <c r="E271" s="210">
        <f>SUM(E272:E280)</f>
        <v>-187598040.58666664</v>
      </c>
      <c r="F271" s="211"/>
      <c r="G271" s="211"/>
      <c r="H271" s="211"/>
      <c r="I271" s="211"/>
    </row>
    <row r="272" spans="1:9">
      <c r="A272" s="212" t="s">
        <v>133</v>
      </c>
      <c r="B272" s="212" t="s">
        <v>48</v>
      </c>
      <c r="C272" s="213">
        <f>-(-16469538.4-15345072.08)</f>
        <v>31814610.48</v>
      </c>
      <c r="D272" s="214" t="s">
        <v>11</v>
      </c>
      <c r="E272" s="214">
        <f t="shared" ref="E272:E278" si="30">-C272</f>
        <v>-31814610.48</v>
      </c>
      <c r="F272" s="214" t="s">
        <v>11</v>
      </c>
      <c r="G272" s="214" t="s">
        <v>34</v>
      </c>
      <c r="H272" s="215" t="s">
        <v>164</v>
      </c>
      <c r="I272" s="214"/>
    </row>
    <row r="273" spans="1:9">
      <c r="A273" s="212" t="s">
        <v>134</v>
      </c>
      <c r="B273" s="212" t="s">
        <v>48</v>
      </c>
      <c r="C273" s="213">
        <v>276540.5</v>
      </c>
      <c r="D273" s="214" t="s">
        <v>11</v>
      </c>
      <c r="E273" s="214">
        <f t="shared" si="30"/>
        <v>-276540.5</v>
      </c>
      <c r="F273" s="214" t="s">
        <v>8</v>
      </c>
      <c r="G273" s="214" t="s">
        <v>34</v>
      </c>
      <c r="H273" s="215" t="s">
        <v>165</v>
      </c>
      <c r="I273" s="214"/>
    </row>
    <row r="274" spans="1:9">
      <c r="A274" s="212" t="s">
        <v>135</v>
      </c>
      <c r="B274" s="212" t="s">
        <v>48</v>
      </c>
      <c r="C274" s="213">
        <f>-609672.66</f>
        <v>-609672.66</v>
      </c>
      <c r="D274" s="214" t="s">
        <v>11</v>
      </c>
      <c r="E274" s="214">
        <f t="shared" si="30"/>
        <v>609672.66</v>
      </c>
      <c r="F274" s="214" t="s">
        <v>15</v>
      </c>
      <c r="G274" s="214" t="s">
        <v>34</v>
      </c>
      <c r="H274" s="213" t="s">
        <v>197</v>
      </c>
      <c r="I274" s="214"/>
    </row>
    <row r="275" spans="1:9">
      <c r="A275" s="212" t="s">
        <v>136</v>
      </c>
      <c r="B275" s="212" t="s">
        <v>48</v>
      </c>
      <c r="C275" s="213">
        <f>-(-3393044.46--1630347.26)</f>
        <v>1762697.2</v>
      </c>
      <c r="D275" s="214" t="s">
        <v>15</v>
      </c>
      <c r="E275" s="214">
        <f t="shared" si="30"/>
        <v>-1762697.2</v>
      </c>
      <c r="F275" s="214" t="s">
        <v>15</v>
      </c>
      <c r="G275" s="214" t="s">
        <v>34</v>
      </c>
      <c r="H275" s="216" t="s">
        <v>167</v>
      </c>
      <c r="I275" s="217"/>
    </row>
    <row r="276" spans="1:9">
      <c r="A276" s="212" t="s">
        <v>137</v>
      </c>
      <c r="B276" s="212" t="s">
        <v>48</v>
      </c>
      <c r="C276" s="213">
        <v>6161079.5199999996</v>
      </c>
      <c r="D276" s="214" t="s">
        <v>10</v>
      </c>
      <c r="E276" s="214">
        <f t="shared" si="30"/>
        <v>-6161079.5199999996</v>
      </c>
      <c r="F276" s="214" t="s">
        <v>10</v>
      </c>
      <c r="G276" s="214" t="s">
        <v>34</v>
      </c>
      <c r="H276" s="215" t="s">
        <v>166</v>
      </c>
      <c r="I276" s="214"/>
    </row>
    <row r="277" spans="1:9">
      <c r="A277" s="212" t="s">
        <v>138</v>
      </c>
      <c r="B277" s="212" t="s">
        <v>48</v>
      </c>
      <c r="C277" s="214">
        <v>146983752.77000001</v>
      </c>
      <c r="D277" s="214" t="s">
        <v>8</v>
      </c>
      <c r="E277" s="214">
        <f t="shared" si="30"/>
        <v>-146983752.77000001</v>
      </c>
      <c r="F277" s="214" t="s">
        <v>8</v>
      </c>
      <c r="G277" s="214" t="s">
        <v>34</v>
      </c>
      <c r="H277" s="215" t="s">
        <v>171</v>
      </c>
      <c r="I277" s="214"/>
    </row>
    <row r="278" spans="1:9">
      <c r="A278" s="212" t="s">
        <v>139</v>
      </c>
      <c r="B278" s="212" t="s">
        <v>48</v>
      </c>
      <c r="C278" s="214">
        <v>117721.95</v>
      </c>
      <c r="D278" s="214" t="s">
        <v>8</v>
      </c>
      <c r="E278" s="214">
        <f t="shared" si="30"/>
        <v>-117721.95</v>
      </c>
      <c r="F278" s="214" t="s">
        <v>5</v>
      </c>
      <c r="G278" s="214" t="s">
        <v>34</v>
      </c>
      <c r="H278" s="216" t="s">
        <v>173</v>
      </c>
      <c r="I278" s="217"/>
    </row>
    <row r="279" spans="1:9">
      <c r="A279" s="212" t="s">
        <v>140</v>
      </c>
      <c r="B279" s="212" t="s">
        <v>48</v>
      </c>
      <c r="C279" s="218">
        <v>1091310.8266666664</v>
      </c>
      <c r="D279" s="214" t="s">
        <v>7</v>
      </c>
      <c r="E279" s="214">
        <f>-C279</f>
        <v>-1091310.8266666664</v>
      </c>
      <c r="F279" s="214" t="s">
        <v>7</v>
      </c>
      <c r="G279" s="214" t="s">
        <v>34</v>
      </c>
      <c r="H279" s="216" t="s">
        <v>172</v>
      </c>
      <c r="I279" s="217"/>
    </row>
    <row r="280" spans="1:9">
      <c r="A280" s="219"/>
      <c r="B280" s="212"/>
      <c r="C280" s="213"/>
      <c r="D280" s="214"/>
      <c r="E280" s="214"/>
      <c r="F280" s="214"/>
      <c r="G280" s="214"/>
      <c r="H280" s="213"/>
      <c r="I280" s="217"/>
    </row>
    <row r="281" spans="1:9">
      <c r="A281" s="157"/>
      <c r="B281" s="158"/>
      <c r="C281" s="159"/>
      <c r="D281" s="160"/>
      <c r="E281" s="160"/>
      <c r="F281" s="160"/>
      <c r="G281" s="160"/>
      <c r="H281" s="159"/>
      <c r="I281" s="161"/>
    </row>
    <row r="282" spans="1:9">
      <c r="A282" s="52"/>
      <c r="B282" s="52"/>
      <c r="C282" s="53"/>
      <c r="D282" s="53"/>
      <c r="E282" s="53"/>
      <c r="F282" s="53"/>
      <c r="G282" s="53"/>
      <c r="H282" s="53"/>
      <c r="I282" s="53"/>
    </row>
    <row r="283" spans="1:9">
      <c r="A283" s="52"/>
      <c r="B283" s="52"/>
      <c r="C283" s="53"/>
      <c r="D283" s="53"/>
      <c r="E283" s="53"/>
      <c r="F283" s="53"/>
      <c r="G283" s="53"/>
      <c r="H283" s="53"/>
      <c r="I283" s="53"/>
    </row>
    <row r="284" spans="1:9">
      <c r="A284" s="52"/>
      <c r="B284" s="52"/>
      <c r="C284" s="53"/>
      <c r="D284" s="53"/>
      <c r="E284" s="53"/>
      <c r="F284" s="53"/>
      <c r="G284" s="53"/>
      <c r="H284" s="53"/>
      <c r="I284" s="53"/>
    </row>
    <row r="285" spans="1:9">
      <c r="A285" s="52"/>
      <c r="B285" s="52"/>
      <c r="C285" s="53"/>
      <c r="D285" s="53"/>
      <c r="E285" s="53"/>
      <c r="F285" s="53"/>
      <c r="G285" s="53"/>
      <c r="H285" s="53"/>
      <c r="I285" s="53"/>
    </row>
    <row r="286" spans="1:9">
      <c r="A286" s="52"/>
      <c r="B286" s="52"/>
      <c r="C286" s="5"/>
      <c r="D286" s="5"/>
      <c r="E286" s="5"/>
      <c r="F286" s="5"/>
      <c r="G286" s="5"/>
      <c r="H286" s="5"/>
    </row>
    <row r="287" spans="1:9">
      <c r="A287" s="5"/>
      <c r="B287" s="5"/>
      <c r="C287" s="5"/>
      <c r="D287" s="5"/>
      <c r="E287" s="5"/>
      <c r="F287" s="5"/>
      <c r="G287" s="5"/>
      <c r="H287" s="5"/>
    </row>
  </sheetData>
  <mergeCells count="2">
    <mergeCell ref="A48:I48"/>
    <mergeCell ref="A166:I166"/>
  </mergeCells>
  <phoneticPr fontId="30" type="noConversion"/>
  <conditionalFormatting sqref="D76:D77">
    <cfRule type="expression" dxfId="12" priority="16" stopIfTrue="1">
      <formula>LEFT(B52,1)="综"</formula>
    </cfRule>
  </conditionalFormatting>
  <conditionalFormatting sqref="D131:D132">
    <cfRule type="expression" dxfId="11" priority="13" stopIfTrue="1">
      <formula>LEFT(B92,1)="综"</formula>
    </cfRule>
  </conditionalFormatting>
  <conditionalFormatting sqref="D78:D90">
    <cfRule type="expression" dxfId="10" priority="18" stopIfTrue="1">
      <formula>LEFT(B53,1)="综"</formula>
    </cfRule>
  </conditionalFormatting>
  <conditionalFormatting sqref="D98:D102">
    <cfRule type="expression" dxfId="9" priority="20" stopIfTrue="1">
      <formula>LEFT(B52,1)="综"</formula>
    </cfRule>
  </conditionalFormatting>
  <conditionalFormatting sqref="D103:D118">
    <cfRule type="expression" dxfId="8" priority="24" stopIfTrue="1">
      <formula>LEFT(B56,1)="综"</formula>
    </cfRule>
  </conditionalFormatting>
  <conditionalFormatting sqref="D252:D253">
    <cfRule type="expression" dxfId="7" priority="2" stopIfTrue="1">
      <formula>LEFT(B210,1)="综"</formula>
    </cfRule>
  </conditionalFormatting>
  <conditionalFormatting sqref="D91:D96">
    <cfRule type="expression" dxfId="6" priority="1" stopIfTrue="1">
      <formula>LEFT(B66,1)="综"</formula>
    </cfRule>
  </conditionalFormatting>
  <conditionalFormatting sqref="D194:D195">
    <cfRule type="expression" dxfId="5" priority="3" stopIfTrue="1">
      <formula>LEFT(B170,1)="综"</formula>
    </cfRule>
  </conditionalFormatting>
  <conditionalFormatting sqref="D196:D210">
    <cfRule type="expression" dxfId="4" priority="4" stopIfTrue="1">
      <formula>LEFT(B171,1)="综"</formula>
    </cfRule>
  </conditionalFormatting>
  <conditionalFormatting sqref="D218:D222">
    <cfRule type="expression" dxfId="3" priority="5" stopIfTrue="1">
      <formula>LEFT(B170,1)="综"</formula>
    </cfRule>
  </conditionalFormatting>
  <conditionalFormatting sqref="D211:D213">
    <cfRule type="expression" dxfId="2" priority="6" stopIfTrue="1">
      <formula>LEFT(B185,1)="综"</formula>
    </cfRule>
  </conditionalFormatting>
  <conditionalFormatting sqref="D223:D240">
    <cfRule type="expression" dxfId="1" priority="7" stopIfTrue="1">
      <formula>LEFT(B174,1)="综"</formula>
    </cfRule>
  </conditionalFormatting>
  <conditionalFormatting sqref="D119">
    <cfRule type="expression" dxfId="0" priority="26" stopIfTrue="1">
      <formula>LEFT(B71,1)="综"</formula>
    </cfRule>
  </conditionalFormatting>
  <dataValidations count="4">
    <dataValidation type="list" allowBlank="1" showInputMessage="1" showErrorMessage="1" sqref="B149:B158 G149:G158 B76:B96 B98:B138 B194:B216 B272:B281 G272:G281 B52:B74 B170:B192 B218:B261">
      <formula1>$I$1:$I$17</formula1>
    </dataValidation>
    <dataValidation type="list" allowBlank="1" showInputMessage="1" showErrorMessage="1" sqref="D141:E143 D96 F98:F138 F76:F95 D214:D216 D149:D158 F149:F158 D264:E266 D52:D74 D170:D192 F170:F192 F194:F216 F272:F281 D272:D281 F218:F261 D98:D138 F52:F74 D218:D261">
      <formula1>部门名称</formula1>
    </dataValidation>
    <dataValidation type="list" allowBlank="1" showInputMessage="1" showErrorMessage="1" sqref="G98:G138 G218:G261">
      <formula1>$M$1:$M$44</formula1>
    </dataValidation>
    <dataValidation type="list" allowBlank="1" showInputMessage="1" showErrorMessage="1" sqref="F96">
      <formula1>了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workbookViewId="0">
      <selection activeCell="B3" sqref="B3"/>
    </sheetView>
  </sheetViews>
  <sheetFormatPr defaultRowHeight="13.5"/>
  <cols>
    <col min="1" max="1" width="18.5" customWidth="1"/>
    <col min="2" max="2" width="12.125" customWidth="1"/>
    <col min="3" max="3" width="11.625" bestFit="1" customWidth="1"/>
    <col min="6" max="6" width="9.5" customWidth="1"/>
    <col min="7" max="7" width="11.625" customWidth="1"/>
    <col min="8" max="9" width="10.25" bestFit="1" customWidth="1"/>
    <col min="10" max="10" width="16.125" bestFit="1" customWidth="1"/>
    <col min="11" max="13" width="10.25" bestFit="1" customWidth="1"/>
    <col min="14" max="14" width="14.125" bestFit="1" customWidth="1"/>
    <col min="15" max="15" width="12.25" bestFit="1" customWidth="1"/>
    <col min="16" max="18" width="10.25" bestFit="1" customWidth="1"/>
    <col min="19" max="19" width="12.25" bestFit="1" customWidth="1"/>
    <col min="20" max="20" width="14.125" bestFit="1" customWidth="1"/>
    <col min="21" max="21" width="8.5" bestFit="1" customWidth="1"/>
    <col min="22" max="23" width="10.25" bestFit="1" customWidth="1"/>
    <col min="24" max="24" width="10.875" customWidth="1"/>
    <col min="25" max="25" width="5.375" customWidth="1"/>
  </cols>
  <sheetData>
    <row r="1" spans="1:25" ht="14.25" thickBot="1">
      <c r="A1" s="154" t="s">
        <v>187</v>
      </c>
    </row>
    <row r="2" spans="1:25">
      <c r="A2" s="65" t="s">
        <v>3</v>
      </c>
      <c r="B2" s="65" t="s">
        <v>4</v>
      </c>
      <c r="C2" s="65" t="s">
        <v>5</v>
      </c>
      <c r="D2" s="65" t="s">
        <v>6</v>
      </c>
      <c r="E2" s="65" t="s">
        <v>7</v>
      </c>
      <c r="F2" s="65" t="s">
        <v>8</v>
      </c>
      <c r="G2" s="65" t="s">
        <v>9</v>
      </c>
      <c r="H2" s="76" t="s">
        <v>10</v>
      </c>
      <c r="I2" s="76" t="s">
        <v>11</v>
      </c>
      <c r="J2" s="76" t="s">
        <v>12</v>
      </c>
      <c r="K2" s="76" t="s">
        <v>13</v>
      </c>
      <c r="L2" s="76" t="s">
        <v>14</v>
      </c>
      <c r="M2" s="76" t="s">
        <v>15</v>
      </c>
      <c r="N2" s="65" t="s">
        <v>16</v>
      </c>
      <c r="O2" s="65" t="s">
        <v>17</v>
      </c>
      <c r="P2" s="76" t="s">
        <v>18</v>
      </c>
      <c r="Q2" s="76" t="s">
        <v>19</v>
      </c>
      <c r="R2" s="76" t="s">
        <v>20</v>
      </c>
      <c r="S2" s="76" t="s">
        <v>21</v>
      </c>
      <c r="T2" s="65" t="s">
        <v>22</v>
      </c>
      <c r="U2" s="76" t="s">
        <v>23</v>
      </c>
      <c r="V2" s="76" t="s">
        <v>24</v>
      </c>
      <c r="W2" s="76" t="s">
        <v>25</v>
      </c>
      <c r="X2" s="65">
        <v>0</v>
      </c>
      <c r="Y2" s="65">
        <v>0</v>
      </c>
    </row>
    <row r="3" spans="1:25">
      <c r="A3" s="105" t="s">
        <v>26</v>
      </c>
      <c r="B3" s="105">
        <f>累计利润调整表!B64/10000</f>
        <v>55326.858736374423</v>
      </c>
      <c r="C3" s="105">
        <f>累计利润调整表!C64/10000</f>
        <v>-2437.5398318301886</v>
      </c>
      <c r="D3" s="105">
        <f>累计利润调整表!D64/10000</f>
        <v>-12787.108434555545</v>
      </c>
      <c r="E3" s="105">
        <f>累计利润调整表!E64/10000</f>
        <v>57352.103479333338</v>
      </c>
      <c r="F3" s="105">
        <f>累计利润调整表!F64/10000</f>
        <v>-22879.252500000002</v>
      </c>
      <c r="G3" s="105">
        <f>累计利润调整表!G64/10000</f>
        <v>6822.7518058712822</v>
      </c>
      <c r="H3" s="105">
        <f>累计利润调整表!H64/10000</f>
        <v>9217.9987380000002</v>
      </c>
      <c r="I3" s="105">
        <f>累计利润调整表!I64/10000</f>
        <v>-2799.1617241698127</v>
      </c>
      <c r="J3" s="105">
        <f>累计利润调整表!J64/10000</f>
        <v>435.71579000000003</v>
      </c>
      <c r="K3" s="105">
        <f>累计利润调整表!K64/10000</f>
        <v>0</v>
      </c>
      <c r="L3" s="105">
        <f>累计利润调整表!L64/10000</f>
        <v>0.37813400000000003</v>
      </c>
      <c r="M3" s="105">
        <f>累计利润调整表!M64/10000</f>
        <v>-32.179131958904129</v>
      </c>
      <c r="N3" s="105">
        <f>累计利润调整表!N64/10000</f>
        <v>1044.8048630000001</v>
      </c>
      <c r="O3" s="105">
        <f>累计利润调整表!O64/10000</f>
        <v>28161.192471555554</v>
      </c>
      <c r="P3" s="105">
        <f>累计利润调整表!P64/10000</f>
        <v>0</v>
      </c>
      <c r="Q3" s="105">
        <f>累计利润调整表!Q64/10000</f>
        <v>24146.316161999999</v>
      </c>
      <c r="R3" s="105">
        <f>累计利润调整表!R64/10000</f>
        <v>3784.3207540000008</v>
      </c>
      <c r="S3" s="105">
        <f>累计利润调整表!S64/10000</f>
        <v>230.55555555555554</v>
      </c>
      <c r="T3" s="105">
        <f>累计利润调整表!T64/10000</f>
        <v>49.906882999999993</v>
      </c>
      <c r="U3" s="105">
        <f>累计利润调整表!U64/10000</f>
        <v>0.134413</v>
      </c>
      <c r="V3" s="105">
        <f>累计利润调整表!V64/10000</f>
        <v>49.792453999999999</v>
      </c>
      <c r="W3" s="105">
        <f>累计利润调整表!W64/10000</f>
        <v>-1.9984000000000002E-2</v>
      </c>
      <c r="X3" s="105">
        <f>累计利润调整表!X64/10000</f>
        <v>0</v>
      </c>
      <c r="Y3" s="105">
        <f>累计利润调整表!Y64/10000</f>
        <v>0</v>
      </c>
    </row>
    <row r="4" spans="1:25">
      <c r="A4" s="106" t="s">
        <v>27</v>
      </c>
      <c r="B4" s="109">
        <f>累计利润调整表!B65/10000</f>
        <v>59850.071344000004</v>
      </c>
      <c r="C4" s="109">
        <f>累计利润调整表!C65/10000</f>
        <v>-448.21014500000001</v>
      </c>
      <c r="D4" s="109">
        <f>累计利润调整表!D65/10000</f>
        <v>-229.6911699999969</v>
      </c>
      <c r="E4" s="109">
        <f>累计利润调整表!E65/10000</f>
        <v>30354.363961000003</v>
      </c>
      <c r="F4" s="109">
        <f>累计利润调整表!F65/10000</f>
        <v>1088.6812619999998</v>
      </c>
      <c r="G4" s="109">
        <f>累计利润调整表!G65/10000</f>
        <v>59.713186999999998</v>
      </c>
      <c r="H4" s="140">
        <f>累计利润调整表!H65/10000</f>
        <v>-24.980727999999999</v>
      </c>
      <c r="I4" s="109">
        <f>累计利润调整表!I65/10000</f>
        <v>60</v>
      </c>
      <c r="J4" s="109">
        <f>累计利润调整表!J65/10000</f>
        <v>-0.4476</v>
      </c>
      <c r="K4" s="109">
        <f>累计利润调整表!K65/10000</f>
        <v>0</v>
      </c>
      <c r="L4" s="109">
        <f>累计利润调整表!L65/10000</f>
        <v>-0.19</v>
      </c>
      <c r="M4" s="109">
        <f>累计利润调整表!M65/10000</f>
        <v>25.331515</v>
      </c>
      <c r="N4" s="109">
        <f>累计利润调整表!N65/10000</f>
        <v>1044.8048630000001</v>
      </c>
      <c r="O4" s="109">
        <f>累计利润调整表!O65/10000</f>
        <v>27930.636915999996</v>
      </c>
      <c r="P4" s="109">
        <f>累计利润调整表!P65/10000</f>
        <v>0</v>
      </c>
      <c r="Q4" s="109">
        <f>累计利润调整表!Q65/10000</f>
        <v>24146.316161999999</v>
      </c>
      <c r="R4" s="109">
        <f>累计利润调整表!R65/10000</f>
        <v>3784.3207540000008</v>
      </c>
      <c r="S4" s="109">
        <f>累计利润调整表!S65/10000</f>
        <v>0</v>
      </c>
      <c r="T4" s="109">
        <f>累计利润调整表!T65/10000</f>
        <v>49.772469999999998</v>
      </c>
      <c r="U4" s="109">
        <f>累计利润调整表!U65/10000</f>
        <v>0</v>
      </c>
      <c r="V4" s="109">
        <f>累计利润调整表!V65/10000</f>
        <v>49.792453999999999</v>
      </c>
      <c r="W4" s="109">
        <f>累计利润调整表!W65/10000</f>
        <v>-1.9984000000000002E-2</v>
      </c>
      <c r="X4" s="109">
        <f>累计利润调整表!X65/10000</f>
        <v>0</v>
      </c>
      <c r="Y4" s="109">
        <f>累计利润调整表!Y65/10000</f>
        <v>0</v>
      </c>
    </row>
    <row r="5" spans="1:25">
      <c r="A5" s="107" t="s">
        <v>28</v>
      </c>
      <c r="B5" s="107">
        <f>累计利润调整表!B66/10000</f>
        <v>29535.058244</v>
      </c>
      <c r="C5" s="107">
        <f>累计利润调整表!C66/10000</f>
        <v>-82.435051000000001</v>
      </c>
      <c r="D5" s="107">
        <f>累计利润调整表!D66/10000</f>
        <v>-207.95317799999796</v>
      </c>
      <c r="E5" s="107">
        <f>累计利润调整表!E66/10000</f>
        <v>29791.886578999995</v>
      </c>
      <c r="F5" s="107">
        <f>累计利润调整表!F66/10000</f>
        <v>8.6759789999999999</v>
      </c>
      <c r="G5" s="107">
        <f>累计利润调整表!G66/10000</f>
        <v>24.883914999999998</v>
      </c>
      <c r="H5" s="141">
        <f>累计利润调整表!H66/10000</f>
        <v>0</v>
      </c>
      <c r="I5" s="107">
        <f>累计利润调整表!I66/10000</f>
        <v>0</v>
      </c>
      <c r="J5" s="107">
        <f>累计利润调整表!J66/10000</f>
        <v>-0.4476</v>
      </c>
      <c r="K5" s="107">
        <f>累计利润调整表!K66/10000</f>
        <v>0</v>
      </c>
      <c r="L5" s="107">
        <f>累计利润调整表!L66/10000</f>
        <v>0</v>
      </c>
      <c r="M5" s="107">
        <f>累计利润调整表!M66/10000</f>
        <v>25.331515</v>
      </c>
      <c r="N5" s="107">
        <f>累计利润调整表!N66/10000</f>
        <v>0</v>
      </c>
      <c r="O5" s="107">
        <f>累计利润调整表!O66/10000</f>
        <v>0</v>
      </c>
      <c r="P5" s="107">
        <f>累计利润调整表!P66/10000</f>
        <v>0</v>
      </c>
      <c r="Q5" s="107">
        <f>累计利润调整表!Q66/10000</f>
        <v>0</v>
      </c>
      <c r="R5" s="107">
        <f>累计利润调整表!R66/10000</f>
        <v>0</v>
      </c>
      <c r="S5" s="107">
        <f>累计利润调整表!S66/10000</f>
        <v>0</v>
      </c>
      <c r="T5" s="107">
        <f>累计利润调整表!T66/10000</f>
        <v>0</v>
      </c>
      <c r="U5" s="107">
        <f>累计利润调整表!U66/10000</f>
        <v>0</v>
      </c>
      <c r="V5" s="107">
        <f>累计利润调整表!V66/10000</f>
        <v>0</v>
      </c>
      <c r="W5" s="107">
        <f>累计利润调整表!W66/10000</f>
        <v>0</v>
      </c>
      <c r="X5" s="107">
        <f>累计利润调整表!X66/10000</f>
        <v>0</v>
      </c>
      <c r="Y5" s="107">
        <f>累计利润调整表!Y66/10000</f>
        <v>0</v>
      </c>
    </row>
    <row r="6" spans="1:25">
      <c r="A6" s="107" t="s">
        <v>29</v>
      </c>
      <c r="B6" s="107">
        <f>累计利润调整表!B67/10000</f>
        <v>29075.875259000004</v>
      </c>
      <c r="C6" s="107">
        <f>累计利润调整表!C67/10000</f>
        <v>-365.77509399999997</v>
      </c>
      <c r="D6" s="107">
        <f>累计利润调整表!D67/10000</f>
        <v>7.2759576141834259E-12</v>
      </c>
      <c r="E6" s="107">
        <f>累计利润调整表!E67/10000</f>
        <v>380.16612000000003</v>
      </c>
      <c r="F6" s="107">
        <f>累计利润调整表!F67/10000</f>
        <v>0</v>
      </c>
      <c r="G6" s="107">
        <f>累计利润调整表!G67/10000</f>
        <v>60</v>
      </c>
      <c r="H6" s="141">
        <f>累计利润调整表!H67/10000</f>
        <v>0</v>
      </c>
      <c r="I6" s="107">
        <f>累计利润调整表!I67/10000</f>
        <v>60</v>
      </c>
      <c r="J6" s="107">
        <f>累计利润调整表!J67/10000</f>
        <v>0</v>
      </c>
      <c r="K6" s="107">
        <f>累计利润调整表!K67/10000</f>
        <v>0</v>
      </c>
      <c r="L6" s="107">
        <f>累计利润调整表!L67/10000</f>
        <v>0</v>
      </c>
      <c r="M6" s="107">
        <f>累计利润调整表!M67/10000</f>
        <v>0</v>
      </c>
      <c r="N6" s="107">
        <f>累计利润调整表!N67/10000</f>
        <v>1044.8048630000001</v>
      </c>
      <c r="O6" s="107">
        <f>累计利润调整表!O67/10000</f>
        <v>27906.886915999996</v>
      </c>
      <c r="P6" s="107">
        <f>累计利润调整表!P67/10000</f>
        <v>0</v>
      </c>
      <c r="Q6" s="107">
        <f>累计利润调整表!Q67/10000</f>
        <v>24122.566161999999</v>
      </c>
      <c r="R6" s="107">
        <f>累计利润调整表!R67/10000</f>
        <v>3784.3207540000008</v>
      </c>
      <c r="S6" s="107">
        <f>累计利润调整表!S67/10000</f>
        <v>0</v>
      </c>
      <c r="T6" s="107">
        <f>累计利润调整表!T67/10000</f>
        <v>49.792453999999999</v>
      </c>
      <c r="U6" s="107">
        <f>累计利润调整表!U67/10000</f>
        <v>0</v>
      </c>
      <c r="V6" s="107">
        <f>累计利润调整表!V67/10000</f>
        <v>49.792453999999999</v>
      </c>
      <c r="W6" s="107">
        <f>累计利润调整表!W67/10000</f>
        <v>0</v>
      </c>
      <c r="X6" s="107">
        <f>累计利润调整表!X67/10000</f>
        <v>0</v>
      </c>
      <c r="Y6" s="107">
        <f>累计利润调整表!Y67/10000</f>
        <v>0</v>
      </c>
    </row>
    <row r="7" spans="1:25">
      <c r="A7" s="107" t="s">
        <v>30</v>
      </c>
      <c r="B7" s="107">
        <f>累计利润调整表!B68/10000</f>
        <v>1080.0302830000001</v>
      </c>
      <c r="C7" s="107">
        <f>累计利润调整表!C68/10000</f>
        <v>0</v>
      </c>
      <c r="D7" s="107">
        <f>累计利润调整表!D68/10000</f>
        <v>0</v>
      </c>
      <c r="E7" s="107">
        <f>累计利润调整表!E68/10000</f>
        <v>0</v>
      </c>
      <c r="F7" s="107">
        <f>累计利润调整表!F68/10000</f>
        <v>1080.0302830000001</v>
      </c>
      <c r="G7" s="107">
        <f>累计利润调整表!G68/10000</f>
        <v>0</v>
      </c>
      <c r="H7" s="141">
        <f>累计利润调整表!H68/10000</f>
        <v>0</v>
      </c>
      <c r="I7" s="107">
        <f>累计利润调整表!I68/10000</f>
        <v>0</v>
      </c>
      <c r="J7" s="107">
        <f>累计利润调整表!J68/10000</f>
        <v>0</v>
      </c>
      <c r="K7" s="107">
        <f>累计利润调整表!K68/10000</f>
        <v>0</v>
      </c>
      <c r="L7" s="107">
        <f>累计利润调整表!L68/10000</f>
        <v>0</v>
      </c>
      <c r="M7" s="107">
        <f>累计利润调整表!M68/10000</f>
        <v>0</v>
      </c>
      <c r="N7" s="107">
        <f>累计利润调整表!N68/10000</f>
        <v>0</v>
      </c>
      <c r="O7" s="107">
        <f>累计利润调整表!O68/10000</f>
        <v>0</v>
      </c>
      <c r="P7" s="107">
        <f>累计利润调整表!P68/10000</f>
        <v>0</v>
      </c>
      <c r="Q7" s="107">
        <f>累计利润调整表!Q68/10000</f>
        <v>0</v>
      </c>
      <c r="R7" s="107">
        <f>累计利润调整表!R68/10000</f>
        <v>0</v>
      </c>
      <c r="S7" s="107">
        <f>累计利润调整表!S68/10000</f>
        <v>0</v>
      </c>
      <c r="T7" s="107">
        <f>累计利润调整表!T68/10000</f>
        <v>0</v>
      </c>
      <c r="U7" s="107">
        <f>累计利润调整表!U68/10000</f>
        <v>0</v>
      </c>
      <c r="V7" s="107">
        <f>累计利润调整表!V68/10000</f>
        <v>0</v>
      </c>
      <c r="W7" s="107">
        <f>累计利润调整表!W68/10000</f>
        <v>0</v>
      </c>
      <c r="X7" s="107">
        <f>累计利润调整表!X68/10000</f>
        <v>0</v>
      </c>
      <c r="Y7" s="107">
        <f>累计利润调整表!Y68/10000</f>
        <v>0</v>
      </c>
    </row>
    <row r="8" spans="1:25">
      <c r="A8" s="106" t="s">
        <v>183</v>
      </c>
      <c r="B8" s="106">
        <f>累计利润调整表!B69/10000</f>
        <v>13425.461516000003</v>
      </c>
      <c r="C8" s="106">
        <f>累计利润调整表!C69/10000</f>
        <v>134.05674299999998</v>
      </c>
      <c r="D8" s="106">
        <f>累计利润调整表!D69/10000</f>
        <v>-13649.583399555551</v>
      </c>
      <c r="E8" s="106">
        <f>累计利润调整表!E69/10000</f>
        <v>26948.054455000001</v>
      </c>
      <c r="F8" s="106">
        <f>累计利润调整表!F69/10000</f>
        <v>21.429572</v>
      </c>
      <c r="G8" s="106">
        <f>累计利润调整表!G69/10000</f>
        <v>-259.18582300000003</v>
      </c>
      <c r="H8" s="152">
        <f>累计利润调整表!H69/10000</f>
        <v>-277.99127600000003</v>
      </c>
      <c r="I8" s="106">
        <f>累计利润调整表!I69/10000</f>
        <v>62.874319999999969</v>
      </c>
      <c r="J8" s="106">
        <f>累计利润调整表!J69/10000</f>
        <v>-3.202143</v>
      </c>
      <c r="K8" s="106">
        <f>累计利润调整表!K69/10000</f>
        <v>0</v>
      </c>
      <c r="L8" s="106">
        <f>累计利润调整表!L69/10000</f>
        <v>0.56813400000000003</v>
      </c>
      <c r="M8" s="106">
        <f>累计利润调整表!M69/10000</f>
        <v>-41.434858000000006</v>
      </c>
      <c r="N8" s="106">
        <f>累计利润调整表!N69/10000</f>
        <v>0</v>
      </c>
      <c r="O8" s="106">
        <f>累计利润调整表!O69/10000</f>
        <v>230.55555555555554</v>
      </c>
      <c r="P8" s="106">
        <f>累计利润调整表!P69/10000</f>
        <v>0</v>
      </c>
      <c r="Q8" s="106">
        <f>累计利润调整表!Q69/10000</f>
        <v>0</v>
      </c>
      <c r="R8" s="106">
        <f>累计利润调整表!R69/10000</f>
        <v>0</v>
      </c>
      <c r="S8" s="106">
        <f>累计利润调整表!S69/10000</f>
        <v>230.55555555555554</v>
      </c>
      <c r="T8" s="106">
        <f>累计利润调整表!T69/10000</f>
        <v>0.134413</v>
      </c>
      <c r="U8" s="106">
        <f>累计利润调整表!U69/10000</f>
        <v>0.134413</v>
      </c>
      <c r="V8" s="106">
        <f>累计利润调整表!V69/10000</f>
        <v>0</v>
      </c>
      <c r="W8" s="106">
        <f>累计利润调整表!W69/10000</f>
        <v>0</v>
      </c>
      <c r="X8" s="106">
        <f>累计利润调整表!X69/10000</f>
        <v>0</v>
      </c>
      <c r="Y8" s="106">
        <f>累计利润调整表!Y69/10000</f>
        <v>0</v>
      </c>
    </row>
    <row r="9" spans="1:25">
      <c r="A9" s="106" t="s">
        <v>32</v>
      </c>
      <c r="B9" s="106">
        <f>累计利润调整表!B70/10000</f>
        <v>-1977.7631140000001</v>
      </c>
      <c r="C9" s="106">
        <f>累计利润调整表!C70/10000</f>
        <v>-269.25552283018862</v>
      </c>
      <c r="D9" s="106">
        <f>累计利润调整表!D70/10000</f>
        <v>1102.4642490000028</v>
      </c>
      <c r="E9" s="106">
        <f>累计利润调整表!E70/10000</f>
        <v>9.18</v>
      </c>
      <c r="F9" s="106">
        <f>累计利润调整表!F70/10000</f>
        <v>-14025.217422999998</v>
      </c>
      <c r="G9" s="106">
        <f>累计利润调整表!G70/10000</f>
        <v>11205.065582830186</v>
      </c>
      <c r="H9" s="153">
        <f>累计利润调整表!H70/10000</f>
        <v>11468.139083000002</v>
      </c>
      <c r="I9" s="106">
        <f>累计利润调整表!I70/10000</f>
        <v>-703.80273016981255</v>
      </c>
      <c r="J9" s="106">
        <f>累计利润调整表!J70/10000</f>
        <v>519.37177900000006</v>
      </c>
      <c r="K9" s="106">
        <f>累计利润调整表!K70/10000</f>
        <v>0</v>
      </c>
      <c r="L9" s="106">
        <f>累计利润调整表!L70/10000</f>
        <v>0</v>
      </c>
      <c r="M9" s="106">
        <f>累计利润调整表!M70/10000</f>
        <v>-78.642549000000002</v>
      </c>
      <c r="N9" s="106">
        <f>累计利润调整表!N70/10000</f>
        <v>0</v>
      </c>
      <c r="O9" s="106">
        <f>累计利润调整表!O70/10000</f>
        <v>0</v>
      </c>
      <c r="P9" s="106">
        <f>累计利润调整表!P70/10000</f>
        <v>0</v>
      </c>
      <c r="Q9" s="106">
        <f>累计利润调整表!Q70/10000</f>
        <v>0</v>
      </c>
      <c r="R9" s="106">
        <f>累计利润调整表!R70/10000</f>
        <v>0</v>
      </c>
      <c r="S9" s="106">
        <f>累计利润调整表!S70/10000</f>
        <v>0</v>
      </c>
      <c r="T9" s="106">
        <f>累计利润调整表!T70/10000</f>
        <v>0</v>
      </c>
      <c r="U9" s="106">
        <f>累计利润调整表!U70/10000</f>
        <v>0</v>
      </c>
      <c r="V9" s="106">
        <f>累计利润调整表!V70/10000</f>
        <v>0</v>
      </c>
      <c r="W9" s="106">
        <f>累计利润调整表!W70/10000</f>
        <v>0</v>
      </c>
      <c r="X9" s="106">
        <f>累计利润调整表!X70/10000</f>
        <v>0</v>
      </c>
      <c r="Y9" s="106">
        <f>累计利润调整表!Y70/10000</f>
        <v>0</v>
      </c>
    </row>
    <row r="10" spans="1:25">
      <c r="A10" s="106" t="s">
        <v>184</v>
      </c>
      <c r="B10" s="106">
        <f>累计利润调整表!B71/10000</f>
        <v>0</v>
      </c>
      <c r="C10" s="106">
        <f>累计利润调整表!C71/10000</f>
        <v>0</v>
      </c>
      <c r="D10" s="106">
        <f>累计利润调整表!D71/10000</f>
        <v>0</v>
      </c>
      <c r="E10" s="106">
        <f>累计利润调整表!E71/10000</f>
        <v>0</v>
      </c>
      <c r="F10" s="106">
        <f>累计利润调整表!F71/10000</f>
        <v>0</v>
      </c>
      <c r="G10" s="106">
        <f>累计利润调整表!G71/10000</f>
        <v>0</v>
      </c>
      <c r="H10" s="153">
        <f>累计利润调整表!H71/10000</f>
        <v>0</v>
      </c>
      <c r="I10" s="106">
        <f>累计利润调整表!I71/10000</f>
        <v>0</v>
      </c>
      <c r="J10" s="106">
        <f>累计利润调整表!J71/10000</f>
        <v>0</v>
      </c>
      <c r="K10" s="106">
        <f>累计利润调整表!K71/10000</f>
        <v>0</v>
      </c>
      <c r="L10" s="106">
        <f>累计利润调整表!L71/10000</f>
        <v>0</v>
      </c>
      <c r="M10" s="106">
        <f>累计利润调整表!M71/10000</f>
        <v>0</v>
      </c>
      <c r="N10" s="106">
        <f>累计利润调整表!N71/10000</f>
        <v>0</v>
      </c>
      <c r="O10" s="106">
        <f>累计利润调整表!O71/10000</f>
        <v>0</v>
      </c>
      <c r="P10" s="106">
        <f>累计利润调整表!P71/10000</f>
        <v>0</v>
      </c>
      <c r="Q10" s="106">
        <f>累计利润调整表!Q71/10000</f>
        <v>0</v>
      </c>
      <c r="R10" s="106">
        <f>累计利润调整表!R71/10000</f>
        <v>0</v>
      </c>
      <c r="S10" s="106">
        <f>累计利润调整表!S71/10000</f>
        <v>0</v>
      </c>
      <c r="T10" s="106">
        <f>累计利润调整表!T71/10000</f>
        <v>0</v>
      </c>
      <c r="U10" s="106">
        <f>累计利润调整表!U71/10000</f>
        <v>0</v>
      </c>
      <c r="V10" s="106">
        <f>累计利润调整表!V71/10000</f>
        <v>0</v>
      </c>
      <c r="W10" s="106">
        <f>累计利润调整表!W71/10000</f>
        <v>0</v>
      </c>
      <c r="X10" s="106">
        <f>累计利润调整表!X71/10000</f>
        <v>0</v>
      </c>
      <c r="Y10" s="106">
        <f>累计利润调整表!Y71/10000</f>
        <v>0</v>
      </c>
    </row>
    <row r="11" spans="1:25">
      <c r="A11" s="106" t="s">
        <v>34</v>
      </c>
      <c r="B11" s="106">
        <f>累计利润调整表!B72/10000</f>
        <v>-16060.779195625573</v>
      </c>
      <c r="C11" s="106">
        <f>累计利润调整表!C72/10000</f>
        <v>-1799.602889</v>
      </c>
      <c r="D11" s="106">
        <f>累计利润调整表!D72/10000</f>
        <v>-7.2181720000003233</v>
      </c>
      <c r="E11" s="106">
        <f>累计利润调整表!E72/10000</f>
        <v>-106.97108266666666</v>
      </c>
      <c r="F11" s="106">
        <f>累计利润调整表!F72/10000</f>
        <v>-9964.1459110000014</v>
      </c>
      <c r="G11" s="106">
        <f>累计利润调整表!G72/10000</f>
        <v>-4182.8411409589035</v>
      </c>
      <c r="H11" s="153">
        <f>累计利润调整表!H72/10000</f>
        <v>-1947.1683409999996</v>
      </c>
      <c r="I11" s="106">
        <f>累计利润调整表!I72/10000</f>
        <v>-2218.2333140000001</v>
      </c>
      <c r="J11" s="106">
        <f>累计利润调整表!J72/10000</f>
        <v>-80.00624599999999</v>
      </c>
      <c r="K11" s="106">
        <f>累计利润调整表!K72/10000</f>
        <v>0</v>
      </c>
      <c r="L11" s="106">
        <f>累计利润调整表!L72/10000</f>
        <v>0</v>
      </c>
      <c r="M11" s="106">
        <f>累计利润调整表!M72/10000</f>
        <v>62.56676004109589</v>
      </c>
      <c r="N11" s="106">
        <f>累计利润调整表!N72/10000</f>
        <v>0</v>
      </c>
      <c r="O11" s="106">
        <f>累计利润调整表!O72/10000</f>
        <v>0</v>
      </c>
      <c r="P11" s="106">
        <f>累计利润调整表!P72/10000</f>
        <v>0</v>
      </c>
      <c r="Q11" s="106">
        <f>累计利润调整表!Q72/10000</f>
        <v>0</v>
      </c>
      <c r="R11" s="106">
        <f>累计利润调整表!R72/10000</f>
        <v>0</v>
      </c>
      <c r="S11" s="106">
        <f>累计利润调整表!S72/10000</f>
        <v>0</v>
      </c>
      <c r="T11" s="106">
        <f>累计利润调整表!T72/10000</f>
        <v>0</v>
      </c>
      <c r="U11" s="106">
        <f>累计利润调整表!U72/10000</f>
        <v>0</v>
      </c>
      <c r="V11" s="106">
        <f>累计利润调整表!V72/10000</f>
        <v>0</v>
      </c>
      <c r="W11" s="106">
        <f>累计利润调整表!W72/10000</f>
        <v>0</v>
      </c>
      <c r="X11" s="106">
        <f>累计利润调整表!X72/10000</f>
        <v>0</v>
      </c>
      <c r="Y11" s="106">
        <f>累计利润调整表!Y72/10000</f>
        <v>0</v>
      </c>
    </row>
    <row r="12" spans="1:25">
      <c r="A12" s="106" t="s">
        <v>185</v>
      </c>
      <c r="B12" s="106">
        <f>累计利润调整表!B73/10000</f>
        <v>27.454689999999992</v>
      </c>
      <c r="C12" s="106">
        <f>累计利润调整表!C73/10000</f>
        <v>0</v>
      </c>
      <c r="D12" s="106">
        <f>累计利润调整表!D73/10000</f>
        <v>-3.0799419999999955</v>
      </c>
      <c r="E12" s="106">
        <f>累计利润调整表!E73/10000</f>
        <v>30.534631999999988</v>
      </c>
      <c r="F12" s="106">
        <f>累计利润调整表!F73/10000</f>
        <v>0</v>
      </c>
      <c r="G12" s="106">
        <f>累计利润调整表!G73/10000</f>
        <v>0</v>
      </c>
      <c r="H12" s="106">
        <f>累计利润调整表!H73/10000</f>
        <v>0</v>
      </c>
      <c r="I12" s="106">
        <f>累计利润调整表!I73/10000</f>
        <v>0</v>
      </c>
      <c r="J12" s="106">
        <f>累计利润调整表!J73/10000</f>
        <v>0</v>
      </c>
      <c r="K12" s="106">
        <f>累计利润调整表!K73/10000</f>
        <v>0</v>
      </c>
      <c r="L12" s="106">
        <f>累计利润调整表!L73/10000</f>
        <v>0</v>
      </c>
      <c r="M12" s="106">
        <f>累计利润调整表!M73/10000</f>
        <v>0</v>
      </c>
      <c r="N12" s="106">
        <f>累计利润调整表!N73/10000</f>
        <v>0</v>
      </c>
      <c r="O12" s="106">
        <f>累计利润调整表!O73/10000</f>
        <v>0</v>
      </c>
      <c r="P12" s="106">
        <f>累计利润调整表!P73/10000</f>
        <v>0</v>
      </c>
      <c r="Q12" s="106">
        <f>累计利润调整表!Q73/10000</f>
        <v>0</v>
      </c>
      <c r="R12" s="106">
        <f>累计利润调整表!R73/10000</f>
        <v>0</v>
      </c>
      <c r="S12" s="106">
        <f>累计利润调整表!S73/10000</f>
        <v>0</v>
      </c>
      <c r="T12" s="106">
        <f>累计利润调整表!T73/10000</f>
        <v>0</v>
      </c>
      <c r="U12" s="106">
        <f>累计利润调整表!U73/10000</f>
        <v>0</v>
      </c>
      <c r="V12" s="106">
        <f>累计利润调整表!V73/10000</f>
        <v>0</v>
      </c>
      <c r="W12" s="106">
        <f>累计利润调整表!W73/10000</f>
        <v>0</v>
      </c>
      <c r="X12" s="106">
        <f>累计利润调整表!X73/10000</f>
        <v>0</v>
      </c>
      <c r="Y12" s="106">
        <f>累计利润调整表!Y73/10000</f>
        <v>0</v>
      </c>
    </row>
    <row r="13" spans="1:25">
      <c r="A13" s="106" t="s">
        <v>186</v>
      </c>
      <c r="B13" s="106">
        <f>累计利润调整表!B74/10000</f>
        <v>62.413495999999995</v>
      </c>
      <c r="C13" s="106">
        <f>累计利润调整表!C74/10000</f>
        <v>-54.528018000000003</v>
      </c>
      <c r="D13" s="106">
        <f>累计利润调整表!D74/10000</f>
        <v>0</v>
      </c>
      <c r="E13" s="106">
        <f>累计利润调整表!E74/10000</f>
        <v>116.94151400000001</v>
      </c>
      <c r="F13" s="106">
        <f>累计利润调整表!F74/10000</f>
        <v>0</v>
      </c>
      <c r="G13" s="106">
        <f>累计利润调整表!G74/10000</f>
        <v>0</v>
      </c>
      <c r="H13" s="106">
        <f>累计利润调整表!H74/10000</f>
        <v>0</v>
      </c>
      <c r="I13" s="106">
        <f>累计利润调整表!I74/10000</f>
        <v>0</v>
      </c>
      <c r="J13" s="106">
        <f>累计利润调整表!J74/10000</f>
        <v>0</v>
      </c>
      <c r="K13" s="106">
        <f>累计利润调整表!K74/10000</f>
        <v>0</v>
      </c>
      <c r="L13" s="106">
        <f>累计利润调整表!L74/10000</f>
        <v>0</v>
      </c>
      <c r="M13" s="106">
        <f>累计利润调整表!M74/10000</f>
        <v>0</v>
      </c>
      <c r="N13" s="106">
        <f>累计利润调整表!N74/10000</f>
        <v>0</v>
      </c>
      <c r="O13" s="106">
        <f>累计利润调整表!O74/10000</f>
        <v>0</v>
      </c>
      <c r="P13" s="106">
        <f>累计利润调整表!P74/10000</f>
        <v>0</v>
      </c>
      <c r="Q13" s="106">
        <f>累计利润调整表!Q74/10000</f>
        <v>0</v>
      </c>
      <c r="R13" s="106">
        <f>累计利润调整表!R74/10000</f>
        <v>0</v>
      </c>
      <c r="S13" s="106">
        <f>累计利润调整表!S74/10000</f>
        <v>0</v>
      </c>
      <c r="T13" s="106">
        <f>累计利润调整表!T74/10000</f>
        <v>0</v>
      </c>
      <c r="U13" s="106">
        <f>累计利润调整表!U74/10000</f>
        <v>0</v>
      </c>
      <c r="V13" s="106">
        <f>累计利润调整表!V74/10000</f>
        <v>0</v>
      </c>
      <c r="W13" s="106">
        <f>累计利润调整表!W74/10000</f>
        <v>0</v>
      </c>
      <c r="X13" s="106">
        <f>累计利润调整表!X74/10000</f>
        <v>0</v>
      </c>
      <c r="Y13" s="106">
        <f>累计利润调整表!Y74/10000</f>
        <v>0</v>
      </c>
    </row>
    <row r="14" spans="1:25">
      <c r="A14" s="108" t="s">
        <v>37</v>
      </c>
      <c r="B14" s="142">
        <f>累计利润调整表!B75/10000</f>
        <v>33984.925389000004</v>
      </c>
      <c r="C14" s="142">
        <f>累计利润调整表!C75/10000</f>
        <v>583.66484566666702</v>
      </c>
      <c r="D14" s="142">
        <f>累计利润调整表!D75/10000</f>
        <v>3763.7624549999973</v>
      </c>
      <c r="E14" s="142">
        <f>累计利润调整表!E75/10000</f>
        <v>17646.374078333338</v>
      </c>
      <c r="F14" s="142">
        <f>累计利润调整表!F75/10000</f>
        <v>359.78092299999997</v>
      </c>
      <c r="G14" s="142">
        <f>累计利润调整表!G75/10000</f>
        <v>1831.058548</v>
      </c>
      <c r="H14" s="142">
        <f>累计利润调整表!H75/10000</f>
        <v>804.52974299999994</v>
      </c>
      <c r="I14" s="142">
        <f>累计利润调整表!I75/10000</f>
        <v>302.80595900000003</v>
      </c>
      <c r="J14" s="142">
        <f>累计利润调整表!J75/10000</f>
        <v>207.65770800000004</v>
      </c>
      <c r="K14" s="142">
        <f>累计利润调整表!K75/10000</f>
        <v>0</v>
      </c>
      <c r="L14" s="142">
        <f>累计利润调整表!L75/10000</f>
        <v>250.19011499999999</v>
      </c>
      <c r="M14" s="142">
        <f>累计利润调整表!M75/10000</f>
        <v>265.875023</v>
      </c>
      <c r="N14" s="142">
        <f>累计利润调整表!N75/10000</f>
        <v>472.03822000000002</v>
      </c>
      <c r="O14" s="142">
        <f>累计利润调整表!O75/10000</f>
        <v>8610.2589189999999</v>
      </c>
      <c r="P14" s="142">
        <f>累计利润调整表!P75/10000</f>
        <v>83.576138999999998</v>
      </c>
      <c r="Q14" s="142">
        <f>累计利润调整表!Q75/10000</f>
        <v>6766.8726260000003</v>
      </c>
      <c r="R14" s="142">
        <f>累计利润调整表!R75/10000</f>
        <v>1588.517595</v>
      </c>
      <c r="S14" s="142">
        <f>累计利润调整表!S75/10000</f>
        <v>171.29255900000001</v>
      </c>
      <c r="T14" s="142">
        <f>累计利润调整表!T75/10000</f>
        <v>717.98739999999998</v>
      </c>
      <c r="U14" s="142">
        <f>累计利润调整表!U75/10000</f>
        <v>180.46663999999998</v>
      </c>
      <c r="V14" s="142">
        <f>累计利润调整表!V75/10000</f>
        <v>37.008495000000003</v>
      </c>
      <c r="W14" s="142">
        <f>累计利润调整表!W75/10000</f>
        <v>500.51226500000001</v>
      </c>
      <c r="X14" s="142">
        <f>累计利润调整表!X75/10000</f>
        <v>0</v>
      </c>
      <c r="Y14" s="142">
        <f>累计利润调整表!Y75/10000</f>
        <v>0</v>
      </c>
    </row>
    <row r="15" spans="1:25">
      <c r="A15" s="109" t="s">
        <v>38</v>
      </c>
      <c r="B15" s="109">
        <f>累计利润调整表!B76/10000</f>
        <v>3909.2700550000004</v>
      </c>
      <c r="C15" s="109">
        <f>累计利润调整表!C76/10000</f>
        <v>-23.228057999999997</v>
      </c>
      <c r="D15" s="109">
        <f>累计利润调整表!D76/10000</f>
        <v>-37.880116999999856</v>
      </c>
      <c r="E15" s="109">
        <f>累计利润调整表!E76/10000</f>
        <v>2112.2521680000004</v>
      </c>
      <c r="F15" s="109">
        <f>累计利润调整表!F76/10000</f>
        <v>61.431752000000003</v>
      </c>
      <c r="G15" s="109">
        <f>累计利润调整表!G76/10000</f>
        <v>348.573125</v>
      </c>
      <c r="H15" s="109">
        <f>累计利润调整表!H76/10000</f>
        <v>306.70321899999999</v>
      </c>
      <c r="I15" s="109">
        <f>累计利润调整表!I76/10000</f>
        <v>24.526624999999999</v>
      </c>
      <c r="J15" s="109">
        <f>累计利润调整表!J76/10000</f>
        <v>17.178963</v>
      </c>
      <c r="K15" s="109">
        <f>累计利润调整表!K76/10000</f>
        <v>0</v>
      </c>
      <c r="L15" s="109">
        <f>累计利润调整表!L76/10000</f>
        <v>-3.3000000000000003E-5</v>
      </c>
      <c r="M15" s="109">
        <f>累计利润调整表!M76/10000</f>
        <v>0.16435100000000094</v>
      </c>
      <c r="N15" s="109">
        <f>累计利润调整表!N76/10000</f>
        <v>34.501033000000007</v>
      </c>
      <c r="O15" s="109">
        <f>累计利润调整表!O76/10000</f>
        <v>1412.788976</v>
      </c>
      <c r="P15" s="109">
        <f>累计利润调整表!P76/10000</f>
        <v>0</v>
      </c>
      <c r="Q15" s="109">
        <f>累计利润调整表!Q76/10000</f>
        <v>1201.808972</v>
      </c>
      <c r="R15" s="109">
        <f>累计利润调整表!R76/10000</f>
        <v>199.58644699999999</v>
      </c>
      <c r="S15" s="109">
        <f>累计利润调整表!S76/10000</f>
        <v>11.393557000000001</v>
      </c>
      <c r="T15" s="109">
        <f>累计利润调整表!T76/10000</f>
        <v>0.83117600000000003</v>
      </c>
      <c r="U15" s="109">
        <f>累计利润调整表!U76/10000</f>
        <v>0</v>
      </c>
      <c r="V15" s="109">
        <f>累计利润调整表!V76/10000</f>
        <v>0.985626</v>
      </c>
      <c r="W15" s="109">
        <f>累计利润调整表!W76/10000</f>
        <v>-0.15445</v>
      </c>
      <c r="X15" s="109">
        <f>累计利润调整表!X76/10000</f>
        <v>0</v>
      </c>
      <c r="Y15" s="109">
        <f>累计利润调整表!Y76/10000</f>
        <v>0</v>
      </c>
    </row>
    <row r="16" spans="1:25">
      <c r="A16" s="109" t="s">
        <v>39</v>
      </c>
      <c r="B16" s="109">
        <f>累计利润调整表!B77/10000</f>
        <v>29837.139580000006</v>
      </c>
      <c r="C16" s="109">
        <f>累计利润调整表!C77/10000</f>
        <v>606.89290366666694</v>
      </c>
      <c r="D16" s="109">
        <f>累计利润调整表!D77/10000</f>
        <v>3775.0452719999971</v>
      </c>
      <c r="E16" s="109">
        <f>累计利润调整表!E77/10000</f>
        <v>15322.20345633334</v>
      </c>
      <c r="F16" s="109">
        <f>累计利润调整表!F77/10000</f>
        <v>298.34917100000001</v>
      </c>
      <c r="G16" s="109">
        <f>累计利润调整表!G77/10000</f>
        <v>1482.4854229999999</v>
      </c>
      <c r="H16" s="109">
        <f>累计利润调整表!H77/10000</f>
        <v>497.82652400000001</v>
      </c>
      <c r="I16" s="109">
        <f>累计利润调整表!I77/10000</f>
        <v>278.27933400000001</v>
      </c>
      <c r="J16" s="109">
        <f>累计利润调整表!J77/10000</f>
        <v>190.47874500000003</v>
      </c>
      <c r="K16" s="109">
        <f>累计利润调整表!K77/10000</f>
        <v>0</v>
      </c>
      <c r="L16" s="109">
        <f>累计利润调整表!L77/10000</f>
        <v>250.19014799999999</v>
      </c>
      <c r="M16" s="109">
        <f>累计利润调整表!M77/10000</f>
        <v>265.71067200000005</v>
      </c>
      <c r="N16" s="109">
        <f>累计利润调整表!N77/10000</f>
        <v>437.53718700000002</v>
      </c>
      <c r="O16" s="109">
        <f>累计利润调整表!O77/10000</f>
        <v>7197.469943000001</v>
      </c>
      <c r="P16" s="109">
        <f>累计利润调整表!P77/10000</f>
        <v>83.576138999999998</v>
      </c>
      <c r="Q16" s="109">
        <f>累计利润调整表!Q77/10000</f>
        <v>5565.0636539999996</v>
      </c>
      <c r="R16" s="109">
        <f>累计利润调整表!R77/10000</f>
        <v>1388.9311480000001</v>
      </c>
      <c r="S16" s="109">
        <f>累计利润调整表!S77/10000</f>
        <v>159.899002</v>
      </c>
      <c r="T16" s="109">
        <f>累计利润调整表!T77/10000</f>
        <v>717.15622400000007</v>
      </c>
      <c r="U16" s="109">
        <f>累计利润调整表!U77/10000</f>
        <v>180.46663999999998</v>
      </c>
      <c r="V16" s="109">
        <f>累计利润调整表!V77/10000</f>
        <v>36.022869</v>
      </c>
      <c r="W16" s="109">
        <f>累计利润调整表!W77/10000</f>
        <v>500.66671500000001</v>
      </c>
      <c r="X16" s="109">
        <f>累计利润调整表!X77/10000</f>
        <v>0</v>
      </c>
      <c r="Y16" s="109">
        <f>累计利润调整表!Y77/10000</f>
        <v>0</v>
      </c>
    </row>
    <row r="17" spans="1:26">
      <c r="A17" s="109" t="s">
        <v>40</v>
      </c>
      <c r="B17" s="109">
        <f>累计利润调整表!B78/10000</f>
        <v>26.597300000000001</v>
      </c>
      <c r="C17" s="109">
        <f>累计利润调整表!C78/10000</f>
        <v>0</v>
      </c>
      <c r="D17" s="109">
        <f>累计利润调整表!D78/10000</f>
        <v>26.597300000000001</v>
      </c>
      <c r="E17" s="109">
        <f>累计利润调整表!E78/10000</f>
        <v>0</v>
      </c>
      <c r="F17" s="109">
        <f>累计利润调整表!F78/10000</f>
        <v>0</v>
      </c>
      <c r="G17" s="109">
        <f>累计利润调整表!G78/10000</f>
        <v>0</v>
      </c>
      <c r="H17" s="109">
        <f>累计利润调整表!H78/10000</f>
        <v>0</v>
      </c>
      <c r="I17" s="109">
        <f>累计利润调整表!I78/10000</f>
        <v>0</v>
      </c>
      <c r="J17" s="109">
        <f>累计利润调整表!J78/10000</f>
        <v>0</v>
      </c>
      <c r="K17" s="109">
        <f>累计利润调整表!K78/10000</f>
        <v>0</v>
      </c>
      <c r="L17" s="109">
        <f>累计利润调整表!L78/10000</f>
        <v>0</v>
      </c>
      <c r="M17" s="109">
        <f>累计利润调整表!M78/10000</f>
        <v>0</v>
      </c>
      <c r="N17" s="109">
        <f>累计利润调整表!N78/10000</f>
        <v>0</v>
      </c>
      <c r="O17" s="109">
        <f>累计利润调整表!O78/10000</f>
        <v>0</v>
      </c>
      <c r="P17" s="109">
        <f>累计利润调整表!P78/10000</f>
        <v>0</v>
      </c>
      <c r="Q17" s="109">
        <f>累计利润调整表!Q78/10000</f>
        <v>0</v>
      </c>
      <c r="R17" s="109">
        <f>累计利润调整表!R78/10000</f>
        <v>0</v>
      </c>
      <c r="S17" s="109">
        <f>累计利润调整表!S78/10000</f>
        <v>0</v>
      </c>
      <c r="T17" s="109">
        <f>累计利润调整表!T78/10000</f>
        <v>0</v>
      </c>
      <c r="U17" s="109">
        <f>累计利润调整表!U78/10000</f>
        <v>0</v>
      </c>
      <c r="V17" s="109">
        <f>累计利润调整表!V78/10000</f>
        <v>0</v>
      </c>
      <c r="W17" s="109">
        <f>累计利润调整表!W78/10000</f>
        <v>0</v>
      </c>
      <c r="X17" s="109">
        <f>累计利润调整表!X78/10000</f>
        <v>0</v>
      </c>
      <c r="Y17" s="109">
        <f>累计利润调整表!Y78/10000</f>
        <v>0</v>
      </c>
    </row>
    <row r="18" spans="1:26">
      <c r="A18" s="109" t="s">
        <v>41</v>
      </c>
      <c r="B18" s="109">
        <f>累计利润调整表!B79/10000</f>
        <v>211.918454</v>
      </c>
      <c r="C18" s="109">
        <f>累计利润调整表!C79/10000</f>
        <v>0</v>
      </c>
      <c r="D18" s="109">
        <f>累计利润调整表!D79/10000</f>
        <v>0</v>
      </c>
      <c r="E18" s="109">
        <f>累计利润调整表!E79/10000</f>
        <v>211.918454</v>
      </c>
      <c r="F18" s="109">
        <f>累计利润调整表!F79/10000</f>
        <v>0</v>
      </c>
      <c r="G18" s="109">
        <f>累计利润调整表!G79/10000</f>
        <v>0</v>
      </c>
      <c r="H18" s="109">
        <f>累计利润调整表!H79/10000</f>
        <v>0</v>
      </c>
      <c r="I18" s="109">
        <f>累计利润调整表!I79/10000</f>
        <v>0</v>
      </c>
      <c r="J18" s="109">
        <f>累计利润调整表!J79/10000</f>
        <v>0</v>
      </c>
      <c r="K18" s="109">
        <f>累计利润调整表!K79/10000</f>
        <v>0</v>
      </c>
      <c r="L18" s="109">
        <f>累计利润调整表!L79/10000</f>
        <v>0</v>
      </c>
      <c r="M18" s="109">
        <f>累计利润调整表!M79/10000</f>
        <v>0</v>
      </c>
      <c r="N18" s="109">
        <f>累计利润调整表!N79/10000</f>
        <v>0</v>
      </c>
      <c r="O18" s="109">
        <f>累计利润调整表!O79/10000</f>
        <v>0</v>
      </c>
      <c r="P18" s="109">
        <f>累计利润调整表!P79/10000</f>
        <v>0</v>
      </c>
      <c r="Q18" s="109">
        <f>累计利润调整表!Q79/10000</f>
        <v>0</v>
      </c>
      <c r="R18" s="109">
        <f>累计利润调整表!R79/10000</f>
        <v>0</v>
      </c>
      <c r="S18" s="109">
        <f>累计利润调整表!S79/10000</f>
        <v>0</v>
      </c>
      <c r="T18" s="109">
        <f>累计利润调整表!T79/10000</f>
        <v>0</v>
      </c>
      <c r="U18" s="109">
        <f>累计利润调整表!U79/10000</f>
        <v>0</v>
      </c>
      <c r="V18" s="109">
        <f>累计利润调整表!V79/10000</f>
        <v>0</v>
      </c>
      <c r="W18" s="109">
        <f>累计利润调整表!W79/10000</f>
        <v>0</v>
      </c>
      <c r="X18" s="109">
        <f>累计利润调整表!X79/10000</f>
        <v>0</v>
      </c>
      <c r="Y18" s="109">
        <f>累计利润调整表!Y79/10000</f>
        <v>0</v>
      </c>
    </row>
    <row r="19" spans="1:26">
      <c r="A19" s="108" t="s">
        <v>42</v>
      </c>
      <c r="B19" s="142">
        <f>累计利润调整表!B80/10000</f>
        <v>21341.933347374423</v>
      </c>
      <c r="C19" s="142">
        <f>累计利润调整表!C80/10000</f>
        <v>-3021.2046774968558</v>
      </c>
      <c r="D19" s="142">
        <f>累计利润调整表!D80/10000</f>
        <v>-16550.870889555543</v>
      </c>
      <c r="E19" s="142">
        <f>累计利润调整表!E80/10000</f>
        <v>39705.729401000011</v>
      </c>
      <c r="F19" s="142">
        <f>累计利润调整表!F80/10000</f>
        <v>-23239.033423000001</v>
      </c>
      <c r="G19" s="142">
        <f>累计利润调整表!G80/10000</f>
        <v>4991.6932578712831</v>
      </c>
      <c r="H19" s="142">
        <f>累计利润调整表!H80/10000</f>
        <v>8413.4689950000011</v>
      </c>
      <c r="I19" s="142">
        <f>累计利润调整表!I80/10000</f>
        <v>-3101.9676831698125</v>
      </c>
      <c r="J19" s="142">
        <f>累计利润调整表!J80/10000</f>
        <v>228.05808199999998</v>
      </c>
      <c r="K19" s="142">
        <f>累计利润调整表!K80/10000</f>
        <v>0</v>
      </c>
      <c r="L19" s="142">
        <f>累计利润调整表!L80/10000</f>
        <v>-249.811981</v>
      </c>
      <c r="M19" s="142">
        <f>累计利润调整表!M80/10000</f>
        <v>-298.05415495890412</v>
      </c>
      <c r="N19" s="142">
        <f>累计利润调整表!N80/10000</f>
        <v>572.76664299999993</v>
      </c>
      <c r="O19" s="142">
        <f>累计利润调整表!O80/10000</f>
        <v>19550.933552555554</v>
      </c>
      <c r="P19" s="142">
        <f>累计利润调整表!P80/10000</f>
        <v>-83.576138999999998</v>
      </c>
      <c r="Q19" s="142">
        <f>累计利润调整表!Q80/10000</f>
        <v>17379.443536000002</v>
      </c>
      <c r="R19" s="142">
        <f>累计利润调整表!R80/10000</f>
        <v>2195.8031590000005</v>
      </c>
      <c r="S19" s="142">
        <f>累计利润调整表!S80/10000</f>
        <v>59.262996555555539</v>
      </c>
      <c r="T19" s="142">
        <f>累计利润调整表!T80/10000</f>
        <v>-668.08051699999999</v>
      </c>
      <c r="U19" s="142">
        <f>累计利润调整表!U80/10000</f>
        <v>-180.33222699999999</v>
      </c>
      <c r="V19" s="142">
        <f>累计利润调整表!V80/10000</f>
        <v>12.783958999999996</v>
      </c>
      <c r="W19" s="142">
        <f>累计利润调整表!W80/10000</f>
        <v>-500.53224900000004</v>
      </c>
      <c r="X19" s="142">
        <f>累计利润调整表!X80/10000</f>
        <v>0</v>
      </c>
      <c r="Y19" s="142">
        <f>累计利润调整表!Y80/10000</f>
        <v>0</v>
      </c>
    </row>
    <row r="20" spans="1:26">
      <c r="A20" s="109" t="s">
        <v>43</v>
      </c>
      <c r="B20" s="109">
        <f>累计利润调整表!B81/10000</f>
        <v>25.29111</v>
      </c>
      <c r="C20" s="109">
        <f>累计利润调整表!C81/10000</f>
        <v>0</v>
      </c>
      <c r="D20" s="109">
        <f>累计利润调整表!D81/10000</f>
        <v>15.795713000000001</v>
      </c>
      <c r="E20" s="109">
        <f>累计利润调整表!E81/10000</f>
        <v>9.4953970000000005</v>
      </c>
      <c r="F20" s="109">
        <f>累计利润调整表!F81/10000</f>
        <v>0</v>
      </c>
      <c r="G20" s="109">
        <f>累计利润调整表!G81/10000</f>
        <v>0</v>
      </c>
      <c r="H20" s="109">
        <f>累计利润调整表!H81/10000</f>
        <v>0</v>
      </c>
      <c r="I20" s="109">
        <f>累计利润调整表!I81/10000</f>
        <v>0</v>
      </c>
      <c r="J20" s="109">
        <f>累计利润调整表!J81/10000</f>
        <v>0</v>
      </c>
      <c r="K20" s="109">
        <f>累计利润调整表!K81/10000</f>
        <v>0</v>
      </c>
      <c r="L20" s="109">
        <f>累计利润调整表!L81/10000</f>
        <v>0</v>
      </c>
      <c r="M20" s="109">
        <f>累计利润调整表!M81/10000</f>
        <v>0</v>
      </c>
      <c r="N20" s="109">
        <f>累计利润调整表!N81/10000</f>
        <v>0</v>
      </c>
      <c r="O20" s="109">
        <f>累计利润调整表!O81/10000</f>
        <v>0</v>
      </c>
      <c r="P20" s="109">
        <f>累计利润调整表!P81/10000</f>
        <v>0</v>
      </c>
      <c r="Q20" s="109">
        <f>累计利润调整表!Q81/10000</f>
        <v>0</v>
      </c>
      <c r="R20" s="109">
        <f>累计利润调整表!R81/10000</f>
        <v>0</v>
      </c>
      <c r="S20" s="109">
        <f>累计利润调整表!S81/10000</f>
        <v>0</v>
      </c>
      <c r="T20" s="109">
        <f>累计利润调整表!T81/10000</f>
        <v>0</v>
      </c>
      <c r="U20" s="109">
        <f>累计利润调整表!U81/10000</f>
        <v>0</v>
      </c>
      <c r="V20" s="109">
        <f>累计利润调整表!V81/10000</f>
        <v>0</v>
      </c>
      <c r="W20" s="109">
        <f>累计利润调整表!W81/10000</f>
        <v>0</v>
      </c>
      <c r="X20" s="109">
        <f>累计利润调整表!X81/10000</f>
        <v>0</v>
      </c>
      <c r="Y20" s="109">
        <f>累计利润调整表!Y81/10000</f>
        <v>0</v>
      </c>
    </row>
    <row r="21" spans="1:26">
      <c r="A21" s="109" t="s">
        <v>44</v>
      </c>
      <c r="B21" s="109">
        <f>累计利润调整表!B82/10000</f>
        <v>32.937522999999999</v>
      </c>
      <c r="C21" s="109">
        <f>累计利润调整表!C82/10000</f>
        <v>0</v>
      </c>
      <c r="D21" s="109">
        <f>累计利润调整表!D82/10000</f>
        <v>5.8416349999999957</v>
      </c>
      <c r="E21" s="109">
        <f>累计利润调整表!E82/10000</f>
        <v>26.598371000000004</v>
      </c>
      <c r="F21" s="109">
        <f>累计利润调整表!F82/10000</f>
        <v>0</v>
      </c>
      <c r="G21" s="109">
        <f>累计利润调整表!G82/10000</f>
        <v>0</v>
      </c>
      <c r="H21" s="109">
        <f>累计利润调整表!H82/10000</f>
        <v>0</v>
      </c>
      <c r="I21" s="109">
        <f>累计利润调整表!I82/10000</f>
        <v>0</v>
      </c>
      <c r="J21" s="109">
        <f>累计利润调整表!J82/10000</f>
        <v>0</v>
      </c>
      <c r="K21" s="109">
        <f>累计利润调整表!K82/10000</f>
        <v>0</v>
      </c>
      <c r="L21" s="109">
        <f>累计利润调整表!L82/10000</f>
        <v>0</v>
      </c>
      <c r="M21" s="109">
        <f>累计利润调整表!M82/10000</f>
        <v>0</v>
      </c>
      <c r="N21" s="109">
        <f>累计利润调整表!N82/10000</f>
        <v>0.13387399999999999</v>
      </c>
      <c r="O21" s="109">
        <f>累计利润调整表!O82/10000</f>
        <v>0</v>
      </c>
      <c r="P21" s="109">
        <f>累计利润调整表!P82/10000</f>
        <v>0</v>
      </c>
      <c r="Q21" s="109">
        <f>累计利润调整表!Q82/10000</f>
        <v>0</v>
      </c>
      <c r="R21" s="109">
        <f>累计利润调整表!R82/10000</f>
        <v>0</v>
      </c>
      <c r="S21" s="109">
        <f>累计利润调整表!S82/10000</f>
        <v>0</v>
      </c>
      <c r="T21" s="109">
        <f>累计利润调整表!T82/10000</f>
        <v>0.36364299999999999</v>
      </c>
      <c r="U21" s="109">
        <f>累计利润调整表!U82/10000</f>
        <v>0</v>
      </c>
      <c r="V21" s="109">
        <f>累计利润调整表!V82/10000</f>
        <v>0</v>
      </c>
      <c r="W21" s="109">
        <f>累计利润调整表!W82/10000</f>
        <v>0.36364299999999999</v>
      </c>
      <c r="X21" s="109">
        <f>累计利润调整表!X82/10000</f>
        <v>0</v>
      </c>
      <c r="Y21" s="109">
        <f>累计利润调整表!Y82/10000</f>
        <v>0</v>
      </c>
    </row>
    <row r="22" spans="1:26">
      <c r="A22" s="108" t="s">
        <v>45</v>
      </c>
      <c r="B22" s="142">
        <f>累计利润调整表!B83/10000</f>
        <v>21334.286934374424</v>
      </c>
      <c r="C22" s="142">
        <f>累计利润调整表!C83/10000</f>
        <v>-3021.2046774968558</v>
      </c>
      <c r="D22" s="142">
        <f>累计利润调整表!D83/10000</f>
        <v>-16540.916811555544</v>
      </c>
      <c r="E22" s="142">
        <f>累计利润调整表!E83/10000</f>
        <v>39688.62642700001</v>
      </c>
      <c r="F22" s="142">
        <f>累计利润调整表!F83/10000</f>
        <v>-23239.033423000001</v>
      </c>
      <c r="G22" s="142">
        <f>累计利润调整表!G83/10000</f>
        <v>4991.6932578712831</v>
      </c>
      <c r="H22" s="142">
        <f>累计利润调整表!H83/10000</f>
        <v>8413.4689950000011</v>
      </c>
      <c r="I22" s="142">
        <f>累计利润调整表!I83/10000</f>
        <v>-3101.9676831698125</v>
      </c>
      <c r="J22" s="142">
        <f>累计利润调整表!J83/10000</f>
        <v>228.05808199999998</v>
      </c>
      <c r="K22" s="142">
        <f>累计利润调整表!K83/10000</f>
        <v>0</v>
      </c>
      <c r="L22" s="142">
        <f>累计利润调整表!L83/10000</f>
        <v>-249.811981</v>
      </c>
      <c r="M22" s="142">
        <f>累计利润调整表!M83/10000</f>
        <v>-298.05415495890412</v>
      </c>
      <c r="N22" s="142">
        <f>累计利润调整表!N83/10000</f>
        <v>572.63276900000005</v>
      </c>
      <c r="O22" s="142">
        <f>累计利润调整表!O83/10000</f>
        <v>19550.933552555554</v>
      </c>
      <c r="P22" s="142">
        <f>累计利润调整表!P83/10000</f>
        <v>-83.576138999999998</v>
      </c>
      <c r="Q22" s="142">
        <f>累计利润调整表!Q83/10000</f>
        <v>17379.443536000002</v>
      </c>
      <c r="R22" s="142">
        <f>累计利润调整表!R83/10000</f>
        <v>2195.8031590000005</v>
      </c>
      <c r="S22" s="142">
        <f>累计利润调整表!S83/10000</f>
        <v>59.262996555555539</v>
      </c>
      <c r="T22" s="142">
        <f>累计利润调整表!T83/10000</f>
        <v>-668.44416000000001</v>
      </c>
      <c r="U22" s="142">
        <f>累计利润调整表!U83/10000</f>
        <v>-180.33222699999999</v>
      </c>
      <c r="V22" s="142">
        <f>累计利润调整表!V83/10000</f>
        <v>12.783958999999996</v>
      </c>
      <c r="W22" s="142">
        <f>累计利润调整表!W83/10000</f>
        <v>-500.89589200000006</v>
      </c>
      <c r="X22" s="142">
        <f>累计利润调整表!X83/10000</f>
        <v>0</v>
      </c>
      <c r="Y22" s="142">
        <f>累计利润调整表!Y83/10000</f>
        <v>0</v>
      </c>
    </row>
    <row r="23" spans="1:26">
      <c r="A23" s="109" t="s">
        <v>46</v>
      </c>
      <c r="B23" s="109">
        <f>累计利润调整表!B84/10000</f>
        <v>677.31923433333259</v>
      </c>
      <c r="C23" s="109">
        <f>累计利润调整表!C84/10000</f>
        <v>-3558.4962846666672</v>
      </c>
      <c r="D23" s="109">
        <f>累计利润调整表!D84/10000</f>
        <v>4235.8155189999998</v>
      </c>
      <c r="E23" s="109">
        <f>累计利润调整表!E84/10000</f>
        <v>0</v>
      </c>
      <c r="F23" s="109">
        <f>累计利润调整表!F84/10000</f>
        <v>0</v>
      </c>
      <c r="G23" s="109">
        <f>累计利润调整表!G84/10000</f>
        <v>0</v>
      </c>
      <c r="H23" s="109">
        <f>累计利润调整表!H84/10000</f>
        <v>0</v>
      </c>
      <c r="I23" s="109">
        <f>累计利润调整表!I84/10000</f>
        <v>0</v>
      </c>
      <c r="J23" s="109">
        <f>累计利润调整表!J84/10000</f>
        <v>0</v>
      </c>
      <c r="K23" s="109">
        <f>累计利润调整表!K84/10000</f>
        <v>0</v>
      </c>
      <c r="L23" s="109">
        <f>累计利润调整表!L84/10000</f>
        <v>0</v>
      </c>
      <c r="M23" s="109">
        <f>累计利润调整表!M84/10000</f>
        <v>0</v>
      </c>
      <c r="N23" s="109">
        <f>累计利润调整表!N84/10000</f>
        <v>0</v>
      </c>
      <c r="O23" s="109">
        <f>累计利润调整表!O84/10000</f>
        <v>0</v>
      </c>
      <c r="P23" s="109">
        <f>累计利润调整表!P84/10000</f>
        <v>0</v>
      </c>
      <c r="Q23" s="109">
        <f>累计利润调整表!Q84/10000</f>
        <v>0</v>
      </c>
      <c r="R23" s="109">
        <f>累计利润调整表!R84/10000</f>
        <v>0</v>
      </c>
      <c r="S23" s="109">
        <f>累计利润调整表!S84/10000</f>
        <v>0</v>
      </c>
      <c r="T23" s="109">
        <f>累计利润调整表!T84/10000</f>
        <v>0</v>
      </c>
      <c r="U23" s="109">
        <f>累计利润调整表!U84/10000</f>
        <v>0</v>
      </c>
      <c r="V23" s="109">
        <f>累计利润调整表!V84/10000</f>
        <v>0</v>
      </c>
      <c r="W23" s="109">
        <f>累计利润调整表!W84/10000</f>
        <v>0</v>
      </c>
      <c r="X23" s="109">
        <f>累计利润调整表!X84/10000</f>
        <v>0</v>
      </c>
      <c r="Y23" s="109">
        <f>累计利润调整表!Y84/10000</f>
        <v>0</v>
      </c>
    </row>
    <row r="24" spans="1:26">
      <c r="A24" s="108" t="s">
        <v>47</v>
      </c>
      <c r="B24" s="142">
        <f>累计利润调整表!B85/10000</f>
        <v>20656.967700041092</v>
      </c>
      <c r="C24" s="142">
        <f>累计利润调整表!C85/10000</f>
        <v>537.29160716981164</v>
      </c>
      <c r="D24" s="142">
        <f>累计利润调整表!D85/10000</f>
        <v>-20776.732330555544</v>
      </c>
      <c r="E24" s="142">
        <f>累计利润调整表!E85/10000</f>
        <v>39688.62642700001</v>
      </c>
      <c r="F24" s="142">
        <f>累计利润调整表!F85/10000</f>
        <v>-23239.033423000001</v>
      </c>
      <c r="G24" s="142">
        <f>累计利润调整表!G85/10000</f>
        <v>4991.6932578712831</v>
      </c>
      <c r="H24" s="142">
        <f>累计利润调整表!H85/10000</f>
        <v>8413.4689950000011</v>
      </c>
      <c r="I24" s="142">
        <f>累计利润调整表!I85/10000</f>
        <v>-3101.9676831698125</v>
      </c>
      <c r="J24" s="142">
        <f>累计利润调整表!J85/10000</f>
        <v>228.05808199999998</v>
      </c>
      <c r="K24" s="142">
        <f>累计利润调整表!K85/10000</f>
        <v>0</v>
      </c>
      <c r="L24" s="142">
        <f>累计利润调整表!L85/10000</f>
        <v>-249.811981</v>
      </c>
      <c r="M24" s="142">
        <f>累计利润调整表!M85/10000</f>
        <v>-298.05415495890412</v>
      </c>
      <c r="N24" s="142">
        <f>累计利润调整表!N85/10000</f>
        <v>572.63276900000005</v>
      </c>
      <c r="O24" s="142">
        <f>累计利润调整表!O85/10000</f>
        <v>19550.933552555554</v>
      </c>
      <c r="P24" s="142">
        <f>累计利润调整表!P85/10000</f>
        <v>-83.576138999999998</v>
      </c>
      <c r="Q24" s="142">
        <f>累计利润调整表!Q85/10000</f>
        <v>17379.443536000002</v>
      </c>
      <c r="R24" s="142">
        <f>累计利润调整表!R85/10000</f>
        <v>2195.8031590000005</v>
      </c>
      <c r="S24" s="142">
        <f>累计利润调整表!S85/10000</f>
        <v>59.262996555555539</v>
      </c>
      <c r="T24" s="142">
        <f>累计利润调整表!T85/10000</f>
        <v>-668.44416000000001</v>
      </c>
      <c r="U24" s="142">
        <f>累计利润调整表!U85/10000</f>
        <v>-180.33222699999999</v>
      </c>
      <c r="V24" s="142">
        <f>累计利润调整表!V85/10000</f>
        <v>12.783958999999996</v>
      </c>
      <c r="W24" s="142">
        <f>累计利润调整表!W85/10000</f>
        <v>-500.89589200000006</v>
      </c>
      <c r="X24" s="142">
        <f>累计利润调整表!X85/10000</f>
        <v>0</v>
      </c>
      <c r="Y24" s="142">
        <f>累计利润调整表!Y85/10000</f>
        <v>0</v>
      </c>
    </row>
    <row r="25" spans="1:26">
      <c r="A25" s="110" t="s">
        <v>48</v>
      </c>
      <c r="B25" s="143">
        <f>累计利润调整表!B86/10000</f>
        <v>0</v>
      </c>
      <c r="C25" s="143">
        <f>累计利润调整表!C86/10000</f>
        <v>0</v>
      </c>
      <c r="D25" s="143">
        <f>累计利润调整表!D86/10000</f>
        <v>0</v>
      </c>
      <c r="E25" s="143">
        <f>累计利润调整表!E86/10000</f>
        <v>0</v>
      </c>
      <c r="F25" s="143">
        <f>累计利润调整表!F86/10000</f>
        <v>0</v>
      </c>
      <c r="G25" s="143">
        <f>累计利润调整表!G86/10000</f>
        <v>0</v>
      </c>
      <c r="H25" s="143">
        <f>累计利润调整表!H86/10000</f>
        <v>0</v>
      </c>
      <c r="I25" s="143">
        <f>累计利润调整表!I86/10000</f>
        <v>0</v>
      </c>
      <c r="J25" s="143">
        <f>累计利润调整表!J86/10000</f>
        <v>0</v>
      </c>
      <c r="K25" s="143">
        <f>累计利润调整表!K86/10000</f>
        <v>0</v>
      </c>
      <c r="L25" s="143">
        <f>累计利润调整表!L86/10000</f>
        <v>0</v>
      </c>
      <c r="M25" s="143">
        <f>累计利润调整表!M86/10000</f>
        <v>0</v>
      </c>
      <c r="N25" s="143">
        <f>累计利润调整表!N86/10000</f>
        <v>0</v>
      </c>
      <c r="O25" s="143">
        <f>累计利润调整表!O86/10000</f>
        <v>0</v>
      </c>
      <c r="P25" s="143">
        <f>累计利润调整表!P86/10000</f>
        <v>0</v>
      </c>
      <c r="Q25" s="143">
        <f>累计利润调整表!Q86/10000</f>
        <v>0</v>
      </c>
      <c r="R25" s="143">
        <f>累计利润调整表!R86/10000</f>
        <v>0</v>
      </c>
      <c r="S25" s="143">
        <f>累计利润调整表!S86/10000</f>
        <v>0</v>
      </c>
      <c r="T25" s="143">
        <f>累计利润调整表!T86/10000</f>
        <v>0</v>
      </c>
      <c r="U25" s="143">
        <f>累计利润调整表!U86/10000</f>
        <v>0</v>
      </c>
      <c r="V25" s="143">
        <f>累计利润调整表!V86/10000</f>
        <v>0</v>
      </c>
      <c r="W25" s="143">
        <f>累计利润调整表!W86/10000</f>
        <v>0</v>
      </c>
      <c r="X25" s="143">
        <f>累计利润调整表!X86/10000</f>
        <v>0</v>
      </c>
      <c r="Y25" s="143">
        <f>累计利润调整表!Y86/10000</f>
        <v>0</v>
      </c>
    </row>
    <row r="26" spans="1:26" ht="14.25" thickBot="1">
      <c r="A26" s="111" t="s">
        <v>49</v>
      </c>
      <c r="B26" s="144">
        <f>累计利润调整表!B87/10000</f>
        <v>20656.967700041092</v>
      </c>
      <c r="C26" s="144">
        <f>累计利润调整表!C87/10000</f>
        <v>537.29160716981164</v>
      </c>
      <c r="D26" s="144">
        <f>累计利润调整表!D87/10000</f>
        <v>-20776.732330555544</v>
      </c>
      <c r="E26" s="144">
        <f>累计利润调整表!E87/10000</f>
        <v>39688.626427000003</v>
      </c>
      <c r="F26" s="144">
        <f>累计利润调整表!F87/10000</f>
        <v>-23239.033423000004</v>
      </c>
      <c r="G26" s="144">
        <f>累计利润调整表!G87/10000</f>
        <v>4991.6932578712822</v>
      </c>
      <c r="H26" s="144">
        <f>累计利润调整表!H87/10000</f>
        <v>8413.4689950000011</v>
      </c>
      <c r="I26" s="144">
        <f>累计利润调整表!I87/10000</f>
        <v>-3101.9676831698125</v>
      </c>
      <c r="J26" s="144">
        <f>累计利润调整表!J87/10000</f>
        <v>228.05808199999998</v>
      </c>
      <c r="K26" s="144">
        <f>累计利润调整表!K87/10000</f>
        <v>0</v>
      </c>
      <c r="L26" s="144">
        <f>累计利润调整表!L87/10000</f>
        <v>-249.811981</v>
      </c>
      <c r="M26" s="144">
        <f>累计利润调整表!M87/10000</f>
        <v>-298.05415495890412</v>
      </c>
      <c r="N26" s="144">
        <f>累计利润调整表!N87/10000</f>
        <v>572.63276900000005</v>
      </c>
      <c r="O26" s="144">
        <f>累计利润调整表!O87/10000</f>
        <v>19550.933552555554</v>
      </c>
      <c r="P26" s="144">
        <f>累计利润调整表!P87/10000</f>
        <v>-83.576138999999998</v>
      </c>
      <c r="Q26" s="144">
        <f>累计利润调整表!Q87/10000</f>
        <v>17379.443536000002</v>
      </c>
      <c r="R26" s="144">
        <f>累计利润调整表!R87/10000</f>
        <v>2195.8031590000005</v>
      </c>
      <c r="S26" s="144">
        <f>累计利润调整表!S87/10000</f>
        <v>59.262996555555539</v>
      </c>
      <c r="T26" s="144">
        <f>累计利润调整表!T87/10000</f>
        <v>-668.44416000000001</v>
      </c>
      <c r="U26" s="144">
        <f>累计利润调整表!U87/10000</f>
        <v>-180.33222699999999</v>
      </c>
      <c r="V26" s="144">
        <f>累计利润调整表!V87/10000</f>
        <v>12.783958999999996</v>
      </c>
      <c r="W26" s="144">
        <f>累计利润调整表!W87/10000</f>
        <v>-500.89589200000006</v>
      </c>
      <c r="X26" s="144">
        <f>累计利润调整表!X87/10000</f>
        <v>0</v>
      </c>
      <c r="Y26" s="144">
        <f>累计利润调整表!Y87/10000</f>
        <v>0</v>
      </c>
    </row>
    <row r="27" spans="1:26">
      <c r="A27" s="89"/>
      <c r="B27" s="90">
        <f>累计利润调整表!B88/10000</f>
        <v>0</v>
      </c>
      <c r="C27" s="90">
        <f>累计利润调整表!C88/10000</f>
        <v>0</v>
      </c>
      <c r="D27" s="90">
        <f>累计利润调整表!D88/10000</f>
        <v>0</v>
      </c>
      <c r="E27" s="90">
        <f>累计利润调整表!E88/10000</f>
        <v>0</v>
      </c>
      <c r="F27" s="90">
        <f>累计利润调整表!F88/10000</f>
        <v>0</v>
      </c>
      <c r="G27" s="90">
        <f>累计利润调整表!G88/10000</f>
        <v>0</v>
      </c>
      <c r="H27" s="90">
        <f>累计利润调整表!H88/10000</f>
        <v>0</v>
      </c>
      <c r="I27" s="90">
        <f>累计利润调整表!I88/10000</f>
        <v>0</v>
      </c>
      <c r="J27" s="90">
        <f>累计利润调整表!J88/10000</f>
        <v>0</v>
      </c>
      <c r="K27" s="90">
        <f>累计利润调整表!K88/10000</f>
        <v>0</v>
      </c>
      <c r="L27" s="90">
        <f>累计利润调整表!L88/10000</f>
        <v>0</v>
      </c>
      <c r="M27" s="90">
        <f>累计利润调整表!M88/10000</f>
        <v>0</v>
      </c>
      <c r="N27" s="90">
        <f>累计利润调整表!N88/10000</f>
        <v>0</v>
      </c>
      <c r="O27" s="90">
        <f>累计利润调整表!O88/10000</f>
        <v>0</v>
      </c>
      <c r="P27" s="90">
        <f>累计利润调整表!P88/10000</f>
        <v>0</v>
      </c>
      <c r="Q27" s="90">
        <f>累计利润调整表!Q88/10000</f>
        <v>0</v>
      </c>
      <c r="R27" s="90">
        <f>累计利润调整表!R88/10000</f>
        <v>0</v>
      </c>
      <c r="S27" s="90">
        <f>累计利润调整表!S88/10000</f>
        <v>0</v>
      </c>
      <c r="T27" s="90">
        <f>累计利润调整表!T88/10000</f>
        <v>0</v>
      </c>
      <c r="U27" s="90">
        <f>累计利润调整表!U88/10000</f>
        <v>0</v>
      </c>
      <c r="V27" s="90">
        <f>累计利润调整表!V88/10000</f>
        <v>0</v>
      </c>
      <c r="W27" s="90">
        <f>累计利润调整表!W88/10000</f>
        <v>0</v>
      </c>
      <c r="X27" s="90">
        <f>累计利润调整表!X88/10000</f>
        <v>0</v>
      </c>
      <c r="Y27" s="90">
        <f>累计利润调整表!Y88/10000</f>
        <v>0</v>
      </c>
    </row>
    <row r="28" spans="1:26">
      <c r="A28" s="100" t="s">
        <v>52</v>
      </c>
      <c r="B28" s="145">
        <f>累计利润调整表!B89/10000</f>
        <v>14020.459782</v>
      </c>
      <c r="C28" s="145">
        <f>累计利润调整表!C89/10000</f>
        <v>0</v>
      </c>
      <c r="D28" s="145">
        <f>累计利润调整表!D89/10000</f>
        <v>0</v>
      </c>
      <c r="E28" s="145">
        <f>累计利润调整表!E89/10000</f>
        <v>14020.459782</v>
      </c>
      <c r="F28" s="145">
        <f>累计利润调整表!F89/10000</f>
        <v>0</v>
      </c>
      <c r="G28" s="145">
        <f>累计利润调整表!G89/10000</f>
        <v>0</v>
      </c>
      <c r="H28" s="145">
        <f>累计利润调整表!H89/10000</f>
        <v>0</v>
      </c>
      <c r="I28" s="145">
        <f>累计利润调整表!I89/10000</f>
        <v>0</v>
      </c>
      <c r="J28" s="145">
        <f>累计利润调整表!J89/10000</f>
        <v>0</v>
      </c>
      <c r="K28" s="145">
        <f>累计利润调整表!K89/10000</f>
        <v>0</v>
      </c>
      <c r="L28" s="145">
        <f>累计利润调整表!L89/10000</f>
        <v>0</v>
      </c>
      <c r="M28" s="145">
        <f>累计利润调整表!M89/10000</f>
        <v>0</v>
      </c>
      <c r="N28" s="145">
        <f>累计利润调整表!N89/10000</f>
        <v>0</v>
      </c>
      <c r="O28" s="145">
        <f>累计利润调整表!O89/10000</f>
        <v>0</v>
      </c>
      <c r="P28" s="145">
        <f>累计利润调整表!P89/10000</f>
        <v>0</v>
      </c>
      <c r="Q28" s="145">
        <f>累计利润调整表!Q89/10000</f>
        <v>0</v>
      </c>
      <c r="R28" s="145">
        <f>累计利润调整表!R89/10000</f>
        <v>0</v>
      </c>
      <c r="S28" s="145">
        <f>累计利润调整表!S89/10000</f>
        <v>0</v>
      </c>
      <c r="T28" s="145">
        <f>累计利润调整表!T89/10000</f>
        <v>0</v>
      </c>
      <c r="U28" s="145">
        <f>累计利润调整表!U89/10000</f>
        <v>0</v>
      </c>
      <c r="V28" s="145">
        <f>累计利润调整表!V89/10000</f>
        <v>0</v>
      </c>
      <c r="W28" s="145">
        <f>累计利润调整表!W89/10000</f>
        <v>0</v>
      </c>
      <c r="X28" s="145">
        <f>累计利润调整表!X89/10000</f>
        <v>0</v>
      </c>
      <c r="Y28" s="145">
        <f>累计利润调整表!Y89/10000</f>
        <v>0</v>
      </c>
    </row>
    <row r="29" spans="1:26" ht="14.25" thickBot="1">
      <c r="A29" s="103" t="s">
        <v>55</v>
      </c>
      <c r="B29" s="146">
        <f>累计利润调整表!B90/10000</f>
        <v>0</v>
      </c>
      <c r="C29" s="146">
        <f>累计利润调整表!C90/10000</f>
        <v>537.29160716981164</v>
      </c>
      <c r="D29" s="146">
        <f>累计利润调整表!D90/10000</f>
        <v>-20776.732330555544</v>
      </c>
      <c r="E29" s="146">
        <f>累计利润调整表!E90/10000</f>
        <v>25668.166645000005</v>
      </c>
      <c r="F29" s="146">
        <f>累计利润调整表!F90/10000</f>
        <v>-23239.033423000004</v>
      </c>
      <c r="G29" s="146">
        <f>累计利润调整表!G90/10000</f>
        <v>4991.6932578712822</v>
      </c>
      <c r="H29" s="146">
        <f>累计利润调整表!H90/10000</f>
        <v>8413.4689950000011</v>
      </c>
      <c r="I29" s="146">
        <f>累计利润调整表!I90/10000</f>
        <v>-3101.9676831698125</v>
      </c>
      <c r="J29" s="146">
        <f>累计利润调整表!J90/10000</f>
        <v>228.05808199999998</v>
      </c>
      <c r="K29" s="146">
        <f>累计利润调整表!K90/10000</f>
        <v>0</v>
      </c>
      <c r="L29" s="146">
        <f>累计利润调整表!L90/10000</f>
        <v>-249.811981</v>
      </c>
      <c r="M29" s="146">
        <f>累计利润调整表!M90/10000</f>
        <v>-298.05415495890412</v>
      </c>
      <c r="N29" s="146">
        <f>累计利润调整表!N90/10000</f>
        <v>572.63276900000005</v>
      </c>
      <c r="O29" s="146">
        <f>累计利润调整表!O90/10000</f>
        <v>19550.933552555554</v>
      </c>
      <c r="P29" s="146">
        <f>累计利润调整表!P90/10000</f>
        <v>-83.576138999999998</v>
      </c>
      <c r="Q29" s="146">
        <f>累计利润调整表!Q90/10000</f>
        <v>17379.443536000002</v>
      </c>
      <c r="R29" s="146">
        <f>累计利润调整表!R90/10000</f>
        <v>2195.8031590000005</v>
      </c>
      <c r="S29" s="146">
        <f>累计利润调整表!S90/10000</f>
        <v>59.262996555555539</v>
      </c>
      <c r="T29" s="146">
        <f>累计利润调整表!T90/10000</f>
        <v>-668.44416000000001</v>
      </c>
      <c r="U29" s="146">
        <f>累计利润调整表!U90/10000</f>
        <v>-180.33222699999999</v>
      </c>
      <c r="V29" s="146">
        <f>累计利润调整表!V90/10000</f>
        <v>12.783958999999996</v>
      </c>
      <c r="W29" s="146">
        <f>累计利润调整表!W90/10000</f>
        <v>-500.89589200000006</v>
      </c>
      <c r="X29" s="146">
        <f>累计利润调整表!X90/10000</f>
        <v>0</v>
      </c>
      <c r="Y29" s="146">
        <f>累计利润调整表!Y90/10000</f>
        <v>0</v>
      </c>
    </row>
    <row r="31" spans="1:26" ht="14.25" thickBot="1">
      <c r="A31" s="58"/>
      <c r="B31" s="61" t="s">
        <v>110</v>
      </c>
    </row>
    <row r="32" spans="1:26" s="58" customFormat="1">
      <c r="A32" s="63" t="s">
        <v>58</v>
      </c>
      <c r="B32" s="64" t="s">
        <v>59</v>
      </c>
      <c r="C32" s="65" t="str">
        <f>累计利润调整表!B32</f>
        <v>合计</v>
      </c>
      <c r="D32" s="65" t="str">
        <f>累计利润调整表!C32</f>
        <v>其他</v>
      </c>
      <c r="E32" s="65" t="str">
        <f>累计利润调整表!D32</f>
        <v>总部中后台</v>
      </c>
      <c r="F32" s="65" t="str">
        <f>累计利润调整表!E32</f>
        <v>经纪业务部</v>
      </c>
      <c r="G32" s="65" t="str">
        <f>累计利润调整表!F32</f>
        <v>资产管理部</v>
      </c>
      <c r="H32" s="65" t="str">
        <f>累计利润调整表!G32</f>
        <v>深分公司合计</v>
      </c>
      <c r="I32" s="76" t="str">
        <f>累计利润调整表!H32</f>
        <v>固定收益部</v>
      </c>
      <c r="J32" s="76" t="str">
        <f>累计利润调整表!I32</f>
        <v>证券投资部</v>
      </c>
      <c r="K32" s="76" t="str">
        <f>累计利润调整表!J32</f>
        <v>金融衍生品投资部</v>
      </c>
      <c r="L32" s="76" t="str">
        <f>累计利润调整表!K32</f>
        <v>风险管理部</v>
      </c>
      <c r="M32" s="76" t="str">
        <f>累计利润调整表!L32</f>
        <v>深圳管理部</v>
      </c>
      <c r="N32" s="76" t="str">
        <f>累计利润调整表!M32</f>
        <v>金融工程部</v>
      </c>
      <c r="O32" s="65" t="str">
        <f>累计利润调整表!N32</f>
        <v>中小企业融资部</v>
      </c>
      <c r="P32" s="65" t="str">
        <f>累计利润调整表!O32</f>
        <v>投资银行合计</v>
      </c>
      <c r="Q32" s="76" t="str">
        <f>累计利润调整表!P32</f>
        <v>财务顾问部</v>
      </c>
      <c r="R32" s="76" t="str">
        <f>累计利润调整表!Q32</f>
        <v>债券融资部</v>
      </c>
      <c r="S32" s="76" t="str">
        <f>累计利润调整表!R32</f>
        <v>股权融资部</v>
      </c>
      <c r="T32" s="76" t="str">
        <f>累计利润调整表!S32</f>
        <v>投资银行总部</v>
      </c>
      <c r="U32" s="65" t="str">
        <f>累计利润调整表!T32</f>
        <v>浙江分公司小计</v>
      </c>
      <c r="V32" s="76" t="str">
        <f>累计利润调整表!U32</f>
        <v>浙分总部</v>
      </c>
      <c r="W32" s="76" t="str">
        <f>累计利润调整表!V32</f>
        <v>综合业务部</v>
      </c>
      <c r="X32" s="76" t="str">
        <f>累计利润调整表!W32</f>
        <v>网络金融部</v>
      </c>
      <c r="Y32" s="65">
        <f>累计利润调整表!X32</f>
        <v>0</v>
      </c>
      <c r="Z32" s="65">
        <f>累计利润调整表!Y32</f>
        <v>0</v>
      </c>
    </row>
    <row r="33" spans="1:26" s="58" customFormat="1">
      <c r="A33" s="264" t="s">
        <v>60</v>
      </c>
      <c r="B33" s="66" t="s">
        <v>61</v>
      </c>
      <c r="C33" s="80">
        <f>累计考核费用!C108/10000</f>
        <v>8117.4753970000029</v>
      </c>
      <c r="D33" s="80">
        <f>累计考核费用!D108/10000</f>
        <v>22.288</v>
      </c>
      <c r="E33" s="80">
        <f>累计考核费用!E108/10000</f>
        <v>2071.1440220000004</v>
      </c>
      <c r="F33" s="80">
        <f>累计考核费用!F108/10000</f>
        <v>3830.8652680000023</v>
      </c>
      <c r="G33" s="80">
        <f>累计考核费用!G108/10000</f>
        <v>238.86464700000002</v>
      </c>
      <c r="H33" s="80">
        <f>累计考核费用!H108/10000</f>
        <v>628.16147200000012</v>
      </c>
      <c r="I33" s="80">
        <f>累计考核费用!I108/10000</f>
        <v>181.74234199999998</v>
      </c>
      <c r="J33" s="80">
        <f>累计考核费用!J108/10000</f>
        <v>159.76026200000001</v>
      </c>
      <c r="K33" s="80">
        <f>累计考核费用!K108/10000</f>
        <v>85.012702000000004</v>
      </c>
      <c r="L33" s="80">
        <f>累计考核费用!L108/10000</f>
        <v>0</v>
      </c>
      <c r="M33" s="80">
        <f>累计考核费用!M108/10000</f>
        <v>74.409215000000003</v>
      </c>
      <c r="N33" s="82">
        <f>累计考核费用!N108/10000</f>
        <v>127.236951</v>
      </c>
      <c r="O33" s="82">
        <f>累计考核费用!O108/10000</f>
        <v>254.92195299999997</v>
      </c>
      <c r="P33" s="82">
        <f>累计考核费用!P108/10000</f>
        <v>740.462492</v>
      </c>
      <c r="Q33" s="82">
        <f>累计考核费用!Q108/10000</f>
        <v>28.754151</v>
      </c>
      <c r="R33" s="82">
        <f>累计考核费用!R108/10000</f>
        <v>193.68063899999999</v>
      </c>
      <c r="S33" s="82">
        <f>累计考核费用!S108/10000</f>
        <v>423.49832500000002</v>
      </c>
      <c r="T33" s="80">
        <f>累计考核费用!T108/10000</f>
        <v>94.529376999999997</v>
      </c>
      <c r="U33" s="80">
        <f>累计考核费用!U108/10000</f>
        <v>330.76754299999999</v>
      </c>
      <c r="V33" s="80">
        <f>累计考核费用!V108/10000</f>
        <v>84.921536000000003</v>
      </c>
      <c r="W33" s="80">
        <f>累计考核费用!W108/10000</f>
        <v>20.933727999999999</v>
      </c>
      <c r="X33" s="80">
        <f>累计考核费用!X108/10000</f>
        <v>224.91227900000001</v>
      </c>
      <c r="Y33" s="58">
        <f>累计考核费用!Y108/10000</f>
        <v>0</v>
      </c>
      <c r="Z33" s="58">
        <f>累计考核费用!Z108/10000</f>
        <v>0</v>
      </c>
    </row>
    <row r="34" spans="1:26" s="58" customFormat="1">
      <c r="A34" s="265"/>
      <c r="B34" s="66" t="s">
        <v>62</v>
      </c>
      <c r="C34" s="80">
        <f>累计考核费用!C109/10000</f>
        <v>81.075600999999978</v>
      </c>
      <c r="D34" s="80">
        <f>累计考核费用!D109/10000</f>
        <v>1.0960000000000001</v>
      </c>
      <c r="E34" s="80">
        <f>累计考核费用!E109/10000</f>
        <v>13.2575</v>
      </c>
      <c r="F34" s="80">
        <f>累计考核费用!F109/10000</f>
        <v>60.777467999999985</v>
      </c>
      <c r="G34" s="80">
        <f>累计考核费用!G109/10000</f>
        <v>1.7175</v>
      </c>
      <c r="H34" s="80">
        <f>累计考核费用!H109/10000</f>
        <v>2.664533</v>
      </c>
      <c r="I34" s="80">
        <f>累计考核费用!I109/10000</f>
        <v>0.83499999999999996</v>
      </c>
      <c r="J34" s="80">
        <f>累计考核费用!J109/10000</f>
        <v>0.94703300000000001</v>
      </c>
      <c r="K34" s="80">
        <f>累计考核费用!K109/10000</f>
        <v>0.16</v>
      </c>
      <c r="L34" s="80">
        <f>累计考核费用!L109/10000</f>
        <v>0</v>
      </c>
      <c r="M34" s="80">
        <f>累计考核费用!M109/10000</f>
        <v>0.22500000000000001</v>
      </c>
      <c r="N34" s="82">
        <f>累计考核费用!N109/10000</f>
        <v>0.4975</v>
      </c>
      <c r="O34" s="82">
        <f>累计考核费用!O109/10000</f>
        <v>2.8400000000000002E-2</v>
      </c>
      <c r="P34" s="82">
        <f>累计考核费用!P109/10000</f>
        <v>1.5342</v>
      </c>
      <c r="Q34" s="82">
        <f>累计考核费用!Q109/10000</f>
        <v>1.7500000000000002E-2</v>
      </c>
      <c r="R34" s="82">
        <f>累计考核费用!R109/10000</f>
        <v>1.0802</v>
      </c>
      <c r="S34" s="82">
        <f>累计考核费用!S109/10000</f>
        <v>0</v>
      </c>
      <c r="T34" s="80">
        <f>累计考核费用!T109/10000</f>
        <v>0.4365</v>
      </c>
      <c r="U34" s="80">
        <f>累计考核费用!U109/10000</f>
        <v>0</v>
      </c>
      <c r="V34" s="80">
        <f>累计考核费用!V109/10000</f>
        <v>0</v>
      </c>
      <c r="W34" s="80">
        <f>累计考核费用!W109/10000</f>
        <v>0</v>
      </c>
      <c r="X34" s="80">
        <f>累计考核费用!X109/10000</f>
        <v>0</v>
      </c>
      <c r="Y34" s="58">
        <f>累计考核费用!Y109/10000</f>
        <v>0</v>
      </c>
      <c r="Z34" s="58">
        <f>累计考核费用!Z109/10000</f>
        <v>0</v>
      </c>
    </row>
    <row r="35" spans="1:26" s="58" customFormat="1">
      <c r="A35" s="265"/>
      <c r="B35" s="66" t="s">
        <v>63</v>
      </c>
      <c r="C35" s="80">
        <f>累计考核费用!C110/10000</f>
        <v>330.60088199999996</v>
      </c>
      <c r="D35" s="80">
        <f>累计考核费用!D110/10000</f>
        <v>0.46600000000000003</v>
      </c>
      <c r="E35" s="80">
        <f>累计考核费用!E110/10000</f>
        <v>70.338051000000007</v>
      </c>
      <c r="F35" s="80">
        <f>累计考核费用!F110/10000</f>
        <v>115.93004399999997</v>
      </c>
      <c r="G35" s="80">
        <f>累计考核费用!G110/10000</f>
        <v>4.9182499999999996</v>
      </c>
      <c r="H35" s="80">
        <f>累计考核费用!H110/10000</f>
        <v>12.686189000000001</v>
      </c>
      <c r="I35" s="80">
        <f>累计考核费用!I110/10000</f>
        <v>3.7295660000000002</v>
      </c>
      <c r="J35" s="80">
        <f>累计考核费用!J110/10000</f>
        <v>3.2698429999999998</v>
      </c>
      <c r="K35" s="80">
        <f>累计考核费用!K110/10000</f>
        <v>1.7405740000000001</v>
      </c>
      <c r="L35" s="80">
        <f>累计考核费用!L110/10000</f>
        <v>0</v>
      </c>
      <c r="M35" s="80">
        <f>累计考核费用!M110/10000</f>
        <v>1.095065</v>
      </c>
      <c r="N35" s="82">
        <f>累计考核费用!N110/10000</f>
        <v>2.8511410000000001</v>
      </c>
      <c r="O35" s="82">
        <f>累计考核费用!O110/10000</f>
        <v>5.072038</v>
      </c>
      <c r="P35" s="82">
        <f>累计考核费用!P110/10000</f>
        <v>114.95936100000002</v>
      </c>
      <c r="Q35" s="82">
        <f>累计考核费用!Q110/10000</f>
        <v>0.60004199999999996</v>
      </c>
      <c r="R35" s="82">
        <f>累计考核费用!R110/10000</f>
        <v>92.107191999999998</v>
      </c>
      <c r="S35" s="82">
        <f>累计考核费用!S110/10000</f>
        <v>20.455567000000002</v>
      </c>
      <c r="T35" s="80">
        <f>累计考核费用!T110/10000</f>
        <v>1.7965599999999999</v>
      </c>
      <c r="U35" s="80">
        <f>累计考核费用!U110/10000</f>
        <v>6.2309490000000007</v>
      </c>
      <c r="V35" s="80">
        <f>累计考核费用!V110/10000</f>
        <v>1.7190319999999999</v>
      </c>
      <c r="W35" s="80">
        <f>累计考核费用!W110/10000</f>
        <v>0.43379600000000001</v>
      </c>
      <c r="X35" s="80">
        <f>累计考核费用!X110/10000</f>
        <v>4.0781210000000003</v>
      </c>
      <c r="Y35" s="58">
        <f>累计考核费用!Y110/10000</f>
        <v>0</v>
      </c>
      <c r="Z35" s="58">
        <f>累计考核费用!Z110/10000</f>
        <v>0</v>
      </c>
    </row>
    <row r="36" spans="1:26" s="58" customFormat="1">
      <c r="A36" s="265"/>
      <c r="B36" s="66" t="s">
        <v>64</v>
      </c>
      <c r="C36" s="80">
        <f>累计考核费用!C111/10000</f>
        <v>1990.8752350000002</v>
      </c>
      <c r="D36" s="80">
        <f>累计考核费用!D111/10000</f>
        <v>-18.324042000000002</v>
      </c>
      <c r="E36" s="80">
        <f>累计考核费用!E111/10000</f>
        <v>378.798924</v>
      </c>
      <c r="F36" s="80">
        <f>累计考核费用!F111/10000</f>
        <v>1147.1958999999999</v>
      </c>
      <c r="G36" s="80">
        <f>累计考核费用!G111/10000</f>
        <v>59.988776000000001</v>
      </c>
      <c r="H36" s="80">
        <f>累计考核费用!H111/10000</f>
        <v>155.48504</v>
      </c>
      <c r="I36" s="80">
        <f>累计考核费用!I111/10000</f>
        <v>44.151101000000004</v>
      </c>
      <c r="J36" s="80">
        <f>累计考核费用!J111/10000</f>
        <v>42.234231000000001</v>
      </c>
      <c r="K36" s="80">
        <f>累计考核费用!K111/10000</f>
        <v>22.73282</v>
      </c>
      <c r="L36" s="80">
        <f>累计考核费用!L111/10000</f>
        <v>0</v>
      </c>
      <c r="M36" s="80">
        <f>累计考核费用!M111/10000</f>
        <v>12.955142</v>
      </c>
      <c r="N36" s="82">
        <f>累计考核费用!N111/10000</f>
        <v>33.411746000000001</v>
      </c>
      <c r="O36" s="82">
        <f>累计考核费用!O111/10000</f>
        <v>63.924316000000005</v>
      </c>
      <c r="P36" s="82">
        <f>累计考核费用!P111/10000</f>
        <v>105.468698</v>
      </c>
      <c r="Q36" s="82">
        <f>累计考核费用!Q111/10000</f>
        <v>6.2264889999999999</v>
      </c>
      <c r="R36" s="82">
        <f>累计考核费用!R111/10000</f>
        <v>47.122053000000001</v>
      </c>
      <c r="S36" s="82">
        <f>累计考核费用!S111/10000</f>
        <v>37.967220000000005</v>
      </c>
      <c r="T36" s="80">
        <f>累计考核费用!T111/10000</f>
        <v>14.152935999999999</v>
      </c>
      <c r="U36" s="80">
        <f>累计考核费用!U111/10000</f>
        <v>98.337622999999994</v>
      </c>
      <c r="V36" s="80">
        <f>累计考核费用!V111/10000</f>
        <v>15.70796</v>
      </c>
      <c r="W36" s="80">
        <f>累计考核费用!W111/10000</f>
        <v>7.0788009999999995</v>
      </c>
      <c r="X36" s="80">
        <f>累计考核费用!X111/10000</f>
        <v>75.550861999999995</v>
      </c>
      <c r="Y36" s="58">
        <f>累计考核费用!Y111/10000</f>
        <v>0</v>
      </c>
      <c r="Z36" s="58">
        <f>累计考核费用!Z111/10000</f>
        <v>0</v>
      </c>
    </row>
    <row r="37" spans="1:26" s="58" customFormat="1">
      <c r="A37" s="265"/>
      <c r="B37" s="66" t="s">
        <v>65</v>
      </c>
      <c r="C37" s="80">
        <f>累计考核费用!C112/10000</f>
        <v>0</v>
      </c>
      <c r="D37" s="80">
        <f>累计考核费用!D112/10000</f>
        <v>0</v>
      </c>
      <c r="E37" s="80">
        <f>累计考核费用!E112/10000</f>
        <v>0</v>
      </c>
      <c r="F37" s="80">
        <f>累计考核费用!F112/10000</f>
        <v>0</v>
      </c>
      <c r="G37" s="80">
        <f>累计考核费用!G112/10000</f>
        <v>0</v>
      </c>
      <c r="H37" s="80">
        <f>累计考核费用!H112/10000</f>
        <v>0</v>
      </c>
      <c r="I37" s="80">
        <f>累计考核费用!I112/10000</f>
        <v>0</v>
      </c>
      <c r="J37" s="80">
        <f>累计考核费用!J112/10000</f>
        <v>0</v>
      </c>
      <c r="K37" s="80">
        <f>累计考核费用!K112/10000</f>
        <v>0</v>
      </c>
      <c r="L37" s="80">
        <f>累计考核费用!L112/10000</f>
        <v>0</v>
      </c>
      <c r="M37" s="80">
        <f>累计考核费用!M112/10000</f>
        <v>0</v>
      </c>
      <c r="N37" s="82">
        <f>累计考核费用!N112/10000</f>
        <v>0</v>
      </c>
      <c r="O37" s="82">
        <f>累计考核费用!O112/10000</f>
        <v>0</v>
      </c>
      <c r="P37" s="82">
        <f>累计考核费用!P112/10000</f>
        <v>0</v>
      </c>
      <c r="Q37" s="82">
        <f>累计考核费用!Q112/10000</f>
        <v>0</v>
      </c>
      <c r="R37" s="82">
        <f>累计考核费用!R112/10000</f>
        <v>0</v>
      </c>
      <c r="S37" s="82">
        <f>累计考核费用!S112/10000</f>
        <v>0</v>
      </c>
      <c r="T37" s="80">
        <f>累计考核费用!T112/10000</f>
        <v>0</v>
      </c>
      <c r="U37" s="80">
        <f>累计考核费用!U112/10000</f>
        <v>0</v>
      </c>
      <c r="V37" s="80">
        <f>累计考核费用!V112/10000</f>
        <v>0</v>
      </c>
      <c r="W37" s="80">
        <f>累计考核费用!W112/10000</f>
        <v>0</v>
      </c>
      <c r="X37" s="80">
        <f>累计考核费用!X112/10000</f>
        <v>0</v>
      </c>
      <c r="Y37" s="58">
        <f>累计考核费用!Y112/10000</f>
        <v>0</v>
      </c>
      <c r="Z37" s="58">
        <f>累计考核费用!Z112/10000</f>
        <v>0</v>
      </c>
    </row>
    <row r="38" spans="1:26" s="58" customFormat="1">
      <c r="A38" s="265"/>
      <c r="B38" s="66" t="s">
        <v>66</v>
      </c>
      <c r="C38" s="80">
        <f>累计考核费用!C113/10000</f>
        <v>21.411716000000006</v>
      </c>
      <c r="D38" s="80">
        <f>累计考核费用!D113/10000</f>
        <v>0</v>
      </c>
      <c r="E38" s="80">
        <f>累计考核费用!E113/10000</f>
        <v>-0.12114000000000001</v>
      </c>
      <c r="F38" s="80">
        <f>累计考核费用!F113/10000</f>
        <v>18.016396000000004</v>
      </c>
      <c r="G38" s="80">
        <f>累计考核费用!G113/10000</f>
        <v>-0.12114000000000001</v>
      </c>
      <c r="H38" s="80">
        <f>累计考核费用!H113/10000</f>
        <v>0.40379999999999999</v>
      </c>
      <c r="I38" s="80">
        <f>累计考核费用!I113/10000</f>
        <v>0</v>
      </c>
      <c r="J38" s="80">
        <f>累计考核费用!J113/10000</f>
        <v>0</v>
      </c>
      <c r="K38" s="80">
        <f>累计考核费用!K113/10000</f>
        <v>0.40379999999999999</v>
      </c>
      <c r="L38" s="80">
        <f>累计考核费用!L113/10000</f>
        <v>0</v>
      </c>
      <c r="M38" s="80">
        <f>累计考核费用!M113/10000</f>
        <v>0</v>
      </c>
      <c r="N38" s="82">
        <f>累计考核费用!N113/10000</f>
        <v>0</v>
      </c>
      <c r="O38" s="82">
        <f>累计考核费用!O113/10000</f>
        <v>0</v>
      </c>
      <c r="P38" s="82">
        <f>累计考核费用!P113/10000</f>
        <v>0</v>
      </c>
      <c r="Q38" s="82">
        <f>累计考核费用!Q113/10000</f>
        <v>0</v>
      </c>
      <c r="R38" s="82">
        <f>累计考核费用!R113/10000</f>
        <v>0</v>
      </c>
      <c r="S38" s="82">
        <f>累计考核费用!S113/10000</f>
        <v>0</v>
      </c>
      <c r="T38" s="80">
        <f>累计考核费用!T113/10000</f>
        <v>0</v>
      </c>
      <c r="U38" s="80">
        <f>累计考核费用!U113/10000</f>
        <v>3.2338</v>
      </c>
      <c r="V38" s="80">
        <f>累计考核费用!V113/10000</f>
        <v>0</v>
      </c>
      <c r="W38" s="80">
        <f>累计考核费用!W113/10000</f>
        <v>0</v>
      </c>
      <c r="X38" s="80">
        <f>累计考核费用!X113/10000</f>
        <v>3.2338</v>
      </c>
      <c r="Y38" s="58">
        <f>累计考核费用!Y113/10000</f>
        <v>0</v>
      </c>
      <c r="Z38" s="58">
        <f>累计考核费用!Z113/10000</f>
        <v>0</v>
      </c>
    </row>
    <row r="39" spans="1:26" s="58" customFormat="1">
      <c r="A39" s="265"/>
      <c r="B39" s="66" t="s">
        <v>67</v>
      </c>
      <c r="C39" s="80">
        <f>累计考核费用!C114/10000</f>
        <v>170.08799999999999</v>
      </c>
      <c r="D39" s="80">
        <f>累计考核费用!D114/10000</f>
        <v>0.252</v>
      </c>
      <c r="E39" s="80">
        <f>累计考核费用!E114/10000</f>
        <v>45.21</v>
      </c>
      <c r="F39" s="80">
        <f>累计考核费用!F114/10000</f>
        <v>67.010000000000005</v>
      </c>
      <c r="G39" s="80">
        <f>累计考核费用!G114/10000</f>
        <v>7.048</v>
      </c>
      <c r="H39" s="80">
        <f>累计考核费用!H114/10000</f>
        <v>14.853999999999999</v>
      </c>
      <c r="I39" s="80">
        <f>累计考核费用!I114/10000</f>
        <v>4.7359999999999998</v>
      </c>
      <c r="J39" s="80">
        <f>累计考核费用!J114/10000</f>
        <v>3.7320000000000002</v>
      </c>
      <c r="K39" s="80">
        <f>累计考核费用!K114/10000</f>
        <v>2.016</v>
      </c>
      <c r="L39" s="80">
        <f>累计考核费用!L114/10000</f>
        <v>0</v>
      </c>
      <c r="M39" s="80">
        <f>累计考核费用!M114/10000</f>
        <v>1.266</v>
      </c>
      <c r="N39" s="82">
        <f>累计考核费用!N114/10000</f>
        <v>3.1040000000000001</v>
      </c>
      <c r="O39" s="82">
        <f>累计考核费用!O114/10000</f>
        <v>9.4860000000000007</v>
      </c>
      <c r="P39" s="82">
        <f>累计考核费用!P114/10000</f>
        <v>16.297999999999998</v>
      </c>
      <c r="Q39" s="82">
        <f>累计考核费用!Q114/10000</f>
        <v>1.248</v>
      </c>
      <c r="R39" s="82">
        <f>累计考核费用!R114/10000</f>
        <v>7.3419999999999996</v>
      </c>
      <c r="S39" s="82">
        <f>累计考核费用!S114/10000</f>
        <v>5.43</v>
      </c>
      <c r="T39" s="80">
        <f>累计考核费用!T114/10000</f>
        <v>2.278</v>
      </c>
      <c r="U39" s="80">
        <f>累计考核费用!U114/10000</f>
        <v>9.93</v>
      </c>
      <c r="V39" s="80">
        <f>累计考核费用!V114/10000</f>
        <v>1.54</v>
      </c>
      <c r="W39" s="80">
        <f>累计考核费用!W114/10000</f>
        <v>0.75600000000000001</v>
      </c>
      <c r="X39" s="80">
        <f>累计考核费用!X114/10000</f>
        <v>7.6340000000000003</v>
      </c>
      <c r="Y39" s="58">
        <f>累计考核费用!Y114/10000</f>
        <v>0</v>
      </c>
      <c r="Z39" s="58">
        <f>累计考核费用!Z114/10000</f>
        <v>0</v>
      </c>
    </row>
    <row r="40" spans="1:26" s="58" customFormat="1">
      <c r="A40" s="265"/>
      <c r="B40" s="66" t="s">
        <v>68</v>
      </c>
      <c r="C40" s="80">
        <f>累计考核费用!C115/10000</f>
        <v>47.659597000000012</v>
      </c>
      <c r="D40" s="80">
        <f>累计考核费用!D115/10000</f>
        <v>0</v>
      </c>
      <c r="E40" s="80">
        <f>累计考核费用!E115/10000</f>
        <v>19.743404000000002</v>
      </c>
      <c r="F40" s="80">
        <f>累计考核费用!F115/10000</f>
        <v>18.875183000000003</v>
      </c>
      <c r="G40" s="80">
        <f>累计考核费用!G115/10000</f>
        <v>1.2</v>
      </c>
      <c r="H40" s="80">
        <f>累计考核费用!H115/10000</f>
        <v>4.3324100000000003</v>
      </c>
      <c r="I40" s="80">
        <f>累计考核费用!I115/10000</f>
        <v>0.127</v>
      </c>
      <c r="J40" s="80">
        <f>累计考核费用!J115/10000</f>
        <v>1.373904</v>
      </c>
      <c r="K40" s="80">
        <f>累计考核费用!K115/10000</f>
        <v>0.91659999999999997</v>
      </c>
      <c r="L40" s="80">
        <f>累计考核费用!L115/10000</f>
        <v>0</v>
      </c>
      <c r="M40" s="80">
        <f>累计考核费用!M115/10000</f>
        <v>1.3539060000000001</v>
      </c>
      <c r="N40" s="82">
        <f>累计考核费用!N115/10000</f>
        <v>0.56100000000000005</v>
      </c>
      <c r="O40" s="82">
        <f>累计考核费用!O115/10000</f>
        <v>0.8</v>
      </c>
      <c r="P40" s="82">
        <f>累计考核费用!P115/10000</f>
        <v>0.999</v>
      </c>
      <c r="Q40" s="82">
        <f>累计考核费用!Q115/10000</f>
        <v>0</v>
      </c>
      <c r="R40" s="82">
        <f>累计考核费用!R115/10000</f>
        <v>0.16</v>
      </c>
      <c r="S40" s="82">
        <f>累计考核费用!S115/10000</f>
        <v>0</v>
      </c>
      <c r="T40" s="80">
        <f>累计考核费用!T115/10000</f>
        <v>0.83899999999999997</v>
      </c>
      <c r="U40" s="80">
        <f>累计考核费用!U115/10000</f>
        <v>1.7096</v>
      </c>
      <c r="V40" s="80">
        <f>累计考核费用!V115/10000</f>
        <v>1.2290000000000001</v>
      </c>
      <c r="W40" s="80">
        <f>累计考核费用!W115/10000</f>
        <v>0.48060000000000003</v>
      </c>
      <c r="X40" s="80">
        <f>累计考核费用!X115/10000</f>
        <v>0</v>
      </c>
      <c r="Y40" s="58">
        <f>累计考核费用!Y115/10000</f>
        <v>0</v>
      </c>
      <c r="Z40" s="58">
        <f>累计考核费用!Z115/10000</f>
        <v>0</v>
      </c>
    </row>
    <row r="41" spans="1:26" s="58" customFormat="1">
      <c r="A41" s="265"/>
      <c r="B41" s="66" t="s">
        <v>69</v>
      </c>
      <c r="C41" s="80">
        <f>累计考核费用!C116/10000</f>
        <v>0</v>
      </c>
      <c r="D41" s="80">
        <f>累计考核费用!D116/10000</f>
        <v>0</v>
      </c>
      <c r="E41" s="80">
        <f>累计考核费用!E116/10000</f>
        <v>0</v>
      </c>
      <c r="F41" s="80">
        <f>累计考核费用!F116/10000</f>
        <v>0</v>
      </c>
      <c r="G41" s="80">
        <f>累计考核费用!G116/10000</f>
        <v>0</v>
      </c>
      <c r="H41" s="80">
        <f>累计考核费用!H116/10000</f>
        <v>0</v>
      </c>
      <c r="I41" s="80">
        <f>累计考核费用!I116/10000</f>
        <v>0</v>
      </c>
      <c r="J41" s="80">
        <f>累计考核费用!J116/10000</f>
        <v>0</v>
      </c>
      <c r="K41" s="80">
        <f>累计考核费用!K116/10000</f>
        <v>0</v>
      </c>
      <c r="L41" s="80">
        <f>累计考核费用!L116/10000</f>
        <v>0</v>
      </c>
      <c r="M41" s="80">
        <f>累计考核费用!M116/10000</f>
        <v>0</v>
      </c>
      <c r="N41" s="82">
        <f>累计考核费用!N116/10000</f>
        <v>0</v>
      </c>
      <c r="O41" s="82">
        <f>累计考核费用!O116/10000</f>
        <v>0</v>
      </c>
      <c r="P41" s="82">
        <f>累计考核费用!P116/10000</f>
        <v>0</v>
      </c>
      <c r="Q41" s="82">
        <f>累计考核费用!Q116/10000</f>
        <v>0</v>
      </c>
      <c r="R41" s="82">
        <f>累计考核费用!R116/10000</f>
        <v>0</v>
      </c>
      <c r="S41" s="82">
        <f>累计考核费用!S116/10000</f>
        <v>0</v>
      </c>
      <c r="T41" s="80">
        <f>累计考核费用!T116/10000</f>
        <v>0</v>
      </c>
      <c r="U41" s="80">
        <f>累计考核费用!U116/10000</f>
        <v>0</v>
      </c>
      <c r="V41" s="80">
        <f>累计考核费用!V116/10000</f>
        <v>0</v>
      </c>
      <c r="W41" s="80">
        <f>累计考核费用!W116/10000</f>
        <v>0</v>
      </c>
      <c r="X41" s="80">
        <f>累计考核费用!X116/10000</f>
        <v>0</v>
      </c>
      <c r="Y41" s="58">
        <f>累计考核费用!Y116/10000</f>
        <v>0</v>
      </c>
      <c r="Z41" s="58">
        <f>累计考核费用!Z116/10000</f>
        <v>0</v>
      </c>
    </row>
    <row r="42" spans="1:26" s="58" customFormat="1">
      <c r="A42" s="266"/>
      <c r="B42" s="66" t="s">
        <v>70</v>
      </c>
      <c r="C42" s="81">
        <f>累计考核费用!C117/10000</f>
        <v>10759.186428000003</v>
      </c>
      <c r="D42" s="81">
        <f>累计考核费用!D117/10000</f>
        <v>5.777957999999999</v>
      </c>
      <c r="E42" s="81">
        <f>累计考核费用!E117/10000</f>
        <v>2598.3707610000006</v>
      </c>
      <c r="F42" s="81">
        <f>累计考核费用!F117/10000</f>
        <v>5258.6702590000023</v>
      </c>
      <c r="G42" s="81">
        <f>累计考核费用!G117/10000</f>
        <v>313.61603300000007</v>
      </c>
      <c r="H42" s="81">
        <f>累计考核费用!H117/10000</f>
        <v>818.58744399999989</v>
      </c>
      <c r="I42" s="81">
        <f>累计考核费用!I117/10000</f>
        <v>235.32100899999998</v>
      </c>
      <c r="J42" s="81">
        <f>累计考核费用!J117/10000</f>
        <v>211.31727300000006</v>
      </c>
      <c r="K42" s="81">
        <f>累计考核费用!K117/10000</f>
        <v>112.982496</v>
      </c>
      <c r="L42" s="81">
        <f>累计考核费用!L117/10000</f>
        <v>0</v>
      </c>
      <c r="M42" s="81">
        <f>累计考核费用!M117/10000</f>
        <v>91.304328000000012</v>
      </c>
      <c r="N42" s="83">
        <f>累计考核费用!N117/10000</f>
        <v>167.66233799999998</v>
      </c>
      <c r="O42" s="83">
        <f>累计考核费用!O117/10000</f>
        <v>334.232707</v>
      </c>
      <c r="P42" s="83">
        <f>累计考核费用!P117/10000</f>
        <v>979.72175099999993</v>
      </c>
      <c r="Q42" s="83">
        <f>累计考核费用!Q117/10000</f>
        <v>36.846181999999999</v>
      </c>
      <c r="R42" s="83">
        <f>累计考核费用!R117/10000</f>
        <v>341.49208399999998</v>
      </c>
      <c r="S42" s="83">
        <f>累计考核费用!S117/10000</f>
        <v>487.351112</v>
      </c>
      <c r="T42" s="81">
        <f>累计考核费用!T117/10000</f>
        <v>114.03237299999999</v>
      </c>
      <c r="U42" s="81">
        <f>累计考核费用!U117/10000</f>
        <v>450.20951500000001</v>
      </c>
      <c r="V42" s="81">
        <f>累计考核费用!V117/10000</f>
        <v>105.11752800000001</v>
      </c>
      <c r="W42" s="81">
        <f>累计考核费用!W117/10000</f>
        <v>29.682925000000001</v>
      </c>
      <c r="X42" s="81">
        <f>累计考核费用!X117/10000</f>
        <v>315.40906200000001</v>
      </c>
      <c r="Y42" s="58">
        <f>累计考核费用!Y117/10000</f>
        <v>0</v>
      </c>
      <c r="Z42" s="58">
        <f>累计考核费用!Z117/10000</f>
        <v>0</v>
      </c>
    </row>
    <row r="43" spans="1:26" s="58" customFormat="1">
      <c r="A43" s="258" t="s">
        <v>71</v>
      </c>
      <c r="B43" s="69" t="s">
        <v>72</v>
      </c>
      <c r="C43" s="80">
        <f>累计考核费用!C118/10000</f>
        <v>3090.3061190000003</v>
      </c>
      <c r="D43" s="80">
        <f>累计考核费用!D118/10000</f>
        <v>0</v>
      </c>
      <c r="E43" s="80">
        <f>累计考核费用!E118/10000</f>
        <v>0</v>
      </c>
      <c r="F43" s="80">
        <f>累计考核费用!F118/10000</f>
        <v>1918.9317180000003</v>
      </c>
      <c r="G43" s="80">
        <f>累计考核费用!G118/10000</f>
        <v>0</v>
      </c>
      <c r="H43" s="80">
        <f>累计考核费用!H118/10000</f>
        <v>12.748449000000001</v>
      </c>
      <c r="I43" s="80">
        <f>累计考核费用!I118/10000</f>
        <v>0</v>
      </c>
      <c r="J43" s="80">
        <f>累计考核费用!J118/10000</f>
        <v>0</v>
      </c>
      <c r="K43" s="80">
        <f>累计考核费用!K118/10000</f>
        <v>0.53239999999999998</v>
      </c>
      <c r="L43" s="80">
        <f>累计考核费用!L118/10000</f>
        <v>0</v>
      </c>
      <c r="M43" s="80">
        <f>累计考核费用!M118/10000</f>
        <v>0</v>
      </c>
      <c r="N43" s="82">
        <f>累计考核费用!N118/10000</f>
        <v>12.216049</v>
      </c>
      <c r="O43" s="82">
        <f>累计考核费用!O118/10000</f>
        <v>0</v>
      </c>
      <c r="P43" s="82">
        <f>累计考核费用!P118/10000</f>
        <v>1149.106</v>
      </c>
      <c r="Q43" s="82">
        <f>累计考核费用!Q118/10000</f>
        <v>0</v>
      </c>
      <c r="R43" s="82">
        <f>累计考核费用!R118/10000</f>
        <v>958.60599999999999</v>
      </c>
      <c r="S43" s="82">
        <f>累计考核费用!S118/10000</f>
        <v>190.5</v>
      </c>
      <c r="T43" s="80">
        <f>累计考核费用!T118/10000</f>
        <v>0</v>
      </c>
      <c r="U43" s="80">
        <f>累计考核费用!U118/10000</f>
        <v>9.519952</v>
      </c>
      <c r="V43" s="80">
        <f>累计考核费用!V118/10000</f>
        <v>0</v>
      </c>
      <c r="W43" s="80">
        <f>累计考核费用!W118/10000</f>
        <v>0</v>
      </c>
      <c r="X43" s="80">
        <f>累计考核费用!X118/10000</f>
        <v>9.519952</v>
      </c>
      <c r="Y43" s="58">
        <f>累计考核费用!Y118/10000</f>
        <v>0</v>
      </c>
      <c r="Z43" s="58">
        <f>累计考核费用!Z118/10000</f>
        <v>0</v>
      </c>
    </row>
    <row r="44" spans="1:26" s="58" customFormat="1">
      <c r="A44" s="259"/>
      <c r="B44" s="69" t="s">
        <v>73</v>
      </c>
      <c r="C44" s="80">
        <f>累计考核费用!C119/10000</f>
        <v>7169.3744370000004</v>
      </c>
      <c r="D44" s="80">
        <f>累计考核费用!D119/10000</f>
        <v>1.8626451492309571E-13</v>
      </c>
      <c r="E44" s="80">
        <f>累计考核费用!E119/10000</f>
        <v>0</v>
      </c>
      <c r="F44" s="80">
        <f>累计考核费用!F119/10000</f>
        <v>3187.0036479999999</v>
      </c>
      <c r="G44" s="80">
        <f>累计考核费用!G119/10000</f>
        <v>0</v>
      </c>
      <c r="H44" s="80">
        <f>累计考核费用!H119/10000</f>
        <v>0</v>
      </c>
      <c r="I44" s="80">
        <f>累计考核费用!I119/10000</f>
        <v>0</v>
      </c>
      <c r="J44" s="80">
        <f>累计考核费用!J119/10000</f>
        <v>0</v>
      </c>
      <c r="K44" s="80">
        <f>累计考核费用!K119/10000</f>
        <v>0</v>
      </c>
      <c r="L44" s="80">
        <f>累计考核费用!L119/10000</f>
        <v>0</v>
      </c>
      <c r="M44" s="80">
        <f>累计考核费用!M119/10000</f>
        <v>0</v>
      </c>
      <c r="N44" s="82">
        <f>累计考核费用!N119/10000</f>
        <v>0</v>
      </c>
      <c r="O44" s="82">
        <f>累计考核费用!O119/10000</f>
        <v>1.54</v>
      </c>
      <c r="P44" s="82">
        <f>累计考核费用!P119/10000</f>
        <v>3980.8307890000001</v>
      </c>
      <c r="Q44" s="82">
        <f>累计考核费用!Q119/10000</f>
        <v>0</v>
      </c>
      <c r="R44" s="82">
        <f>累计考核费用!R119/10000</f>
        <v>3487.4807890000002</v>
      </c>
      <c r="S44" s="82">
        <f>累计考核费用!S119/10000</f>
        <v>493.35</v>
      </c>
      <c r="T44" s="80">
        <f>累计考核费用!T119/10000</f>
        <v>0</v>
      </c>
      <c r="U44" s="80">
        <f>累计考核费用!U119/10000</f>
        <v>0</v>
      </c>
      <c r="V44" s="80">
        <f>累计考核费用!V119/10000</f>
        <v>0</v>
      </c>
      <c r="W44" s="80">
        <f>累计考核费用!W119/10000</f>
        <v>0</v>
      </c>
      <c r="X44" s="80">
        <f>累计考核费用!X119/10000</f>
        <v>0</v>
      </c>
      <c r="Y44" s="58">
        <f>累计考核费用!Y119/10000</f>
        <v>0</v>
      </c>
      <c r="Z44" s="58">
        <f>累计考核费用!Z119/10000</f>
        <v>0</v>
      </c>
    </row>
    <row r="45" spans="1:26" s="58" customFormat="1">
      <c r="A45" s="259"/>
      <c r="B45" s="69" t="s">
        <v>74</v>
      </c>
      <c r="C45" s="80">
        <f>累计考核费用!C120/10000</f>
        <v>693.247253</v>
      </c>
      <c r="D45" s="80">
        <f>累计考核费用!D120/10000</f>
        <v>-129.38259399999998</v>
      </c>
      <c r="E45" s="80">
        <f>累计考核费用!E120/10000</f>
        <v>-3.9627430000000006</v>
      </c>
      <c r="F45" s="80">
        <f>累计考核费用!F120/10000</f>
        <v>559.56141200000002</v>
      </c>
      <c r="G45" s="80">
        <f>累计考核费用!G120/10000</f>
        <v>-129.29338299999998</v>
      </c>
      <c r="H45" s="80">
        <f>累计考核费用!H120/10000</f>
        <v>105.78543500000001</v>
      </c>
      <c r="I45" s="80">
        <f>累计考核费用!I120/10000</f>
        <v>93.904574999999994</v>
      </c>
      <c r="J45" s="80">
        <f>累计考核费用!J120/10000</f>
        <v>5.1966919999999996</v>
      </c>
      <c r="K45" s="80">
        <f>累计考核费用!K120/10000</f>
        <v>4.3217990000000013</v>
      </c>
      <c r="L45" s="80">
        <f>累计考核费用!L120/10000</f>
        <v>0</v>
      </c>
      <c r="M45" s="80">
        <f>累计考核费用!M120/10000</f>
        <v>5.8399999999999999E-4</v>
      </c>
      <c r="N45" s="82">
        <f>累计考核费用!N120/10000</f>
        <v>2.3617850000000002</v>
      </c>
      <c r="O45" s="82">
        <f>累计考核费用!O120/10000</f>
        <v>10.148171</v>
      </c>
      <c r="P45" s="82">
        <f>累计考核费用!P120/10000</f>
        <v>279.89195100000001</v>
      </c>
      <c r="Q45" s="82">
        <f>累计考核费用!Q120/10000</f>
        <v>0</v>
      </c>
      <c r="R45" s="82">
        <f>累计考核费用!R120/10000</f>
        <v>239.858531</v>
      </c>
      <c r="S45" s="82">
        <f>累计考核费用!S120/10000</f>
        <v>37.727863999999997</v>
      </c>
      <c r="T45" s="80">
        <f>累计考核费用!T120/10000</f>
        <v>2.3055560000000002</v>
      </c>
      <c r="U45" s="80">
        <f>累计考核费用!U120/10000</f>
        <v>0.499004</v>
      </c>
      <c r="V45" s="80">
        <f>累计考核费用!V120/10000</f>
        <v>1.268E-3</v>
      </c>
      <c r="W45" s="80">
        <f>累计考核费用!W120/10000</f>
        <v>0.49792500000000001</v>
      </c>
      <c r="X45" s="80">
        <f>累计考核费用!X120/10000</f>
        <v>-1.8899999999999999E-4</v>
      </c>
      <c r="Y45" s="58">
        <f>累计考核费用!Y120/10000</f>
        <v>0</v>
      </c>
      <c r="Z45" s="58">
        <f>累计考核费用!Z120/10000</f>
        <v>0</v>
      </c>
    </row>
    <row r="46" spans="1:26" s="58" customFormat="1" ht="24">
      <c r="A46" s="259"/>
      <c r="B46" s="69" t="s">
        <v>75</v>
      </c>
      <c r="C46" s="80">
        <f>累计考核费用!C121/10000</f>
        <v>50.664999999999999</v>
      </c>
      <c r="D46" s="80">
        <f>累计考核费用!D121/10000</f>
        <v>0</v>
      </c>
      <c r="E46" s="80">
        <f>累计考核费用!E121/10000</f>
        <v>0</v>
      </c>
      <c r="F46" s="80">
        <f>累计考核费用!F121/10000</f>
        <v>0</v>
      </c>
      <c r="G46" s="80">
        <f>累计考核费用!G121/10000</f>
        <v>0</v>
      </c>
      <c r="H46" s="80">
        <f>累计考核费用!H121/10000</f>
        <v>50.664999999999999</v>
      </c>
      <c r="I46" s="80">
        <f>累计考核费用!I121/10000</f>
        <v>49.865000000000002</v>
      </c>
      <c r="J46" s="80">
        <f>累计考核费用!J121/10000</f>
        <v>0</v>
      </c>
      <c r="K46" s="80">
        <f>累计考核费用!K121/10000</f>
        <v>0</v>
      </c>
      <c r="L46" s="80">
        <f>累计考核费用!L121/10000</f>
        <v>0</v>
      </c>
      <c r="M46" s="80">
        <f>累计考核费用!M121/10000</f>
        <v>0.8</v>
      </c>
      <c r="N46" s="82">
        <f>累计考核费用!N121/10000</f>
        <v>0</v>
      </c>
      <c r="O46" s="82">
        <f>累计考核费用!O121/10000</f>
        <v>0</v>
      </c>
      <c r="P46" s="82">
        <f>累计考核费用!P121/10000</f>
        <v>0</v>
      </c>
      <c r="Q46" s="82">
        <f>累计考核费用!Q121/10000</f>
        <v>0</v>
      </c>
      <c r="R46" s="82">
        <f>累计考核费用!R121/10000</f>
        <v>0</v>
      </c>
      <c r="S46" s="82">
        <f>累计考核费用!S121/10000</f>
        <v>0</v>
      </c>
      <c r="T46" s="80">
        <f>累计考核费用!T121/10000</f>
        <v>0</v>
      </c>
      <c r="U46" s="80">
        <f>累计考核费用!U121/10000</f>
        <v>0</v>
      </c>
      <c r="V46" s="80">
        <f>累计考核费用!V121/10000</f>
        <v>0</v>
      </c>
      <c r="W46" s="80">
        <f>累计考核费用!W121/10000</f>
        <v>0</v>
      </c>
      <c r="X46" s="80">
        <f>累计考核费用!X121/10000</f>
        <v>0</v>
      </c>
      <c r="Y46" s="58">
        <f>累计考核费用!Y121/10000</f>
        <v>0</v>
      </c>
      <c r="Z46" s="58">
        <f>累计考核费用!Z121/10000</f>
        <v>0</v>
      </c>
    </row>
    <row r="47" spans="1:26" s="58" customFormat="1">
      <c r="A47" s="260"/>
      <c r="B47" s="69" t="s">
        <v>70</v>
      </c>
      <c r="C47" s="81">
        <f>累计考核费用!C122/10000</f>
        <v>11003.592809</v>
      </c>
      <c r="D47" s="81">
        <f>累计考核费用!D122/10000</f>
        <v>-129.38259399999981</v>
      </c>
      <c r="E47" s="81">
        <f>累计考核费用!E122/10000</f>
        <v>-3.9627430000000006</v>
      </c>
      <c r="F47" s="81">
        <f>累计考核费用!F122/10000</f>
        <v>5665.4967779999997</v>
      </c>
      <c r="G47" s="81">
        <f>累计考核费用!G122/10000</f>
        <v>-129.29338299999998</v>
      </c>
      <c r="H47" s="81">
        <f>累计考核费用!H122/10000</f>
        <v>169.19888400000002</v>
      </c>
      <c r="I47" s="81">
        <f>累计考核费用!I122/10000</f>
        <v>143.769575</v>
      </c>
      <c r="J47" s="81">
        <f>累计考核费用!J122/10000</f>
        <v>5.1966919999999996</v>
      </c>
      <c r="K47" s="81">
        <f>累计考核费用!K122/10000</f>
        <v>4.8541990000000013</v>
      </c>
      <c r="L47" s="81">
        <f>累计考核费用!L122/10000</f>
        <v>0</v>
      </c>
      <c r="M47" s="81">
        <f>累计考核费用!M122/10000</f>
        <v>0.80058399999999996</v>
      </c>
      <c r="N47" s="83">
        <f>累计考核费用!N122/10000</f>
        <v>14.577833999999999</v>
      </c>
      <c r="O47" s="83">
        <f>累计考核费用!O122/10000</f>
        <v>11.688170999999999</v>
      </c>
      <c r="P47" s="83">
        <f>累计考核费用!P122/10000</f>
        <v>5409.8287399999999</v>
      </c>
      <c r="Q47" s="83">
        <f>累计考核费用!Q122/10000</f>
        <v>0</v>
      </c>
      <c r="R47" s="83">
        <f>累计考核费用!R122/10000</f>
        <v>4685.9453200000007</v>
      </c>
      <c r="S47" s="83">
        <f>累计考核费用!S122/10000</f>
        <v>721.57786399999998</v>
      </c>
      <c r="T47" s="81">
        <f>累计考核费用!T122/10000</f>
        <v>2.3055560000000002</v>
      </c>
      <c r="U47" s="81">
        <f>累计考核费用!U122/10000</f>
        <v>10.018955999999999</v>
      </c>
      <c r="V47" s="81">
        <f>累计考核费用!V122/10000</f>
        <v>1.268E-3</v>
      </c>
      <c r="W47" s="81">
        <f>累计考核费用!W122/10000</f>
        <v>0.49792500000000001</v>
      </c>
      <c r="X47" s="81">
        <f>累计考核费用!X122/10000</f>
        <v>9.5197630000000011</v>
      </c>
      <c r="Y47" s="58">
        <f>累计考核费用!Y122/10000</f>
        <v>0</v>
      </c>
      <c r="Z47" s="58">
        <f>累计考核费用!Z122/10000</f>
        <v>0</v>
      </c>
    </row>
    <row r="48" spans="1:26" s="58" customFormat="1">
      <c r="A48" s="261" t="s">
        <v>76</v>
      </c>
      <c r="B48" s="69" t="s">
        <v>77</v>
      </c>
      <c r="C48" s="80">
        <f>累计考核费用!C123/10000</f>
        <v>1702.6487520000001</v>
      </c>
      <c r="D48" s="80">
        <f>累计考核费用!D123/10000</f>
        <v>41.082000000000001</v>
      </c>
      <c r="E48" s="80">
        <f>累计考核费用!E123/10000</f>
        <v>269.39759299999997</v>
      </c>
      <c r="F48" s="80">
        <f>累计考核费用!F123/10000</f>
        <v>611.57327899999996</v>
      </c>
      <c r="G48" s="80">
        <f>累计考核费用!G123/10000</f>
        <v>72.732074999999995</v>
      </c>
      <c r="H48" s="80">
        <f>累计考核费用!H123/10000</f>
        <v>74.885920999999996</v>
      </c>
      <c r="I48" s="80">
        <f>累计考核费用!I123/10000</f>
        <v>17.75731</v>
      </c>
      <c r="J48" s="80">
        <f>累计考核费用!J123/10000</f>
        <v>17.358779999999999</v>
      </c>
      <c r="K48" s="80">
        <f>累计考核费用!K123/10000</f>
        <v>15.712391</v>
      </c>
      <c r="L48" s="80">
        <f>累计考核费用!L123/10000</f>
        <v>0</v>
      </c>
      <c r="M48" s="80">
        <f>累计考核费用!M123/10000</f>
        <v>10.137795000000001</v>
      </c>
      <c r="N48" s="82">
        <f>累计考核费用!N123/10000</f>
        <v>13.919645000000001</v>
      </c>
      <c r="O48" s="82">
        <f>累计考核费用!O123/10000</f>
        <v>39.446356000000002</v>
      </c>
      <c r="P48" s="82">
        <f>累计考核费用!P123/10000</f>
        <v>544.5809230000001</v>
      </c>
      <c r="Q48" s="82">
        <f>累计考核费用!Q123/10000</f>
        <v>31.486579999999993</v>
      </c>
      <c r="R48" s="82">
        <f>累计考核费用!R123/10000</f>
        <v>389.73627299999998</v>
      </c>
      <c r="S48" s="82">
        <f>累计考核费用!S123/10000</f>
        <v>115.48853000000001</v>
      </c>
      <c r="T48" s="80">
        <f>累计考核费用!T123/10000</f>
        <v>7.8695399999999998</v>
      </c>
      <c r="U48" s="80">
        <f>累计考核费用!U123/10000</f>
        <v>48.950605000000003</v>
      </c>
      <c r="V48" s="80">
        <f>累计考核费用!V123/10000</f>
        <v>19.372252000000003</v>
      </c>
      <c r="W48" s="80">
        <f>累计考核费用!W123/10000</f>
        <v>1.8181</v>
      </c>
      <c r="X48" s="80">
        <f>累计考核费用!X123/10000</f>
        <v>27.760253000000002</v>
      </c>
      <c r="Y48" s="58">
        <f>累计考核费用!Y123/10000</f>
        <v>0</v>
      </c>
      <c r="Z48" s="58">
        <f>累计考核费用!Z123/10000</f>
        <v>0</v>
      </c>
    </row>
    <row r="49" spans="1:26" s="58" customFormat="1">
      <c r="A49" s="262"/>
      <c r="B49" s="69" t="s">
        <v>78</v>
      </c>
      <c r="C49" s="80">
        <f>累计考核费用!C124/10000</f>
        <v>468.68935899999991</v>
      </c>
      <c r="D49" s="80">
        <f>累计考核费用!D124/10000</f>
        <v>0</v>
      </c>
      <c r="E49" s="80">
        <f>累计考核费用!E124/10000</f>
        <v>55.94233400000001</v>
      </c>
      <c r="F49" s="80">
        <f>累计考核费用!F124/10000</f>
        <v>115.95881899999998</v>
      </c>
      <c r="G49" s="80">
        <f>累计考核费用!G124/10000</f>
        <v>14.989626000000001</v>
      </c>
      <c r="H49" s="80">
        <f>累计考核费用!H124/10000</f>
        <v>60.346402000000005</v>
      </c>
      <c r="I49" s="80">
        <f>累计考核费用!I124/10000</f>
        <v>23.043621999999999</v>
      </c>
      <c r="J49" s="80">
        <f>累计考核费用!J124/10000</f>
        <v>17.694306000000001</v>
      </c>
      <c r="K49" s="80">
        <f>累计考核费用!K124/10000</f>
        <v>6.8494970000000004</v>
      </c>
      <c r="L49" s="80">
        <f>累计考核费用!L124/10000</f>
        <v>0</v>
      </c>
      <c r="M49" s="80">
        <f>累计考核费用!M124/10000</f>
        <v>2.07985</v>
      </c>
      <c r="N49" s="82">
        <f>累计考核费用!N124/10000</f>
        <v>10.679127000000001</v>
      </c>
      <c r="O49" s="82">
        <f>累计考核费用!O124/10000</f>
        <v>37.932521999999999</v>
      </c>
      <c r="P49" s="82">
        <f>累计考核费用!P124/10000</f>
        <v>163.14797100000001</v>
      </c>
      <c r="Q49" s="82">
        <f>累计考核费用!Q124/10000</f>
        <v>4.188555</v>
      </c>
      <c r="R49" s="82">
        <f>累计考核费用!R124/10000</f>
        <v>114.48093100000001</v>
      </c>
      <c r="S49" s="82">
        <f>累计考核费用!S124/10000</f>
        <v>37.456654999999998</v>
      </c>
      <c r="T49" s="80">
        <f>累计考核费用!T124/10000</f>
        <v>7.0218300000000005</v>
      </c>
      <c r="U49" s="80">
        <f>累计考核费用!U124/10000</f>
        <v>20.371684999999999</v>
      </c>
      <c r="V49" s="80">
        <f>累计考核费用!V124/10000</f>
        <v>4.3100319999999996</v>
      </c>
      <c r="W49" s="80">
        <f>累计考核费用!W124/10000</f>
        <v>3.3835160000000002</v>
      </c>
      <c r="X49" s="80">
        <f>累计考核费用!X124/10000</f>
        <v>12.678137</v>
      </c>
      <c r="Y49" s="58">
        <f>累计考核费用!Y124/10000</f>
        <v>0</v>
      </c>
      <c r="Z49" s="58">
        <f>累计考核费用!Z124/10000</f>
        <v>0</v>
      </c>
    </row>
    <row r="50" spans="1:26" s="58" customFormat="1">
      <c r="A50" s="262"/>
      <c r="B50" s="69" t="s">
        <v>79</v>
      </c>
      <c r="C50" s="80">
        <f>累计考核费用!C125/10000</f>
        <v>178.29783100000003</v>
      </c>
      <c r="D50" s="80">
        <f>累计考核费用!D125/10000</f>
        <v>0</v>
      </c>
      <c r="E50" s="80">
        <f>累计考核费用!E125/10000</f>
        <v>49.024836000000001</v>
      </c>
      <c r="F50" s="80">
        <f>累计考核费用!F125/10000</f>
        <v>116.53273000000003</v>
      </c>
      <c r="G50" s="80">
        <f>累计考核费用!G125/10000</f>
        <v>1.3226599999999999</v>
      </c>
      <c r="H50" s="80">
        <f>累计考核费用!H125/10000</f>
        <v>4.0871360000000001</v>
      </c>
      <c r="I50" s="80">
        <f>累计考核费用!I125/10000</f>
        <v>1.3226599999999999</v>
      </c>
      <c r="J50" s="80">
        <f>累计考核费用!J125/10000</f>
        <v>1.3226599999999999</v>
      </c>
      <c r="K50" s="80">
        <f>累计考核费用!K125/10000</f>
        <v>1.3226599999999999</v>
      </c>
      <c r="L50" s="80">
        <f>累计考核费用!L125/10000</f>
        <v>0</v>
      </c>
      <c r="M50" s="80">
        <f>累计考核费用!M125/10000</f>
        <v>-1.2035040000000001</v>
      </c>
      <c r="N50" s="82">
        <f>累计考核费用!N125/10000</f>
        <v>1.3226599999999999</v>
      </c>
      <c r="O50" s="82">
        <f>累计考核费用!O125/10000</f>
        <v>0</v>
      </c>
      <c r="P50" s="82">
        <f>累计考核费用!P125/10000</f>
        <v>4.071949</v>
      </c>
      <c r="Q50" s="82">
        <f>累计考核费用!Q125/10000</f>
        <v>0.76387399999999994</v>
      </c>
      <c r="R50" s="82">
        <f>累计考核费用!R125/10000</f>
        <v>0.94497199999999992</v>
      </c>
      <c r="S50" s="82">
        <f>累计考核费用!S125/10000</f>
        <v>0.94497099999999989</v>
      </c>
      <c r="T50" s="80">
        <f>累计考核费用!T125/10000</f>
        <v>1.4181319999999999</v>
      </c>
      <c r="U50" s="80">
        <f>累计考核费用!U125/10000</f>
        <v>3.2585199999999999</v>
      </c>
      <c r="V50" s="80">
        <f>累计考核费用!V125/10000</f>
        <v>1.629251</v>
      </c>
      <c r="W50" s="80">
        <f>累计考核费用!W125/10000</f>
        <v>0</v>
      </c>
      <c r="X50" s="80">
        <f>累计考核费用!X125/10000</f>
        <v>1.6292690000000001</v>
      </c>
      <c r="Y50" s="58">
        <f>累计考核费用!Y125/10000</f>
        <v>0</v>
      </c>
      <c r="Z50" s="58">
        <f>累计考核费用!Z125/10000</f>
        <v>0</v>
      </c>
    </row>
    <row r="51" spans="1:26" s="58" customFormat="1">
      <c r="A51" s="262"/>
      <c r="B51" s="69" t="s">
        <v>80</v>
      </c>
      <c r="C51" s="80">
        <f>累计考核费用!C126/10000</f>
        <v>135.87156899999997</v>
      </c>
      <c r="D51" s="80">
        <f>累计考核费用!D126/10000</f>
        <v>7.4</v>
      </c>
      <c r="E51" s="80">
        <f>累计考核费用!E126/10000</f>
        <v>25.583227000000001</v>
      </c>
      <c r="F51" s="80">
        <f>累计考核费用!F126/10000</f>
        <v>74.483521999999979</v>
      </c>
      <c r="G51" s="80">
        <f>累计考核费用!G126/10000</f>
        <v>0.69330000000000003</v>
      </c>
      <c r="H51" s="80">
        <f>累计考核费用!H126/10000</f>
        <v>18.610230999999999</v>
      </c>
      <c r="I51" s="80">
        <f>累计考核费用!I126/10000</f>
        <v>5.8143470000000006</v>
      </c>
      <c r="J51" s="80">
        <f>累计考核费用!J126/10000</f>
        <v>2.0009619999999999</v>
      </c>
      <c r="K51" s="80">
        <f>累计考核费用!K126/10000</f>
        <v>1.5975330000000001</v>
      </c>
      <c r="L51" s="80">
        <f>累计考核费用!L126/10000</f>
        <v>0</v>
      </c>
      <c r="M51" s="80">
        <f>累计考核费用!M126/10000</f>
        <v>6.0851150000000001</v>
      </c>
      <c r="N51" s="82">
        <f>累计考核费用!N126/10000</f>
        <v>3.1122740000000002</v>
      </c>
      <c r="O51" s="82">
        <f>累计考核费用!O126/10000</f>
        <v>1.7786939999999998</v>
      </c>
      <c r="P51" s="82">
        <f>累计考核费用!P126/10000</f>
        <v>1.8517989999999998</v>
      </c>
      <c r="Q51" s="82">
        <f>累计考核费用!Q126/10000</f>
        <v>0.142516</v>
      </c>
      <c r="R51" s="82">
        <f>累计考核费用!R126/10000</f>
        <v>0.59919999999999995</v>
      </c>
      <c r="S51" s="82">
        <f>累计考核费用!S126/10000</f>
        <v>0.64348300000000003</v>
      </c>
      <c r="T51" s="80">
        <f>累计考核费用!T126/10000</f>
        <v>0.46660000000000001</v>
      </c>
      <c r="U51" s="80">
        <f>累计考核费用!U126/10000</f>
        <v>5.470796</v>
      </c>
      <c r="V51" s="80">
        <f>累计考核费用!V126/10000</f>
        <v>1.050673</v>
      </c>
      <c r="W51" s="80">
        <f>累计考核费用!W126/10000</f>
        <v>0.18201199999999998</v>
      </c>
      <c r="X51" s="80">
        <f>累计考核费用!X126/10000</f>
        <v>4.238111</v>
      </c>
      <c r="Y51" s="58">
        <f>累计考核费用!Y126/10000</f>
        <v>0</v>
      </c>
      <c r="Z51" s="58">
        <f>累计考核费用!Z126/10000</f>
        <v>0</v>
      </c>
    </row>
    <row r="52" spans="1:26" s="58" customFormat="1">
      <c r="A52" s="262"/>
      <c r="B52" s="69" t="s">
        <v>81</v>
      </c>
      <c r="C52" s="80">
        <f>累计考核费用!C127/10000</f>
        <v>87.465944999999991</v>
      </c>
      <c r="D52" s="80">
        <f>累计考核费用!D127/10000</f>
        <v>0</v>
      </c>
      <c r="E52" s="80">
        <f>累计考核费用!E127/10000</f>
        <v>16.412486999999999</v>
      </c>
      <c r="F52" s="80">
        <f>累计考核费用!F127/10000</f>
        <v>55.147309999999997</v>
      </c>
      <c r="G52" s="80">
        <f>累计考核费用!G127/10000</f>
        <v>0.38735000000000003</v>
      </c>
      <c r="H52" s="80">
        <f>累计考核费用!H127/10000</f>
        <v>7.8055150000000006</v>
      </c>
      <c r="I52" s="80">
        <f>累计考核费用!I127/10000</f>
        <v>1.2622</v>
      </c>
      <c r="J52" s="80">
        <f>累计考核费用!J127/10000</f>
        <v>1.3374999999999999</v>
      </c>
      <c r="K52" s="80">
        <f>累计考核费用!K127/10000</f>
        <v>1.5385030000000002</v>
      </c>
      <c r="L52" s="80">
        <f>累计考核费用!L127/10000</f>
        <v>0</v>
      </c>
      <c r="M52" s="80">
        <f>累计考核费用!M127/10000</f>
        <v>2.7681520000000002</v>
      </c>
      <c r="N52" s="82">
        <f>累计考核费用!N127/10000</f>
        <v>0.89916000000000007</v>
      </c>
      <c r="O52" s="82">
        <f>累计考核费用!O127/10000</f>
        <v>0.79221000000000008</v>
      </c>
      <c r="P52" s="82">
        <f>累计考核费用!P127/10000</f>
        <v>2.1231979999999999</v>
      </c>
      <c r="Q52" s="82">
        <f>累计考核费用!Q127/10000</f>
        <v>9.9187999999999998E-2</v>
      </c>
      <c r="R52" s="82">
        <f>累计考核费用!R127/10000</f>
        <v>0.61360999999999999</v>
      </c>
      <c r="S52" s="82">
        <f>累计考核费用!S127/10000</f>
        <v>0.42409999999999998</v>
      </c>
      <c r="T52" s="80">
        <f>累计考核费用!T127/10000</f>
        <v>0.98629999999999995</v>
      </c>
      <c r="U52" s="80">
        <f>累计考核费用!U127/10000</f>
        <v>4.7978750000000003</v>
      </c>
      <c r="V52" s="80">
        <f>累计考核费用!V127/10000</f>
        <v>2.1798450000000003</v>
      </c>
      <c r="W52" s="80">
        <f>累计考核费用!W127/10000</f>
        <v>5.7684000000000006E-2</v>
      </c>
      <c r="X52" s="80">
        <f>累计考核费用!X127/10000</f>
        <v>2.560346</v>
      </c>
      <c r="Y52" s="58">
        <f>累计考核费用!Y127/10000</f>
        <v>0</v>
      </c>
      <c r="Z52" s="58">
        <f>累计考核费用!Z127/10000</f>
        <v>0</v>
      </c>
    </row>
    <row r="53" spans="1:26" s="58" customFormat="1">
      <c r="A53" s="262"/>
      <c r="B53" s="69" t="s">
        <v>82</v>
      </c>
      <c r="C53" s="80">
        <f>累计考核费用!C128/10000</f>
        <v>49.347322000000005</v>
      </c>
      <c r="D53" s="80">
        <f>累计考核费用!D128/10000</f>
        <v>0</v>
      </c>
      <c r="E53" s="80">
        <f>累计考核费用!E128/10000</f>
        <v>6.5798690000000004</v>
      </c>
      <c r="F53" s="80">
        <f>累计考核费用!F128/10000</f>
        <v>39.444662999999998</v>
      </c>
      <c r="G53" s="80">
        <f>累计考核费用!G128/10000</f>
        <v>0.45350000000000001</v>
      </c>
      <c r="H53" s="80">
        <f>累计考核费用!H128/10000</f>
        <v>1.3100899999999998</v>
      </c>
      <c r="I53" s="80">
        <f>累计考核费用!I128/10000</f>
        <v>1.6314299999999999</v>
      </c>
      <c r="J53" s="80">
        <f>累计考核费用!J128/10000</f>
        <v>0.25458000000000003</v>
      </c>
      <c r="K53" s="80">
        <f>累计考核费用!K128/10000</f>
        <v>0</v>
      </c>
      <c r="L53" s="80">
        <f>累计考核费用!L128/10000</f>
        <v>0</v>
      </c>
      <c r="M53" s="80">
        <f>累计考核费用!M128/10000</f>
        <v>-0.8591700000000001</v>
      </c>
      <c r="N53" s="82">
        <f>累计考核费用!N128/10000</f>
        <v>0.28325</v>
      </c>
      <c r="O53" s="82">
        <f>累计考核费用!O128/10000</f>
        <v>0.4788</v>
      </c>
      <c r="P53" s="82">
        <f>累计考核费用!P128/10000</f>
        <v>0.82489999999999997</v>
      </c>
      <c r="Q53" s="82">
        <f>累计考核费用!Q128/10000</f>
        <v>4.3999999999999997E-2</v>
      </c>
      <c r="R53" s="82">
        <f>累计考核费用!R128/10000</f>
        <v>0.315</v>
      </c>
      <c r="S53" s="82">
        <f>累计考核费用!S128/10000</f>
        <v>0.15090000000000001</v>
      </c>
      <c r="T53" s="80">
        <f>累计考核费用!T128/10000</f>
        <v>0.315</v>
      </c>
      <c r="U53" s="80">
        <f>累计考核费用!U128/10000</f>
        <v>0.2555</v>
      </c>
      <c r="V53" s="80">
        <f>累计考核费用!V128/10000</f>
        <v>0.246</v>
      </c>
      <c r="W53" s="80">
        <f>累计考核费用!W128/10000</f>
        <v>0</v>
      </c>
      <c r="X53" s="80">
        <f>累计考核费用!X128/10000</f>
        <v>9.4999999999999998E-3</v>
      </c>
      <c r="Y53" s="58">
        <f>累计考核费用!Y128/10000</f>
        <v>0</v>
      </c>
      <c r="Z53" s="58">
        <f>累计考核费用!Z128/10000</f>
        <v>0</v>
      </c>
    </row>
    <row r="54" spans="1:26" s="58" customFormat="1">
      <c r="A54" s="262"/>
      <c r="B54" s="66" t="s">
        <v>83</v>
      </c>
      <c r="C54" s="80">
        <f>累计考核费用!C129/10000</f>
        <v>276.18805200000003</v>
      </c>
      <c r="D54" s="80">
        <f>累计考核费用!D129/10000</f>
        <v>250.98169900000002</v>
      </c>
      <c r="E54" s="80">
        <f>累计考核费用!E129/10000</f>
        <v>1.2</v>
      </c>
      <c r="F54" s="80">
        <f>累计考核费用!F129/10000</f>
        <v>23.749953000000001</v>
      </c>
      <c r="G54" s="80">
        <f>累计考核费用!G129/10000</f>
        <v>0</v>
      </c>
      <c r="H54" s="80">
        <f>累计考核费用!H129/10000</f>
        <v>0</v>
      </c>
      <c r="I54" s="80">
        <f>累计考核费用!I129/10000</f>
        <v>0</v>
      </c>
      <c r="J54" s="80">
        <f>累计考核费用!J129/10000</f>
        <v>0</v>
      </c>
      <c r="K54" s="80">
        <f>累计考核费用!K129/10000</f>
        <v>0</v>
      </c>
      <c r="L54" s="80">
        <f>累计考核费用!L129/10000</f>
        <v>0</v>
      </c>
      <c r="M54" s="80">
        <f>累计考核费用!M129/10000</f>
        <v>0</v>
      </c>
      <c r="N54" s="82">
        <f>累计考核费用!N129/10000</f>
        <v>0</v>
      </c>
      <c r="O54" s="82">
        <f>累计考核费用!O129/10000</f>
        <v>6.0000000000000001E-3</v>
      </c>
      <c r="P54" s="82">
        <f>累计考核费用!P129/10000</f>
        <v>0.2</v>
      </c>
      <c r="Q54" s="82">
        <f>累计考核费用!Q129/10000</f>
        <v>0</v>
      </c>
      <c r="R54" s="82">
        <f>累计考核费用!R129/10000</f>
        <v>0.2</v>
      </c>
      <c r="S54" s="82">
        <f>累计考核费用!S129/10000</f>
        <v>0</v>
      </c>
      <c r="T54" s="80">
        <f>累计考核费用!T129/10000</f>
        <v>0</v>
      </c>
      <c r="U54" s="80">
        <f>累计考核费用!U129/10000</f>
        <v>5.04E-2</v>
      </c>
      <c r="V54" s="80">
        <f>累计考核费用!V129/10000</f>
        <v>0</v>
      </c>
      <c r="W54" s="80">
        <f>累计考核费用!W129/10000</f>
        <v>0</v>
      </c>
      <c r="X54" s="80">
        <f>累计考核费用!X129/10000</f>
        <v>5.04E-2</v>
      </c>
      <c r="Y54" s="58">
        <f>累计考核费用!Y129/10000</f>
        <v>0</v>
      </c>
      <c r="Z54" s="58">
        <f>累计考核费用!Z129/10000</f>
        <v>0</v>
      </c>
    </row>
    <row r="55" spans="1:26" s="58" customFormat="1">
      <c r="A55" s="262"/>
      <c r="B55" s="69" t="s">
        <v>84</v>
      </c>
      <c r="C55" s="80">
        <f>累计考核费用!C130/10000</f>
        <v>80.832157999999993</v>
      </c>
      <c r="D55" s="80">
        <f>累计考核费用!D130/10000</f>
        <v>80.832157999999993</v>
      </c>
      <c r="E55" s="80">
        <f>累计考核费用!E130/10000</f>
        <v>0</v>
      </c>
      <c r="F55" s="80">
        <f>累计考核费用!F130/10000</f>
        <v>0</v>
      </c>
      <c r="G55" s="80">
        <f>累计考核费用!G130/10000</f>
        <v>0</v>
      </c>
      <c r="H55" s="80">
        <f>累计考核费用!H130/10000</f>
        <v>0</v>
      </c>
      <c r="I55" s="80">
        <f>累计考核费用!I130/10000</f>
        <v>0</v>
      </c>
      <c r="J55" s="80">
        <f>累计考核费用!J130/10000</f>
        <v>0</v>
      </c>
      <c r="K55" s="80">
        <f>累计考核费用!K130/10000</f>
        <v>0</v>
      </c>
      <c r="L55" s="80">
        <f>累计考核费用!L130/10000</f>
        <v>0</v>
      </c>
      <c r="M55" s="80">
        <f>累计考核费用!M130/10000</f>
        <v>0</v>
      </c>
      <c r="N55" s="82">
        <f>累计考核费用!N130/10000</f>
        <v>0</v>
      </c>
      <c r="O55" s="82">
        <f>累计考核费用!O130/10000</f>
        <v>0</v>
      </c>
      <c r="P55" s="82">
        <f>累计考核费用!P130/10000</f>
        <v>0</v>
      </c>
      <c r="Q55" s="82">
        <f>累计考核费用!Q130/10000</f>
        <v>0</v>
      </c>
      <c r="R55" s="82">
        <f>累计考核费用!R130/10000</f>
        <v>0</v>
      </c>
      <c r="S55" s="82">
        <f>累计考核费用!S130/10000</f>
        <v>0</v>
      </c>
      <c r="T55" s="80">
        <f>累计考核费用!T130/10000</f>
        <v>0</v>
      </c>
      <c r="U55" s="80">
        <f>累计考核费用!U130/10000</f>
        <v>0</v>
      </c>
      <c r="V55" s="80">
        <f>累计考核费用!V130/10000</f>
        <v>0</v>
      </c>
      <c r="W55" s="80">
        <f>累计考核费用!W130/10000</f>
        <v>0</v>
      </c>
      <c r="X55" s="80">
        <f>累计考核费用!X130/10000</f>
        <v>0</v>
      </c>
      <c r="Y55" s="58">
        <f>累计考核费用!Y130/10000</f>
        <v>0</v>
      </c>
      <c r="Z55" s="58">
        <f>累计考核费用!Z130/10000</f>
        <v>0</v>
      </c>
    </row>
    <row r="56" spans="1:26" s="58" customFormat="1">
      <c r="A56" s="262"/>
      <c r="B56" s="69" t="s">
        <v>85</v>
      </c>
      <c r="C56" s="80">
        <f>累计考核费用!C131/10000</f>
        <v>606.78692600000011</v>
      </c>
      <c r="D56" s="80">
        <f>累计考核费用!D131/10000</f>
        <v>4.7169809999999996</v>
      </c>
      <c r="E56" s="80">
        <f>累计考核费用!E131/10000</f>
        <v>11.132984</v>
      </c>
      <c r="F56" s="80">
        <f>累计考核费用!F131/10000</f>
        <v>590.936961</v>
      </c>
      <c r="G56" s="80">
        <f>累计考核费用!G131/10000</f>
        <v>0</v>
      </c>
      <c r="H56" s="80">
        <f>累计考核费用!H131/10000</f>
        <v>0</v>
      </c>
      <c r="I56" s="80">
        <f>累计考核费用!I131/10000</f>
        <v>0</v>
      </c>
      <c r="J56" s="80">
        <f>累计考核费用!J131/10000</f>
        <v>0</v>
      </c>
      <c r="K56" s="80">
        <f>累计考核费用!K131/10000</f>
        <v>0</v>
      </c>
      <c r="L56" s="80">
        <f>累计考核费用!L131/10000</f>
        <v>0</v>
      </c>
      <c r="M56" s="80">
        <f>累计考核费用!M131/10000</f>
        <v>0</v>
      </c>
      <c r="N56" s="82">
        <f>累计考核费用!N131/10000</f>
        <v>0</v>
      </c>
      <c r="O56" s="82">
        <f>累计考核费用!O131/10000</f>
        <v>0</v>
      </c>
      <c r="P56" s="82">
        <f>累计考核费用!P131/10000</f>
        <v>0</v>
      </c>
      <c r="Q56" s="82">
        <f>累计考核费用!Q131/10000</f>
        <v>0</v>
      </c>
      <c r="R56" s="82">
        <f>累计考核费用!R131/10000</f>
        <v>0</v>
      </c>
      <c r="S56" s="82">
        <f>累计考核费用!S131/10000</f>
        <v>0</v>
      </c>
      <c r="T56" s="80">
        <f>累计考核费用!T131/10000</f>
        <v>0</v>
      </c>
      <c r="U56" s="80">
        <f>累计考核费用!U131/10000</f>
        <v>0</v>
      </c>
      <c r="V56" s="80">
        <f>累计考核费用!V131/10000</f>
        <v>0</v>
      </c>
      <c r="W56" s="80">
        <f>累计考核费用!W131/10000</f>
        <v>0</v>
      </c>
      <c r="X56" s="80">
        <f>累计考核费用!X131/10000</f>
        <v>0</v>
      </c>
      <c r="Y56" s="58">
        <f>累计考核费用!Y131/10000</f>
        <v>0</v>
      </c>
      <c r="Z56" s="58">
        <f>累计考核费用!Z131/10000</f>
        <v>0</v>
      </c>
    </row>
    <row r="57" spans="1:26" s="58" customFormat="1">
      <c r="A57" s="262"/>
      <c r="B57" s="69" t="s">
        <v>86</v>
      </c>
      <c r="C57" s="80">
        <f>累计考核费用!C132/10000</f>
        <v>240.95828999999989</v>
      </c>
      <c r="D57" s="80">
        <f>累计考核费用!D132/10000</f>
        <v>0</v>
      </c>
      <c r="E57" s="80">
        <f>累计考核费用!E132/10000</f>
        <v>0</v>
      </c>
      <c r="F57" s="80">
        <f>累计考核费用!F132/10000</f>
        <v>210.26175199999992</v>
      </c>
      <c r="G57" s="80">
        <f>累计考核费用!G132/10000</f>
        <v>0</v>
      </c>
      <c r="H57" s="80">
        <f>累计考核费用!H132/10000</f>
        <v>12.216438</v>
      </c>
      <c r="I57" s="80">
        <f>累计考核费用!I132/10000</f>
        <v>0</v>
      </c>
      <c r="J57" s="80">
        <f>累计考核费用!J132/10000</f>
        <v>0</v>
      </c>
      <c r="K57" s="80">
        <f>累计考核费用!K132/10000</f>
        <v>12.216438</v>
      </c>
      <c r="L57" s="80">
        <f>累计考核费用!L132/10000</f>
        <v>0</v>
      </c>
      <c r="M57" s="80">
        <f>累计考核费用!M132/10000</f>
        <v>0</v>
      </c>
      <c r="N57" s="82">
        <f>累计考核费用!N132/10000</f>
        <v>0</v>
      </c>
      <c r="O57" s="82">
        <f>累计考核费用!O132/10000</f>
        <v>0</v>
      </c>
      <c r="P57" s="82">
        <f>累计考核费用!P132/10000</f>
        <v>0</v>
      </c>
      <c r="Q57" s="82">
        <f>累计考核费用!Q132/10000</f>
        <v>0</v>
      </c>
      <c r="R57" s="82">
        <f>累计考核费用!R132/10000</f>
        <v>0</v>
      </c>
      <c r="S57" s="82">
        <f>累计考核费用!S132/10000</f>
        <v>0</v>
      </c>
      <c r="T57" s="80">
        <f>累计考核费用!T132/10000</f>
        <v>0</v>
      </c>
      <c r="U57" s="80">
        <f>累计考核费用!U132/10000</f>
        <v>18.4801</v>
      </c>
      <c r="V57" s="80">
        <f>累计考核费用!V132/10000</f>
        <v>0</v>
      </c>
      <c r="W57" s="80">
        <f>累计考核费用!W132/10000</f>
        <v>0</v>
      </c>
      <c r="X57" s="80">
        <f>累计考核费用!X132/10000</f>
        <v>18.4801</v>
      </c>
      <c r="Y57" s="58">
        <f>累计考核费用!Y132/10000</f>
        <v>0</v>
      </c>
      <c r="Z57" s="58">
        <f>累计考核费用!Z132/10000</f>
        <v>0</v>
      </c>
    </row>
    <row r="58" spans="1:26" s="58" customFormat="1">
      <c r="A58" s="262"/>
      <c r="B58" s="69" t="s">
        <v>87</v>
      </c>
      <c r="C58" s="80">
        <f>累计考核费用!C133/10000</f>
        <v>212.47421799999998</v>
      </c>
      <c r="D58" s="80">
        <f>累计考核费用!D133/10000</f>
        <v>0</v>
      </c>
      <c r="E58" s="80">
        <f>累计考核费用!E133/10000</f>
        <v>22.964724</v>
      </c>
      <c r="F58" s="80">
        <f>累计考核费用!F133/10000</f>
        <v>66.1053</v>
      </c>
      <c r="G58" s="80">
        <f>累计考核费用!G133/10000</f>
        <v>7.6037999999999997</v>
      </c>
      <c r="H58" s="80">
        <f>累计考核费用!H133/10000</f>
        <v>74.207564000000005</v>
      </c>
      <c r="I58" s="80">
        <f>累计考核费用!I133/10000</f>
        <v>43.428600000000003</v>
      </c>
      <c r="J58" s="80">
        <f>累计考核费用!J133/10000</f>
        <v>4.3127000000000004</v>
      </c>
      <c r="K58" s="80">
        <f>累计考核费用!K133/10000</f>
        <v>2.5821999999999998</v>
      </c>
      <c r="L58" s="80">
        <f>累计考核费用!L133/10000</f>
        <v>0</v>
      </c>
      <c r="M58" s="80">
        <f>累计考核费用!M133/10000</f>
        <v>2.3264999999999998</v>
      </c>
      <c r="N58" s="82">
        <f>累计考核费用!N133/10000</f>
        <v>21.557564000000003</v>
      </c>
      <c r="O58" s="82">
        <f>累计考核费用!O133/10000</f>
        <v>2.2965</v>
      </c>
      <c r="P58" s="82">
        <f>累计考核费用!P133/10000</f>
        <v>6.9164000000000003</v>
      </c>
      <c r="Q58" s="82">
        <f>累计考核费用!Q133/10000</f>
        <v>0</v>
      </c>
      <c r="R58" s="82">
        <f>累计考核费用!R133/10000</f>
        <v>2.4500999999999999</v>
      </c>
      <c r="S58" s="82">
        <f>累计考核费用!S133/10000</f>
        <v>2.4500999999999999</v>
      </c>
      <c r="T58" s="80">
        <f>累计考核费用!T133/10000</f>
        <v>2.0162</v>
      </c>
      <c r="U58" s="80">
        <f>累计考核费用!U133/10000</f>
        <v>32.379930000000002</v>
      </c>
      <c r="V58" s="80">
        <f>累计考核费用!V133/10000</f>
        <v>1.5822000000000001</v>
      </c>
      <c r="W58" s="80">
        <f>累计考核费用!W133/10000</f>
        <v>0</v>
      </c>
      <c r="X58" s="80">
        <f>累计考核费用!X133/10000</f>
        <v>30.797729999999998</v>
      </c>
      <c r="Y58" s="58">
        <f>累计考核费用!Y133/10000</f>
        <v>0</v>
      </c>
      <c r="Z58" s="58">
        <f>累计考核费用!Z133/10000</f>
        <v>0</v>
      </c>
    </row>
    <row r="59" spans="1:26" s="58" customFormat="1">
      <c r="A59" s="262"/>
      <c r="B59" s="69" t="s">
        <v>88</v>
      </c>
      <c r="C59" s="80">
        <f>累计考核费用!C134/10000</f>
        <v>88.535902000000007</v>
      </c>
      <c r="D59" s="80">
        <f>累计考核费用!D134/10000</f>
        <v>0</v>
      </c>
      <c r="E59" s="80">
        <f>累计考核费用!E134/10000</f>
        <v>12.258833000000001</v>
      </c>
      <c r="F59" s="80">
        <f>累计考核费用!F134/10000</f>
        <v>69.858191000000005</v>
      </c>
      <c r="G59" s="80">
        <f>累计考核费用!G134/10000</f>
        <v>0.68166700000000002</v>
      </c>
      <c r="H59" s="80">
        <f>累计考核费用!H134/10000</f>
        <v>3.5624710000000008</v>
      </c>
      <c r="I59" s="80">
        <f>累计考核费用!I134/10000</f>
        <v>0.68166700000000002</v>
      </c>
      <c r="J59" s="80">
        <f>累计考核费用!J134/10000</f>
        <v>0.68166700000000002</v>
      </c>
      <c r="K59" s="80">
        <f>累计考核费用!K134/10000</f>
        <v>0.68166700000000002</v>
      </c>
      <c r="L59" s="80">
        <f>累计考核费用!L134/10000</f>
        <v>0</v>
      </c>
      <c r="M59" s="80">
        <f>累计考核费用!M134/10000</f>
        <v>0.68166499999999997</v>
      </c>
      <c r="N59" s="82">
        <f>累计考核费用!N134/10000</f>
        <v>0.83580499999999991</v>
      </c>
      <c r="O59" s="82">
        <f>累计考核费用!O134/10000</f>
        <v>0</v>
      </c>
      <c r="P59" s="82">
        <f>累计考核费用!P134/10000</f>
        <v>0</v>
      </c>
      <c r="Q59" s="82">
        <f>累计考核费用!Q134/10000</f>
        <v>0</v>
      </c>
      <c r="R59" s="82">
        <f>累计考核费用!R134/10000</f>
        <v>0</v>
      </c>
      <c r="S59" s="82">
        <f>累计考核费用!S134/10000</f>
        <v>0</v>
      </c>
      <c r="T59" s="80">
        <f>累计考核费用!T134/10000</f>
        <v>0</v>
      </c>
      <c r="U59" s="80">
        <f>累计考核费用!U134/10000</f>
        <v>2.1747400000000003</v>
      </c>
      <c r="V59" s="80">
        <f>累计考核费用!V134/10000</f>
        <v>1.0873700000000002</v>
      </c>
      <c r="W59" s="80">
        <f>累计考核费用!W134/10000</f>
        <v>0</v>
      </c>
      <c r="X59" s="80">
        <f>累计考核费用!X134/10000</f>
        <v>1.0873700000000002</v>
      </c>
      <c r="Y59" s="58">
        <f>累计考核费用!Y134/10000</f>
        <v>0</v>
      </c>
      <c r="Z59" s="58">
        <f>累计考核费用!Z134/10000</f>
        <v>0</v>
      </c>
    </row>
    <row r="60" spans="1:26" s="58" customFormat="1">
      <c r="A60" s="262"/>
      <c r="B60" s="69" t="s">
        <v>89</v>
      </c>
      <c r="C60" s="80">
        <f>累计考核费用!C135/10000</f>
        <v>126.74583200000001</v>
      </c>
      <c r="D60" s="80">
        <f>累计考核费用!D135/10000</f>
        <v>0</v>
      </c>
      <c r="E60" s="80">
        <f>累计考核费用!E135/10000</f>
        <v>47.201270000000001</v>
      </c>
      <c r="F60" s="80">
        <f>累计考核费用!F135/10000</f>
        <v>79.544561999999999</v>
      </c>
      <c r="G60" s="80">
        <f>累计考核费用!G135/10000</f>
        <v>0</v>
      </c>
      <c r="H60" s="80">
        <f>累计考核费用!H135/10000</f>
        <v>0</v>
      </c>
      <c r="I60" s="80">
        <f>累计考核费用!I135/10000</f>
        <v>0</v>
      </c>
      <c r="J60" s="80">
        <f>累计考核费用!J135/10000</f>
        <v>0</v>
      </c>
      <c r="K60" s="80">
        <f>累计考核费用!K135/10000</f>
        <v>0</v>
      </c>
      <c r="L60" s="80">
        <f>累计考核费用!L135/10000</f>
        <v>0</v>
      </c>
      <c r="M60" s="80">
        <f>累计考核费用!M135/10000</f>
        <v>0</v>
      </c>
      <c r="N60" s="82">
        <f>累计考核费用!N135/10000</f>
        <v>0</v>
      </c>
      <c r="O60" s="82">
        <f>累计考核费用!O135/10000</f>
        <v>0</v>
      </c>
      <c r="P60" s="82">
        <f>累计考核费用!P135/10000</f>
        <v>0</v>
      </c>
      <c r="Q60" s="82">
        <f>累计考核费用!Q135/10000</f>
        <v>0</v>
      </c>
      <c r="R60" s="82">
        <f>累计考核费用!R135/10000</f>
        <v>0</v>
      </c>
      <c r="S60" s="82">
        <f>累计考核费用!S135/10000</f>
        <v>0</v>
      </c>
      <c r="T60" s="80">
        <f>累计考核费用!T135/10000</f>
        <v>0</v>
      </c>
      <c r="U60" s="80">
        <f>累计考核费用!U135/10000</f>
        <v>0</v>
      </c>
      <c r="V60" s="80">
        <f>累计考核费用!V135/10000</f>
        <v>0</v>
      </c>
      <c r="W60" s="80">
        <f>累计考核费用!W135/10000</f>
        <v>0</v>
      </c>
      <c r="X60" s="80">
        <f>累计考核费用!X135/10000</f>
        <v>0</v>
      </c>
      <c r="Y60" s="58">
        <f>累计考核费用!Y135/10000</f>
        <v>0</v>
      </c>
      <c r="Z60" s="58">
        <f>累计考核费用!Z135/10000</f>
        <v>0</v>
      </c>
    </row>
    <row r="61" spans="1:26" s="58" customFormat="1">
      <c r="A61" s="262"/>
      <c r="B61" s="69" t="s">
        <v>90</v>
      </c>
      <c r="C61" s="80">
        <f>累计考核费用!C136/10000</f>
        <v>49.205167000000003</v>
      </c>
      <c r="D61" s="80">
        <f>累计考核费用!D136/10000</f>
        <v>0</v>
      </c>
      <c r="E61" s="80">
        <f>累计考核费用!E136/10000</f>
        <v>8.0153640000000017</v>
      </c>
      <c r="F61" s="80">
        <f>累计考核费用!F136/10000</f>
        <v>29.342099999999999</v>
      </c>
      <c r="G61" s="80">
        <f>累计考核费用!G136/10000</f>
        <v>0.27373999999999998</v>
      </c>
      <c r="H61" s="80">
        <f>累计考核费用!H136/10000</f>
        <v>0.69191000000000003</v>
      </c>
      <c r="I61" s="80">
        <f>累计考核费用!I136/10000</f>
        <v>0.4204</v>
      </c>
      <c r="J61" s="80">
        <f>累计考核费用!J136/10000</f>
        <v>6.6E-3</v>
      </c>
      <c r="K61" s="80">
        <f>累计考核费用!K136/10000</f>
        <v>0.12130000000000001</v>
      </c>
      <c r="L61" s="80">
        <f>累计考核费用!L136/10000</f>
        <v>0</v>
      </c>
      <c r="M61" s="80">
        <f>累计考核费用!M136/10000</f>
        <v>-4.0189999999999997E-2</v>
      </c>
      <c r="N61" s="82">
        <f>累计考核费用!N136/10000</f>
        <v>0.18379999999999999</v>
      </c>
      <c r="O61" s="82">
        <f>累计考核费用!O136/10000</f>
        <v>2.4720499999999999</v>
      </c>
      <c r="P61" s="82">
        <f>累计考核费用!P136/10000</f>
        <v>8.348294000000001</v>
      </c>
      <c r="Q61" s="82">
        <f>累计考核费用!Q136/10000</f>
        <v>0.29608000000000001</v>
      </c>
      <c r="R61" s="82">
        <f>累计考核费用!R136/10000</f>
        <v>5.3564440000000006</v>
      </c>
      <c r="S61" s="82">
        <f>累计考核费用!S136/10000</f>
        <v>2.6000700000000001</v>
      </c>
      <c r="T61" s="80">
        <f>累计考核费用!T136/10000</f>
        <v>9.5699999999999993E-2</v>
      </c>
      <c r="U61" s="80">
        <f>累计考核费用!U136/10000</f>
        <v>6.1708999999999993E-2</v>
      </c>
      <c r="V61" s="80">
        <f>累计考核费用!V136/10000</f>
        <v>0</v>
      </c>
      <c r="W61" s="80">
        <f>累计考核费用!W136/10000</f>
        <v>0.02</v>
      </c>
      <c r="X61" s="80">
        <f>累计考核费用!X136/10000</f>
        <v>4.1708999999999996E-2</v>
      </c>
      <c r="Y61" s="58">
        <f>累计考核费用!Y136/10000</f>
        <v>0</v>
      </c>
      <c r="Z61" s="58">
        <f>累计考核费用!Z136/10000</f>
        <v>0</v>
      </c>
    </row>
    <row r="62" spans="1:26" s="58" customFormat="1" ht="24">
      <c r="A62" s="262"/>
      <c r="B62" s="69" t="s">
        <v>91</v>
      </c>
      <c r="C62" s="80">
        <f>累计考核费用!C137/10000</f>
        <v>104.04177800000001</v>
      </c>
      <c r="D62" s="80">
        <f>累计考核费用!D137/10000</f>
        <v>0</v>
      </c>
      <c r="E62" s="80">
        <f>累计考核费用!E137/10000</f>
        <v>36.993628000000001</v>
      </c>
      <c r="F62" s="80">
        <f>累计考核费用!F137/10000</f>
        <v>48.864366000000018</v>
      </c>
      <c r="G62" s="80">
        <f>累计考核费用!G137/10000</f>
        <v>0</v>
      </c>
      <c r="H62" s="80">
        <f>累计考核费用!H137/10000</f>
        <v>7.9505179999999989</v>
      </c>
      <c r="I62" s="80">
        <f>累计考核费用!I137/10000</f>
        <v>0.47983999999999999</v>
      </c>
      <c r="J62" s="80">
        <f>累计考核费用!J137/10000</f>
        <v>0</v>
      </c>
      <c r="K62" s="80">
        <f>累计考核费用!K137/10000</f>
        <v>0.10340000000000001</v>
      </c>
      <c r="L62" s="80">
        <f>累计考核费用!L137/10000</f>
        <v>0</v>
      </c>
      <c r="M62" s="80">
        <f>累计考核费用!M137/10000</f>
        <v>7.3672779999999998</v>
      </c>
      <c r="N62" s="82">
        <f>累计考核费用!N137/10000</f>
        <v>0</v>
      </c>
      <c r="O62" s="82">
        <f>累计考核费用!O137/10000</f>
        <v>0</v>
      </c>
      <c r="P62" s="82">
        <f>累计考核费用!P137/10000</f>
        <v>2.9083000000000001</v>
      </c>
      <c r="Q62" s="82">
        <f>累计考核费用!Q137/10000</f>
        <v>0</v>
      </c>
      <c r="R62" s="82">
        <f>累计考核费用!R137/10000</f>
        <v>0</v>
      </c>
      <c r="S62" s="82">
        <f>累计考核费用!S137/10000</f>
        <v>6.6100000000000006E-2</v>
      </c>
      <c r="T62" s="80">
        <f>累计考核费用!T137/10000</f>
        <v>2.8422000000000001</v>
      </c>
      <c r="U62" s="80">
        <f>累计考核费用!U137/10000</f>
        <v>7.3249660000000008</v>
      </c>
      <c r="V62" s="80">
        <f>累计考核费用!V137/10000</f>
        <v>4.9249660000000004</v>
      </c>
      <c r="W62" s="80">
        <f>累计考核费用!W137/10000</f>
        <v>0</v>
      </c>
      <c r="X62" s="80">
        <f>累计考核费用!X137/10000</f>
        <v>2.4</v>
      </c>
      <c r="Y62" s="58">
        <f>累计考核费用!Y137/10000</f>
        <v>0</v>
      </c>
      <c r="Z62" s="58">
        <f>累计考核费用!Z137/10000</f>
        <v>0</v>
      </c>
    </row>
    <row r="63" spans="1:26" s="58" customFormat="1">
      <c r="A63" s="262"/>
      <c r="B63" s="69" t="s">
        <v>92</v>
      </c>
      <c r="C63" s="80">
        <f>累计考核费用!C138/10000</f>
        <v>6.7632810000000001</v>
      </c>
      <c r="D63" s="80">
        <f>累计考核费用!D138/10000</f>
        <v>0</v>
      </c>
      <c r="E63" s="80">
        <f>累计考核费用!E138/10000</f>
        <v>6.7632810000000001</v>
      </c>
      <c r="F63" s="80">
        <f>累计考核费用!F138/10000</f>
        <v>0</v>
      </c>
      <c r="G63" s="80">
        <f>累计考核费用!G138/10000</f>
        <v>0</v>
      </c>
      <c r="H63" s="80">
        <f>累计考核费用!H138/10000</f>
        <v>0</v>
      </c>
      <c r="I63" s="80">
        <f>累计考核费用!I138/10000</f>
        <v>0</v>
      </c>
      <c r="J63" s="80">
        <f>累计考核费用!J138/10000</f>
        <v>0</v>
      </c>
      <c r="K63" s="80">
        <f>累计考核费用!K138/10000</f>
        <v>0</v>
      </c>
      <c r="L63" s="80">
        <f>累计考核费用!L138/10000</f>
        <v>0</v>
      </c>
      <c r="M63" s="80">
        <f>累计考核费用!M138/10000</f>
        <v>0</v>
      </c>
      <c r="N63" s="82">
        <f>累计考核费用!N138/10000</f>
        <v>0</v>
      </c>
      <c r="O63" s="82">
        <f>累计考核费用!O138/10000</f>
        <v>0</v>
      </c>
      <c r="P63" s="82">
        <f>累计考核费用!P138/10000</f>
        <v>0</v>
      </c>
      <c r="Q63" s="82">
        <f>累计考核费用!Q138/10000</f>
        <v>0</v>
      </c>
      <c r="R63" s="82">
        <f>累计考核费用!R138/10000</f>
        <v>0</v>
      </c>
      <c r="S63" s="82">
        <f>累计考核费用!S138/10000</f>
        <v>0</v>
      </c>
      <c r="T63" s="80">
        <f>累计考核费用!T138/10000</f>
        <v>0</v>
      </c>
      <c r="U63" s="80">
        <f>累计考核费用!U138/10000</f>
        <v>0</v>
      </c>
      <c r="V63" s="80">
        <f>累计考核费用!V138/10000</f>
        <v>0</v>
      </c>
      <c r="W63" s="80">
        <f>累计考核费用!W138/10000</f>
        <v>0</v>
      </c>
      <c r="X63" s="80">
        <f>累计考核费用!X138/10000</f>
        <v>0</v>
      </c>
      <c r="Y63" s="58">
        <f>累计考核费用!Y138/10000</f>
        <v>0</v>
      </c>
      <c r="Z63" s="58">
        <f>累计考核费用!Z138/10000</f>
        <v>0</v>
      </c>
    </row>
    <row r="64" spans="1:26" s="58" customFormat="1">
      <c r="A64" s="262"/>
      <c r="B64" s="69" t="s">
        <v>93</v>
      </c>
      <c r="C64" s="80">
        <f>累计考核费用!C139/10000</f>
        <v>28.830290000000002</v>
      </c>
      <c r="D64" s="80">
        <f>累计考核费用!D139/10000</f>
        <v>0</v>
      </c>
      <c r="E64" s="80">
        <f>累计考核费用!E139/10000</f>
        <v>10.6318</v>
      </c>
      <c r="F64" s="80">
        <f>累计考核费用!F139/10000</f>
        <v>14.417489999999999</v>
      </c>
      <c r="G64" s="80">
        <f>累计考核费用!G139/10000</f>
        <v>0</v>
      </c>
      <c r="H64" s="80">
        <f>累计考核费用!H139/10000</f>
        <v>-5.2200000000000003E-2</v>
      </c>
      <c r="I64" s="80">
        <f>累计考核费用!I139/10000</f>
        <v>0</v>
      </c>
      <c r="J64" s="80">
        <f>累计考核费用!J139/10000</f>
        <v>0</v>
      </c>
      <c r="K64" s="80">
        <f>累计考核费用!K139/10000</f>
        <v>0</v>
      </c>
      <c r="L64" s="80">
        <f>累计考核费用!L139/10000</f>
        <v>0</v>
      </c>
      <c r="M64" s="80">
        <f>累计考核费用!M139/10000</f>
        <v>-5.2200000000000003E-2</v>
      </c>
      <c r="N64" s="82">
        <f>累计考核费用!N139/10000</f>
        <v>0</v>
      </c>
      <c r="O64" s="82">
        <f>累计考核费用!O139/10000</f>
        <v>0</v>
      </c>
      <c r="P64" s="82">
        <f>累计考核费用!P139/10000</f>
        <v>3.8332000000000002</v>
      </c>
      <c r="Q64" s="82">
        <f>累计考核费用!Q139/10000</f>
        <v>0</v>
      </c>
      <c r="R64" s="82">
        <f>累计考核费用!R139/10000</f>
        <v>0.1241</v>
      </c>
      <c r="S64" s="82">
        <f>累计考核费用!S139/10000</f>
        <v>0.1241</v>
      </c>
      <c r="T64" s="80">
        <f>累计考核费用!T139/10000</f>
        <v>3.585</v>
      </c>
      <c r="U64" s="80">
        <f>累计考核费用!U139/10000</f>
        <v>0</v>
      </c>
      <c r="V64" s="80">
        <f>累计考核费用!V139/10000</f>
        <v>0</v>
      </c>
      <c r="W64" s="80">
        <f>累计考核费用!W139/10000</f>
        <v>0</v>
      </c>
      <c r="X64" s="80">
        <f>累计考核费用!X139/10000</f>
        <v>0</v>
      </c>
      <c r="Y64" s="58">
        <f>累计考核费用!Y139/10000</f>
        <v>0</v>
      </c>
      <c r="Z64" s="58">
        <f>累计考核费用!Z139/10000</f>
        <v>0</v>
      </c>
    </row>
    <row r="65" spans="1:26" s="58" customFormat="1">
      <c r="A65" s="262"/>
      <c r="B65" s="69" t="s">
        <v>94</v>
      </c>
      <c r="C65" s="80">
        <f>累计考核费用!C140/10000</f>
        <v>11.036815000000002</v>
      </c>
      <c r="D65" s="80">
        <f>累计考核费用!D140/10000</f>
        <v>0</v>
      </c>
      <c r="E65" s="80">
        <f>累计考核费用!E140/10000</f>
        <v>2.691808</v>
      </c>
      <c r="F65" s="80">
        <f>累计考核费用!F140/10000</f>
        <v>6.945501000000001</v>
      </c>
      <c r="G65" s="80">
        <f>累计考核费用!G140/10000</f>
        <v>0.378</v>
      </c>
      <c r="H65" s="80">
        <f>累计考核费用!H140/10000</f>
        <v>0.64876599999999995</v>
      </c>
      <c r="I65" s="80">
        <f>累计考核费用!I140/10000</f>
        <v>4.3999999999999997E-2</v>
      </c>
      <c r="J65" s="80">
        <f>累计考核费用!J140/10000</f>
        <v>0.14879999999999999</v>
      </c>
      <c r="K65" s="80">
        <f>累计考核费用!K140/10000</f>
        <v>4.3999999999999997E-2</v>
      </c>
      <c r="L65" s="80">
        <f>累计考核费用!L140/10000</f>
        <v>0</v>
      </c>
      <c r="M65" s="80">
        <f>累计考核费用!M140/10000</f>
        <v>0.2651</v>
      </c>
      <c r="N65" s="82">
        <f>累计考核费用!N140/10000</f>
        <v>0.146866</v>
      </c>
      <c r="O65" s="82">
        <f>累计考核费用!O140/10000</f>
        <v>9.5930000000000001E-2</v>
      </c>
      <c r="P65" s="82">
        <f>累计考核费用!P140/10000</f>
        <v>0.21479999999999999</v>
      </c>
      <c r="Q65" s="82">
        <f>累计考核费用!Q140/10000</f>
        <v>0</v>
      </c>
      <c r="R65" s="82">
        <f>累计考核费用!R140/10000</f>
        <v>5.3999999999999999E-2</v>
      </c>
      <c r="S65" s="82">
        <f>累计考核费用!S140/10000</f>
        <v>0.1608</v>
      </c>
      <c r="T65" s="80">
        <f>累计考核费用!T140/10000</f>
        <v>0</v>
      </c>
      <c r="U65" s="80">
        <f>累计考核费用!U140/10000</f>
        <v>6.2010000000000003E-2</v>
      </c>
      <c r="V65" s="80">
        <f>累计考核费用!V140/10000</f>
        <v>3.5720000000000002E-2</v>
      </c>
      <c r="W65" s="80">
        <f>累计考核费用!W140/10000</f>
        <v>0</v>
      </c>
      <c r="X65" s="80">
        <f>累计考核费用!X140/10000</f>
        <v>2.6289999999999997E-2</v>
      </c>
      <c r="Y65" s="58">
        <f>累计考核费用!Y140/10000</f>
        <v>0</v>
      </c>
      <c r="Z65" s="58">
        <f>累计考核费用!Z140/10000</f>
        <v>0</v>
      </c>
    </row>
    <row r="66" spans="1:26" s="58" customFormat="1" ht="24">
      <c r="A66" s="262"/>
      <c r="B66" s="69" t="s">
        <v>95</v>
      </c>
      <c r="C66" s="80">
        <f>累计考核费用!C141/10000</f>
        <v>36.772186000000005</v>
      </c>
      <c r="D66" s="80">
        <f>累计考核费用!D141/10000</f>
        <v>0</v>
      </c>
      <c r="E66" s="80">
        <f>累计考核费用!E141/10000</f>
        <v>2.8067230000000003</v>
      </c>
      <c r="F66" s="80">
        <f>累计考核费用!F141/10000</f>
        <v>16.396565000000002</v>
      </c>
      <c r="G66" s="80">
        <f>累计考核费用!G141/10000</f>
        <v>2.06E-2</v>
      </c>
      <c r="H66" s="80">
        <f>累计考核费用!H141/10000</f>
        <v>2.8660999999999999</v>
      </c>
      <c r="I66" s="80">
        <f>累计考核费用!I141/10000</f>
        <v>0.513741</v>
      </c>
      <c r="J66" s="80">
        <f>累计考核费用!J141/10000</f>
        <v>0.23325300000000002</v>
      </c>
      <c r="K66" s="80">
        <f>累计考核费用!K141/10000</f>
        <v>1.354295</v>
      </c>
      <c r="L66" s="80">
        <f>累计考核费用!L141/10000</f>
        <v>0</v>
      </c>
      <c r="M66" s="80">
        <f>累计考核费用!M141/10000</f>
        <v>0.24608000000000002</v>
      </c>
      <c r="N66" s="82">
        <f>累计考核费用!N141/10000</f>
        <v>0.51873100000000005</v>
      </c>
      <c r="O66" s="82">
        <f>累计考核费用!O141/10000</f>
        <v>6.12385</v>
      </c>
      <c r="P66" s="82">
        <f>累计考核费用!P141/10000</f>
        <v>7.9254199999999999</v>
      </c>
      <c r="Q66" s="82">
        <f>累计考核费用!Q141/10000</f>
        <v>1.4887600000000001</v>
      </c>
      <c r="R66" s="82">
        <f>累计考核费用!R141/10000</f>
        <v>3.2782179999999999</v>
      </c>
      <c r="S66" s="82">
        <f>累计考核费用!S141/10000</f>
        <v>1.8235169999999998</v>
      </c>
      <c r="T66" s="80">
        <f>累计考核费用!T141/10000</f>
        <v>1.3349249999999999</v>
      </c>
      <c r="U66" s="80">
        <f>累计考核费用!U141/10000</f>
        <v>0.63292800000000005</v>
      </c>
      <c r="V66" s="80">
        <f>累计考核费用!V141/10000</f>
        <v>0.21765399999999999</v>
      </c>
      <c r="W66" s="80">
        <f>累计考核费用!W141/10000</f>
        <v>9.475900000000001E-2</v>
      </c>
      <c r="X66" s="80">
        <f>累计考核费用!X141/10000</f>
        <v>0.32051499999999999</v>
      </c>
      <c r="Y66" s="58">
        <f>累计考核费用!Y141/10000</f>
        <v>0</v>
      </c>
      <c r="Z66" s="58">
        <f>累计考核费用!Z141/10000</f>
        <v>0</v>
      </c>
    </row>
    <row r="67" spans="1:26" s="58" customFormat="1">
      <c r="A67" s="262"/>
      <c r="B67" s="69" t="s">
        <v>96</v>
      </c>
      <c r="C67" s="80">
        <f>累计考核费用!C142/10000</f>
        <v>142.63470000000001</v>
      </c>
      <c r="D67" s="80">
        <f>累计考核费用!D142/10000</f>
        <v>62.4</v>
      </c>
      <c r="E67" s="80">
        <f>累计考核费用!E142/10000</f>
        <v>62.3217</v>
      </c>
      <c r="F67" s="80">
        <f>累计考核费用!F142/10000</f>
        <v>17.413</v>
      </c>
      <c r="G67" s="80">
        <f>累计考核费用!G142/10000</f>
        <v>0</v>
      </c>
      <c r="H67" s="80">
        <f>累计考核费用!H142/10000</f>
        <v>0</v>
      </c>
      <c r="I67" s="80">
        <f>累计考核费用!I142/10000</f>
        <v>0</v>
      </c>
      <c r="J67" s="80">
        <f>累计考核费用!J142/10000</f>
        <v>0</v>
      </c>
      <c r="K67" s="80">
        <f>累计考核费用!K142/10000</f>
        <v>0</v>
      </c>
      <c r="L67" s="80">
        <f>累计考核费用!L142/10000</f>
        <v>0</v>
      </c>
      <c r="M67" s="80">
        <f>累计考核费用!M142/10000</f>
        <v>0</v>
      </c>
      <c r="N67" s="82">
        <f>累计考核费用!N142/10000</f>
        <v>0</v>
      </c>
      <c r="O67" s="82">
        <f>累计考核费用!O142/10000</f>
        <v>0</v>
      </c>
      <c r="P67" s="82">
        <f>累计考核费用!P142/10000</f>
        <v>0</v>
      </c>
      <c r="Q67" s="82">
        <f>累计考核费用!Q142/10000</f>
        <v>0</v>
      </c>
      <c r="R67" s="82">
        <f>累计考核费用!R142/10000</f>
        <v>0</v>
      </c>
      <c r="S67" s="82">
        <f>累计考核费用!S142/10000</f>
        <v>0</v>
      </c>
      <c r="T67" s="80">
        <f>累计考核费用!T142/10000</f>
        <v>0</v>
      </c>
      <c r="U67" s="80">
        <f>累计考核费用!U142/10000</f>
        <v>0.5</v>
      </c>
      <c r="V67" s="80">
        <f>累计考核费用!V142/10000</f>
        <v>0.5</v>
      </c>
      <c r="W67" s="80">
        <f>累计考核费用!W142/10000</f>
        <v>0</v>
      </c>
      <c r="X67" s="80">
        <f>累计考核费用!X142/10000</f>
        <v>0</v>
      </c>
      <c r="Y67" s="58">
        <f>累计考核费用!Y142/10000</f>
        <v>0</v>
      </c>
      <c r="Z67" s="58">
        <f>累计考核费用!Z142/10000</f>
        <v>0</v>
      </c>
    </row>
    <row r="68" spans="1:26" s="58" customFormat="1">
      <c r="A68" s="262"/>
      <c r="B68" s="69" t="s">
        <v>97</v>
      </c>
      <c r="C68" s="80">
        <f>累计考核费用!C143/10000</f>
        <v>45.437072999999998</v>
      </c>
      <c r="D68" s="80">
        <f>累计考核费用!D143/10000</f>
        <v>21.881350000000001</v>
      </c>
      <c r="E68" s="80">
        <f>累计考核费用!E143/10000</f>
        <v>0</v>
      </c>
      <c r="F68" s="80">
        <f>累计考核费用!F143/10000</f>
        <v>23.554222999999997</v>
      </c>
      <c r="G68" s="80">
        <f>累计考核费用!G143/10000</f>
        <v>0</v>
      </c>
      <c r="H68" s="80">
        <f>累计考核费用!H143/10000</f>
        <v>0</v>
      </c>
      <c r="I68" s="80">
        <f>累计考核费用!I143/10000</f>
        <v>0</v>
      </c>
      <c r="J68" s="80">
        <f>累计考核费用!J143/10000</f>
        <v>0</v>
      </c>
      <c r="K68" s="80">
        <f>累计考核费用!K143/10000</f>
        <v>0</v>
      </c>
      <c r="L68" s="80">
        <f>累计考核费用!L143/10000</f>
        <v>0</v>
      </c>
      <c r="M68" s="80">
        <f>累计考核费用!M143/10000</f>
        <v>0</v>
      </c>
      <c r="N68" s="82">
        <f>累计考核费用!N143/10000</f>
        <v>0</v>
      </c>
      <c r="O68" s="82">
        <f>累计考核费用!O143/10000</f>
        <v>0</v>
      </c>
      <c r="P68" s="82">
        <f>累计考核费用!P143/10000</f>
        <v>0</v>
      </c>
      <c r="Q68" s="82">
        <f>累计考核费用!Q143/10000</f>
        <v>0</v>
      </c>
      <c r="R68" s="82">
        <f>累计考核费用!R143/10000</f>
        <v>0</v>
      </c>
      <c r="S68" s="82">
        <f>累计考核费用!S143/10000</f>
        <v>0</v>
      </c>
      <c r="T68" s="80">
        <f>累计考核费用!T143/10000</f>
        <v>0</v>
      </c>
      <c r="U68" s="80">
        <f>累计考核费用!U143/10000</f>
        <v>1.5E-3</v>
      </c>
      <c r="V68" s="80">
        <f>累计考核费用!V143/10000</f>
        <v>1.5E-3</v>
      </c>
      <c r="W68" s="80">
        <f>累计考核费用!W143/10000</f>
        <v>0</v>
      </c>
      <c r="X68" s="80">
        <f>累计考核费用!X143/10000</f>
        <v>0</v>
      </c>
      <c r="Y68" s="58">
        <f>累计考核费用!Y143/10000</f>
        <v>0</v>
      </c>
      <c r="Z68" s="58">
        <f>累计考核费用!Z143/10000</f>
        <v>0</v>
      </c>
    </row>
    <row r="69" spans="1:26" s="58" customFormat="1">
      <c r="A69" s="262"/>
      <c r="B69" s="69" t="s">
        <v>98</v>
      </c>
      <c r="C69" s="80">
        <f>累计考核费用!C144/10000</f>
        <v>20.430188000000001</v>
      </c>
      <c r="D69" s="80">
        <f>累计考核费用!D144/10000</f>
        <v>0</v>
      </c>
      <c r="E69" s="80">
        <f>累计考核费用!E144/10000</f>
        <v>15.6</v>
      </c>
      <c r="F69" s="80">
        <f>累计考核费用!F144/10000</f>
        <v>0</v>
      </c>
      <c r="G69" s="80">
        <f>累计考核费用!G144/10000</f>
        <v>0</v>
      </c>
      <c r="H69" s="80">
        <f>累计考核费用!H144/10000</f>
        <v>0</v>
      </c>
      <c r="I69" s="80">
        <f>累计考核费用!I144/10000</f>
        <v>0</v>
      </c>
      <c r="J69" s="80">
        <f>累计考核费用!J144/10000</f>
        <v>0</v>
      </c>
      <c r="K69" s="80">
        <f>累计考核费用!K144/10000</f>
        <v>0</v>
      </c>
      <c r="L69" s="80">
        <f>累计考核费用!L144/10000</f>
        <v>0</v>
      </c>
      <c r="M69" s="80">
        <f>累计考核费用!M144/10000</f>
        <v>0</v>
      </c>
      <c r="N69" s="82">
        <f>累计考核费用!N144/10000</f>
        <v>0</v>
      </c>
      <c r="O69" s="82">
        <f>累计考核费用!O144/10000</f>
        <v>0</v>
      </c>
      <c r="P69" s="82">
        <f>累计考核费用!P144/10000</f>
        <v>4.8301879999999997</v>
      </c>
      <c r="Q69" s="82">
        <f>累计考核费用!Q144/10000</f>
        <v>0</v>
      </c>
      <c r="R69" s="82">
        <f>累计考核费用!R144/10000</f>
        <v>2.9433959999999999</v>
      </c>
      <c r="S69" s="82">
        <f>累计考核费用!S144/10000</f>
        <v>1.8867919999999998</v>
      </c>
      <c r="T69" s="80">
        <f>累计考核费用!T144/10000</f>
        <v>0</v>
      </c>
      <c r="U69" s="80">
        <f>累计考核费用!U144/10000</f>
        <v>0</v>
      </c>
      <c r="V69" s="80">
        <f>累计考核费用!V144/10000</f>
        <v>0</v>
      </c>
      <c r="W69" s="80">
        <f>累计考核费用!W144/10000</f>
        <v>0</v>
      </c>
      <c r="X69" s="80">
        <f>累计考核费用!X144/10000</f>
        <v>0</v>
      </c>
      <c r="Y69" s="58">
        <f>累计考核费用!Y144/10000</f>
        <v>0</v>
      </c>
      <c r="Z69" s="58">
        <f>累计考核费用!Z144/10000</f>
        <v>0</v>
      </c>
    </row>
    <row r="70" spans="1:26" s="58" customFormat="1">
      <c r="A70" s="262"/>
      <c r="B70" s="69" t="s">
        <v>99</v>
      </c>
      <c r="C70" s="80">
        <f>累计考核费用!C145/10000</f>
        <v>0</v>
      </c>
      <c r="D70" s="80">
        <f>累计考核费用!D145/10000</f>
        <v>0</v>
      </c>
      <c r="E70" s="80">
        <f>累计考核费用!E145/10000</f>
        <v>0</v>
      </c>
      <c r="F70" s="80">
        <f>累计考核费用!F145/10000</f>
        <v>0</v>
      </c>
      <c r="G70" s="80">
        <f>累计考核费用!G145/10000</f>
        <v>0</v>
      </c>
      <c r="H70" s="80">
        <f>累计考核费用!H145/10000</f>
        <v>0</v>
      </c>
      <c r="I70" s="80">
        <f>累计考核费用!I145/10000</f>
        <v>0</v>
      </c>
      <c r="J70" s="80">
        <f>累计考核费用!J145/10000</f>
        <v>0</v>
      </c>
      <c r="K70" s="80">
        <f>累计考核费用!K145/10000</f>
        <v>0</v>
      </c>
      <c r="L70" s="80">
        <f>累计考核费用!L145/10000</f>
        <v>0</v>
      </c>
      <c r="M70" s="80">
        <f>累计考核费用!M145/10000</f>
        <v>0</v>
      </c>
      <c r="N70" s="82">
        <f>累计考核费用!N145/10000</f>
        <v>0</v>
      </c>
      <c r="O70" s="82">
        <f>累计考核费用!O145/10000</f>
        <v>0</v>
      </c>
      <c r="P70" s="82">
        <f>累计考核费用!P145/10000</f>
        <v>0</v>
      </c>
      <c r="Q70" s="82">
        <f>累计考核费用!Q145/10000</f>
        <v>0</v>
      </c>
      <c r="R70" s="82">
        <f>累计考核费用!R145/10000</f>
        <v>0</v>
      </c>
      <c r="S70" s="82">
        <f>累计考核费用!S145/10000</f>
        <v>0</v>
      </c>
      <c r="T70" s="80">
        <f>累计考核费用!T145/10000</f>
        <v>0</v>
      </c>
      <c r="U70" s="80">
        <f>累计考核费用!U145/10000</f>
        <v>0</v>
      </c>
      <c r="V70" s="80">
        <f>累计考核费用!V145/10000</f>
        <v>0</v>
      </c>
      <c r="W70" s="80">
        <f>累计考核费用!W145/10000</f>
        <v>0</v>
      </c>
      <c r="X70" s="80">
        <f>累计考核费用!X145/10000</f>
        <v>0</v>
      </c>
      <c r="Y70" s="58">
        <f>累计考核费用!Y145/10000</f>
        <v>0</v>
      </c>
      <c r="Z70" s="58">
        <f>累计考核费用!Z145/10000</f>
        <v>0</v>
      </c>
    </row>
    <row r="71" spans="1:26" s="58" customFormat="1">
      <c r="A71" s="262"/>
      <c r="B71" s="69" t="s">
        <v>100</v>
      </c>
      <c r="C71" s="80">
        <f>累计考核费用!C146/10000</f>
        <v>3.1306720000000001</v>
      </c>
      <c r="D71" s="80">
        <f>累计考核费用!D146/10000</f>
        <v>0</v>
      </c>
      <c r="E71" s="80">
        <f>累计考核费用!E146/10000</f>
        <v>2.3298000000000001</v>
      </c>
      <c r="F71" s="80">
        <f>累计考核费用!F146/10000</f>
        <v>-4.8000000000000001E-2</v>
      </c>
      <c r="G71" s="80">
        <f>累计考核费用!G146/10000</f>
        <v>0.84887199999999996</v>
      </c>
      <c r="H71" s="80">
        <f>累计考核费用!H146/10000</f>
        <v>0</v>
      </c>
      <c r="I71" s="80">
        <f>累计考核费用!I146/10000</f>
        <v>0</v>
      </c>
      <c r="J71" s="80">
        <f>累计考核费用!J146/10000</f>
        <v>0</v>
      </c>
      <c r="K71" s="80">
        <f>累计考核费用!K146/10000</f>
        <v>0</v>
      </c>
      <c r="L71" s="80">
        <f>累计考核费用!L146/10000</f>
        <v>0</v>
      </c>
      <c r="M71" s="80">
        <f>累计考核费用!M146/10000</f>
        <v>0</v>
      </c>
      <c r="N71" s="82">
        <f>累计考核费用!N146/10000</f>
        <v>0</v>
      </c>
      <c r="O71" s="82">
        <f>累计考核费用!O146/10000</f>
        <v>0</v>
      </c>
      <c r="P71" s="82">
        <f>累计考核费用!P146/10000</f>
        <v>0</v>
      </c>
      <c r="Q71" s="82">
        <f>累计考核费用!Q146/10000</f>
        <v>0</v>
      </c>
      <c r="R71" s="82">
        <f>累计考核费用!R146/10000</f>
        <v>0</v>
      </c>
      <c r="S71" s="82">
        <f>累计考核费用!S146/10000</f>
        <v>0</v>
      </c>
      <c r="T71" s="80">
        <f>累计考核费用!T146/10000</f>
        <v>0</v>
      </c>
      <c r="U71" s="80">
        <f>累计考核费用!U146/10000</f>
        <v>0</v>
      </c>
      <c r="V71" s="80">
        <f>累计考核费用!V146/10000</f>
        <v>0</v>
      </c>
      <c r="W71" s="80">
        <f>累计考核费用!W146/10000</f>
        <v>0</v>
      </c>
      <c r="X71" s="80">
        <f>累计考核费用!X146/10000</f>
        <v>0</v>
      </c>
      <c r="Y71" s="58">
        <f>累计考核费用!Y146/10000</f>
        <v>0</v>
      </c>
      <c r="Z71" s="58">
        <f>累计考核费用!Z146/10000</f>
        <v>0</v>
      </c>
    </row>
    <row r="72" spans="1:26" s="58" customFormat="1">
      <c r="A72" s="263"/>
      <c r="B72" s="69" t="s">
        <v>70</v>
      </c>
      <c r="C72" s="84">
        <f>累计考核费用!C147/10000</f>
        <v>4703.1243060000006</v>
      </c>
      <c r="D72" s="84">
        <f>累计考核费用!D147/10000</f>
        <v>469.29418800000008</v>
      </c>
      <c r="E72" s="84">
        <f>累计考核费用!E147/10000</f>
        <v>665.852261</v>
      </c>
      <c r="F72" s="84">
        <f>累计考核费用!F147/10000</f>
        <v>2210.4822870000003</v>
      </c>
      <c r="G72" s="84">
        <f>累计考核费用!G147/10000</f>
        <v>100.38519000000001</v>
      </c>
      <c r="H72" s="84">
        <f>累计考核费用!H147/10000</f>
        <v>269.13686200000006</v>
      </c>
      <c r="I72" s="84">
        <f>累计考核费用!I147/10000</f>
        <v>96.399817000000013</v>
      </c>
      <c r="J72" s="84">
        <f>累计考核费用!J147/10000</f>
        <v>45.351807999999998</v>
      </c>
      <c r="K72" s="84">
        <f>累计考核费用!K147/10000</f>
        <v>44.123884000000004</v>
      </c>
      <c r="L72" s="84">
        <f>累计考核费用!L147/10000</f>
        <v>0</v>
      </c>
      <c r="M72" s="84">
        <f>累计考核费用!M147/10000</f>
        <v>29.802470999999997</v>
      </c>
      <c r="N72" s="87">
        <f>累计考核费用!N147/10000</f>
        <v>53.458882000000017</v>
      </c>
      <c r="O72" s="87">
        <f>累计考核费用!O147/10000</f>
        <v>91.422911999999997</v>
      </c>
      <c r="P72" s="87">
        <f>累计考核费用!P147/10000</f>
        <v>751.7773420000002</v>
      </c>
      <c r="Q72" s="87">
        <f>累计考核费用!Q147/10000</f>
        <v>38.509552999999983</v>
      </c>
      <c r="R72" s="87">
        <f>累计考核费用!R147/10000</f>
        <v>521.09624399999996</v>
      </c>
      <c r="S72" s="87">
        <f>累计考核费用!S147/10000</f>
        <v>164.22011799999999</v>
      </c>
      <c r="T72" s="84">
        <f>累计考核费用!T147/10000</f>
        <v>27.951427000000002</v>
      </c>
      <c r="U72" s="84">
        <f>累计考核费用!U147/10000</f>
        <v>144.77326399999998</v>
      </c>
      <c r="V72" s="84">
        <f>累计考核费用!V147/10000</f>
        <v>37.137463000000004</v>
      </c>
      <c r="W72" s="84">
        <f>累计考核费用!W147/10000</f>
        <v>5.5560710000000002</v>
      </c>
      <c r="X72" s="84">
        <f>累计考核费用!X147/10000</f>
        <v>102.07973</v>
      </c>
      <c r="Y72" s="58">
        <f>累计考核费用!Y147/10000</f>
        <v>0</v>
      </c>
      <c r="Z72" s="58">
        <f>累计考核费用!Z147/10000</f>
        <v>0</v>
      </c>
    </row>
    <row r="73" spans="1:26" s="58" customFormat="1" ht="24">
      <c r="A73" s="261" t="s">
        <v>101</v>
      </c>
      <c r="B73" s="69" t="s">
        <v>102</v>
      </c>
      <c r="C73" s="80">
        <f>累计考核费用!C148/10000</f>
        <v>272.72102600000005</v>
      </c>
      <c r="D73" s="80">
        <f>累计考核费用!D148/10000</f>
        <v>0</v>
      </c>
      <c r="E73" s="80">
        <f>累计考核费用!E148/10000</f>
        <v>0.24</v>
      </c>
      <c r="F73" s="80">
        <f>累计考核费用!F148/10000</f>
        <v>248.79839600000005</v>
      </c>
      <c r="G73" s="80">
        <f>累计考核费用!G148/10000</f>
        <v>0</v>
      </c>
      <c r="H73" s="80">
        <f>累计考核费用!H148/10000</f>
        <v>13.2636</v>
      </c>
      <c r="I73" s="80">
        <f>累计考核费用!I148/10000</f>
        <v>0.8</v>
      </c>
      <c r="J73" s="80">
        <f>累计考核费用!J148/10000</f>
        <v>2.5</v>
      </c>
      <c r="K73" s="80">
        <f>累计考核费用!K148/10000</f>
        <v>4.1635999999999997</v>
      </c>
      <c r="L73" s="80">
        <f>累计考核费用!L148/10000</f>
        <v>0</v>
      </c>
      <c r="M73" s="80">
        <f>累计考核费用!M148/10000</f>
        <v>0</v>
      </c>
      <c r="N73" s="82">
        <f>累计考核费用!N148/10000</f>
        <v>5.8</v>
      </c>
      <c r="O73" s="82">
        <f>累计考核费用!O148/10000</f>
        <v>0</v>
      </c>
      <c r="P73" s="82">
        <f>累计考核费用!P148/10000</f>
        <v>0</v>
      </c>
      <c r="Q73" s="82">
        <f>累计考核费用!Q148/10000</f>
        <v>0</v>
      </c>
      <c r="R73" s="82">
        <f>累计考核费用!R148/10000</f>
        <v>0</v>
      </c>
      <c r="S73" s="82">
        <f>累计考核费用!S148/10000</f>
        <v>0</v>
      </c>
      <c r="T73" s="80">
        <f>累计考核费用!T148/10000</f>
        <v>0</v>
      </c>
      <c r="U73" s="80">
        <f>累计考核费用!U148/10000</f>
        <v>10.419030000000001</v>
      </c>
      <c r="V73" s="80">
        <f>累计考核费用!V148/10000</f>
        <v>0</v>
      </c>
      <c r="W73" s="80">
        <f>累计考核费用!W148/10000</f>
        <v>0</v>
      </c>
      <c r="X73" s="80">
        <f>累计考核费用!X148/10000</f>
        <v>10.419030000000001</v>
      </c>
      <c r="Y73" s="58">
        <f>累计考核费用!Y148/10000</f>
        <v>0</v>
      </c>
      <c r="Z73" s="58">
        <f>累计考核费用!Z148/10000</f>
        <v>0</v>
      </c>
    </row>
    <row r="74" spans="1:26" s="58" customFormat="1" ht="24">
      <c r="A74" s="262"/>
      <c r="B74" s="69" t="s">
        <v>103</v>
      </c>
      <c r="C74" s="80">
        <f>累计考核费用!C149/10000</f>
        <v>105.727901</v>
      </c>
      <c r="D74" s="80">
        <f>累计考核费用!D149/10000</f>
        <v>0</v>
      </c>
      <c r="E74" s="80">
        <f>累计考核费用!E149/10000</f>
        <v>52.923698000000002</v>
      </c>
      <c r="F74" s="80">
        <f>累计考核费用!F149/10000</f>
        <v>21.722392000000003</v>
      </c>
      <c r="G74" s="80">
        <f>累计考核费用!G149/10000</f>
        <v>0</v>
      </c>
      <c r="H74" s="80">
        <f>累计考核费用!H149/10000</f>
        <v>30.270414000000002</v>
      </c>
      <c r="I74" s="80">
        <f>累计考核费用!I149/10000</f>
        <v>7.6360000000000001</v>
      </c>
      <c r="J74" s="80">
        <f>累计考核费用!J149/10000</f>
        <v>0.23034000000000002</v>
      </c>
      <c r="K74" s="80">
        <f>累计考核费用!K149/10000</f>
        <v>11.202036999999999</v>
      </c>
      <c r="L74" s="80">
        <f>累计考核费用!L149/10000</f>
        <v>0</v>
      </c>
      <c r="M74" s="80">
        <f>累计考核费用!M149/10000</f>
        <v>0</v>
      </c>
      <c r="N74" s="82">
        <f>累计考核费用!N149/10000</f>
        <v>11.202036999999999</v>
      </c>
      <c r="O74" s="82">
        <f>累计考核费用!O149/10000</f>
        <v>0.19339700000000001</v>
      </c>
      <c r="P74" s="82">
        <f>累计考核费用!P149/10000</f>
        <v>0.16</v>
      </c>
      <c r="Q74" s="82">
        <f>累计考核费用!Q149/10000</f>
        <v>0</v>
      </c>
      <c r="R74" s="82">
        <f>累计考核费用!R149/10000</f>
        <v>0.16</v>
      </c>
      <c r="S74" s="82">
        <f>累计考核费用!S149/10000</f>
        <v>0</v>
      </c>
      <c r="T74" s="80">
        <f>累计考核费用!T149/10000</f>
        <v>0</v>
      </c>
      <c r="U74" s="80">
        <f>累计考核费用!U149/10000</f>
        <v>0.45800000000000002</v>
      </c>
      <c r="V74" s="80">
        <f>累计考核费用!V149/10000</f>
        <v>0.25800000000000001</v>
      </c>
      <c r="W74" s="80">
        <f>累计考核费用!W149/10000</f>
        <v>0</v>
      </c>
      <c r="X74" s="80">
        <f>累计考核费用!X149/10000</f>
        <v>0.2</v>
      </c>
      <c r="Y74" s="58">
        <f>累计考核费用!Y149/10000</f>
        <v>0</v>
      </c>
      <c r="Z74" s="58">
        <f>累计考核费用!Z149/10000</f>
        <v>0</v>
      </c>
    </row>
    <row r="75" spans="1:26" s="58" customFormat="1" ht="24">
      <c r="A75" s="262"/>
      <c r="B75" s="69" t="s">
        <v>104</v>
      </c>
      <c r="C75" s="80">
        <f>累计考核费用!C150/10000</f>
        <v>1638.2724790000002</v>
      </c>
      <c r="D75" s="80">
        <f>累计考核费用!D150/10000</f>
        <v>0</v>
      </c>
      <c r="E75" s="80">
        <f>累计考核费用!E150/10000</f>
        <v>277.52138100000002</v>
      </c>
      <c r="F75" s="80">
        <f>累计考核费用!F150/10000</f>
        <v>1121.0846140000001</v>
      </c>
      <c r="G75" s="80">
        <f>累计考核费用!G150/10000</f>
        <v>11.029450000000001</v>
      </c>
      <c r="H75" s="80">
        <f>累计考核费用!H150/10000</f>
        <v>138.72433900000001</v>
      </c>
      <c r="I75" s="80">
        <f>累计考核费用!I150/10000</f>
        <v>11.509449999999999</v>
      </c>
      <c r="J75" s="80">
        <f>累计考核费用!J150/10000</f>
        <v>11.50895</v>
      </c>
      <c r="K75" s="80">
        <f>累计考核费用!K150/10000</f>
        <v>11.029450000000001</v>
      </c>
      <c r="L75" s="80">
        <f>累计考核费用!L150/10000</f>
        <v>0</v>
      </c>
      <c r="M75" s="80">
        <f>累计考核费用!M150/10000</f>
        <v>93.801176999999996</v>
      </c>
      <c r="N75" s="82">
        <f>累计考核费用!N150/10000</f>
        <v>10.875311999999999</v>
      </c>
      <c r="O75" s="82">
        <f>累计考核费用!O150/10000</f>
        <v>0</v>
      </c>
      <c r="P75" s="82">
        <f>累计考核费用!P150/10000</f>
        <v>35.358789999999999</v>
      </c>
      <c r="Q75" s="82">
        <f>累计考核费用!Q150/10000</f>
        <v>4.3754</v>
      </c>
      <c r="R75" s="82">
        <f>累计考核费用!R150/10000</f>
        <v>10.808664</v>
      </c>
      <c r="S75" s="82">
        <f>累计考核费用!S150/10000</f>
        <v>10.032413999999999</v>
      </c>
      <c r="T75" s="80">
        <f>累计考核费用!T150/10000</f>
        <v>10.142311999999999</v>
      </c>
      <c r="U75" s="80">
        <f>累计考核费用!U150/10000</f>
        <v>54.553905000000007</v>
      </c>
      <c r="V75" s="80">
        <f>累计考核费用!V150/10000</f>
        <v>27.196671999999996</v>
      </c>
      <c r="W75" s="80">
        <f>累计考核费用!W150/10000</f>
        <v>0</v>
      </c>
      <c r="X75" s="80">
        <f>累计考核费用!X150/10000</f>
        <v>27.357233000000001</v>
      </c>
      <c r="Y75" s="58">
        <f>累计考核费用!Y150/10000</f>
        <v>0</v>
      </c>
      <c r="Z75" s="58">
        <f>累计考核费用!Z150/10000</f>
        <v>0</v>
      </c>
    </row>
    <row r="76" spans="1:26" s="58" customFormat="1">
      <c r="A76" s="262"/>
      <c r="B76" s="69" t="s">
        <v>105</v>
      </c>
      <c r="C76" s="80">
        <f>累计考核费用!C151/10000</f>
        <v>764.09272199999987</v>
      </c>
      <c r="D76" s="80">
        <f>累计考核费用!D151/10000</f>
        <v>95.1184296666666</v>
      </c>
      <c r="E76" s="80">
        <f>累计考核费用!E151/10000</f>
        <v>0</v>
      </c>
      <c r="F76" s="80">
        <f>累计考核费用!F151/10000</f>
        <v>626.27489333333335</v>
      </c>
      <c r="G76" s="80">
        <f>累计考核费用!G151/10000</f>
        <v>0</v>
      </c>
      <c r="H76" s="80">
        <f>累计考核费用!H151/10000</f>
        <v>32.407284999999995</v>
      </c>
      <c r="I76" s="80">
        <f>累计考核费用!I151/10000</f>
        <v>0</v>
      </c>
      <c r="J76" s="80">
        <f>累计考核费用!J151/10000</f>
        <v>0</v>
      </c>
      <c r="K76" s="80">
        <f>累计考核费用!K151/10000</f>
        <v>0</v>
      </c>
      <c r="L76" s="80">
        <f>累计考核费用!L151/10000</f>
        <v>0</v>
      </c>
      <c r="M76" s="80">
        <f>累计考核费用!M151/10000</f>
        <v>32.407284999999995</v>
      </c>
      <c r="N76" s="82">
        <f>累计考核费用!N151/10000</f>
        <v>0</v>
      </c>
      <c r="O76" s="82">
        <f>累计考核费用!O151/10000</f>
        <v>0</v>
      </c>
      <c r="P76" s="82">
        <f>累计考核费用!P151/10000</f>
        <v>0</v>
      </c>
      <c r="Q76" s="82">
        <f>累计考核费用!Q151/10000</f>
        <v>0</v>
      </c>
      <c r="R76" s="82">
        <f>累计考核费用!R151/10000</f>
        <v>0</v>
      </c>
      <c r="S76" s="82">
        <f>累计考核费用!S151/10000</f>
        <v>0</v>
      </c>
      <c r="T76" s="80">
        <f>累计考核费用!T151/10000</f>
        <v>0</v>
      </c>
      <c r="U76" s="80">
        <f>累计考核费用!U151/10000</f>
        <v>10.292114000000002</v>
      </c>
      <c r="V76" s="80">
        <f>累计考核费用!V151/10000</f>
        <v>5.7402300000000004</v>
      </c>
      <c r="W76" s="80">
        <f>累计考核费用!W151/10000</f>
        <v>0.28594799999999998</v>
      </c>
      <c r="X76" s="80">
        <f>累计考核费用!X151/10000</f>
        <v>4.265936</v>
      </c>
      <c r="Y76" s="58">
        <f>累计考核费用!Y151/10000</f>
        <v>0</v>
      </c>
      <c r="Z76" s="58">
        <f>累计考核费用!Z151/10000</f>
        <v>0</v>
      </c>
    </row>
    <row r="77" spans="1:26" s="58" customFormat="1">
      <c r="A77" s="262"/>
      <c r="B77" s="69" t="s">
        <v>106</v>
      </c>
      <c r="C77" s="80">
        <f>累计考核费用!C152/10000</f>
        <v>275.92456200000004</v>
      </c>
      <c r="D77" s="80">
        <f>累计考核费用!D152/10000</f>
        <v>247.301894</v>
      </c>
      <c r="E77" s="80">
        <f>累计考核费用!E152/10000</f>
        <v>0</v>
      </c>
      <c r="F77" s="80">
        <f>累计考核费用!F152/10000</f>
        <v>1.6666690000000002</v>
      </c>
      <c r="G77" s="80">
        <f>累计考核费用!G152/10000</f>
        <v>0</v>
      </c>
      <c r="H77" s="80">
        <f>累计考核费用!H152/10000</f>
        <v>0</v>
      </c>
      <c r="I77" s="80">
        <f>累计考核费用!I152/10000</f>
        <v>0</v>
      </c>
      <c r="J77" s="80">
        <f>累计考核费用!J152/10000</f>
        <v>0</v>
      </c>
      <c r="K77" s="80">
        <f>累计考核费用!K152/10000</f>
        <v>0</v>
      </c>
      <c r="L77" s="80">
        <f>累计考核费用!L152/10000</f>
        <v>0</v>
      </c>
      <c r="M77" s="80">
        <f>累计考核费用!M152/10000</f>
        <v>0</v>
      </c>
      <c r="N77" s="82">
        <f>累计考核费用!N152/10000</f>
        <v>0</v>
      </c>
      <c r="O77" s="82">
        <f>累计考核费用!O152/10000</f>
        <v>0</v>
      </c>
      <c r="P77" s="82">
        <f>累计考核费用!P152/10000</f>
        <v>0</v>
      </c>
      <c r="Q77" s="82">
        <f>累计考核费用!Q152/10000</f>
        <v>0</v>
      </c>
      <c r="R77" s="82">
        <f>累计考核费用!R152/10000</f>
        <v>0</v>
      </c>
      <c r="S77" s="82">
        <f>累计考核费用!S152/10000</f>
        <v>0</v>
      </c>
      <c r="T77" s="80">
        <f>累计考核费用!T152/10000</f>
        <v>0</v>
      </c>
      <c r="U77" s="80">
        <f>累计考核费用!U152/10000</f>
        <v>26.955998999999998</v>
      </c>
      <c r="V77" s="80">
        <f>累计考核费用!V152/10000</f>
        <v>0</v>
      </c>
      <c r="W77" s="80">
        <f>累计考核费用!W152/10000</f>
        <v>0</v>
      </c>
      <c r="X77" s="80">
        <f>累计考核费用!X152/10000</f>
        <v>26.955998999999998</v>
      </c>
      <c r="Y77" s="58">
        <f>累计考核费用!Y152/10000</f>
        <v>0</v>
      </c>
      <c r="Z77" s="58">
        <f>累计考核费用!Z152/10000</f>
        <v>0</v>
      </c>
    </row>
    <row r="78" spans="1:26" s="58" customFormat="1" ht="24">
      <c r="A78" s="262"/>
      <c r="B78" s="69" t="s">
        <v>107</v>
      </c>
      <c r="C78" s="80">
        <f>累计考核费用!C153/10000</f>
        <v>314.49734700000005</v>
      </c>
      <c r="D78" s="80">
        <f>累计考核费用!D153/10000</f>
        <v>99.263807999999997</v>
      </c>
      <c r="E78" s="80">
        <f>累计考核费用!E153/10000</f>
        <v>3.6191339999999999</v>
      </c>
      <c r="F78" s="80">
        <f>累计考核费用!F153/10000</f>
        <v>168.00716800000001</v>
      </c>
      <c r="G78" s="80">
        <f>累计考核费用!G153/10000</f>
        <v>2.6118810000000003</v>
      </c>
      <c r="H78" s="80">
        <f>累计考核费用!H153/10000</f>
        <v>10.896595000000001</v>
      </c>
      <c r="I78" s="80">
        <f>累计考核费用!I153/10000</f>
        <v>2.390673</v>
      </c>
      <c r="J78" s="80">
        <f>累计考核费用!J153/10000</f>
        <v>2.1742710000000001</v>
      </c>
      <c r="K78" s="80">
        <f>累计考核费用!K153/10000</f>
        <v>2.1230790000000002</v>
      </c>
      <c r="L78" s="80">
        <f>累计考核费用!L153/10000</f>
        <v>0</v>
      </c>
      <c r="M78" s="80">
        <f>累计考核费用!M153/10000</f>
        <v>2.074303</v>
      </c>
      <c r="N78" s="82">
        <f>累计考核费用!N153/10000</f>
        <v>2.1342689999999997</v>
      </c>
      <c r="O78" s="82">
        <f>累计考核费用!O153/10000</f>
        <v>0</v>
      </c>
      <c r="P78" s="82">
        <f>累计考核费用!P153/10000</f>
        <v>20.62332</v>
      </c>
      <c r="Q78" s="82">
        <f>累计考核费用!Q153/10000</f>
        <v>3.8450039999999999</v>
      </c>
      <c r="R78" s="82">
        <f>累计考核费用!R153/10000</f>
        <v>5.5613419999999998</v>
      </c>
      <c r="S78" s="82">
        <f>累计考核费用!S153/10000</f>
        <v>5.7496400000000003</v>
      </c>
      <c r="T78" s="80">
        <f>累计考核费用!T153/10000</f>
        <v>5.4673339999999993</v>
      </c>
      <c r="U78" s="80">
        <f>累计考核费用!U153/10000</f>
        <v>9.475441</v>
      </c>
      <c r="V78" s="80">
        <f>累计考核费用!V153/10000</f>
        <v>5.015479</v>
      </c>
      <c r="W78" s="80">
        <f>累计考核费用!W153/10000</f>
        <v>0</v>
      </c>
      <c r="X78" s="80">
        <f>累计考核费用!X153/10000</f>
        <v>4.459962</v>
      </c>
      <c r="Y78" s="58">
        <f>累计考核费用!Y153/10000</f>
        <v>0</v>
      </c>
      <c r="Z78" s="58">
        <f>累计考核费用!Z153/10000</f>
        <v>0</v>
      </c>
    </row>
    <row r="79" spans="1:26" s="58" customFormat="1" ht="24">
      <c r="A79" s="262"/>
      <c r="B79" s="69" t="s">
        <v>108</v>
      </c>
      <c r="C79" s="80">
        <f>累计考核费用!C154/10000</f>
        <v>0</v>
      </c>
      <c r="D79" s="80">
        <f>累计考核费用!D154/10000</f>
        <v>0</v>
      </c>
      <c r="E79" s="80">
        <f>累计考核费用!E154/10000</f>
        <v>0</v>
      </c>
      <c r="F79" s="80">
        <f>累计考核费用!F154/10000</f>
        <v>0</v>
      </c>
      <c r="G79" s="80">
        <f>累计考核费用!G154/10000</f>
        <v>0</v>
      </c>
      <c r="H79" s="80">
        <f>累计考核费用!H154/10000</f>
        <v>0</v>
      </c>
      <c r="I79" s="80">
        <f>累计考核费用!I154/10000</f>
        <v>0</v>
      </c>
      <c r="J79" s="80">
        <f>累计考核费用!J154/10000</f>
        <v>0</v>
      </c>
      <c r="K79" s="80">
        <f>累计考核费用!K154/10000</f>
        <v>0</v>
      </c>
      <c r="L79" s="80">
        <f>累计考核费用!L154/10000</f>
        <v>0</v>
      </c>
      <c r="M79" s="80">
        <f>累计考核费用!M154/10000</f>
        <v>0</v>
      </c>
      <c r="N79" s="82">
        <f>累计考核费用!N154/10000</f>
        <v>0</v>
      </c>
      <c r="O79" s="82">
        <f>累计考核费用!O154/10000</f>
        <v>0</v>
      </c>
      <c r="P79" s="82">
        <f>累计考核费用!P154/10000</f>
        <v>0</v>
      </c>
      <c r="Q79" s="82">
        <f>累计考核费用!Q154/10000</f>
        <v>0</v>
      </c>
      <c r="R79" s="82">
        <f>累计考核费用!R154/10000</f>
        <v>0</v>
      </c>
      <c r="S79" s="82">
        <f>累计考核费用!S154/10000</f>
        <v>0</v>
      </c>
      <c r="T79" s="80">
        <f>累计考核费用!T154/10000</f>
        <v>0</v>
      </c>
      <c r="U79" s="80">
        <f>累计考核费用!U154/10000</f>
        <v>0</v>
      </c>
      <c r="V79" s="80">
        <f>累计考核费用!V154/10000</f>
        <v>0</v>
      </c>
      <c r="W79" s="80">
        <f>累计考核费用!W154/10000</f>
        <v>0</v>
      </c>
      <c r="X79" s="80">
        <f>累计考核费用!X154/10000</f>
        <v>0</v>
      </c>
      <c r="Y79" s="58">
        <f>累计考核费用!Y154/10000</f>
        <v>0</v>
      </c>
      <c r="Z79" s="58">
        <f>累计考核费用!Z154/10000</f>
        <v>0</v>
      </c>
    </row>
    <row r="80" spans="1:26" s="58" customFormat="1">
      <c r="A80" s="263"/>
      <c r="B80" s="69" t="s">
        <v>70</v>
      </c>
      <c r="C80" s="83">
        <f>累计考核费用!C155/10000</f>
        <v>3371.2360370000006</v>
      </c>
      <c r="D80" s="83">
        <f>累计考核费用!D155/10000</f>
        <v>441.68413166666653</v>
      </c>
      <c r="E80" s="83">
        <f>累计考核费用!E155/10000</f>
        <v>334.304213</v>
      </c>
      <c r="F80" s="83">
        <f>累计考核费用!F155/10000</f>
        <v>2187.5541323333332</v>
      </c>
      <c r="G80" s="83">
        <f>累计考核费用!G155/10000</f>
        <v>13.641330999999999</v>
      </c>
      <c r="H80" s="83">
        <f>累计考核费用!H155/10000</f>
        <v>225.56223300000005</v>
      </c>
      <c r="I80" s="83">
        <f>累计考核费用!I155/10000</f>
        <v>22.336123000000001</v>
      </c>
      <c r="J80" s="83">
        <f>累计考核费用!J155/10000</f>
        <v>16.413560999999998</v>
      </c>
      <c r="K80" s="83">
        <f>累计考核费用!K155/10000</f>
        <v>28.518165999999997</v>
      </c>
      <c r="L80" s="83">
        <f>累计考核费用!L155/10000</f>
        <v>0</v>
      </c>
      <c r="M80" s="83">
        <f>累计考核费用!M155/10000</f>
        <v>128.28276499999998</v>
      </c>
      <c r="N80" s="83">
        <f>累计考核费用!N155/10000</f>
        <v>30.011617999999999</v>
      </c>
      <c r="O80" s="83">
        <f>累计考核费用!O155/10000</f>
        <v>0.19339700000000001</v>
      </c>
      <c r="P80" s="83">
        <f>累计考核费用!P155/10000</f>
        <v>56.142109999999995</v>
      </c>
      <c r="Q80" s="83">
        <f>累计考核费用!Q155/10000</f>
        <v>8.2204040000000003</v>
      </c>
      <c r="R80" s="83">
        <f>累计考核费用!R155/10000</f>
        <v>16.530006</v>
      </c>
      <c r="S80" s="83">
        <f>累计考核费用!S155/10000</f>
        <v>15.782054</v>
      </c>
      <c r="T80" s="83">
        <f>累计考核费用!T155/10000</f>
        <v>15.609645999999996</v>
      </c>
      <c r="U80" s="83">
        <f>累计考核费用!U155/10000</f>
        <v>112.15448900000001</v>
      </c>
      <c r="V80" s="83">
        <f>累计考核费用!V155/10000</f>
        <v>38.210380999999991</v>
      </c>
      <c r="W80" s="83">
        <f>累计考核费用!W155/10000</f>
        <v>0.28594799999999998</v>
      </c>
      <c r="X80" s="83">
        <f>累计考核费用!X155/10000</f>
        <v>73.658159999999995</v>
      </c>
      <c r="Y80" s="58">
        <f>累计考核费用!Y155/10000</f>
        <v>0</v>
      </c>
      <c r="Z80" s="58">
        <f>累计考核费用!Z155/10000</f>
        <v>0</v>
      </c>
    </row>
    <row r="81" spans="1:26" s="58" customFormat="1" ht="14.25" thickBot="1">
      <c r="A81" s="72"/>
      <c r="B81" s="72" t="s">
        <v>4</v>
      </c>
      <c r="C81" s="85">
        <f>累计考核费用!C156/10000</f>
        <v>29837.139580000006</v>
      </c>
      <c r="D81" s="85">
        <f>累计考核费用!D156/10000</f>
        <v>787.37368366666681</v>
      </c>
      <c r="E81" s="85">
        <f>累计考核费用!E156/10000</f>
        <v>3594.5644920000009</v>
      </c>
      <c r="F81" s="85">
        <f>累计考核费用!F156/10000</f>
        <v>15322.203456333333</v>
      </c>
      <c r="G81" s="85">
        <f>累计考核费用!G156/10000</f>
        <v>298.34917100000007</v>
      </c>
      <c r="H81" s="85">
        <f>累计考核费用!H156/10000</f>
        <v>1482.4854230000001</v>
      </c>
      <c r="I81" s="85">
        <f>累计考核费用!I156/10000</f>
        <v>497.82652400000001</v>
      </c>
      <c r="J81" s="85">
        <f>累计考核费用!J156/10000</f>
        <v>278.27933400000001</v>
      </c>
      <c r="K81" s="85">
        <f>累计考核费用!K156/10000</f>
        <v>190.478745</v>
      </c>
      <c r="L81" s="85">
        <f>累计考核费用!L156/10000</f>
        <v>0</v>
      </c>
      <c r="M81" s="85">
        <f>累计考核费用!M156/10000</f>
        <v>250.19014799999999</v>
      </c>
      <c r="N81" s="88">
        <f>累计考核费用!N156/10000</f>
        <v>265.71067200000005</v>
      </c>
      <c r="O81" s="88">
        <f>累计考核费用!O156/10000</f>
        <v>437.53718700000002</v>
      </c>
      <c r="P81" s="88">
        <f>累计考核费用!P156/10000</f>
        <v>7197.469943000001</v>
      </c>
      <c r="Q81" s="88">
        <f>累计考核费用!Q156/10000</f>
        <v>83.576138999999984</v>
      </c>
      <c r="R81" s="88">
        <f>累计考核费用!R156/10000</f>
        <v>5565.0636540000005</v>
      </c>
      <c r="S81" s="88">
        <f>累计考核费用!S156/10000</f>
        <v>1388.9311480000001</v>
      </c>
      <c r="T81" s="85">
        <f>累计考核费用!T156/10000</f>
        <v>159.899002</v>
      </c>
      <c r="U81" s="85">
        <f>累计考核费用!U156/10000</f>
        <v>717.15622400000007</v>
      </c>
      <c r="V81" s="85">
        <f>累计考核费用!V156/10000</f>
        <v>180.46663999999998</v>
      </c>
      <c r="W81" s="85">
        <f>累计考核费用!W156/10000</f>
        <v>36.022869</v>
      </c>
      <c r="X81" s="85">
        <f>累计考核费用!X156/10000</f>
        <v>500.66671500000001</v>
      </c>
      <c r="Y81" s="58">
        <f>累计考核费用!Y156/10000</f>
        <v>0</v>
      </c>
      <c r="Z81" s="58">
        <f>累计考核费用!Z156/10000</f>
        <v>0</v>
      </c>
    </row>
  </sheetData>
  <mergeCells count="4">
    <mergeCell ref="A33:A42"/>
    <mergeCell ref="A43:A47"/>
    <mergeCell ref="A48:A72"/>
    <mergeCell ref="A73:A80"/>
  </mergeCells>
  <phoneticPr fontId="3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累计利润调整表</vt:lpstr>
      <vt:lpstr>累计考核费用</vt:lpstr>
      <vt:lpstr>考核调整事项表</vt:lpstr>
      <vt:lpstr>调整后万元版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2016-07-20T08:52:18Z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